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codeName="ЭтаКнига" defaultThemeVersion="124226"/>
  <bookViews>
    <workbookView xWindow="-165" yWindow="420" windowWidth="19365" windowHeight="7395" tabRatio="839" activeTab="1"/>
  </bookViews>
  <sheets>
    <sheet name="Т-72" sheetId="4" r:id="rId1"/>
    <sheet name="ГПМ-54" sheetId="14" r:id="rId2"/>
    <sheet name="Т-64" sheetId="11" r:id="rId3"/>
    <sheet name="ГПМ-72" sheetId="12" r:id="rId4"/>
    <sheet name="ІМР-2" sheetId="13" r:id="rId5"/>
    <sheet name="БТС-4" sheetId="16" r:id="rId6"/>
    <sheet name="БТС-5Б" sheetId="15" r:id="rId7"/>
    <sheet name="БРЕМ-1" sheetId="17" r:id="rId8"/>
    <sheet name="Різне" sheetId="1" r:id="rId9"/>
    <sheet name="ДВИГУН" sheetId="7" r:id="rId10"/>
    <sheet name="КО" sheetId="9" r:id="rId11"/>
    <sheet name="НорБРЕМ" sheetId="18" r:id="rId12"/>
    <sheet name="ГідрВол" sheetId="20" r:id="rId13"/>
    <sheet name="бтс" sheetId="19" r:id="rId14"/>
    <sheet name="Лист2" sheetId="21" r:id="rId15"/>
  </sheets>
  <definedNames>
    <definedName name="_xlnm._FilterDatabase" localSheetId="11" hidden="1">НорБРЕМ!#REF!</definedName>
    <definedName name="_xlnm._FilterDatabase" localSheetId="0" hidden="1">'Т-72'!$A$2677:$P$2677</definedName>
    <definedName name="_xlnm.Print_Area" localSheetId="7">'БРЕМ-1'!$A$1:$I$359</definedName>
    <definedName name="_xlnm.Print_Area" localSheetId="9">ДВИГУН!$A$1:$G$73</definedName>
  </definedNames>
  <calcPr calcId="162913"/>
</workbook>
</file>

<file path=xl/calcChain.xml><?xml version="1.0" encoding="utf-8"?>
<calcChain xmlns="http://schemas.openxmlformats.org/spreadsheetml/2006/main">
  <c r="G2176" i="14" l="1"/>
  <c r="G2175" i="14"/>
  <c r="G2174" i="14"/>
  <c r="G2188" i="14"/>
  <c r="G2186" i="14"/>
  <c r="G2178" i="14"/>
  <c r="G2190" i="14" l="1"/>
  <c r="G2184" i="14"/>
  <c r="G2182" i="14"/>
  <c r="G2180" i="14"/>
  <c r="G2172" i="14"/>
  <c r="G2173" i="14" s="1"/>
  <c r="I11" i="9"/>
  <c r="G2294" i="11" l="1"/>
  <c r="G2295" i="11"/>
  <c r="G2296" i="11" s="1"/>
  <c r="G2289" i="11"/>
  <c r="G2290" i="11"/>
  <c r="G2291" i="11" s="1"/>
  <c r="G2285" i="11"/>
  <c r="G2286" i="11" s="1"/>
  <c r="G2284" i="11"/>
  <c r="G2280" i="11"/>
  <c r="G2281" i="11" s="1"/>
  <c r="G2279" i="11"/>
  <c r="G2255" i="11"/>
  <c r="G2276" i="11"/>
  <c r="G2272" i="11"/>
  <c r="G2274" i="11"/>
  <c r="G2270" i="11"/>
  <c r="G2268" i="11"/>
  <c r="G2265" i="11"/>
  <c r="G2266" i="11" s="1"/>
  <c r="G2263" i="11"/>
  <c r="G2260" i="11"/>
  <c r="G2261" i="11" s="1"/>
  <c r="G2258" i="11"/>
  <c r="G2256" i="11"/>
  <c r="G2244" i="11"/>
  <c r="G2245" i="11" s="1"/>
  <c r="G2246" i="11" s="1"/>
  <c r="G2242" i="11"/>
  <c r="G2250" i="11"/>
  <c r="G2243" i="11"/>
  <c r="G2248" i="11"/>
  <c r="F427" i="1"/>
  <c r="F426" i="1"/>
  <c r="F425" i="1"/>
  <c r="G2233" i="11"/>
  <c r="G2234" i="11" s="1"/>
  <c r="G2235" i="11"/>
  <c r="G2236" i="11" s="1"/>
  <c r="G2239" i="11"/>
  <c r="G2224" i="11"/>
  <c r="G2225" i="11" s="1"/>
  <c r="G2226" i="11"/>
  <c r="G2227" i="11" s="1"/>
  <c r="G2228" i="11" s="1"/>
  <c r="G2230" i="11"/>
  <c r="G2211" i="11"/>
  <c r="G2213" i="11"/>
  <c r="G2165" i="14"/>
  <c r="G2166" i="14" s="1"/>
  <c r="G2162" i="14"/>
  <c r="G2157" i="14"/>
  <c r="G2158" i="14" s="1"/>
  <c r="G2154" i="14"/>
  <c r="G2237" i="11" l="1"/>
  <c r="G2155" i="14"/>
  <c r="G2156" i="14" s="1"/>
  <c r="G2163" i="14"/>
  <c r="G2164" i="14" s="1"/>
  <c r="G2219" i="11"/>
  <c r="G2221" i="11"/>
  <c r="G2217" i="11"/>
  <c r="G2214" i="11"/>
  <c r="G2215" i="11" s="1"/>
  <c r="G2212" i="11"/>
  <c r="G2202" i="11"/>
  <c r="G2204" i="11"/>
  <c r="G2208" i="11"/>
  <c r="G2205" i="11"/>
  <c r="G2206" i="11" s="1"/>
  <c r="G2203" i="11"/>
  <c r="G2193" i="11"/>
  <c r="G2194" i="11" s="1"/>
  <c r="G2195" i="11"/>
  <c r="G2196" i="11" s="1"/>
  <c r="G2197" i="11" s="1"/>
  <c r="G2199" i="11"/>
  <c r="G2179" i="11" l="1"/>
  <c r="G2181" i="11"/>
  <c r="G2189" i="11"/>
  <c r="G2187" i="11"/>
  <c r="G2185" i="11"/>
  <c r="G2182" i="11"/>
  <c r="G2183" i="11" s="1"/>
  <c r="G2180" i="11"/>
  <c r="G2172" i="11"/>
  <c r="G2176" i="11"/>
  <c r="G2173" i="11"/>
  <c r="G2174" i="11" s="1"/>
  <c r="G2170" i="11"/>
  <c r="G2171" i="11" s="1"/>
  <c r="G2163" i="11"/>
  <c r="G2167" i="11"/>
  <c r="G2164" i="11"/>
  <c r="G2165" i="11" s="1"/>
  <c r="G2161" i="11"/>
  <c r="G2162" i="11" s="1"/>
  <c r="G2154" i="11"/>
  <c r="G2155" i="11" s="1"/>
  <c r="G2156" i="11" s="1"/>
  <c r="G2152" i="11"/>
  <c r="G2153" i="11" s="1"/>
  <c r="G2158" i="11"/>
  <c r="G2145" i="11"/>
  <c r="G2146" i="11" s="1"/>
  <c r="G2147" i="11" s="1"/>
  <c r="G2149" i="11"/>
  <c r="G2143" i="11"/>
  <c r="G2144" i="11" s="1"/>
  <c r="G2136" i="11"/>
  <c r="G2137" i="11" s="1"/>
  <c r="G2138" i="11" s="1"/>
  <c r="G2140" i="11"/>
  <c r="G2134" i="11"/>
  <c r="G2135" i="11" s="1"/>
  <c r="G2127" i="11"/>
  <c r="G2131" i="11"/>
  <c r="G2128" i="11"/>
  <c r="G2129" i="11" s="1"/>
  <c r="G2124" i="11"/>
  <c r="G2125" i="11" s="1"/>
  <c r="G2117" i="11"/>
  <c r="G2118" i="11" s="1"/>
  <c r="G2119" i="11" s="1"/>
  <c r="G2114" i="11"/>
  <c r="G2116" i="11" s="1"/>
  <c r="G2121" i="11"/>
  <c r="G2102" i="11"/>
  <c r="G2104" i="11" s="1"/>
  <c r="G2105" i="11"/>
  <c r="G2106" i="11" s="1"/>
  <c r="G2107" i="11" s="1"/>
  <c r="G2111" i="11"/>
  <c r="G2109" i="11"/>
  <c r="G2115" i="11" l="1"/>
  <c r="G2126" i="11"/>
  <c r="G2103" i="11"/>
  <c r="G2096" i="11"/>
  <c r="G2094" i="11" s="1"/>
  <c r="G2095" i="11" s="1"/>
  <c r="G2099" i="11"/>
  <c r="G2092" i="11"/>
  <c r="G2093" i="11" s="1"/>
  <c r="G2085" i="11"/>
  <c r="G2086" i="11" s="1"/>
  <c r="G2087" i="11" s="1"/>
  <c r="G2089" i="11"/>
  <c r="G2082" i="11"/>
  <c r="G2084" i="11" s="1"/>
  <c r="G2097" i="11" l="1"/>
  <c r="G2083" i="11"/>
  <c r="J81" i="20"/>
  <c r="R14" i="20"/>
  <c r="V32" i="20"/>
  <c r="V31" i="20"/>
  <c r="V30" i="20"/>
  <c r="R30" i="20"/>
  <c r="V29" i="20"/>
  <c r="R29" i="20"/>
  <c r="N29" i="20"/>
  <c r="V28" i="20"/>
  <c r="R28" i="20"/>
  <c r="N28" i="20"/>
  <c r="V27" i="20"/>
  <c r="R27" i="20"/>
  <c r="N27" i="20"/>
  <c r="V26" i="20"/>
  <c r="R26" i="20"/>
  <c r="N26" i="20"/>
  <c r="V25" i="20"/>
  <c r="R25" i="20"/>
  <c r="N25" i="20"/>
  <c r="V24" i="20"/>
  <c r="R24" i="20"/>
  <c r="N24" i="20"/>
  <c r="V23" i="20"/>
  <c r="V33" i="20" s="1"/>
  <c r="R23" i="20"/>
  <c r="N23" i="20"/>
  <c r="V22" i="20"/>
  <c r="R22" i="20"/>
  <c r="R33" i="20" s="1"/>
  <c r="R34" i="20" s="1"/>
  <c r="N22" i="20"/>
  <c r="M83" i="20"/>
  <c r="H83" i="20"/>
  <c r="L83" i="20" s="1"/>
  <c r="J82" i="20"/>
  <c r="L82" i="20" s="1"/>
  <c r="I82" i="20"/>
  <c r="M82" i="20" s="1"/>
  <c r="L81" i="20"/>
  <c r="I81" i="20"/>
  <c r="M81" i="20" s="1"/>
  <c r="J80" i="20"/>
  <c r="L80" i="20" s="1"/>
  <c r="I80" i="20"/>
  <c r="M80" i="20" s="1"/>
  <c r="J71" i="20"/>
  <c r="L71" i="20" s="1"/>
  <c r="H73" i="20"/>
  <c r="N33" i="20" l="1"/>
  <c r="N34" i="20" s="1"/>
  <c r="V34" i="20"/>
  <c r="G2068" i="11"/>
  <c r="G2067" i="11"/>
  <c r="G2069" i="11" s="1"/>
  <c r="G2075" i="11"/>
  <c r="G2073" i="11"/>
  <c r="G2077" i="11"/>
  <c r="G103" i="20"/>
  <c r="E103" i="20"/>
  <c r="J2895" i="16"/>
  <c r="J2894" i="16"/>
  <c r="G2896" i="16"/>
  <c r="G2894" i="16"/>
  <c r="F102" i="20"/>
  <c r="F101" i="20"/>
  <c r="F97" i="20"/>
  <c r="G2064" i="11"/>
  <c r="G2066" i="11" s="1"/>
  <c r="G2053" i="11"/>
  <c r="G2054" i="11" s="1"/>
  <c r="G2056" i="11"/>
  <c r="G2057" i="11" s="1"/>
  <c r="G2061" i="11"/>
  <c r="G2042" i="11"/>
  <c r="G2050" i="11"/>
  <c r="G2048" i="11"/>
  <c r="G2046" i="11"/>
  <c r="G2065" i="11" l="1"/>
  <c r="G2070" i="11"/>
  <c r="G2071" i="11" s="1"/>
  <c r="G2058" i="11"/>
  <c r="G2059" i="11" s="1"/>
  <c r="G2055" i="11"/>
  <c r="L2900" i="16"/>
  <c r="F107" i="20"/>
  <c r="G102" i="20"/>
  <c r="G101" i="20"/>
  <c r="G97" i="20"/>
  <c r="E107" i="20"/>
  <c r="G107" i="20" l="1"/>
  <c r="G2904" i="16"/>
  <c r="G2892" i="16"/>
  <c r="G2898" i="16"/>
  <c r="G2043" i="11"/>
  <c r="G2044" i="11" s="1"/>
  <c r="G2040" i="11"/>
  <c r="G2041" i="11" s="1"/>
  <c r="G2033" i="11"/>
  <c r="G2035" i="11" s="1"/>
  <c r="G2037" i="11"/>
  <c r="G2034" i="11"/>
  <c r="G2023" i="11"/>
  <c r="G2024" i="11" s="1"/>
  <c r="G2030" i="11"/>
  <c r="G2026" i="11"/>
  <c r="G2027" i="11" s="1"/>
  <c r="G2028" i="11" s="1"/>
  <c r="G2020" i="11"/>
  <c r="G2016" i="11"/>
  <c r="G2017" i="11" s="1"/>
  <c r="G2018" i="11" s="1"/>
  <c r="G2013" i="11"/>
  <c r="G2015" i="11" s="1"/>
  <c r="G2005" i="11"/>
  <c r="G2010" i="11"/>
  <c r="G2006" i="11"/>
  <c r="G2002" i="11"/>
  <c r="G2004" i="11" s="1"/>
  <c r="G1994" i="11"/>
  <c r="G1999" i="11"/>
  <c r="G1995" i="11"/>
  <c r="G1996" i="11" s="1"/>
  <c r="G1991" i="11"/>
  <c r="G1992" i="11" s="1"/>
  <c r="G1967" i="11"/>
  <c r="G1969" i="11" s="1"/>
  <c r="G1981" i="11"/>
  <c r="G1988" i="11"/>
  <c r="G1982" i="11"/>
  <c r="G1984" i="11" s="1"/>
  <c r="G1986" i="11" s="1"/>
  <c r="G1978" i="11"/>
  <c r="G1979" i="11" s="1"/>
  <c r="G2025" i="11" l="1"/>
  <c r="G2014" i="11"/>
  <c r="G1980" i="11"/>
  <c r="G1968" i="11"/>
  <c r="G2003" i="11"/>
  <c r="G2007" i="11"/>
  <c r="G2008" i="11" s="1"/>
  <c r="G1983" i="11"/>
  <c r="G1993" i="11"/>
  <c r="G1997" i="11"/>
  <c r="G1985" i="11"/>
  <c r="G1932" i="11"/>
  <c r="G2148" i="14"/>
  <c r="G2145" i="14"/>
  <c r="G2142" i="14"/>
  <c r="G1238" i="16"/>
  <c r="G1605" i="16"/>
  <c r="G1948" i="11" l="1"/>
  <c r="G1949" i="11" s="1"/>
  <c r="G1959" i="11"/>
  <c r="G1960" i="11" s="1"/>
  <c r="G1961" i="11" s="1"/>
  <c r="G1970" i="11"/>
  <c r="G1971" i="11" s="1"/>
  <c r="G1972" i="11" s="1"/>
  <c r="G1975" i="11"/>
  <c r="G1964" i="11"/>
  <c r="G1956" i="11"/>
  <c r="G1945" i="11"/>
  <c r="G1947" i="11" s="1"/>
  <c r="G1957" i="11"/>
  <c r="G1953" i="11"/>
  <c r="G1938" i="11"/>
  <c r="G1939" i="11" s="1"/>
  <c r="G1940" i="11" s="1"/>
  <c r="G1942" i="11"/>
  <c r="G1935" i="11"/>
  <c r="G1937" i="11" s="1"/>
  <c r="G2139" i="14"/>
  <c r="G2136" i="14"/>
  <c r="G1936" i="11" l="1"/>
  <c r="G1950" i="11"/>
  <c r="G1951" i="11" s="1"/>
  <c r="G1973" i="11"/>
  <c r="G1958" i="11"/>
  <c r="G1962" i="11"/>
  <c r="G1946" i="11"/>
  <c r="G2878" i="16" l="1"/>
  <c r="G2877" i="16" s="1"/>
  <c r="G2879" i="16" s="1"/>
  <c r="G2884" i="16"/>
  <c r="G2874" i="16"/>
  <c r="G2875" i="16" s="1"/>
  <c r="G2871" i="16"/>
  <c r="G2868" i="16"/>
  <c r="G2865" i="16"/>
  <c r="G2862" i="16"/>
  <c r="G2859" i="16"/>
  <c r="G2856" i="16"/>
  <c r="G2853" i="16"/>
  <c r="G2850" i="16"/>
  <c r="G2847" i="16"/>
  <c r="G2844" i="16"/>
  <c r="G2841" i="16"/>
  <c r="G2838" i="16"/>
  <c r="G2835" i="16"/>
  <c r="G2832" i="16"/>
  <c r="G2876" i="16" l="1"/>
  <c r="G2880" i="16"/>
  <c r="G2881" i="16" s="1"/>
  <c r="G2882" i="16" s="1"/>
  <c r="G1927" i="11"/>
  <c r="G1923" i="11"/>
  <c r="G1921" i="11" s="1"/>
  <c r="G1922" i="11" s="1"/>
  <c r="G1918" i="11"/>
  <c r="G1916" i="11"/>
  <c r="G1915" i="11"/>
  <c r="G1904" i="11"/>
  <c r="G1912" i="11"/>
  <c r="G1910" i="11"/>
  <c r="G1908" i="11"/>
  <c r="G1905" i="11"/>
  <c r="G1906" i="11" s="1"/>
  <c r="G1902" i="11"/>
  <c r="G1903" i="11" s="1"/>
  <c r="G1899" i="11"/>
  <c r="G1895" i="11"/>
  <c r="G1896" i="11" s="1"/>
  <c r="G1897" i="11" s="1"/>
  <c r="G1892" i="11"/>
  <c r="G1893" i="11" s="1"/>
  <c r="G1889" i="11"/>
  <c r="G1884" i="11"/>
  <c r="G1885" i="11" s="1"/>
  <c r="G1881" i="11"/>
  <c r="G1883" i="11" s="1"/>
  <c r="G1878" i="11"/>
  <c r="G1870" i="11"/>
  <c r="G1871" i="11" s="1"/>
  <c r="G1873" i="11"/>
  <c r="G1874" i="11" s="1"/>
  <c r="G1872" i="11"/>
  <c r="G1867" i="11"/>
  <c r="G1862" i="11"/>
  <c r="G1864" i="11" s="1"/>
  <c r="G1859" i="11"/>
  <c r="G1860" i="11" s="1"/>
  <c r="G1856" i="11"/>
  <c r="G1851" i="11"/>
  <c r="G1853" i="11" s="1"/>
  <c r="G1848" i="11"/>
  <c r="G1849" i="11" s="1"/>
  <c r="G1845" i="11"/>
  <c r="G1837" i="11"/>
  <c r="G1838" i="11" s="1"/>
  <c r="G1840" i="11"/>
  <c r="G1842" i="11" s="1"/>
  <c r="G1834" i="11"/>
  <c r="G1829" i="11"/>
  <c r="G1830" i="11" s="1"/>
  <c r="G1826" i="11"/>
  <c r="G1828" i="11" s="1"/>
  <c r="G1818" i="11"/>
  <c r="G1820" i="11" s="1"/>
  <c r="G1823" i="11"/>
  <c r="G1815" i="11"/>
  <c r="G1817" i="11" s="1"/>
  <c r="G1805" i="11"/>
  <c r="G1806" i="11" s="1"/>
  <c r="G1812" i="11"/>
  <c r="G1810" i="11"/>
  <c r="G1802" i="11"/>
  <c r="G1803" i="11" s="1"/>
  <c r="G1792" i="11"/>
  <c r="G1793" i="11" s="1"/>
  <c r="G1799" i="11"/>
  <c r="G1797" i="11"/>
  <c r="G1789" i="11"/>
  <c r="G1790" i="11" s="1"/>
  <c r="G1786" i="11"/>
  <c r="G1781" i="11"/>
  <c r="G1783" i="11" s="1"/>
  <c r="G1778" i="11"/>
  <c r="G1779" i="11" s="1"/>
  <c r="G1767" i="11"/>
  <c r="G1770" i="11"/>
  <c r="G1772" i="11" s="1"/>
  <c r="G1775" i="11"/>
  <c r="G1771" i="11"/>
  <c r="G1769" i="11"/>
  <c r="G1763" i="11"/>
  <c r="G1758" i="11"/>
  <c r="G1760" i="11" s="1"/>
  <c r="G1755" i="11"/>
  <c r="G1756" i="11" s="1"/>
  <c r="G1752" i="11"/>
  <c r="G1744" i="11"/>
  <c r="G1745" i="11" s="1"/>
  <c r="G1747" i="11"/>
  <c r="G1748" i="11" s="1"/>
  <c r="G1746" i="11"/>
  <c r="G1733" i="11"/>
  <c r="G1722" i="11"/>
  <c r="G1741" i="11"/>
  <c r="G1736" i="11"/>
  <c r="G1738" i="11" s="1"/>
  <c r="G1734" i="11"/>
  <c r="G1725" i="11"/>
  <c r="G1726" i="11" s="1"/>
  <c r="G1730" i="11"/>
  <c r="G1723" i="11"/>
  <c r="G1719" i="11"/>
  <c r="G1717" i="11"/>
  <c r="G1716" i="11"/>
  <c r="G1713" i="11"/>
  <c r="G1709" i="11"/>
  <c r="G1710" i="11" s="1"/>
  <c r="G1705" i="11"/>
  <c r="G1706" i="11" s="1"/>
  <c r="G1702" i="11"/>
  <c r="G1700" i="11"/>
  <c r="G1697" i="11"/>
  <c r="G1698" i="11" s="1"/>
  <c r="G1690" i="11"/>
  <c r="G1691" i="11" s="1"/>
  <c r="G1679" i="11"/>
  <c r="G1680" i="11" s="1"/>
  <c r="G1694" i="11"/>
  <c r="G1683" i="11"/>
  <c r="G1675" i="11"/>
  <c r="G1676" i="11" s="1"/>
  <c r="G1686" i="11"/>
  <c r="G1687" i="11" s="1"/>
  <c r="G1669" i="11"/>
  <c r="G1672" i="11"/>
  <c r="G1665" i="11"/>
  <c r="G1666" i="11" s="1"/>
  <c r="G1655" i="11"/>
  <c r="G1654" i="11" s="1"/>
  <c r="G1656" i="11" s="1"/>
  <c r="G1662" i="11"/>
  <c r="G1660" i="11"/>
  <c r="G1658" i="11"/>
  <c r="G1651" i="11"/>
  <c r="G1652" i="11" s="1"/>
  <c r="G1644" i="11"/>
  <c r="G1642" i="11" s="1"/>
  <c r="G1643" i="11" s="1"/>
  <c r="G1648" i="11"/>
  <c r="G1640" i="11"/>
  <c r="G1641" i="11" s="1"/>
  <c r="G1633" i="11"/>
  <c r="G1634" i="11" s="1"/>
  <c r="G1637" i="11"/>
  <c r="G1629" i="11"/>
  <c r="G1630" i="11" s="1"/>
  <c r="G1623" i="11"/>
  <c r="G1622" i="11" s="1"/>
  <c r="G1624" i="11" s="1"/>
  <c r="G1619" i="11"/>
  <c r="G1620" i="11" s="1"/>
  <c r="G1609" i="11"/>
  <c r="G1611" i="11" s="1"/>
  <c r="G1626" i="11"/>
  <c r="G1613" i="11"/>
  <c r="G1616" i="11"/>
  <c r="G1645" i="11" l="1"/>
  <c r="G1924" i="11"/>
  <c r="G1882" i="11"/>
  <c r="G1894" i="11"/>
  <c r="G1886" i="11"/>
  <c r="G1887" i="11" s="1"/>
  <c r="G1875" i="11"/>
  <c r="G1876" i="11" s="1"/>
  <c r="G1863" i="11"/>
  <c r="G1865" i="11" s="1"/>
  <c r="G1861" i="11"/>
  <c r="G1852" i="11"/>
  <c r="G1854" i="11" s="1"/>
  <c r="G1827" i="11"/>
  <c r="G1841" i="11"/>
  <c r="G1843" i="11" s="1"/>
  <c r="G1850" i="11"/>
  <c r="G1839" i="11"/>
  <c r="G1831" i="11"/>
  <c r="G1832" i="11" s="1"/>
  <c r="G1807" i="11"/>
  <c r="G1794" i="11"/>
  <c r="G1795" i="11" s="1"/>
  <c r="G1773" i="11"/>
  <c r="G1782" i="11"/>
  <c r="G1784" i="11" s="1"/>
  <c r="G1816" i="11"/>
  <c r="G1819" i="11"/>
  <c r="G1821" i="11" s="1"/>
  <c r="G1808" i="11"/>
  <c r="G1804" i="11"/>
  <c r="G1791" i="11"/>
  <c r="G1780" i="11"/>
  <c r="G1768" i="11"/>
  <c r="G1759" i="11"/>
  <c r="G1761" i="11" s="1"/>
  <c r="G1757" i="11"/>
  <c r="G1749" i="11"/>
  <c r="G1750" i="11" s="1"/>
  <c r="G1737" i="11"/>
  <c r="G1739" i="11" s="1"/>
  <c r="G1735" i="11"/>
  <c r="G1727" i="11"/>
  <c r="G1728" i="11" s="1"/>
  <c r="G1724" i="11"/>
  <c r="G1688" i="11"/>
  <c r="G1689" i="11" s="1"/>
  <c r="G1707" i="11"/>
  <c r="G1708" i="11" s="1"/>
  <c r="G1677" i="11"/>
  <c r="G1678" i="11" s="1"/>
  <c r="G1667" i="11"/>
  <c r="G1668" i="11"/>
  <c r="G1670" i="11" s="1"/>
  <c r="G1653" i="11"/>
  <c r="G1631" i="11"/>
  <c r="G1632" i="11" s="1"/>
  <c r="G1621" i="11"/>
  <c r="G1612" i="11"/>
  <c r="G1614" i="11" s="1"/>
  <c r="G1610" i="11"/>
  <c r="G1605" i="11"/>
  <c r="G1606" i="11" s="1"/>
  <c r="G1598" i="11"/>
  <c r="G1599" i="11" s="1"/>
  <c r="G1602" i="11"/>
  <c r="G1594" i="11"/>
  <c r="G1595" i="11" s="1"/>
  <c r="G1581" i="11"/>
  <c r="G1582" i="11" s="1"/>
  <c r="G1591" i="11"/>
  <c r="G1589" i="11"/>
  <c r="G1587" i="11"/>
  <c r="G1585" i="11"/>
  <c r="G1577" i="11"/>
  <c r="G1579" i="11" s="1"/>
  <c r="G1574" i="11"/>
  <c r="G1596" i="11" l="1"/>
  <c r="G1597" i="11"/>
  <c r="G1600" i="11" s="1"/>
  <c r="G1580" i="11"/>
  <c r="G1583" i="11" s="1"/>
  <c r="G1578" i="11"/>
  <c r="G2102" i="14"/>
  <c r="G2101" i="14" s="1"/>
  <c r="G2103" i="14" s="1"/>
  <c r="G2105" i="14"/>
  <c r="G2131" i="14"/>
  <c r="G2128" i="14"/>
  <c r="G2124" i="14"/>
  <c r="G2125" i="14" s="1"/>
  <c r="G2120" i="14"/>
  <c r="G2121" i="14" s="1"/>
  <c r="G2123" i="14"/>
  <c r="G2119" i="14"/>
  <c r="G2117" i="14"/>
  <c r="G2115" i="14"/>
  <c r="G2109" i="14"/>
  <c r="G2110" i="14" s="1"/>
  <c r="G2112" i="14"/>
  <c r="G2108" i="14"/>
  <c r="G2100" i="14"/>
  <c r="G2097" i="14"/>
  <c r="G2094" i="14"/>
  <c r="G2091" i="14"/>
  <c r="G2088" i="14"/>
  <c r="G2085" i="14"/>
  <c r="G2082" i="14"/>
  <c r="G2079" i="14" l="1"/>
  <c r="G2075" i="14"/>
  <c r="G2074" i="14" s="1"/>
  <c r="G2076" i="14" s="1"/>
  <c r="G2073" i="14"/>
  <c r="G2070" i="14"/>
  <c r="G2068" i="14"/>
  <c r="G2066" i="14"/>
  <c r="G2064" i="14"/>
  <c r="G2063" i="14" s="1"/>
  <c r="G2065" i="14" s="1"/>
  <c r="G2061" i="14"/>
  <c r="G2059" i="14"/>
  <c r="G2056" i="14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489" i="19"/>
  <c r="G2055" i="14" l="1"/>
  <c r="G2057" i="14" s="1"/>
  <c r="G2038" i="14"/>
  <c r="G2039" i="14" s="1"/>
  <c r="G2044" i="14"/>
  <c r="G2035" i="14"/>
  <c r="G2041" i="14"/>
  <c r="G1571" i="11"/>
  <c r="G1567" i="11"/>
  <c r="G1568" i="11" s="1"/>
  <c r="G2016" i="14"/>
  <c r="G2019" i="14"/>
  <c r="G2022" i="14"/>
  <c r="G2025" i="14"/>
  <c r="G2028" i="14"/>
  <c r="G1564" i="11"/>
  <c r="G1559" i="11"/>
  <c r="G1561" i="11"/>
  <c r="G1556" i="11"/>
  <c r="G1557" i="11" s="1"/>
  <c r="G1553" i="11"/>
  <c r="G1549" i="11"/>
  <c r="G1550" i="11" s="1"/>
  <c r="G1508" i="11"/>
  <c r="G1506" i="11"/>
  <c r="J1506" i="11"/>
  <c r="G1505" i="11"/>
  <c r="G1499" i="11"/>
  <c r="G1496" i="11"/>
  <c r="G1493" i="11"/>
  <c r="G1489" i="11"/>
  <c r="G1490" i="11" s="1"/>
  <c r="G1486" i="11"/>
  <c r="G1484" i="11"/>
  <c r="G1485" i="11" s="1"/>
  <c r="G1481" i="11"/>
  <c r="G1479" i="11" s="1"/>
  <c r="G1480" i="11" s="1"/>
  <c r="G1476" i="11"/>
  <c r="G1478" i="11"/>
  <c r="G1477" i="11"/>
  <c r="G1474" i="11"/>
  <c r="G1472" i="11"/>
  <c r="G1469" i="11"/>
  <c r="G1467" i="11" s="1"/>
  <c r="G1468" i="11" s="1"/>
  <c r="G1466" i="11"/>
  <c r="G1464" i="11"/>
  <c r="G1465" i="11" s="1"/>
  <c r="G1459" i="11"/>
  <c r="G1551" i="11" l="1"/>
  <c r="G1470" i="11"/>
  <c r="G1487" i="11"/>
  <c r="G1488" i="11" s="1"/>
  <c r="G1482" i="11"/>
  <c r="G1544" i="11"/>
  <c r="G1541" i="11"/>
  <c r="G1542" i="11" s="1"/>
  <c r="G1540" i="11"/>
  <c r="G1539" i="11"/>
  <c r="G1535" i="11"/>
  <c r="G1537" i="11" s="1"/>
  <c r="G1502" i="11"/>
  <c r="G1532" i="11"/>
  <c r="G1529" i="11"/>
  <c r="G1527" i="11"/>
  <c r="G1525" i="11"/>
  <c r="G1521" i="11"/>
  <c r="G1522" i="11" s="1"/>
  <c r="G1519" i="11"/>
  <c r="G1516" i="11"/>
  <c r="G1515" i="11"/>
  <c r="G1513" i="11"/>
  <c r="G1514" i="11" s="1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332" i="19"/>
  <c r="G11098" i="4"/>
  <c r="G11099" i="4" s="1"/>
  <c r="G1536" i="11" l="1"/>
  <c r="G1523" i="11"/>
  <c r="G11094" i="4"/>
  <c r="G11095" i="4" s="1"/>
  <c r="M73" i="20" l="1"/>
  <c r="L73" i="20"/>
  <c r="J72" i="20"/>
  <c r="L72" i="20" s="1"/>
  <c r="I72" i="20"/>
  <c r="M72" i="20" s="1"/>
  <c r="I71" i="20"/>
  <c r="M71" i="20" s="1"/>
  <c r="I70" i="20"/>
  <c r="M70" i="20" s="1"/>
  <c r="J70" i="20"/>
  <c r="L70" i="20" s="1"/>
  <c r="J27" i="20"/>
  <c r="J26" i="20"/>
  <c r="J25" i="20"/>
  <c r="J24" i="20"/>
  <c r="J13" i="20"/>
  <c r="V5" i="20"/>
  <c r="V6" i="20"/>
  <c r="V7" i="20"/>
  <c r="V8" i="20"/>
  <c r="V9" i="20"/>
  <c r="V10" i="20"/>
  <c r="V11" i="20"/>
  <c r="V12" i="20"/>
  <c r="V13" i="20"/>
  <c r="R5" i="20"/>
  <c r="R6" i="20"/>
  <c r="R7" i="20"/>
  <c r="R8" i="20"/>
  <c r="R9" i="20"/>
  <c r="R10" i="20"/>
  <c r="R11" i="20"/>
  <c r="R12" i="20"/>
  <c r="R13" i="20"/>
  <c r="R15" i="20"/>
  <c r="N5" i="20"/>
  <c r="N6" i="20"/>
  <c r="N7" i="20"/>
  <c r="N8" i="20"/>
  <c r="N9" i="20"/>
  <c r="N10" i="20"/>
  <c r="N11" i="20"/>
  <c r="N12" i="20"/>
  <c r="F419" i="1"/>
  <c r="F420" i="1" s="1"/>
  <c r="F417" i="1"/>
  <c r="V16" i="20" l="1"/>
  <c r="V17" i="20" s="1"/>
  <c r="R16" i="20"/>
  <c r="R17" i="20" s="1"/>
  <c r="N16" i="20"/>
  <c r="N17" i="20" s="1"/>
  <c r="G1449" i="11"/>
  <c r="G1450" i="11" s="1"/>
  <c r="G1447" i="11"/>
  <c r="G1448" i="11" s="1"/>
  <c r="G1453" i="11"/>
  <c r="G1438" i="11"/>
  <c r="G1439" i="11" s="1"/>
  <c r="G1444" i="11"/>
  <c r="G1440" i="11"/>
  <c r="G1442" i="11" s="1"/>
  <c r="G1429" i="11"/>
  <c r="G1430" i="11" s="1"/>
  <c r="G1435" i="11"/>
  <c r="G1431" i="11"/>
  <c r="G1432" i="11" s="1"/>
  <c r="G1418" i="11"/>
  <c r="G1419" i="11" s="1"/>
  <c r="G1416" i="11"/>
  <c r="G1417" i="11" s="1"/>
  <c r="G1424" i="11"/>
  <c r="G1426" i="11"/>
  <c r="G1422" i="11"/>
  <c r="G1401" i="11"/>
  <c r="G1402" i="11" s="1"/>
  <c r="G1409" i="11"/>
  <c r="G1407" i="11"/>
  <c r="G1413" i="11"/>
  <c r="G1411" i="11"/>
  <c r="G1403" i="11"/>
  <c r="G1405" i="11" s="1"/>
  <c r="G1392" i="11"/>
  <c r="G1393" i="11" s="1"/>
  <c r="G1398" i="11"/>
  <c r="G1394" i="11"/>
  <c r="G1396" i="11" s="1"/>
  <c r="G1385" i="11"/>
  <c r="G1386" i="11" s="1"/>
  <c r="G1383" i="11"/>
  <c r="G1384" i="11" s="1"/>
  <c r="G1389" i="11"/>
  <c r="G1374" i="11"/>
  <c r="G1375" i="11" s="1"/>
  <c r="G1380" i="11"/>
  <c r="G1376" i="11"/>
  <c r="G1378" i="11" s="1"/>
  <c r="G1365" i="11"/>
  <c r="G1366" i="11" s="1"/>
  <c r="G1367" i="11"/>
  <c r="G1369" i="11" s="1"/>
  <c r="G1371" i="11"/>
  <c r="G1368" i="11"/>
  <c r="G1362" i="11"/>
  <c r="G1356" i="11"/>
  <c r="G1357" i="11" s="1"/>
  <c r="G1358" i="11"/>
  <c r="G1359" i="11" s="1"/>
  <c r="G1345" i="11"/>
  <c r="G1342" i="11"/>
  <c r="G1343" i="11"/>
  <c r="G1339" i="11"/>
  <c r="G1340" i="11" s="1"/>
  <c r="G1337" i="11"/>
  <c r="G1315" i="11"/>
  <c r="G1313" i="11"/>
  <c r="G1331" i="11"/>
  <c r="G1335" i="11"/>
  <c r="G1420" i="11" l="1"/>
  <c r="G1451" i="11"/>
  <c r="G1387" i="11"/>
  <c r="G1441" i="11"/>
  <c r="G1377" i="11"/>
  <c r="G1395" i="11"/>
  <c r="G1433" i="11"/>
  <c r="G1404" i="11"/>
  <c r="G1360" i="11"/>
  <c r="G1332" i="11"/>
  <c r="G1328" i="11"/>
  <c r="G1325" i="11"/>
  <c r="G1326" i="11" s="1"/>
  <c r="G1320" i="11"/>
  <c r="G1307" i="11"/>
  <c r="G1311" i="11"/>
  <c r="G1308" i="11"/>
  <c r="G1309" i="11" s="1"/>
  <c r="G1305" i="11"/>
  <c r="G1306" i="11" s="1"/>
  <c r="G1302" i="11"/>
  <c r="G1301" i="11"/>
  <c r="G1297" i="11"/>
  <c r="G1292" i="11"/>
  <c r="G1293" i="11" s="1"/>
  <c r="G1294" i="11" s="1"/>
  <c r="G1284" i="11"/>
  <c r="G1289" i="11"/>
  <c r="G1281" i="11"/>
  <c r="G1282" i="11" s="1"/>
  <c r="G1270" i="11"/>
  <c r="G1272" i="11" s="1"/>
  <c r="G1285" i="11"/>
  <c r="G1273" i="11"/>
  <c r="G1274" i="11" s="1"/>
  <c r="G1275" i="11" s="1"/>
  <c r="G1278" i="11"/>
  <c r="G1267" i="11"/>
  <c r="G1265" i="11"/>
  <c r="G1259" i="11"/>
  <c r="G1263" i="11"/>
  <c r="G1327" i="11" l="1"/>
  <c r="G1283" i="11"/>
  <c r="G1333" i="11"/>
  <c r="G1329" i="11"/>
  <c r="G1330" i="11"/>
  <c r="G1295" i="11"/>
  <c r="G1286" i="11"/>
  <c r="G1287" i="11" s="1"/>
  <c r="G1271" i="11"/>
  <c r="G1276" i="11"/>
  <c r="G1260" i="11"/>
  <c r="G3830" i="4"/>
  <c r="G1258" i="11"/>
  <c r="J1258" i="11"/>
  <c r="G1252" i="11"/>
  <c r="G1253" i="11" s="1"/>
  <c r="G1251" i="11"/>
  <c r="G1350" i="11"/>
  <c r="G1351" i="11" s="1"/>
  <c r="G1349" i="11"/>
  <c r="G1243" i="11"/>
  <c r="G1244" i="11" s="1"/>
  <c r="G1245" i="11" s="1"/>
  <c r="G1248" i="11"/>
  <c r="G1240" i="11"/>
  <c r="G1241" i="11" s="1"/>
  <c r="G1261" i="11" l="1"/>
  <c r="G1254" i="11"/>
  <c r="G1255" i="11" s="1"/>
  <c r="G1352" i="11"/>
  <c r="G1353" i="11" s="1"/>
  <c r="G1242" i="11"/>
  <c r="G1246" i="11"/>
  <c r="G154" i="7"/>
  <c r="G2410" i="11"/>
  <c r="G1235" i="11"/>
  <c r="G1232" i="11"/>
  <c r="G1229" i="11"/>
  <c r="G1224" i="11"/>
  <c r="G1225" i="11"/>
  <c r="G1226" i="11" s="1"/>
  <c r="G1221" i="11"/>
  <c r="G1218" i="11"/>
  <c r="G1215" i="11"/>
  <c r="G1212" i="11"/>
  <c r="G1209" i="11"/>
  <c r="G1206" i="11"/>
  <c r="G1203" i="11"/>
  <c r="G1200" i="11"/>
  <c r="G1196" i="11"/>
  <c r="G1197" i="11" s="1"/>
  <c r="G1185" i="11" l="1"/>
  <c r="G1190" i="11"/>
  <c r="G1186" i="11"/>
  <c r="G1187" i="11" s="1"/>
  <c r="G1182" i="11"/>
  <c r="G1184" i="11" s="1"/>
  <c r="G1179" i="11"/>
  <c r="G1175" i="11"/>
  <c r="G1177" i="11"/>
  <c r="G1173" i="11"/>
  <c r="G1171" i="11"/>
  <c r="G1160" i="11"/>
  <c r="G1161" i="11" s="1"/>
  <c r="G1166" i="11"/>
  <c r="G1164" i="11"/>
  <c r="G1158" i="11"/>
  <c r="G1159" i="11" s="1"/>
  <c r="G1148" i="11"/>
  <c r="G1149" i="11" s="1"/>
  <c r="G1154" i="11"/>
  <c r="G1150" i="11"/>
  <c r="G1151" i="11" s="1"/>
  <c r="G1145" i="11"/>
  <c r="G1142" i="11"/>
  <c r="G1139" i="11"/>
  <c r="G1137" i="11"/>
  <c r="G1135" i="11"/>
  <c r="G1130" i="11"/>
  <c r="G1132" i="11" s="1"/>
  <c r="G1133" i="11"/>
  <c r="G1126" i="11"/>
  <c r="G1127" i="11" s="1"/>
  <c r="G1188" i="11" l="1"/>
  <c r="G1183" i="11"/>
  <c r="G1152" i="11"/>
  <c r="G1131" i="11"/>
  <c r="G1128" i="11"/>
  <c r="G1115" i="11"/>
  <c r="G1120" i="11"/>
  <c r="G1116" i="11"/>
  <c r="G1112" i="11"/>
  <c r="G1114" i="11" s="1"/>
  <c r="G1104" i="11"/>
  <c r="G1109" i="11"/>
  <c r="G1105" i="11"/>
  <c r="G1106" i="11" s="1"/>
  <c r="G1101" i="11"/>
  <c r="G1102" i="11" s="1"/>
  <c r="G1098" i="11"/>
  <c r="G1113" i="11" l="1"/>
  <c r="G1117" i="11"/>
  <c r="G1118" i="11" s="1"/>
  <c r="G1107" i="11"/>
  <c r="G1103" i="11"/>
  <c r="G1094" i="11"/>
  <c r="G1095" i="11" s="1"/>
  <c r="G1088" i="11"/>
  <c r="G1089" i="11" s="1"/>
  <c r="G1085" i="11"/>
  <c r="G1081" i="11"/>
  <c r="G1082" i="11" s="1"/>
  <c r="G1083" i="11" s="1"/>
  <c r="G1037" i="11"/>
  <c r="G1035" i="11"/>
  <c r="G1078" i="11"/>
  <c r="G1073" i="11"/>
  <c r="G1072" i="11"/>
  <c r="G1074" i="11"/>
  <c r="G1075" i="11" s="1"/>
  <c r="G1069" i="11"/>
  <c r="G1066" i="11"/>
  <c r="G1058" i="11"/>
  <c r="G1059" i="11" s="1"/>
  <c r="G1060" i="11" s="1"/>
  <c r="G1063" i="11"/>
  <c r="G1055" i="11"/>
  <c r="G1057" i="11" s="1"/>
  <c r="G1047" i="11"/>
  <c r="G1048" i="11" s="1"/>
  <c r="G1049" i="11" s="1"/>
  <c r="G1050" i="11" s="1"/>
  <c r="G1052" i="11"/>
  <c r="G1044" i="11"/>
  <c r="G1040" i="11"/>
  <c r="G1041" i="11" s="1"/>
  <c r="G1096" i="11" l="1"/>
  <c r="G1091" i="11"/>
  <c r="G1092" i="11" s="1"/>
  <c r="G1090" i="11"/>
  <c r="G1093" i="11"/>
  <c r="G1061" i="11"/>
  <c r="G1056" i="11"/>
  <c r="G1042" i="11"/>
  <c r="F188" i="19" l="1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187" i="19"/>
  <c r="F397" i="1"/>
  <c r="F398" i="1" s="1"/>
  <c r="F399" i="1" s="1"/>
  <c r="F394" i="1"/>
  <c r="F395" i="1" s="1"/>
  <c r="F393" i="1"/>
  <c r="F392" i="1"/>
  <c r="F391" i="1"/>
  <c r="F402" i="1"/>
  <c r="F408" i="1"/>
  <c r="F405" i="1"/>
  <c r="G2955" i="16" l="1"/>
  <c r="G2953" i="16"/>
  <c r="G2951" i="16"/>
  <c r="G2949" i="16"/>
  <c r="G2945" i="16"/>
  <c r="G2944" i="16"/>
  <c r="G2946" i="16"/>
  <c r="G2947" i="16" s="1"/>
  <c r="G2939" i="16" l="1"/>
  <c r="G2936" i="16"/>
  <c r="G2933" i="16"/>
  <c r="G2927" i="16"/>
  <c r="G2931" i="16"/>
  <c r="G2928" i="16"/>
  <c r="G2929" i="16" s="1"/>
  <c r="G2925" i="16"/>
  <c r="G2926" i="16" s="1"/>
  <c r="G2827" i="16" l="1"/>
  <c r="G2824" i="16"/>
  <c r="G2821" i="16"/>
  <c r="G2818" i="16"/>
  <c r="G2815" i="16"/>
  <c r="G2812" i="16"/>
  <c r="G2809" i="16"/>
  <c r="G2810" i="16" s="1"/>
  <c r="G2806" i="16"/>
  <c r="G2804" i="16"/>
  <c r="G2801" i="16"/>
  <c r="G2802" i="16" s="1"/>
  <c r="G2798" i="16"/>
  <c r="G2794" i="16"/>
  <c r="G2795" i="16" s="1"/>
  <c r="G2796" i="16" s="1"/>
  <c r="G2791" i="16"/>
  <c r="G2788" i="16"/>
  <c r="G2789" i="16" s="1"/>
  <c r="G2783" i="16"/>
  <c r="G2782" i="16"/>
  <c r="G2784" i="16"/>
  <c r="G2785" i="16" s="1"/>
  <c r="G2779" i="16"/>
  <c r="G2773" i="16"/>
  <c r="G2776" i="16"/>
  <c r="G2774" i="16"/>
  <c r="G11089" i="4"/>
  <c r="G2769" i="16"/>
  <c r="G2768" i="16"/>
  <c r="G2770" i="16"/>
  <c r="G2764" i="16"/>
  <c r="G2760" i="16"/>
  <c r="G2761" i="16" s="1"/>
  <c r="G2746" i="16"/>
  <c r="G2747" i="16" s="1"/>
  <c r="G2748" i="16" s="1"/>
  <c r="G2757" i="16"/>
  <c r="G2758" i="16" s="1"/>
  <c r="G2754" i="16"/>
  <c r="G2751" i="16"/>
  <c r="G2752" i="16" s="1"/>
  <c r="G2742" i="16"/>
  <c r="G2738" i="16"/>
  <c r="G2739" i="16" s="1"/>
  <c r="G2740" i="16" s="1"/>
  <c r="G2735" i="16"/>
  <c r="G2737" i="16" s="1"/>
  <c r="G2745" i="16"/>
  <c r="G2732" i="16"/>
  <c r="G2729" i="16"/>
  <c r="G2725" i="16"/>
  <c r="G2726" i="16" s="1"/>
  <c r="G2721" i="16"/>
  <c r="G2722" i="16"/>
  <c r="G2723" i="16" s="1"/>
  <c r="G2718" i="16"/>
  <c r="G2715" i="16"/>
  <c r="G2716" i="16" s="1"/>
  <c r="G2702" i="16"/>
  <c r="G2704" i="16" s="1"/>
  <c r="G2705" i="16"/>
  <c r="G2706" i="16" s="1"/>
  <c r="G2708" i="16" s="1"/>
  <c r="G2712" i="16"/>
  <c r="G2699" i="16"/>
  <c r="G151" i="7"/>
  <c r="G2736" i="16" l="1"/>
  <c r="G2762" i="16"/>
  <c r="G2759" i="16"/>
  <c r="G2709" i="16"/>
  <c r="G2710" i="16" s="1"/>
  <c r="G2707" i="16"/>
  <c r="G2724" i="16"/>
  <c r="G2703" i="16"/>
  <c r="G2694" i="16" l="1"/>
  <c r="G2696" i="16"/>
  <c r="G2690" i="16" l="1"/>
  <c r="G2686" i="16"/>
  <c r="G2687" i="16" s="1"/>
  <c r="G2688" i="16" s="1"/>
  <c r="G2683" i="16"/>
  <c r="G2681" i="16"/>
  <c r="G2677" i="16"/>
  <c r="G2678" i="16" s="1"/>
  <c r="G2679" i="16" s="1"/>
  <c r="G2675" i="16"/>
  <c r="G2676" i="16" s="1"/>
  <c r="G2669" i="16"/>
  <c r="G2670" i="16" s="1"/>
  <c r="G2668" i="16"/>
  <c r="G2658" i="16"/>
  <c r="G2660" i="16" s="1"/>
  <c r="G2665" i="16"/>
  <c r="G2663" i="16"/>
  <c r="G2655" i="16"/>
  <c r="G2659" i="16"/>
  <c r="G2656" i="16"/>
  <c r="G2642" i="16"/>
  <c r="G2652" i="16"/>
  <c r="G2648" i="16"/>
  <c r="G2645" i="16"/>
  <c r="G2647" i="16" s="1"/>
  <c r="G2637" i="16"/>
  <c r="G2638" i="16" s="1"/>
  <c r="G2634" i="16"/>
  <c r="G2636" i="16" s="1"/>
  <c r="G2626" i="16"/>
  <c r="G2627" i="16" s="1"/>
  <c r="G2623" i="16"/>
  <c r="G2625" i="16" s="1"/>
  <c r="G2631" i="16"/>
  <c r="G2620" i="16"/>
  <c r="G2615" i="16"/>
  <c r="G2616" i="16" s="1"/>
  <c r="G2612" i="16"/>
  <c r="G2613" i="16" s="1"/>
  <c r="G2609" i="16"/>
  <c r="G2604" i="16"/>
  <c r="G2605" i="16" s="1"/>
  <c r="G2601" i="16"/>
  <c r="G2602" i="16" s="1"/>
  <c r="G2598" i="16"/>
  <c r="G2599" i="16" s="1"/>
  <c r="G2596" i="16"/>
  <c r="G2587" i="16"/>
  <c r="G2588" i="16" s="1"/>
  <c r="G2593" i="16"/>
  <c r="G2591" i="16"/>
  <c r="G2584" i="16"/>
  <c r="G2585" i="16" s="1"/>
  <c r="G2583" i="16"/>
  <c r="G2578" i="16"/>
  <c r="G2573" i="16"/>
  <c r="G2574" i="16" s="1"/>
  <c r="G2570" i="16"/>
  <c r="G2571" i="16" s="1"/>
  <c r="G2580" i="16"/>
  <c r="G2566" i="16"/>
  <c r="G2561" i="16"/>
  <c r="G2558" i="16"/>
  <c r="G2556" i="16" s="1"/>
  <c r="G2557" i="16" s="1"/>
  <c r="G2563" i="16"/>
  <c r="G2559" i="16"/>
  <c r="G2553" i="16"/>
  <c r="G2554" i="16" s="1"/>
  <c r="J2550" i="16"/>
  <c r="G2550" i="16"/>
  <c r="G2548" i="16"/>
  <c r="J2548" i="16"/>
  <c r="G2545" i="16"/>
  <c r="G2543" i="16"/>
  <c r="G2539" i="16"/>
  <c r="G2541" i="16" s="1"/>
  <c r="G2534" i="16"/>
  <c r="G2529" i="16"/>
  <c r="G2531" i="16" s="1"/>
  <c r="G2526" i="16"/>
  <c r="G2527" i="16" s="1"/>
  <c r="G2518" i="16"/>
  <c r="G2519" i="16" s="1"/>
  <c r="G2523" i="16"/>
  <c r="G2515" i="16"/>
  <c r="G2517" i="16" s="1"/>
  <c r="G2507" i="16"/>
  <c r="G2505" i="16" s="1"/>
  <c r="G2506" i="16" s="1"/>
  <c r="G2512" i="16"/>
  <c r="G2510" i="16"/>
  <c r="G2646" i="16" l="1"/>
  <c r="G2671" i="16"/>
  <c r="G2672" i="16" s="1"/>
  <c r="G2661" i="16"/>
  <c r="G2657" i="16"/>
  <c r="G2635" i="16"/>
  <c r="G2649" i="16"/>
  <c r="G2650" i="16" s="1"/>
  <c r="G2639" i="16"/>
  <c r="G2640" i="16" s="1"/>
  <c r="G2508" i="16"/>
  <c r="G2520" i="16"/>
  <c r="G2521" i="16" s="1"/>
  <c r="G2540" i="16"/>
  <c r="G2589" i="16"/>
  <c r="G2590" i="16" s="1"/>
  <c r="G2628" i="16"/>
  <c r="G2629" i="16" s="1"/>
  <c r="G2624" i="16"/>
  <c r="G2617" i="16"/>
  <c r="G2618" i="16" s="1"/>
  <c r="G2614" i="16"/>
  <c r="G2606" i="16"/>
  <c r="G2607" i="16" s="1"/>
  <c r="G2603" i="16"/>
  <c r="G2586" i="16"/>
  <c r="G2575" i="16"/>
  <c r="G2576" i="16" s="1"/>
  <c r="G2572" i="16"/>
  <c r="G2555" i="16"/>
  <c r="G2530" i="16"/>
  <c r="G2532" i="16" s="1"/>
  <c r="G2528" i="16"/>
  <c r="G2516" i="16"/>
  <c r="G2502" i="16"/>
  <c r="G2503" i="16" s="1"/>
  <c r="G2499" i="16"/>
  <c r="G2495" i="16"/>
  <c r="G2496" i="16" s="1"/>
  <c r="G2493" i="16"/>
  <c r="G2489" i="16"/>
  <c r="G2490" i="16" s="1"/>
  <c r="G2486" i="16"/>
  <c r="G2483" i="16"/>
  <c r="G2480" i="16"/>
  <c r="G2479" i="16" s="1"/>
  <c r="G2481" i="16" s="1"/>
  <c r="G2477" i="16"/>
  <c r="G2478" i="16" s="1"/>
  <c r="G2474" i="16"/>
  <c r="G2472" i="16"/>
  <c r="G2468" i="16"/>
  <c r="G2466" i="16"/>
  <c r="G2462" i="16"/>
  <c r="G2463" i="16" s="1"/>
  <c r="G2459" i="16"/>
  <c r="G2460" i="16" s="1"/>
  <c r="G2456" i="16"/>
  <c r="G2454" i="16"/>
  <c r="G2451" i="16"/>
  <c r="G2452" i="16" s="1"/>
  <c r="G2448" i="16"/>
  <c r="G2446" i="16"/>
  <c r="G2443" i="16"/>
  <c r="G2437" i="16"/>
  <c r="G2438" i="16" s="1"/>
  <c r="G2439" i="16"/>
  <c r="G2440" i="16" s="1"/>
  <c r="G2435" i="16"/>
  <c r="G2432" i="16"/>
  <c r="G2429" i="16"/>
  <c r="G2427" i="16"/>
  <c r="G130" i="7"/>
  <c r="G131" i="7"/>
  <c r="G2418" i="16"/>
  <c r="G2417" i="16" s="1"/>
  <c r="G2419" i="16" s="1"/>
  <c r="G2424" i="16"/>
  <c r="G2414" i="16"/>
  <c r="G2416" i="16" s="1"/>
  <c r="G2464" i="16" l="1"/>
  <c r="G2497" i="16"/>
  <c r="G2504" i="16"/>
  <c r="G2491" i="16"/>
  <c r="G2441" i="16"/>
  <c r="G2442" i="16"/>
  <c r="G2444" i="16" s="1"/>
  <c r="G2415" i="16"/>
  <c r="G2420" i="16"/>
  <c r="G2421" i="16" s="1"/>
  <c r="G2422" i="16" s="1"/>
  <c r="G2971" i="16" l="1"/>
  <c r="G2968" i="16"/>
  <c r="G2961" i="16"/>
  <c r="G2962" i="16" s="1"/>
  <c r="G2965" i="16"/>
  <c r="G2966" i="16" s="1"/>
  <c r="G2964" i="16"/>
  <c r="G2405" i="16" l="1"/>
  <c r="G2407" i="16"/>
  <c r="G2402" i="16"/>
  <c r="G2401" i="16" s="1"/>
  <c r="G2403" i="16" s="1"/>
  <c r="G2400" i="16"/>
  <c r="G2392" i="16"/>
  <c r="G2394" i="16"/>
  <c r="G2389" i="16"/>
  <c r="G2388" i="16" s="1"/>
  <c r="G2387" i="16"/>
  <c r="G2381" i="16"/>
  <c r="G2379" i="16"/>
  <c r="G2380" i="16"/>
  <c r="G2382" i="16" s="1"/>
  <c r="G2376" i="16"/>
  <c r="G2375" i="16" s="1"/>
  <c r="G2377" i="16" s="1"/>
  <c r="G2374" i="16"/>
  <c r="G2368" i="16"/>
  <c r="G2365" i="16"/>
  <c r="G2362" i="16"/>
  <c r="G2406" i="16" l="1"/>
  <c r="G2408" i="16" s="1"/>
  <c r="G2393" i="16"/>
  <c r="G2395" i="16" s="1"/>
  <c r="G2390" i="16"/>
  <c r="G2359" i="16"/>
  <c r="G2356" i="16"/>
  <c r="G2353" i="16"/>
  <c r="G2350" i="16"/>
  <c r="G2347" i="16"/>
  <c r="G2348" i="16" s="1"/>
  <c r="G1014" i="11" l="1"/>
  <c r="G1012" i="11"/>
  <c r="G6562" i="4"/>
  <c r="G1007" i="11"/>
  <c r="G1001" i="11"/>
  <c r="G998" i="11"/>
  <c r="G1004" i="11"/>
  <c r="G995" i="11"/>
  <c r="G992" i="11"/>
  <c r="G989" i="11"/>
  <c r="G986" i="11"/>
  <c r="G985" i="11"/>
  <c r="G982" i="11"/>
  <c r="G987" i="11" l="1"/>
  <c r="G975" i="11"/>
  <c r="G972" i="11"/>
  <c r="G969" i="11"/>
  <c r="G966" i="11"/>
  <c r="G964" i="11"/>
  <c r="G956" i="11"/>
  <c r="G953" i="11"/>
  <c r="G950" i="11"/>
  <c r="G947" i="11"/>
  <c r="G945" i="11"/>
  <c r="G942" i="11"/>
  <c r="G940" i="11"/>
  <c r="G938" i="11"/>
  <c r="G932" i="11"/>
  <c r="G929" i="11"/>
  <c r="G926" i="11"/>
  <c r="G923" i="11"/>
  <c r="G920" i="11"/>
  <c r="G917" i="11"/>
  <c r="G914" i="11"/>
  <c r="G911" i="11"/>
  <c r="G908" i="11" l="1"/>
  <c r="G905" i="11"/>
  <c r="G902" i="11"/>
  <c r="G11085" i="4"/>
  <c r="G11080" i="4"/>
  <c r="G11082" i="4" s="1"/>
  <c r="G11081" i="4"/>
  <c r="G11079" i="4"/>
  <c r="H147" i="7" l="1"/>
  <c r="H146" i="7"/>
  <c r="G133" i="7" l="1"/>
  <c r="G135" i="7"/>
  <c r="G127" i="7"/>
  <c r="G128" i="7" s="1"/>
  <c r="G124" i="7"/>
  <c r="G121" i="7"/>
  <c r="G122" i="7" s="1"/>
  <c r="G118" i="7"/>
  <c r="G119" i="7" s="1"/>
  <c r="G129" i="7" l="1"/>
  <c r="G120" i="7"/>
  <c r="G115" i="7"/>
  <c r="G109" i="7"/>
  <c r="G112" i="7"/>
  <c r="G110" i="7"/>
  <c r="G113" i="7"/>
  <c r="G111" i="7"/>
  <c r="G98" i="7"/>
  <c r="G99" i="7" s="1"/>
  <c r="G101" i="7"/>
  <c r="G95" i="7"/>
  <c r="G97" i="7" s="1"/>
  <c r="G89" i="7"/>
  <c r="G90" i="7" s="1"/>
  <c r="G86" i="7"/>
  <c r="G87" i="7" s="1"/>
  <c r="G92" i="7"/>
  <c r="G80" i="7"/>
  <c r="G81" i="7" s="1"/>
  <c r="G83" i="7"/>
  <c r="G77" i="7"/>
  <c r="G79" i="7" s="1"/>
  <c r="J51" i="20"/>
  <c r="J50" i="20"/>
  <c r="J47" i="20"/>
  <c r="J48" i="20"/>
  <c r="J49" i="20"/>
  <c r="J52" i="20"/>
  <c r="J53" i="20"/>
  <c r="J54" i="20"/>
  <c r="J55" i="20"/>
  <c r="J56" i="20"/>
  <c r="J57" i="20"/>
  <c r="G96" i="7" l="1"/>
  <c r="G88" i="7"/>
  <c r="G78" i="7"/>
  <c r="G23" i="21"/>
  <c r="I23" i="21"/>
  <c r="N2258" i="16"/>
  <c r="N2259" i="16" s="1"/>
  <c r="N2260" i="16" s="1"/>
  <c r="G2209" i="16"/>
  <c r="G2208" i="16" s="1"/>
  <c r="G2210" i="16" s="1"/>
  <c r="G2207" i="16"/>
  <c r="H20" i="20"/>
  <c r="J20" i="20" s="1"/>
  <c r="H21" i="20"/>
  <c r="J21" i="20" s="1"/>
  <c r="H19" i="20"/>
  <c r="J19" i="20" s="1"/>
  <c r="J12" i="20"/>
  <c r="J11" i="20"/>
  <c r="J14" i="20"/>
  <c r="J6" i="20"/>
  <c r="J8" i="20" l="1"/>
  <c r="J4" i="20"/>
  <c r="J7" i="20"/>
  <c r="J5" i="20"/>
  <c r="G11075" i="4"/>
  <c r="G11071" i="4"/>
  <c r="G11072" i="4"/>
  <c r="G2341" i="16" l="1"/>
  <c r="G2339" i="16"/>
  <c r="G2334" i="16"/>
  <c r="G2331" i="16"/>
  <c r="G2328" i="16"/>
  <c r="G2325" i="16"/>
  <c r="G2309" i="16"/>
  <c r="G2315" i="16"/>
  <c r="G2318" i="16"/>
  <c r="G2312" i="16"/>
  <c r="G2338" i="16" l="1"/>
  <c r="H2009" i="14"/>
  <c r="H2576" i="14"/>
  <c r="H2577" i="14"/>
  <c r="J2008" i="14"/>
  <c r="H2010" i="14" l="1"/>
  <c r="H2008" i="14"/>
  <c r="H2006" i="14"/>
  <c r="G2586" i="14"/>
  <c r="G2306" i="16"/>
  <c r="G2300" i="16"/>
  <c r="G2297" i="16"/>
  <c r="G2303" i="16"/>
  <c r="G2294" i="16"/>
  <c r="G2280" i="16"/>
  <c r="G2279" i="16" s="1"/>
  <c r="G2267" i="16"/>
  <c r="G2268" i="16" s="1"/>
  <c r="G2245" i="16"/>
  <c r="G2261" i="16"/>
  <c r="G2260" i="16" s="1"/>
  <c r="G2243" i="16"/>
  <c r="G2244" i="16" s="1"/>
  <c r="G2254" i="16"/>
  <c r="G2252" i="16"/>
  <c r="G2250" i="16"/>
  <c r="G2248" i="16"/>
  <c r="G2240" i="16"/>
  <c r="G2242" i="16" s="1"/>
  <c r="G2217" i="16"/>
  <c r="G2227" i="16"/>
  <c r="G2230" i="16"/>
  <c r="G2223" i="16"/>
  <c r="G2224" i="16" s="1"/>
  <c r="G2213" i="16"/>
  <c r="G2215" i="16" s="1"/>
  <c r="G2220" i="16"/>
  <c r="G2032" i="16"/>
  <c r="G2033" i="16" s="1"/>
  <c r="G2031" i="16"/>
  <c r="G2281" i="16" l="1"/>
  <c r="G2246" i="16"/>
  <c r="G2262" i="16"/>
  <c r="G2241" i="16"/>
  <c r="G2226" i="16"/>
  <c r="G2228" i="16" s="1"/>
  <c r="G2216" i="16"/>
  <c r="G2218" i="16" s="1"/>
  <c r="G2225" i="16"/>
  <c r="G2214" i="16"/>
  <c r="G2012" i="16"/>
  <c r="G2013" i="16" s="1"/>
  <c r="G2014" i="16"/>
  <c r="G2015" i="16" s="1"/>
  <c r="G2236" i="16"/>
  <c r="G2028" i="16"/>
  <c r="G2029" i="16" s="1"/>
  <c r="G2233" i="16"/>
  <c r="G2198" i="16"/>
  <c r="G2132" i="16"/>
  <c r="G2130" i="16"/>
  <c r="G2128" i="16"/>
  <c r="G2126" i="16"/>
  <c r="G2124" i="16"/>
  <c r="G2121" i="16"/>
  <c r="G2122" i="16" s="1"/>
  <c r="G2093" i="16"/>
  <c r="G2090" i="16"/>
  <c r="G2080" i="16"/>
  <c r="G2082" i="16" s="1"/>
  <c r="G2073" i="16"/>
  <c r="G2074" i="16" s="1"/>
  <c r="G2066" i="16"/>
  <c r="G2068" i="16" s="1"/>
  <c r="G2061" i="16"/>
  <c r="G2062" i="16" s="1"/>
  <c r="G2059" i="16"/>
  <c r="G2057" i="16"/>
  <c r="G2101" i="16"/>
  <c r="G2107" i="16"/>
  <c r="G2103" i="16"/>
  <c r="G2105" i="16" s="1"/>
  <c r="G2099" i="16"/>
  <c r="G2100" i="16" s="1"/>
  <c r="G2112" i="16"/>
  <c r="G2118" i="16"/>
  <c r="G2114" i="16"/>
  <c r="G2116" i="16" s="1"/>
  <c r="G2110" i="16"/>
  <c r="G2111" i="16" s="1"/>
  <c r="G2035" i="16"/>
  <c r="G2021" i="16"/>
  <c r="G2017" i="16"/>
  <c r="G2019" i="16" s="1"/>
  <c r="G2582" i="14"/>
  <c r="H2582" i="14" s="1"/>
  <c r="G2578" i="14"/>
  <c r="H2578" i="14" s="1"/>
  <c r="G2195" i="16"/>
  <c r="G2192" i="16"/>
  <c r="G2189" i="16"/>
  <c r="G2027" i="16"/>
  <c r="G2025" i="16"/>
  <c r="G2023" i="16"/>
  <c r="G2283" i="16"/>
  <c r="G2276" i="16"/>
  <c r="G2277" i="16" s="1"/>
  <c r="G2273" i="16"/>
  <c r="G1788" i="16"/>
  <c r="G2257" i="16"/>
  <c r="G2259" i="16" s="1"/>
  <c r="G2264" i="16"/>
  <c r="G2270" i="16"/>
  <c r="G2271" i="16" s="1"/>
  <c r="G2204" i="16"/>
  <c r="G2201" i="16"/>
  <c r="G2186" i="16"/>
  <c r="G2182" i="16"/>
  <c r="G2179" i="16"/>
  <c r="G2175" i="16"/>
  <c r="G2172" i="16"/>
  <c r="G2165" i="16"/>
  <c r="G2168" i="16"/>
  <c r="G2161" i="16"/>
  <c r="G2158" i="16"/>
  <c r="G2151" i="16"/>
  <c r="G2154" i="16"/>
  <c r="G2147" i="16"/>
  <c r="G2144" i="16"/>
  <c r="G2141" i="16"/>
  <c r="G2138" i="16"/>
  <c r="G2139" i="16" s="1"/>
  <c r="G2135" i="16"/>
  <c r="G2137" i="16" s="1"/>
  <c r="G2052" i="16"/>
  <c r="G2049" i="16"/>
  <c r="G2047" i="16"/>
  <c r="G2045" i="16"/>
  <c r="G2040" i="16"/>
  <c r="G2037" i="16"/>
  <c r="G2008" i="16"/>
  <c r="G2005" i="16"/>
  <c r="G2004" i="16" s="1"/>
  <c r="G2003" i="16" s="1"/>
  <c r="G2000" i="16"/>
  <c r="G2001" i="16" s="1"/>
  <c r="G1878" i="16"/>
  <c r="G1877" i="16" s="1"/>
  <c r="G1876" i="16"/>
  <c r="G1873" i="16"/>
  <c r="G1870" i="16"/>
  <c r="G1688" i="16"/>
  <c r="G1994" i="14"/>
  <c r="G1991" i="14"/>
  <c r="G2081" i="16" l="1"/>
  <c r="G2113" i="16"/>
  <c r="G2060" i="16"/>
  <c r="G2067" i="16"/>
  <c r="G2063" i="16"/>
  <c r="G2075" i="16"/>
  <c r="G2102" i="16"/>
  <c r="G2018" i="16"/>
  <c r="G2115" i="16"/>
  <c r="G2104" i="16"/>
  <c r="G2278" i="16"/>
  <c r="G2181" i="16"/>
  <c r="G2180" i="16" s="1"/>
  <c r="G2174" i="16"/>
  <c r="G2173" i="16" s="1"/>
  <c r="G2167" i="16"/>
  <c r="G2166" i="16" s="1"/>
  <c r="G2160" i="16"/>
  <c r="G2159" i="16" s="1"/>
  <c r="G2153" i="16"/>
  <c r="G2152" i="16" s="1"/>
  <c r="G2136" i="16"/>
  <c r="G2146" i="16"/>
  <c r="G2145" i="16" s="1"/>
  <c r="G2006" i="16"/>
  <c r="G2258" i="16"/>
  <c r="G2002" i="16"/>
  <c r="G1879" i="16"/>
  <c r="G1984" i="14"/>
  <c r="G1982" i="14"/>
  <c r="G1979" i="14"/>
  <c r="G1980" i="14" s="1"/>
  <c r="G1977" i="14"/>
  <c r="G1978" i="14" s="1"/>
  <c r="G1988" i="14"/>
  <c r="G1972" i="14"/>
  <c r="G1973" i="14" s="1"/>
  <c r="G1974" i="14" s="1"/>
  <c r="G2183" i="16" l="1"/>
  <c r="G2176" i="16"/>
  <c r="G2169" i="16"/>
  <c r="G2162" i="16"/>
  <c r="G2155" i="16"/>
  <c r="G2148" i="16"/>
  <c r="G1715" i="16"/>
  <c r="G1710" i="16"/>
  <c r="G1712" i="16" s="1"/>
  <c r="G1713" i="16" s="1"/>
  <c r="G1708" i="16"/>
  <c r="G1709" i="16" s="1"/>
  <c r="G1701" i="16"/>
  <c r="G1699" i="16" s="1"/>
  <c r="G1700" i="16" s="1"/>
  <c r="G1697" i="16"/>
  <c r="G1698" i="16" s="1"/>
  <c r="G1867" i="16"/>
  <c r="G1860" i="16"/>
  <c r="G1865" i="16"/>
  <c r="G1861" i="16"/>
  <c r="G1857" i="16"/>
  <c r="G1858" i="16" s="1"/>
  <c r="G1847" i="16"/>
  <c r="G1848" i="16" s="1"/>
  <c r="G1859" i="16"/>
  <c r="G1845" i="16"/>
  <c r="G1843" i="16"/>
  <c r="G1841" i="16"/>
  <c r="G1855" i="16"/>
  <c r="G1850" i="16"/>
  <c r="G1851" i="16" s="1"/>
  <c r="G1852" i="16" s="1"/>
  <c r="G1853" i="16" s="1"/>
  <c r="G1835" i="16"/>
  <c r="G1836" i="16" s="1"/>
  <c r="G1838" i="16"/>
  <c r="G1837" i="16" s="1"/>
  <c r="G1839" i="16" s="1"/>
  <c r="G1887" i="16"/>
  <c r="G1778" i="16"/>
  <c r="G1779" i="16" s="1"/>
  <c r="G1784" i="16"/>
  <c r="G1785" i="16" s="1"/>
  <c r="G1783" i="16" s="1"/>
  <c r="G1711" i="16" l="1"/>
  <c r="G1702" i="16"/>
  <c r="G1862" i="16"/>
  <c r="G1863" i="16" s="1"/>
  <c r="G1849" i="16"/>
  <c r="G1777" i="16"/>
  <c r="G1780" i="16" s="1"/>
  <c r="G1786" i="16"/>
  <c r="J1833" i="16"/>
  <c r="G1828" i="16"/>
  <c r="G1827" i="16" s="1"/>
  <c r="G1829" i="16" s="1"/>
  <c r="G1830" i="16" s="1"/>
  <c r="G1826" i="16"/>
  <c r="G1823" i="16"/>
  <c r="G1821" i="16"/>
  <c r="G1818" i="16"/>
  <c r="G1819" i="16" s="1"/>
  <c r="G1816" i="16"/>
  <c r="G1817" i="16" s="1"/>
  <c r="G1813" i="16"/>
  <c r="G1810" i="16"/>
  <c r="G1807" i="16"/>
  <c r="G1805" i="16"/>
  <c r="G1803" i="16"/>
  <c r="G1801" i="16"/>
  <c r="G1798" i="16"/>
  <c r="G1799" i="16" s="1"/>
  <c r="G1795" i="16"/>
  <c r="G1796" i="16" s="1"/>
  <c r="J1792" i="16"/>
  <c r="G1792" i="16"/>
  <c r="G1682" i="16"/>
  <c r="G1680" i="16"/>
  <c r="G1782" i="16"/>
  <c r="G1776" i="16"/>
  <c r="G1773" i="16"/>
  <c r="G1761" i="16"/>
  <c r="G1752" i="16"/>
  <c r="G1758" i="16"/>
  <c r="G1770" i="16"/>
  <c r="G1767" i="16"/>
  <c r="G1764" i="16"/>
  <c r="G11064" i="4"/>
  <c r="G11062" i="4"/>
  <c r="G1797" i="16" l="1"/>
  <c r="G1755" i="16" l="1"/>
  <c r="G1749" i="16"/>
  <c r="G1746" i="16"/>
  <c r="G1744" i="16"/>
  <c r="G1742" i="16"/>
  <c r="G1740" i="16"/>
  <c r="G1736" i="16"/>
  <c r="G1737" i="16"/>
  <c r="G1738" i="16" s="1"/>
  <c r="G1733" i="16"/>
  <c r="G1734" i="16" s="1"/>
  <c r="G1732" i="16"/>
  <c r="G1676" i="16"/>
  <c r="G1673" i="16"/>
  <c r="G1670" i="16"/>
  <c r="G1668" i="16"/>
  <c r="G1665" i="16"/>
  <c r="G1662" i="16"/>
  <c r="G1729" i="16"/>
  <c r="G1730" i="16" s="1"/>
  <c r="G1728" i="16"/>
  <c r="G1723" i="16" l="1"/>
  <c r="G1724" i="16" s="1"/>
  <c r="G1721" i="16"/>
  <c r="G1722" i="16" s="1"/>
  <c r="G1718" i="16"/>
  <c r="G1704" i="16"/>
  <c r="G1694" i="16"/>
  <c r="G1960" i="14"/>
  <c r="G1959" i="14" s="1"/>
  <c r="G1965" i="14"/>
  <c r="G1963" i="14"/>
  <c r="G1909" i="14"/>
  <c r="G1908" i="14" s="1"/>
  <c r="G1725" i="16" l="1"/>
  <c r="G1910" i="14"/>
  <c r="G1833" i="16"/>
  <c r="G1997" i="16"/>
  <c r="G1995" i="16"/>
  <c r="G1993" i="16"/>
  <c r="G1991" i="16"/>
  <c r="G1985" i="16"/>
  <c r="G1986" i="16" s="1"/>
  <c r="G1983" i="16"/>
  <c r="G1984" i="16" s="1"/>
  <c r="G1972" i="16"/>
  <c r="G1973" i="16" s="1"/>
  <c r="G1980" i="16"/>
  <c r="G1977" i="16"/>
  <c r="G1964" i="16"/>
  <c r="G1967" i="16"/>
  <c r="G1959" i="16"/>
  <c r="G1961" i="16" s="1"/>
  <c r="G1969" i="16"/>
  <c r="G1960" i="16"/>
  <c r="G1948" i="16"/>
  <c r="G1949" i="16" s="1"/>
  <c r="G1956" i="16"/>
  <c r="G1953" i="16"/>
  <c r="G1945" i="16"/>
  <c r="G1942" i="16"/>
  <c r="G1941" i="16" s="1"/>
  <c r="G1940" i="16" s="1"/>
  <c r="G1937" i="16"/>
  <c r="G1938" i="16" s="1"/>
  <c r="G1926" i="16"/>
  <c r="G1928" i="16" s="1"/>
  <c r="G1934" i="16"/>
  <c r="G1931" i="16"/>
  <c r="G1930" i="16" s="1"/>
  <c r="G1929" i="16" s="1"/>
  <c r="G1915" i="16"/>
  <c r="G1920" i="16"/>
  <c r="G1923" i="16"/>
  <c r="G1919" i="16"/>
  <c r="G1918" i="16" s="1"/>
  <c r="G1916" i="16"/>
  <c r="G1912" i="16"/>
  <c r="G1909" i="16"/>
  <c r="G1904" i="16"/>
  <c r="G1906" i="16" s="1"/>
  <c r="G1893" i="16"/>
  <c r="G1894" i="16" s="1"/>
  <c r="G1898" i="16"/>
  <c r="G1901" i="16"/>
  <c r="G1890" i="16"/>
  <c r="G1886" i="16"/>
  <c r="G1882" i="16"/>
  <c r="G1883" i="16" s="1"/>
  <c r="G1503" i="16"/>
  <c r="G1506" i="16"/>
  <c r="J1605" i="16"/>
  <c r="G1348" i="16"/>
  <c r="G1256" i="16"/>
  <c r="L1266" i="16"/>
  <c r="G1266" i="16" s="1"/>
  <c r="J1266" i="16"/>
  <c r="J1256" i="16"/>
  <c r="G1645" i="16"/>
  <c r="G1646" i="16" s="1"/>
  <c r="G1641" i="16"/>
  <c r="G1642" i="16" s="1"/>
  <c r="G1640" i="16"/>
  <c r="G1635" i="16"/>
  <c r="G1633" i="16" s="1"/>
  <c r="G1634" i="16" s="1"/>
  <c r="G1630" i="16"/>
  <c r="G1636" i="16"/>
  <c r="G1631" i="16"/>
  <c r="G1632" i="16" s="1"/>
  <c r="G1625" i="16"/>
  <c r="G1626" i="16" s="1"/>
  <c r="G1621" i="16"/>
  <c r="G1622" i="16" s="1"/>
  <c r="G1620" i="16"/>
  <c r="G1524" i="16"/>
  <c r="G1885" i="16" l="1"/>
  <c r="G1888" i="16" s="1"/>
  <c r="G1927" i="16"/>
  <c r="G1950" i="16"/>
  <c r="G1974" i="16"/>
  <c r="G1895" i="16"/>
  <c r="G1987" i="16"/>
  <c r="G1988" i="16" s="1"/>
  <c r="G1976" i="16"/>
  <c r="G1975" i="16" s="1"/>
  <c r="G1963" i="16"/>
  <c r="G1962" i="16" s="1"/>
  <c r="G1952" i="16"/>
  <c r="G1951" i="16" s="1"/>
  <c r="G1939" i="16"/>
  <c r="G1943" i="16"/>
  <c r="G1932" i="16"/>
  <c r="G1917" i="16"/>
  <c r="G1921" i="16"/>
  <c r="G1905" i="16"/>
  <c r="G1908" i="16"/>
  <c r="G1907" i="16" s="1"/>
  <c r="G1897" i="16"/>
  <c r="G1896" i="16" s="1"/>
  <c r="G1884" i="16"/>
  <c r="G1643" i="16"/>
  <c r="G1644" i="16" s="1"/>
  <c r="G1623" i="16"/>
  <c r="G1624" i="16" s="1"/>
  <c r="G1273" i="16"/>
  <c r="G1274" i="16" s="1"/>
  <c r="J1364" i="16"/>
  <c r="J1372" i="16"/>
  <c r="J1480" i="16"/>
  <c r="J1568" i="16"/>
  <c r="G1615" i="16"/>
  <c r="G1617" i="16"/>
  <c r="G1216" i="16"/>
  <c r="G1213" i="16"/>
  <c r="G1210" i="16"/>
  <c r="G1184" i="16"/>
  <c r="G1188" i="16"/>
  <c r="G1185" i="16"/>
  <c r="G1186" i="16" s="1"/>
  <c r="G1206" i="16"/>
  <c r="G1204" i="16" s="1"/>
  <c r="G1205" i="16" s="1"/>
  <c r="G1203" i="16"/>
  <c r="G1207" i="16"/>
  <c r="G1200" i="16"/>
  <c r="G1198" i="16" s="1"/>
  <c r="G1199" i="16" s="1"/>
  <c r="G1197" i="16"/>
  <c r="G1194" i="16"/>
  <c r="G1195" i="16" s="1"/>
  <c r="G1191" i="16"/>
  <c r="G1910" i="16" l="1"/>
  <c r="G1978" i="16"/>
  <c r="G1965" i="16"/>
  <c r="G1954" i="16"/>
  <c r="G1899" i="16"/>
  <c r="G1201" i="16"/>
  <c r="G1192" i="16"/>
  <c r="G1193" i="16" s="1"/>
  <c r="P619" i="11"/>
  <c r="O615" i="11"/>
  <c r="P615" i="11" s="1"/>
  <c r="Q615" i="11" s="1"/>
  <c r="O613" i="11"/>
  <c r="P613" i="11" s="1"/>
  <c r="G830" i="11"/>
  <c r="G850" i="11"/>
  <c r="G851" i="11" s="1"/>
  <c r="G834" i="11"/>
  <c r="G835" i="11" s="1"/>
  <c r="G869" i="11"/>
  <c r="G894" i="11"/>
  <c r="G892" i="11"/>
  <c r="G890" i="11"/>
  <c r="G888" i="11"/>
  <c r="G886" i="11"/>
  <c r="G884" i="11"/>
  <c r="G896" i="11"/>
  <c r="G880" i="11"/>
  <c r="G878" i="11"/>
  <c r="G882" i="11"/>
  <c r="G876" i="11"/>
  <c r="G872" i="11"/>
  <c r="G874" i="11"/>
  <c r="G873" i="11"/>
  <c r="G832" i="11" l="1"/>
  <c r="G848" i="11"/>
  <c r="G849" i="11" s="1"/>
  <c r="G833" i="11"/>
  <c r="G870" i="11"/>
  <c r="G868" i="11"/>
  <c r="G866" i="11"/>
  <c r="G864" i="11" s="1"/>
  <c r="G865" i="11" s="1"/>
  <c r="G861" i="11"/>
  <c r="G859" i="11"/>
  <c r="G856" i="11"/>
  <c r="G857" i="11" s="1"/>
  <c r="G855" i="11"/>
  <c r="G846" i="11"/>
  <c r="G847" i="11" s="1"/>
  <c r="G844" i="11"/>
  <c r="G842" i="11"/>
  <c r="G840" i="11"/>
  <c r="G831" i="11"/>
  <c r="G829" i="11"/>
  <c r="G647" i="11"/>
  <c r="G643" i="11"/>
  <c r="G645" i="11"/>
  <c r="G641" i="11"/>
  <c r="G639" i="11"/>
  <c r="G637" i="11"/>
  <c r="G635" i="11"/>
  <c r="G867" i="11" l="1"/>
  <c r="G745" i="11"/>
  <c r="G743" i="11"/>
  <c r="G741" i="11"/>
  <c r="G739" i="11"/>
  <c r="G737" i="11"/>
  <c r="G735" i="11"/>
  <c r="G732" i="11"/>
  <c r="G733" i="11" s="1"/>
  <c r="G729" i="11"/>
  <c r="G728" i="11" s="1"/>
  <c r="G769" i="11"/>
  <c r="G763" i="11"/>
  <c r="G760" i="11"/>
  <c r="G757" i="11"/>
  <c r="G758" i="11" s="1"/>
  <c r="G798" i="11"/>
  <c r="G799" i="11" s="1"/>
  <c r="G800" i="11"/>
  <c r="G778" i="11"/>
  <c r="G779" i="11" s="1"/>
  <c r="G678" i="11"/>
  <c r="G679" i="11" s="1"/>
  <c r="G681" i="11"/>
  <c r="G772" i="11"/>
  <c r="G818" i="11"/>
  <c r="G815" i="11"/>
  <c r="G812" i="11"/>
  <c r="G810" i="11"/>
  <c r="G808" i="11"/>
  <c r="G806" i="11"/>
  <c r="G804" i="11"/>
  <c r="G801" i="11"/>
  <c r="G795" i="11"/>
  <c r="G786" i="11"/>
  <c r="G792" i="11"/>
  <c r="G790" i="11"/>
  <c r="G788" i="11"/>
  <c r="G784" i="11"/>
  <c r="G785" i="11" s="1"/>
  <c r="G781" i="11"/>
  <c r="G599" i="11"/>
  <c r="G600" i="11" s="1"/>
  <c r="G604" i="11"/>
  <c r="G602" i="11"/>
  <c r="G730" i="11" l="1"/>
  <c r="G596" i="11"/>
  <c r="G591" i="11"/>
  <c r="G592" i="11" s="1"/>
  <c r="G587" i="11"/>
  <c r="G588" i="11" s="1"/>
  <c r="G590" i="11"/>
  <c r="G582" i="11"/>
  <c r="G710" i="11"/>
  <c r="G775" i="11"/>
  <c r="G754" i="11"/>
  <c r="G751" i="11"/>
  <c r="G748" i="11"/>
  <c r="G725" i="11"/>
  <c r="G717" i="11"/>
  <c r="G715" i="11" s="1"/>
  <c r="G716" i="11" s="1"/>
  <c r="G713" i="11"/>
  <c r="G714" i="11" s="1"/>
  <c r="G722" i="11"/>
  <c r="G720" i="11"/>
  <c r="G708" i="11"/>
  <c r="G705" i="11"/>
  <c r="G706" i="11" s="1"/>
  <c r="G702" i="11"/>
  <c r="G703" i="11" s="1"/>
  <c r="G704" i="11" s="1"/>
  <c r="G699" i="11"/>
  <c r="G697" i="11"/>
  <c r="G695" i="11"/>
  <c r="G692" i="11"/>
  <c r="G693" i="11" s="1"/>
  <c r="G691" i="11"/>
  <c r="G688" i="11"/>
  <c r="G685" i="11"/>
  <c r="G683" i="11"/>
  <c r="G676" i="11"/>
  <c r="G677" i="11" s="1"/>
  <c r="G673" i="11"/>
  <c r="G670" i="11"/>
  <c r="G664" i="11"/>
  <c r="G662" i="11"/>
  <c r="G660" i="11"/>
  <c r="G658" i="11"/>
  <c r="G655" i="11"/>
  <c r="G656" i="11" s="1"/>
  <c r="G652" i="11"/>
  <c r="G653" i="11" s="1"/>
  <c r="G627" i="11"/>
  <c r="G649" i="11"/>
  <c r="G631" i="11"/>
  <c r="G632" i="11" s="1"/>
  <c r="G628" i="11"/>
  <c r="G629" i="11" s="1"/>
  <c r="G616" i="11"/>
  <c r="G613" i="11"/>
  <c r="G614" i="11" s="1"/>
  <c r="G620" i="11"/>
  <c r="G624" i="11"/>
  <c r="G622" i="11"/>
  <c r="G618" i="11"/>
  <c r="G612" i="11"/>
  <c r="B7" i="9"/>
  <c r="G718" i="11" l="1"/>
  <c r="G2411" i="16"/>
  <c r="G480" i="16" l="1"/>
  <c r="G1945" i="14" l="1"/>
  <c r="G1944" i="14" s="1"/>
  <c r="G1946" i="14" s="1"/>
  <c r="G1961" i="14"/>
  <c r="G1956" i="14"/>
  <c r="G1957" i="14" s="1"/>
  <c r="G1958" i="14" s="1"/>
  <c r="G1953" i="14"/>
  <c r="G1954" i="14" s="1"/>
  <c r="G1941" i="14"/>
  <c r="G1942" i="14" s="1"/>
  <c r="G1943" i="14" s="1"/>
  <c r="G1950" i="14"/>
  <c r="G1948" i="14"/>
  <c r="G1938" i="14"/>
  <c r="G1939" i="14" s="1"/>
  <c r="G1940" i="14" l="1"/>
  <c r="G1955" i="14"/>
  <c r="G11056" i="4"/>
  <c r="G11040" i="4"/>
  <c r="G11039" i="4" s="1"/>
  <c r="G11053" i="4"/>
  <c r="G11051" i="4"/>
  <c r="G11049" i="4"/>
  <c r="G11047" i="4"/>
  <c r="G11045" i="4"/>
  <c r="G11043" i="4"/>
  <c r="G11037" i="4"/>
  <c r="G11038" i="4" s="1"/>
  <c r="G11031" i="4"/>
  <c r="G11029" i="4"/>
  <c r="G11020" i="4"/>
  <c r="G11026" i="4"/>
  <c r="G11041" i="4" l="1"/>
  <c r="G11025" i="4"/>
  <c r="G11027" i="4" s="1"/>
  <c r="G11017" i="4"/>
  <c r="G11016" i="4" s="1"/>
  <c r="G11022" i="4"/>
  <c r="G11018" i="4" l="1"/>
  <c r="G11013" i="4"/>
  <c r="G11010" i="4"/>
  <c r="G1933" i="14" l="1"/>
  <c r="G1926" i="14"/>
  <c r="G1924" i="14"/>
  <c r="G1921" i="14"/>
  <c r="G1922" i="14" s="1"/>
  <c r="G1138" i="16"/>
  <c r="G1139" i="16" s="1"/>
  <c r="G1141" i="16"/>
  <c r="G1612" i="16" l="1"/>
  <c r="G1613" i="16" s="1"/>
  <c r="G1356" i="16"/>
  <c r="G1576" i="16"/>
  <c r="G1581" i="16"/>
  <c r="G1403" i="16" l="1"/>
  <c r="G1404" i="16" s="1"/>
  <c r="G1329" i="16"/>
  <c r="G1337" i="16"/>
  <c r="G1345" i="16"/>
  <c r="G1353" i="16"/>
  <c r="G1361" i="16"/>
  <c r="G1369" i="16"/>
  <c r="G1377" i="16"/>
  <c r="G1385" i="16"/>
  <c r="G1393" i="16"/>
  <c r="G1413" i="16"/>
  <c r="G1421" i="16"/>
  <c r="G1429" i="16"/>
  <c r="G1437" i="16"/>
  <c r="G1445" i="16"/>
  <c r="G1453" i="16"/>
  <c r="G1461" i="16"/>
  <c r="G1469" i="16"/>
  <c r="G1477" i="16"/>
  <c r="G1495" i="16"/>
  <c r="G1511" i="16"/>
  <c r="G1514" i="16"/>
  <c r="G1498" i="16"/>
  <c r="G1480" i="16"/>
  <c r="G1464" i="16"/>
  <c r="G1456" i="16"/>
  <c r="G1448" i="16"/>
  <c r="G1440" i="16"/>
  <c r="G1432" i="16"/>
  <c r="G1424" i="16"/>
  <c r="G1416" i="16"/>
  <c r="G1406" i="16"/>
  <c r="G1396" i="16"/>
  <c r="G1388" i="16"/>
  <c r="G1380" i="16"/>
  <c r="G1372" i="16"/>
  <c r="G1364" i="16"/>
  <c r="G1340" i="16"/>
  <c r="G1332" i="16"/>
  <c r="G1324" i="16"/>
  <c r="G1321" i="16"/>
  <c r="G1314" i="16"/>
  <c r="G1311" i="16"/>
  <c r="G1301" i="16"/>
  <c r="G1293" i="16"/>
  <c r="G1278" i="16"/>
  <c r="G1533" i="16"/>
  <c r="G1541" i="16"/>
  <c r="G1544" i="16"/>
  <c r="G1549" i="16"/>
  <c r="G1552" i="16"/>
  <c r="G1557" i="16"/>
  <c r="G1560" i="16"/>
  <c r="G1568" i="16"/>
  <c r="G1565" i="16"/>
  <c r="G1573" i="16"/>
  <c r="G1584" i="16"/>
  <c r="G1591" i="16"/>
  <c r="G1594" i="16"/>
  <c r="G1608" i="16"/>
  <c r="G1401" i="16" l="1"/>
  <c r="G1402" i="16" s="1"/>
  <c r="G1296" i="16"/>
  <c r="G1276" i="16"/>
  <c r="G1228" i="16"/>
  <c r="G1225" i="16"/>
  <c r="G1536" i="16"/>
  <c r="G1472" i="16"/>
  <c r="G1304" i="16"/>
  <c r="G1288" i="16"/>
  <c r="G1285" i="16"/>
  <c r="G1243" i="16"/>
  <c r="G1246" i="16"/>
  <c r="G1235" i="16"/>
  <c r="G1241" i="16" l="1"/>
  <c r="G1233" i="16"/>
  <c r="G1223" i="16"/>
  <c r="G1609" i="16"/>
  <c r="G1599" i="16"/>
  <c r="G1600" i="16" s="1"/>
  <c r="G1602" i="16"/>
  <c r="G1587" i="16"/>
  <c r="G1588" i="16" s="1"/>
  <c r="G1592" i="16"/>
  <c r="G1589" i="16"/>
  <c r="G1590" i="16" s="1"/>
  <c r="G1582" i="16"/>
  <c r="G1579" i="16"/>
  <c r="G1580" i="16" s="1"/>
  <c r="G1574" i="16"/>
  <c r="G1571" i="16"/>
  <c r="G1572" i="16" s="1"/>
  <c r="G1566" i="16"/>
  <c r="G1563" i="16"/>
  <c r="G1564" i="16" s="1"/>
  <c r="G1558" i="16"/>
  <c r="G1555" i="16"/>
  <c r="G1556" i="16" s="1"/>
  <c r="G1550" i="16"/>
  <c r="G1547" i="16"/>
  <c r="G1548" i="16" s="1"/>
  <c r="G1542" i="16"/>
  <c r="G1539" i="16"/>
  <c r="G1540" i="16" s="1"/>
  <c r="G1534" i="16"/>
  <c r="G1531" i="16"/>
  <c r="G1532" i="16" s="1"/>
  <c r="G1527" i="16"/>
  <c r="G1528" i="16" s="1"/>
  <c r="G1517" i="16"/>
  <c r="G1518" i="16" s="1"/>
  <c r="G1521" i="16"/>
  <c r="G1519" i="16" s="1"/>
  <c r="G1520" i="16" s="1"/>
  <c r="G1512" i="16"/>
  <c r="G1509" i="16"/>
  <c r="G1510" i="16" s="1"/>
  <c r="G1504" i="16"/>
  <c r="G1501" i="16"/>
  <c r="G1502" i="16" s="1"/>
  <c r="G1496" i="16"/>
  <c r="G1493" i="16"/>
  <c r="G1494" i="16" s="1"/>
  <c r="G1487" i="16"/>
  <c r="G1488" i="16" s="1"/>
  <c r="G1490" i="16"/>
  <c r="G1483" i="16"/>
  <c r="G1484" i="16" s="1"/>
  <c r="G1478" i="16"/>
  <c r="G1475" i="16"/>
  <c r="G1476" i="16" s="1"/>
  <c r="G1470" i="16"/>
  <c r="G1467" i="16"/>
  <c r="G1468" i="16" s="1"/>
  <c r="G1462" i="16"/>
  <c r="G1459" i="16"/>
  <c r="G1460" i="16" s="1"/>
  <c r="G1454" i="16"/>
  <c r="G1451" i="16"/>
  <c r="G1452" i="16" s="1"/>
  <c r="G1446" i="16"/>
  <c r="G1443" i="16"/>
  <c r="G1444" i="16" s="1"/>
  <c r="G1438" i="16"/>
  <c r="G1435" i="16"/>
  <c r="G1436" i="16" s="1"/>
  <c r="G1430" i="16"/>
  <c r="G1427" i="16"/>
  <c r="G1428" i="16" s="1"/>
  <c r="G1422" i="16"/>
  <c r="G1419" i="16"/>
  <c r="G1420" i="16" s="1"/>
  <c r="G1414" i="16"/>
  <c r="G1411" i="16"/>
  <c r="G1412" i="16" s="1"/>
  <c r="G1409" i="16"/>
  <c r="G1410" i="16" s="1"/>
  <c r="G1399" i="16"/>
  <c r="G1400" i="16" s="1"/>
  <c r="G1394" i="16"/>
  <c r="G1391" i="16"/>
  <c r="G1392" i="16" s="1"/>
  <c r="G1386" i="16"/>
  <c r="G1383" i="16"/>
  <c r="G1384" i="16" s="1"/>
  <c r="G1378" i="16"/>
  <c r="G1375" i="16"/>
  <c r="G1376" i="16" s="1"/>
  <c r="G1370" i="16"/>
  <c r="G1367" i="16"/>
  <c r="G1368" i="16" s="1"/>
  <c r="G1362" i="16"/>
  <c r="G1359" i="16"/>
  <c r="G1360" i="16" s="1"/>
  <c r="G1354" i="16"/>
  <c r="G1351" i="16"/>
  <c r="G1352" i="16" s="1"/>
  <c r="G1346" i="16"/>
  <c r="G1343" i="16"/>
  <c r="G1344" i="16" s="1"/>
  <c r="G1338" i="16"/>
  <c r="G1335" i="16"/>
  <c r="G1336" i="16" s="1"/>
  <c r="G1330" i="16"/>
  <c r="G1327" i="16"/>
  <c r="G1328" i="16" s="1"/>
  <c r="G1322" i="16"/>
  <c r="G1319" i="16"/>
  <c r="G1320" i="16" s="1"/>
  <c r="G1317" i="16"/>
  <c r="G1318" i="16" s="1"/>
  <c r="G1249" i="16"/>
  <c r="G1259" i="16"/>
  <c r="G1281" i="16"/>
  <c r="G1307" i="16"/>
  <c r="G1308" i="16" s="1"/>
  <c r="G1312" i="16"/>
  <c r="G1309" i="16"/>
  <c r="G1310" i="16" s="1"/>
  <c r="G1522" i="16" l="1"/>
  <c r="G1485" i="16"/>
  <c r="G1486" i="16" s="1"/>
  <c r="G1597" i="16"/>
  <c r="G1598" i="16" s="1"/>
  <c r="G1606" i="16"/>
  <c r="G1607" i="16" s="1"/>
  <c r="G1302" i="16"/>
  <c r="G1299" i="16"/>
  <c r="G1300" i="16" s="1"/>
  <c r="G1294" i="16"/>
  <c r="G1291" i="16"/>
  <c r="G1292" i="16" s="1"/>
  <c r="G1283" i="16"/>
  <c r="G1284" i="16" s="1"/>
  <c r="G1282" i="16"/>
  <c r="G1286" i="16"/>
  <c r="G1271" i="16"/>
  <c r="G1272" i="16" s="1"/>
  <c r="G1269" i="16"/>
  <c r="G1270" i="16" s="1"/>
  <c r="G1263" i="16"/>
  <c r="G1264" i="16" s="1"/>
  <c r="G1260" i="16"/>
  <c r="G1253" i="16"/>
  <c r="G1251" i="16" s="1"/>
  <c r="G1252" i="16" s="1"/>
  <c r="G1250" i="16"/>
  <c r="G1244" i="16"/>
  <c r="G1242" i="16"/>
  <c r="G1231" i="16"/>
  <c r="G1232" i="16" s="1"/>
  <c r="G1236" i="16"/>
  <c r="G1234" i="16"/>
  <c r="G1224" i="16"/>
  <c r="G1226" i="16"/>
  <c r="G1254" i="16" l="1"/>
  <c r="G1261" i="16"/>
  <c r="G1262" i="16" s="1"/>
  <c r="G1166" i="16"/>
  <c r="G1150" i="16"/>
  <c r="G1148" i="16"/>
  <c r="G1145" i="16"/>
  <c r="G1146" i="16" s="1"/>
  <c r="G1118" i="16"/>
  <c r="G1119" i="16" s="1"/>
  <c r="G1153" i="16"/>
  <c r="G1154" i="16" s="1"/>
  <c r="G1173" i="16"/>
  <c r="G1174" i="16" s="1"/>
  <c r="G1172" i="16"/>
  <c r="G1164" i="16"/>
  <c r="G1160" i="16"/>
  <c r="G1158" i="16"/>
  <c r="G1152" i="16"/>
  <c r="G1156" i="16"/>
  <c r="G1169" i="16"/>
  <c r="G1136" i="16" l="1"/>
  <c r="G1133" i="16"/>
  <c r="G1134" i="16" s="1"/>
  <c r="G1132" i="16"/>
  <c r="G1130" i="16"/>
  <c r="G1127" i="16"/>
  <c r="G1128" i="16" s="1"/>
  <c r="G1123" i="16"/>
  <c r="G1124" i="16" s="1"/>
  <c r="G1125" i="16" s="1"/>
  <c r="G1121" i="16"/>
  <c r="G1110" i="16"/>
  <c r="G1107" i="16"/>
  <c r="G1103" i="16"/>
  <c r="G1104" i="16" s="1"/>
  <c r="G1105" i="16" s="1"/>
  <c r="G1100" i="16"/>
  <c r="G1101" i="16" s="1"/>
  <c r="G1102" i="16" l="1"/>
  <c r="G1120" i="16"/>
  <c r="G1122" i="16" s="1"/>
  <c r="G1093" i="16" l="1"/>
  <c r="G1088" i="16" l="1"/>
  <c r="G1090" i="16" s="1"/>
  <c r="G1085" i="16"/>
  <c r="G1083" i="16"/>
  <c r="G1079" i="16"/>
  <c r="G1080" i="16" s="1"/>
  <c r="G1075" i="16"/>
  <c r="G1076" i="16" s="1"/>
  <c r="G1077" i="16" l="1"/>
  <c r="G1078" i="16" s="1"/>
  <c r="G1089" i="16"/>
  <c r="G469" i="11"/>
  <c r="G466" i="11"/>
  <c r="G464" i="11" s="1"/>
  <c r="G465" i="11" s="1"/>
  <c r="G461" i="11"/>
  <c r="G462" i="11" s="1"/>
  <c r="G467" i="11"/>
  <c r="G576" i="11"/>
  <c r="G573" i="11"/>
  <c r="G574" i="11" s="1"/>
  <c r="G571" i="11"/>
  <c r="G572" i="11" s="1"/>
  <c r="G568" i="11"/>
  <c r="G569" i="11" s="1"/>
  <c r="G565" i="11"/>
  <c r="G562" i="11"/>
  <c r="G563" i="11" s="1"/>
  <c r="G560" i="11"/>
  <c r="G561" i="11" s="1"/>
  <c r="G557" i="11"/>
  <c r="G558" i="11" s="1"/>
  <c r="G554" i="11"/>
  <c r="G552" i="11"/>
  <c r="G549" i="11"/>
  <c r="G550" i="11" s="1"/>
  <c r="G547" i="11"/>
  <c r="G548" i="11" s="1"/>
  <c r="G544" i="11"/>
  <c r="G546" i="11" s="1"/>
  <c r="G541" i="11"/>
  <c r="G538" i="11"/>
  <c r="G539" i="11" s="1"/>
  <c r="G536" i="11"/>
  <c r="G537" i="11" s="1"/>
  <c r="G533" i="11"/>
  <c r="G534" i="11" s="1"/>
  <c r="G530" i="11"/>
  <c r="G527" i="11"/>
  <c r="G528" i="11" s="1"/>
  <c r="G525" i="11"/>
  <c r="G526" i="11" s="1"/>
  <c r="G520" i="11"/>
  <c r="G517" i="11"/>
  <c r="G518" i="11" s="1"/>
  <c r="G514" i="11"/>
  <c r="G515" i="11" s="1"/>
  <c r="G512" i="11"/>
  <c r="G509" i="11"/>
  <c r="G510" i="11" s="1"/>
  <c r="G507" i="11"/>
  <c r="G508" i="11" s="1"/>
  <c r="G500" i="11"/>
  <c r="G497" i="11"/>
  <c r="G498" i="11" s="1"/>
  <c r="G495" i="11"/>
  <c r="G496" i="11" s="1"/>
  <c r="G493" i="11"/>
  <c r="G491" i="11"/>
  <c r="G488" i="11"/>
  <c r="G489" i="11" s="1"/>
  <c r="G486" i="11"/>
  <c r="G487" i="11" s="1"/>
  <c r="G481" i="11"/>
  <c r="G478" i="11"/>
  <c r="G479" i="11" s="1"/>
  <c r="G476" i="11"/>
  <c r="G477" i="11" s="1"/>
  <c r="G473" i="11"/>
  <c r="G474" i="11" s="1"/>
  <c r="G545" i="11" l="1"/>
  <c r="G463" i="11"/>
  <c r="G535" i="11"/>
  <c r="G559" i="11"/>
  <c r="G570" i="11"/>
  <c r="G516" i="11"/>
  <c r="G475" i="11"/>
  <c r="G10993" i="4"/>
  <c r="G10994" i="4" s="1"/>
  <c r="G10995" i="4" s="1"/>
  <c r="G10991" i="4"/>
  <c r="G10992" i="4" s="1"/>
  <c r="G10984" i="4"/>
  <c r="G10985" i="4" s="1"/>
  <c r="G10986" i="4" s="1"/>
  <c r="G10981" i="4"/>
  <c r="G10982" i="4" s="1"/>
  <c r="G10978" i="4"/>
  <c r="G10979" i="4" s="1"/>
  <c r="G10974" i="4"/>
  <c r="G10972" i="4"/>
  <c r="G10970" i="4"/>
  <c r="G10968" i="4"/>
  <c r="G10966" i="4"/>
  <c r="G10964" i="4"/>
  <c r="G10961" i="4"/>
  <c r="G10962" i="4" s="1"/>
  <c r="G10957" i="4"/>
  <c r="G10958" i="4" s="1"/>
  <c r="G10959" i="4" s="1"/>
  <c r="G10951" i="4"/>
  <c r="G10947" i="4"/>
  <c r="G10948" i="4" s="1"/>
  <c r="G10952" i="4"/>
  <c r="G10943" i="4"/>
  <c r="G10944" i="4" s="1"/>
  <c r="G10939" i="4"/>
  <c r="G10940" i="4" s="1"/>
  <c r="G10935" i="4"/>
  <c r="G10936" i="4" s="1"/>
  <c r="G10980" i="4" l="1"/>
  <c r="G10931" i="4"/>
  <c r="G10932" i="4" s="1"/>
  <c r="G10888" i="4"/>
  <c r="G10921" i="4"/>
  <c r="G10918" i="4"/>
  <c r="G10919" i="4" s="1"/>
  <c r="G10916" i="4"/>
  <c r="G10917" i="4" s="1"/>
  <c r="G10913" i="4"/>
  <c r="G10910" i="4"/>
  <c r="G10911" i="4" s="1"/>
  <c r="G10908" i="4"/>
  <c r="G10909" i="4" s="1"/>
  <c r="G10902" i="4"/>
  <c r="G10897" i="4"/>
  <c r="G10898" i="4" s="1"/>
  <c r="G10894" i="4"/>
  <c r="G10895" i="4" s="1"/>
  <c r="G10891" i="4"/>
  <c r="G10899" i="4" l="1"/>
  <c r="G10900" i="4" s="1"/>
  <c r="G10896" i="4"/>
  <c r="G10882" i="4"/>
  <c r="G10879" i="4"/>
  <c r="G10876" i="4"/>
  <c r="G10874" i="4" s="1"/>
  <c r="G10875" i="4" s="1"/>
  <c r="G10872" i="4"/>
  <c r="G10873" i="4" s="1"/>
  <c r="G10877" i="4" l="1"/>
  <c r="G10869" i="4"/>
  <c r="G10866" i="4"/>
  <c r="G10863" i="4" l="1"/>
  <c r="G10860" i="4" l="1"/>
  <c r="G10855" i="4"/>
  <c r="G10857" i="4" s="1"/>
  <c r="G10858" i="4" s="1"/>
  <c r="G10853" i="4"/>
  <c r="G10854" i="4" s="1"/>
  <c r="G10849" i="4"/>
  <c r="G10848" i="4" s="1"/>
  <c r="G10847" i="4"/>
  <c r="G10844" i="4"/>
  <c r="G10841" i="4"/>
  <c r="G10838" i="4"/>
  <c r="G10856" i="4" l="1"/>
  <c r="G10850" i="4"/>
  <c r="G10738" i="4"/>
  <c r="G10736" i="4"/>
  <c r="G10734" i="4"/>
  <c r="G10731" i="4"/>
  <c r="G10732" i="4" s="1"/>
  <c r="G10829" i="4" l="1"/>
  <c r="G10826" i="4"/>
  <c r="G10827" i="4" s="1"/>
  <c r="G397" i="11"/>
  <c r="G398" i="11" s="1"/>
  <c r="G377" i="11" l="1"/>
  <c r="G378" i="11" s="1"/>
  <c r="G379" i="11" s="1"/>
  <c r="G384" i="11"/>
  <c r="G385" i="11"/>
  <c r="G386" i="11" s="1"/>
  <c r="G390" i="11"/>
  <c r="G393" i="11" s="1"/>
  <c r="G394" i="11" s="1"/>
  <c r="G389" i="11"/>
  <c r="G375" i="11"/>
  <c r="G376" i="11" s="1"/>
  <c r="G419" i="11"/>
  <c r="G420" i="11" s="1"/>
  <c r="G421" i="11" s="1"/>
  <c r="G443" i="11"/>
  <c r="G444" i="11" s="1"/>
  <c r="G442" i="11"/>
  <c r="G435" i="11"/>
  <c r="G438" i="11" s="1"/>
  <c r="G439" i="11" s="1"/>
  <c r="G434" i="11"/>
  <c r="G427" i="11"/>
  <c r="G428" i="11" s="1"/>
  <c r="G429" i="11" s="1"/>
  <c r="G426" i="11"/>
  <c r="G417" i="11"/>
  <c r="G418" i="11" s="1"/>
  <c r="G10817" i="4"/>
  <c r="G10818" i="4" s="1"/>
  <c r="G10819" i="4" s="1"/>
  <c r="G10821" i="4"/>
  <c r="G10823" i="4"/>
  <c r="G380" i="11" l="1"/>
  <c r="G381" i="11" s="1"/>
  <c r="G422" i="11"/>
  <c r="G423" i="11" s="1"/>
  <c r="G391" i="11"/>
  <c r="G392" i="11" s="1"/>
  <c r="G430" i="11"/>
  <c r="G431" i="11" s="1"/>
  <c r="G436" i="11"/>
  <c r="G437" i="11" s="1"/>
  <c r="G10796" i="4"/>
  <c r="G10794" i="4"/>
  <c r="G10791" i="4"/>
  <c r="G10789" i="4" s="1"/>
  <c r="G10790" i="4" s="1"/>
  <c r="G10786" i="4"/>
  <c r="G10788" i="4" s="1"/>
  <c r="G1017" i="16"/>
  <c r="G937" i="16"/>
  <c r="G1022" i="16"/>
  <c r="G1023" i="16" s="1"/>
  <c r="G1012" i="16"/>
  <c r="G1014" i="16" s="1"/>
  <c r="G1035" i="16"/>
  <c r="G1033" i="16"/>
  <c r="G1031" i="16"/>
  <c r="G981" i="16"/>
  <c r="G1059" i="16"/>
  <c r="G1027" i="16"/>
  <c r="G1019" i="16"/>
  <c r="G1021" i="16" s="1"/>
  <c r="G1009" i="16"/>
  <c r="G1010" i="16" s="1"/>
  <c r="G1003" i="16"/>
  <c r="G999" i="16"/>
  <c r="G995" i="16"/>
  <c r="G996" i="16" s="1"/>
  <c r="G1064" i="16"/>
  <c r="G1066" i="16"/>
  <c r="G956" i="16"/>
  <c r="G957" i="16" s="1"/>
  <c r="G953" i="16"/>
  <c r="G954" i="16" s="1"/>
  <c r="G955" i="16" s="1"/>
  <c r="G951" i="16"/>
  <c r="G952" i="16" s="1"/>
  <c r="G978" i="16"/>
  <c r="G976" i="16"/>
  <c r="G974" i="16"/>
  <c r="G972" i="16"/>
  <c r="G970" i="16"/>
  <c r="G968" i="16"/>
  <c r="G966" i="16"/>
  <c r="G962" i="16"/>
  <c r="G964" i="16" s="1"/>
  <c r="G836" i="16"/>
  <c r="G837" i="16" s="1"/>
  <c r="G890" i="16"/>
  <c r="G884" i="16"/>
  <c r="G878" i="16"/>
  <c r="G879" i="16" s="1"/>
  <c r="G876" i="16"/>
  <c r="G877" i="16" s="1"/>
  <c r="G899" i="16"/>
  <c r="G900" i="16" s="1"/>
  <c r="G896" i="16"/>
  <c r="G897" i="16" s="1"/>
  <c r="G898" i="16" s="1"/>
  <c r="G894" i="16"/>
  <c r="G895" i="16" s="1"/>
  <c r="G905" i="16"/>
  <c r="G907" i="16" s="1"/>
  <c r="G909" i="16"/>
  <c r="G911" i="16"/>
  <c r="G912" i="16" s="1"/>
  <c r="G915" i="16"/>
  <c r="G929" i="16"/>
  <c r="G927" i="16"/>
  <c r="G925" i="16"/>
  <c r="G923" i="16"/>
  <c r="G921" i="16"/>
  <c r="G919" i="16"/>
  <c r="G917" i="16"/>
  <c r="G931" i="16"/>
  <c r="G933" i="16"/>
  <c r="G935" i="16"/>
  <c r="G942" i="16"/>
  <c r="G940" i="16"/>
  <c r="G946" i="16"/>
  <c r="G947" i="16" s="1"/>
  <c r="G945" i="16"/>
  <c r="G990" i="16"/>
  <c r="G1046" i="16"/>
  <c r="G1047" i="16" s="1"/>
  <c r="G1045" i="16"/>
  <c r="G1013" i="16" l="1"/>
  <c r="G1015" i="16" s="1"/>
  <c r="G997" i="16"/>
  <c r="G880" i="16"/>
  <c r="G881" i="16" s="1"/>
  <c r="G10792" i="4"/>
  <c r="G10787" i="4"/>
  <c r="G1024" i="16"/>
  <c r="G1025" i="16" s="1"/>
  <c r="G958" i="16"/>
  <c r="G959" i="16" s="1"/>
  <c r="G1020" i="16"/>
  <c r="G1011" i="16"/>
  <c r="G1000" i="16"/>
  <c r="G1001" i="16" s="1"/>
  <c r="G963" i="16"/>
  <c r="G901" i="16"/>
  <c r="G902" i="16" s="1"/>
  <c r="G906" i="16"/>
  <c r="G913" i="16"/>
  <c r="G1048" i="16"/>
  <c r="G1049" i="16" s="1"/>
  <c r="G1039" i="16"/>
  <c r="G1040" i="16" s="1"/>
  <c r="G1038" i="16"/>
  <c r="G1053" i="16"/>
  <c r="G1052" i="16"/>
  <c r="G1041" i="16" l="1"/>
  <c r="G1042" i="16" s="1"/>
  <c r="G1055" i="16"/>
  <c r="G1056" i="16" s="1"/>
  <c r="G1054" i="16"/>
  <c r="G987" i="16"/>
  <c r="G984" i="16"/>
  <c r="G1069" i="16"/>
  <c r="G1062" i="16"/>
  <c r="G866" i="16"/>
  <c r="G867" i="16" s="1"/>
  <c r="G856" i="16"/>
  <c r="G857" i="16" s="1"/>
  <c r="G858" i="16" s="1"/>
  <c r="G846" i="16"/>
  <c r="G847" i="16" s="1"/>
  <c r="G848" i="16" s="1"/>
  <c r="G838" i="16"/>
  <c r="G870" i="16"/>
  <c r="G863" i="16"/>
  <c r="G864" i="16" s="1"/>
  <c r="G860" i="16"/>
  <c r="G853" i="16"/>
  <c r="G854" i="16" s="1"/>
  <c r="G850" i="16"/>
  <c r="G843" i="16"/>
  <c r="G844" i="16" s="1"/>
  <c r="G840" i="16"/>
  <c r="G833" i="16"/>
  <c r="G834" i="16" s="1"/>
  <c r="G830" i="16"/>
  <c r="G10783" i="4"/>
  <c r="G10780" i="4"/>
  <c r="G823" i="16"/>
  <c r="G816" i="16"/>
  <c r="G814" i="16"/>
  <c r="G812" i="16"/>
  <c r="G810" i="16"/>
  <c r="G808" i="16"/>
  <c r="G806" i="16"/>
  <c r="G804" i="16"/>
  <c r="G802" i="16"/>
  <c r="G800" i="16"/>
  <c r="M61" i="7"/>
  <c r="G794" i="16"/>
  <c r="G795" i="16" s="1"/>
  <c r="G796" i="16" s="1"/>
  <c r="G792" i="16"/>
  <c r="G793" i="16" s="1"/>
  <c r="G865" i="16" l="1"/>
  <c r="G868" i="16"/>
  <c r="G835" i="16"/>
  <c r="G855" i="16"/>
  <c r="G845" i="16"/>
  <c r="G10777" i="4"/>
  <c r="G10775" i="4"/>
  <c r="G10772" i="4" l="1"/>
  <c r="G779" i="16"/>
  <c r="G784" i="16"/>
  <c r="G782" i="16"/>
  <c r="G1899" i="14"/>
  <c r="G1889" i="14"/>
  <c r="G1886" i="14"/>
  <c r="G1883" i="14"/>
  <c r="G1880" i="14"/>
  <c r="G1879" i="14" s="1"/>
  <c r="G1878" i="14" s="1"/>
  <c r="G1881" i="14" s="1"/>
  <c r="G1875" i="14"/>
  <c r="G1876" i="14" s="1"/>
  <c r="G1872" i="14"/>
  <c r="G1866" i="14"/>
  <c r="G1867" i="14" s="1"/>
  <c r="G1869" i="14"/>
  <c r="G10763" i="4"/>
  <c r="G10764" i="4" s="1"/>
  <c r="G10765" i="4" s="1"/>
  <c r="G10766" i="4" s="1"/>
  <c r="G10768" i="4"/>
  <c r="G10760" i="4"/>
  <c r="G10762" i="4" s="1"/>
  <c r="G10757" i="4"/>
  <c r="G10753" i="4"/>
  <c r="G10754" i="4" s="1"/>
  <c r="G10749" i="4"/>
  <c r="G10744" i="4"/>
  <c r="G10745" i="4" s="1"/>
  <c r="G10746" i="4" s="1"/>
  <c r="G10741" i="4"/>
  <c r="G10743" i="4" s="1"/>
  <c r="G1877" i="14" l="1"/>
  <c r="G10755" i="4"/>
  <c r="G10761" i="4"/>
  <c r="G10747" i="4"/>
  <c r="G10742" i="4"/>
  <c r="G751" i="16"/>
  <c r="G748" i="16"/>
  <c r="G759" i="16"/>
  <c r="G760" i="16" s="1"/>
  <c r="G769" i="16"/>
  <c r="G770" i="16" s="1"/>
  <c r="G780" i="16"/>
  <c r="G776" i="16"/>
  <c r="G774" i="16"/>
  <c r="G772" i="16"/>
  <c r="G764" i="16"/>
  <c r="G762" i="16"/>
  <c r="G766" i="16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D10" i="9"/>
  <c r="D8" i="9"/>
  <c r="F7" i="9"/>
  <c r="F6" i="9"/>
  <c r="F5" i="9"/>
  <c r="G742" i="16"/>
  <c r="G743" i="16" s="1"/>
  <c r="G745" i="16"/>
  <c r="G737" i="16"/>
  <c r="G734" i="16"/>
  <c r="G735" i="16" s="1"/>
  <c r="G729" i="16"/>
  <c r="G726" i="16"/>
  <c r="G727" i="16" s="1"/>
  <c r="G710" i="16"/>
  <c r="G711" i="16" s="1"/>
  <c r="G713" i="16"/>
  <c r="G718" i="16"/>
  <c r="G719" i="16" s="1"/>
  <c r="G721" i="16"/>
  <c r="G702" i="16"/>
  <c r="G703" i="16" s="1"/>
  <c r="G705" i="16"/>
  <c r="G697" i="16"/>
  <c r="G692" i="16"/>
  <c r="G693" i="16" s="1"/>
  <c r="G689" i="16"/>
  <c r="G684" i="16"/>
  <c r="G685" i="16" s="1"/>
  <c r="G680" i="16"/>
  <c r="G681" i="16" s="1"/>
  <c r="G664" i="16"/>
  <c r="G663" i="16" s="1"/>
  <c r="G661" i="16"/>
  <c r="G650" i="16"/>
  <c r="G648" i="16" s="1"/>
  <c r="G649" i="16" s="1"/>
  <c r="G647" i="16"/>
  <c r="G740" i="16" l="1"/>
  <c r="G741" i="16" s="1"/>
  <c r="G724" i="16"/>
  <c r="G725" i="16" s="1"/>
  <c r="G651" i="16"/>
  <c r="G708" i="16"/>
  <c r="G709" i="16" s="1"/>
  <c r="G716" i="16"/>
  <c r="G717" i="16" s="1"/>
  <c r="G732" i="16"/>
  <c r="G733" i="16" s="1"/>
  <c r="G700" i="16"/>
  <c r="G701" i="16" s="1"/>
  <c r="G677" i="16"/>
  <c r="G675" i="16"/>
  <c r="G669" i="16"/>
  <c r="G667" i="16"/>
  <c r="G673" i="16"/>
  <c r="G671" i="16"/>
  <c r="G665" i="16"/>
  <c r="G662" i="16"/>
  <c r="G585" i="16"/>
  <c r="G586" i="16" s="1"/>
  <c r="G589" i="16"/>
  <c r="G590" i="16"/>
  <c r="G591" i="16"/>
  <c r="G615" i="16"/>
  <c r="G612" i="16"/>
  <c r="G609" i="16"/>
  <c r="G606" i="16"/>
  <c r="G600" i="16"/>
  <c r="G603" i="16"/>
  <c r="G597" i="16"/>
  <c r="G594" i="16"/>
  <c r="G636" i="16"/>
  <c r="G633" i="16"/>
  <c r="G626" i="16"/>
  <c r="G624" i="16" s="1"/>
  <c r="G625" i="16" s="1"/>
  <c r="G623" i="16"/>
  <c r="G578" i="16"/>
  <c r="G572" i="16"/>
  <c r="G568" i="16"/>
  <c r="G569" i="16" s="1"/>
  <c r="G565" i="16"/>
  <c r="G526" i="16"/>
  <c r="G527" i="16" s="1"/>
  <c r="G522" i="16"/>
  <c r="G524" i="16" s="1"/>
  <c r="G530" i="16"/>
  <c r="G519" i="16"/>
  <c r="G515" i="16"/>
  <c r="G516" i="16" s="1"/>
  <c r="G514" i="16" s="1"/>
  <c r="G511" i="16"/>
  <c r="G513" i="16" s="1"/>
  <c r="G508" i="16"/>
  <c r="G504" i="16"/>
  <c r="G505" i="16" s="1"/>
  <c r="G500" i="16"/>
  <c r="G502" i="16" s="1"/>
  <c r="G627" i="16" l="1"/>
  <c r="G587" i="16"/>
  <c r="G588" i="16" s="1"/>
  <c r="G592" i="16"/>
  <c r="G566" i="16"/>
  <c r="G567" i="16" s="1"/>
  <c r="G523" i="16"/>
  <c r="G525" i="16"/>
  <c r="G528" i="16" s="1"/>
  <c r="G517" i="16"/>
  <c r="G501" i="16"/>
  <c r="G512" i="16"/>
  <c r="G503" i="16"/>
  <c r="G506" i="16" s="1"/>
  <c r="I3880" i="4"/>
  <c r="G1856" i="14" l="1"/>
  <c r="G1859" i="14"/>
  <c r="G478" i="16"/>
  <c r="G473" i="16"/>
  <c r="G475" i="16" s="1"/>
  <c r="G474" i="16" l="1"/>
  <c r="G353" i="11"/>
  <c r="G350" i="11"/>
  <c r="G341" i="11"/>
  <c r="G347" i="11"/>
  <c r="G344" i="11"/>
  <c r="G331" i="11"/>
  <c r="G365" i="11"/>
  <c r="G362" i="11"/>
  <c r="G359" i="11"/>
  <c r="G356" i="11"/>
  <c r="G334" i="11"/>
  <c r="G336" i="11"/>
  <c r="G337" i="11" s="1"/>
  <c r="G338" i="11" s="1"/>
  <c r="G335" i="11"/>
  <c r="G1846" i="14" l="1"/>
  <c r="G1842" i="14" s="1"/>
  <c r="G1843" i="14" s="1"/>
  <c r="G1844" i="14" s="1"/>
  <c r="G464" i="16"/>
  <c r="G461" i="16"/>
  <c r="G458" i="16"/>
  <c r="G1847" i="14" l="1"/>
  <c r="G493" i="16"/>
  <c r="G494" i="16" s="1"/>
  <c r="G492" i="16" s="1"/>
  <c r="G557" i="16"/>
  <c r="G555" i="16"/>
  <c r="G551" i="16"/>
  <c r="G547" i="16"/>
  <c r="G548" i="16" s="1"/>
  <c r="G552" i="16"/>
  <c r="G545" i="16"/>
  <c r="G537" i="16"/>
  <c r="G538" i="16" s="1"/>
  <c r="G541" i="16"/>
  <c r="G533" i="16"/>
  <c r="G535" i="16" s="1"/>
  <c r="G495" i="16" l="1"/>
  <c r="G536" i="16"/>
  <c r="G539" i="16" s="1"/>
  <c r="G550" i="16"/>
  <c r="G553" i="16" s="1"/>
  <c r="G549" i="16"/>
  <c r="G534" i="16"/>
  <c r="G497" i="16"/>
  <c r="G489" i="16"/>
  <c r="G490" i="16" s="1"/>
  <c r="G491" i="16" l="1"/>
  <c r="G68" i="7"/>
  <c r="G65" i="7"/>
  <c r="G62" i="7"/>
  <c r="G449" i="16" l="1"/>
  <c r="G446" i="16"/>
  <c r="G443" i="16"/>
  <c r="G440" i="16"/>
  <c r="G433" i="16"/>
  <c r="G430" i="16"/>
  <c r="G431" i="16" s="1"/>
  <c r="G127" i="12"/>
  <c r="G123" i="12"/>
  <c r="G128" i="12"/>
  <c r="G164" i="12"/>
  <c r="G165" i="12" s="1"/>
  <c r="G154" i="12"/>
  <c r="G153" i="12"/>
  <c r="G209" i="12"/>
  <c r="G255" i="12"/>
  <c r="G268" i="12"/>
  <c r="G262" i="12"/>
  <c r="G259" i="12"/>
  <c r="G249" i="12"/>
  <c r="G246" i="12"/>
  <c r="G243" i="12"/>
  <c r="G240" i="12"/>
  <c r="G237" i="12"/>
  <c r="G234" i="12"/>
  <c r="G231" i="12"/>
  <c r="G228" i="12"/>
  <c r="G225" i="12"/>
  <c r="G222" i="12"/>
  <c r="G219" i="12" l="1"/>
  <c r="G217" i="12"/>
  <c r="G214" i="12"/>
  <c r="G215" i="12" s="1"/>
  <c r="G212" i="12"/>
  <c r="G213" i="12" s="1"/>
  <c r="G206" i="12"/>
  <c r="G204" i="12"/>
  <c r="G201" i="12"/>
  <c r="G202" i="12" s="1"/>
  <c r="G198" i="12"/>
  <c r="G191" i="12"/>
  <c r="G192" i="12" s="1"/>
  <c r="G193" i="12"/>
  <c r="G194" i="12" s="1"/>
  <c r="G195" i="12" s="1"/>
  <c r="G188" i="12"/>
  <c r="G183" i="12"/>
  <c r="G184" i="12" s="1"/>
  <c r="G185" i="12" s="1"/>
  <c r="G181" i="12"/>
  <c r="G182" i="12" s="1"/>
  <c r="G175" i="12"/>
  <c r="G176" i="12" s="1"/>
  <c r="G177" i="12" s="1"/>
  <c r="G173" i="12"/>
  <c r="G174" i="12" s="1"/>
  <c r="G166" i="12" l="1"/>
  <c r="G167" i="12" s="1"/>
  <c r="G162" i="12"/>
  <c r="G163" i="12" s="1"/>
  <c r="G155" i="12"/>
  <c r="G151" i="12"/>
  <c r="G156" i="12"/>
  <c r="G157" i="12" s="1"/>
  <c r="G152" i="12"/>
  <c r="G148" i="12"/>
  <c r="G146" i="12"/>
  <c r="G142" i="12"/>
  <c r="G144" i="12"/>
  <c r="G131" i="12"/>
  <c r="G132" i="12" s="1"/>
  <c r="G139" i="12"/>
  <c r="G140" i="12" s="1"/>
  <c r="G134" i="12"/>
  <c r="G136" i="12"/>
  <c r="G124" i="12"/>
  <c r="G125" i="12" s="1"/>
  <c r="G121" i="12"/>
  <c r="G122" i="12" s="1"/>
  <c r="G168" i="12" l="1"/>
  <c r="G115" i="12"/>
  <c r="G116" i="12" s="1"/>
  <c r="G117" i="12" s="1"/>
  <c r="G113" i="12"/>
  <c r="G114" i="12" s="1"/>
  <c r="G107" i="12"/>
  <c r="G105" i="12"/>
  <c r="G106" i="12" s="1"/>
  <c r="G108" i="12"/>
  <c r="G109" i="12" s="1"/>
  <c r="G99" i="12"/>
  <c r="G100" i="12" s="1"/>
  <c r="G101" i="12" s="1"/>
  <c r="G97" i="12"/>
  <c r="G98" i="12" s="1"/>
  <c r="G91" i="12"/>
  <c r="G89" i="12"/>
  <c r="G90" i="12" s="1"/>
  <c r="G92" i="12"/>
  <c r="G93" i="12" s="1"/>
  <c r="G83" i="12"/>
  <c r="G84" i="12" s="1"/>
  <c r="G85" i="12" s="1"/>
  <c r="G81" i="12"/>
  <c r="G82" i="12" s="1"/>
  <c r="G78" i="12"/>
  <c r="G76" i="12"/>
  <c r="G74" i="12"/>
  <c r="G72" i="12"/>
  <c r="G69" i="12"/>
  <c r="G70" i="12" s="1"/>
  <c r="G63" i="12"/>
  <c r="G64" i="12" s="1"/>
  <c r="G60" i="12"/>
  <c r="G57" i="12"/>
  <c r="G58" i="12" s="1"/>
  <c r="G53" i="12"/>
  <c r="G54" i="12" s="1"/>
  <c r="G50" i="12"/>
  <c r="G47" i="12"/>
  <c r="G48" i="12" s="1"/>
  <c r="G44" i="12"/>
  <c r="U32" i="18" l="1"/>
  <c r="T32" i="18"/>
  <c r="H4" i="17"/>
  <c r="H7" i="17"/>
  <c r="H10" i="17"/>
  <c r="L15" i="17"/>
  <c r="H25" i="17"/>
  <c r="H27" i="17"/>
  <c r="H33" i="17"/>
  <c r="H34" i="17"/>
  <c r="H35" i="17"/>
  <c r="H36" i="17"/>
  <c r="H37" i="17"/>
  <c r="H38" i="17"/>
  <c r="H39" i="17"/>
  <c r="H40" i="17"/>
  <c r="H42" i="17"/>
  <c r="H44" i="17"/>
  <c r="H46" i="17"/>
  <c r="H48" i="17"/>
  <c r="H51" i="17"/>
  <c r="H52" i="17"/>
  <c r="H54" i="17"/>
  <c r="H56" i="17"/>
  <c r="H57" i="17"/>
  <c r="H58" i="17"/>
  <c r="H62" i="17"/>
  <c r="H65" i="17"/>
  <c r="H66" i="17" s="1"/>
  <c r="H68" i="17"/>
  <c r="H70" i="17"/>
  <c r="H71" i="17"/>
  <c r="H72" i="17" s="1"/>
  <c r="H79" i="17"/>
  <c r="H80" i="17" s="1"/>
  <c r="H82" i="17"/>
  <c r="H84" i="17"/>
  <c r="H85" i="17"/>
  <c r="H86" i="17" s="1"/>
  <c r="H93" i="17"/>
  <c r="H94" i="17" s="1"/>
  <c r="H96" i="17"/>
  <c r="H98" i="17"/>
  <c r="H99" i="17"/>
  <c r="H100" i="17" s="1"/>
  <c r="H108" i="17"/>
  <c r="H110" i="17"/>
  <c r="H111" i="17"/>
  <c r="H112" i="17" s="1"/>
  <c r="H121" i="17"/>
  <c r="H128" i="17"/>
  <c r="H130" i="17"/>
  <c r="H131" i="17"/>
  <c r="H132" i="17" s="1"/>
  <c r="H138" i="17"/>
  <c r="H140" i="17"/>
  <c r="H141" i="17"/>
  <c r="H142" i="17" s="1"/>
  <c r="H147" i="17"/>
  <c r="H148" i="17" s="1"/>
  <c r="H150" i="17"/>
  <c r="H152" i="17"/>
  <c r="H153" i="17"/>
  <c r="H154" i="17" s="1"/>
  <c r="H163" i="17"/>
  <c r="H164" i="17" s="1"/>
  <c r="H166" i="17"/>
  <c r="H168" i="17"/>
  <c r="H169" i="17"/>
  <c r="H170" i="17" s="1"/>
  <c r="H184" i="17"/>
  <c r="H186" i="17"/>
  <c r="H187" i="17"/>
  <c r="H188" i="17" s="1"/>
  <c r="H194" i="17"/>
  <c r="H196" i="17"/>
  <c r="H197" i="17"/>
  <c r="H198" i="17" s="1"/>
  <c r="H204" i="17"/>
  <c r="H206" i="17"/>
  <c r="H207" i="17"/>
  <c r="H208" i="17" s="1"/>
  <c r="H214" i="17"/>
  <c r="H216" i="17"/>
  <c r="H217" i="17"/>
  <c r="H218" i="17" s="1"/>
  <c r="H224" i="17"/>
  <c r="H226" i="17"/>
  <c r="H227" i="17"/>
  <c r="H228" i="17" s="1"/>
  <c r="H234" i="17"/>
  <c r="H236" i="17"/>
  <c r="H237" i="17"/>
  <c r="H238" i="17" s="1"/>
  <c r="H244" i="17"/>
  <c r="H246" i="17"/>
  <c r="H247" i="17"/>
  <c r="H248" i="17" s="1"/>
  <c r="H254" i="17"/>
  <c r="H256" i="17"/>
  <c r="H257" i="17"/>
  <c r="H258" i="17" s="1"/>
  <c r="H265" i="17"/>
  <c r="H268" i="17"/>
  <c r="H271" i="17"/>
  <c r="H280" i="17"/>
  <c r="H283" i="17"/>
  <c r="H286" i="17"/>
  <c r="H287" i="17" s="1"/>
  <c r="H288" i="17"/>
  <c r="H290" i="17"/>
  <c r="H293" i="17"/>
  <c r="H297" i="17"/>
  <c r="H300" i="17"/>
  <c r="H301" i="17" s="1"/>
  <c r="H302" i="17"/>
  <c r="H304" i="17"/>
  <c r="H307" i="17"/>
  <c r="H311" i="17"/>
  <c r="H314" i="17"/>
  <c r="H315" i="17" s="1"/>
  <c r="H316" i="17"/>
  <c r="H318" i="17"/>
  <c r="H321" i="17"/>
  <c r="H325" i="17"/>
  <c r="H328" i="17"/>
  <c r="H331" i="17"/>
  <c r="H334" i="17"/>
  <c r="H337" i="17"/>
  <c r="H340" i="17"/>
  <c r="H343" i="17"/>
  <c r="H346" i="17"/>
  <c r="H349" i="17"/>
  <c r="H356" i="17"/>
  <c r="H357" i="17"/>
  <c r="H358" i="17" s="1"/>
  <c r="H365" i="17"/>
  <c r="H367" i="17"/>
  <c r="H368" i="17"/>
  <c r="H369" i="17" s="1"/>
  <c r="H373" i="17"/>
  <c r="H377" i="17"/>
  <c r="H379" i="17"/>
  <c r="H385" i="17"/>
  <c r="H389" i="17"/>
  <c r="H394" i="17"/>
  <c r="H395" i="17" s="1"/>
  <c r="H397" i="17"/>
  <c r="H400" i="17"/>
  <c r="H402" i="17"/>
  <c r="H404" i="17"/>
  <c r="H406" i="17"/>
  <c r="H408" i="17"/>
  <c r="H411" i="17"/>
  <c r="H414" i="17"/>
  <c r="H417" i="17"/>
  <c r="H420" i="17"/>
  <c r="H424" i="17"/>
  <c r="H426" i="17"/>
  <c r="H430" i="17"/>
  <c r="H432" i="17"/>
  <c r="H434" i="17"/>
  <c r="H439" i="17"/>
  <c r="H441" i="17"/>
  <c r="H442" i="17" s="1"/>
  <c r="H444" i="17"/>
  <c r="H446" i="17"/>
  <c r="H448" i="17"/>
  <c r="H452" i="17"/>
  <c r="H453" i="17" s="1"/>
  <c r="H454" i="17"/>
  <c r="H455" i="17" s="1"/>
  <c r="H465" i="17"/>
  <c r="H466" i="17" s="1"/>
  <c r="H468" i="17"/>
  <c r="H471" i="17"/>
  <c r="H472" i="17"/>
  <c r="H474" i="17"/>
  <c r="H477" i="17"/>
  <c r="H481" i="17"/>
  <c r="H488" i="17"/>
  <c r="H496" i="17"/>
  <c r="H498" i="17"/>
  <c r="H501" i="17"/>
  <c r="H502" i="17"/>
  <c r="H504" i="17"/>
  <c r="H506" i="17"/>
  <c r="H511" i="17"/>
  <c r="H512" i="17"/>
  <c r="M514" i="17"/>
  <c r="M516" i="17"/>
  <c r="M518" i="17"/>
  <c r="H521" i="17"/>
  <c r="H523" i="17"/>
  <c r="H524" i="17"/>
  <c r="H525" i="17"/>
  <c r="H526" i="17"/>
  <c r="H527" i="17"/>
  <c r="H528" i="17"/>
  <c r="H530" i="17"/>
  <c r="H531" i="17"/>
  <c r="H532" i="17" s="1"/>
  <c r="H534" i="17"/>
  <c r="H536" i="17"/>
  <c r="H538" i="17"/>
  <c r="H542" i="17"/>
  <c r="H545" i="17"/>
  <c r="H548" i="17"/>
  <c r="H551" i="17"/>
  <c r="H554" i="17"/>
  <c r="H557" i="17"/>
  <c r="H558" i="17" s="1"/>
  <c r="H560" i="17"/>
  <c r="H563" i="17"/>
  <c r="H564" i="17"/>
  <c r="H567" i="17"/>
  <c r="H572" i="17"/>
  <c r="H575" i="17"/>
  <c r="H576" i="17"/>
  <c r="H577" i="17" s="1"/>
  <c r="H578" i="17"/>
  <c r="H579" i="17"/>
  <c r="H582" i="17"/>
  <c r="H584" i="17"/>
  <c r="H587" i="17"/>
  <c r="H589" i="17"/>
  <c r="H590" i="17"/>
  <c r="H591" i="17"/>
  <c r="H594" i="17"/>
  <c r="H593" i="17" s="1"/>
  <c r="H600" i="17"/>
  <c r="H602" i="17"/>
  <c r="H605" i="17"/>
  <c r="H606" i="17" s="1"/>
  <c r="H607" i="17"/>
  <c r="H610" i="17"/>
  <c r="H620" i="17"/>
  <c r="H621" i="17" s="1"/>
  <c r="H624" i="17"/>
  <c r="H626" i="17"/>
  <c r="H629" i="17"/>
  <c r="H630" i="17" s="1"/>
  <c r="H631" i="17"/>
  <c r="H634" i="17"/>
  <c r="H640" i="17"/>
  <c r="H641" i="17" s="1"/>
  <c r="H643" i="17"/>
  <c r="H645" i="17"/>
  <c r="H648" i="17"/>
  <c r="H652" i="17"/>
  <c r="H653" i="17"/>
  <c r="H651" i="17" s="1"/>
  <c r="H654" i="17"/>
  <c r="H659" i="17"/>
  <c r="H660" i="17"/>
  <c r="H661" i="17"/>
  <c r="H662" i="17"/>
  <c r="H664" i="17"/>
  <c r="H671" i="17"/>
  <c r="H672" i="17" s="1"/>
  <c r="H675" i="17"/>
  <c r="H676" i="17" s="1"/>
  <c r="H678" i="17"/>
  <c r="H681" i="17"/>
  <c r="H684" i="17"/>
  <c r="H687" i="17"/>
  <c r="H688" i="17"/>
  <c r="H689" i="17"/>
  <c r="H690" i="17"/>
  <c r="H691" i="17" s="1"/>
  <c r="H692" i="17"/>
  <c r="H695" i="17" s="1"/>
  <c r="H704" i="17"/>
  <c r="H708" i="17"/>
  <c r="H707" i="17" s="1"/>
  <c r="H709" i="17"/>
  <c r="H710" i="17" s="1"/>
  <c r="H721" i="17"/>
  <c r="H722" i="17" s="1"/>
  <c r="H723" i="17"/>
  <c r="H726" i="17"/>
  <c r="H732" i="17"/>
  <c r="H736" i="17"/>
  <c r="H737" i="17"/>
  <c r="H735" i="17" s="1"/>
  <c r="H738" i="17"/>
  <c r="H743" i="17"/>
  <c r="H744" i="17"/>
  <c r="H745" i="17"/>
  <c r="H746" i="17"/>
  <c r="H747" i="17"/>
  <c r="H748" i="17"/>
  <c r="H750" i="17"/>
  <c r="H753" i="17"/>
  <c r="H754" i="17" s="1"/>
  <c r="H757" i="17"/>
  <c r="H760" i="17"/>
  <c r="H761" i="17" s="1"/>
  <c r="H765" i="17"/>
  <c r="H767" i="17"/>
  <c r="H769" i="17"/>
  <c r="H771" i="17"/>
  <c r="H773" i="17"/>
  <c r="H775" i="17"/>
  <c r="H777" i="17"/>
  <c r="H779" i="17"/>
  <c r="H782" i="17"/>
  <c r="H783" i="17" s="1"/>
  <c r="H786" i="17"/>
  <c r="H794" i="17"/>
  <c r="H795" i="17" s="1"/>
  <c r="H797" i="17"/>
  <c r="H800" i="17"/>
  <c r="H801" i="17"/>
  <c r="H802" i="17"/>
  <c r="H803" i="17"/>
  <c r="H804" i="17" s="1"/>
  <c r="H805" i="17"/>
  <c r="H806" i="17" s="1"/>
  <c r="H819" i="17"/>
  <c r="H825" i="17"/>
  <c r="H827" i="17"/>
  <c r="H828" i="17"/>
  <c r="H832" i="17"/>
  <c r="H838" i="17"/>
  <c r="H839" i="17"/>
  <c r="H842" i="17"/>
  <c r="H843" i="17"/>
  <c r="H844" i="17"/>
  <c r="H846" i="17"/>
  <c r="H847" i="17"/>
  <c r="H848" i="17"/>
  <c r="H852" i="17"/>
  <c r="H856" i="17"/>
  <c r="H859" i="17"/>
  <c r="H860" i="17"/>
  <c r="H861" i="17"/>
  <c r="H862" i="17"/>
  <c r="H864" i="17"/>
  <c r="H867" i="17"/>
  <c r="H870" i="17"/>
  <c r="H871" i="17"/>
  <c r="H874" i="17"/>
  <c r="H873" i="17" s="1"/>
  <c r="H876" i="17"/>
  <c r="H878" i="17"/>
  <c r="H880" i="17"/>
  <c r="H882" i="17"/>
  <c r="H884" i="17"/>
  <c r="H889" i="17"/>
  <c r="H892" i="17"/>
  <c r="H897" i="17"/>
  <c r="H898" i="17" s="1"/>
  <c r="H902" i="17"/>
  <c r="H903" i="17" s="1"/>
  <c r="H906" i="17"/>
  <c r="H907" i="17" s="1"/>
  <c r="H912" i="17"/>
  <c r="H913" i="17" s="1"/>
  <c r="H915" i="17"/>
  <c r="H918" i="17"/>
  <c r="H919" i="17" s="1"/>
  <c r="H921" i="17"/>
  <c r="H922" i="17"/>
  <c r="H920" i="17" s="1"/>
  <c r="H923" i="17"/>
  <c r="H924" i="17"/>
  <c r="H926" i="17"/>
  <c r="H929" i="17"/>
  <c r="H932" i="17"/>
  <c r="H935" i="17"/>
  <c r="H940" i="17"/>
  <c r="H941" i="17"/>
  <c r="H942" i="17"/>
  <c r="H947" i="17"/>
  <c r="H948" i="17"/>
  <c r="K950" i="17"/>
  <c r="L951" i="17"/>
  <c r="H952" i="17"/>
  <c r="H953" i="17"/>
  <c r="H954" i="17" s="1"/>
  <c r="H956" i="17"/>
  <c r="H958" i="17"/>
  <c r="H960" i="17"/>
  <c r="H962" i="17"/>
  <c r="H964" i="17"/>
  <c r="H966" i="17"/>
  <c r="H969" i="17"/>
  <c r="H970" i="17" s="1"/>
  <c r="H974" i="17"/>
  <c r="H975" i="17"/>
  <c r="H976" i="17"/>
  <c r="H978" i="17"/>
  <c r="H980" i="17"/>
  <c r="H982" i="17"/>
  <c r="H984" i="17"/>
  <c r="H987" i="17"/>
  <c r="H988" i="17"/>
  <c r="H992" i="17"/>
  <c r="H993" i="17"/>
  <c r="H994" i="17" s="1"/>
  <c r="H997" i="17"/>
  <c r="H998" i="17" s="1"/>
  <c r="H1002" i="17"/>
  <c r="H1004" i="17"/>
  <c r="H1006" i="17"/>
  <c r="H1008" i="17"/>
  <c r="H1010" i="17"/>
  <c r="H1014" i="17"/>
  <c r="H1020" i="17"/>
  <c r="H1025" i="17"/>
  <c r="H1030" i="17"/>
  <c r="H1035" i="17"/>
  <c r="H1033" i="17" s="1"/>
  <c r="H1044" i="17"/>
  <c r="H1048" i="17"/>
  <c r="H1047" i="17" s="1"/>
  <c r="H1049" i="17"/>
  <c r="H1050" i="17"/>
  <c r="H1056" i="17"/>
  <c r="H1057" i="17"/>
  <c r="H1058" i="17"/>
  <c r="H1061" i="17"/>
  <c r="H1066" i="17"/>
  <c r="H1070" i="17"/>
  <c r="H1071" i="17" s="1"/>
  <c r="H1073" i="17"/>
  <c r="H1078" i="17"/>
  <c r="H1079" i="17" s="1"/>
  <c r="H1082" i="17"/>
  <c r="H1086" i="17"/>
  <c r="H1088" i="17"/>
  <c r="H1091" i="17"/>
  <c r="H1092" i="17" s="1"/>
  <c r="H1094" i="17"/>
  <c r="H1095" i="17"/>
  <c r="H1093" i="17" s="1"/>
  <c r="H1096" i="17"/>
  <c r="H1097" i="17"/>
  <c r="H1100" i="17"/>
  <c r="H1102" i="17"/>
  <c r="H1104" i="17"/>
  <c r="H1107" i="17"/>
  <c r="H1108" i="17"/>
  <c r="H1111" i="17"/>
  <c r="H1109" i="17" s="1"/>
  <c r="H1110" i="17" s="1"/>
  <c r="H1112" i="17"/>
  <c r="H1114" i="17"/>
  <c r="H1116" i="17"/>
  <c r="H1121" i="17"/>
  <c r="H1127" i="17"/>
  <c r="H1128" i="17" s="1"/>
  <c r="H1131" i="17"/>
  <c r="H1139" i="17"/>
  <c r="H1140" i="17" s="1"/>
  <c r="H1142" i="17"/>
  <c r="H1143" i="17"/>
  <c r="H1141" i="17" s="1"/>
  <c r="H1144" i="17"/>
  <c r="H1151" i="17"/>
  <c r="H1152" i="17"/>
  <c r="H1155" i="17"/>
  <c r="H1153" i="17" s="1"/>
  <c r="H1154" i="17" s="1"/>
  <c r="H1156" i="17"/>
  <c r="H1169" i="17"/>
  <c r="H1177" i="17"/>
  <c r="H1183" i="17"/>
  <c r="H1184" i="17" s="1"/>
  <c r="H1186" i="17"/>
  <c r="H1187" i="17"/>
  <c r="H1185" i="17" s="1"/>
  <c r="H1188" i="17"/>
  <c r="H1193" i="17"/>
  <c r="H1194" i="17"/>
  <c r="H1197" i="17"/>
  <c r="H1195" i="17" s="1"/>
  <c r="H1196" i="17" s="1"/>
  <c r="H1198" i="17"/>
  <c r="H1200" i="17"/>
  <c r="H1202" i="17"/>
  <c r="H1207" i="17"/>
  <c r="H1208" i="17"/>
  <c r="H1210" i="17"/>
  <c r="H1212" i="17"/>
  <c r="H1213" i="17"/>
  <c r="H1214" i="17"/>
  <c r="H1217" i="17"/>
  <c r="H1218" i="17"/>
  <c r="H1220" i="17"/>
  <c r="H1222" i="17"/>
  <c r="H1223" i="17"/>
  <c r="H1224" i="17"/>
  <c r="H1227" i="17"/>
  <c r="H1228" i="17"/>
  <c r="H1231" i="17"/>
  <c r="H1237" i="17"/>
  <c r="H1238" i="17" s="1"/>
  <c r="H1241" i="17"/>
  <c r="H1247" i="17"/>
  <c r="H1248" i="17" s="1"/>
  <c r="H1250" i="17"/>
  <c r="H1251" i="17"/>
  <c r="H1249" i="17" s="1"/>
  <c r="H1252" i="17"/>
  <c r="H1257" i="17"/>
  <c r="H1258" i="17"/>
  <c r="H1261" i="17"/>
  <c r="H1259" i="17" s="1"/>
  <c r="H1260" i="17" s="1"/>
  <c r="H1262" i="17"/>
  <c r="H1267" i="17"/>
  <c r="H1268" i="17"/>
  <c r="H1271" i="17"/>
  <c r="H1281" i="17"/>
  <c r="H1282" i="17" s="1"/>
  <c r="H1285" i="17"/>
  <c r="H1293" i="17"/>
  <c r="H1294" i="17" s="1"/>
  <c r="H1296" i="17"/>
  <c r="H1297" i="17"/>
  <c r="H1295" i="17" s="1"/>
  <c r="H1298" i="17"/>
  <c r="H1305" i="17"/>
  <c r="H1303" i="17" s="1"/>
  <c r="H1304" i="17" s="1"/>
  <c r="H1306" i="17"/>
  <c r="H1313" i="17"/>
  <c r="H1321" i="17"/>
  <c r="H1328" i="17"/>
  <c r="H1329" i="17"/>
  <c r="H1327" i="17" s="1"/>
  <c r="H1330" i="17"/>
  <c r="H1338" i="17"/>
  <c r="H1336" i="17" s="1"/>
  <c r="H1337" i="17" s="1"/>
  <c r="H1339" i="17"/>
  <c r="H1346" i="17"/>
  <c r="H1354" i="17"/>
  <c r="H1361" i="17"/>
  <c r="H1362" i="17"/>
  <c r="H1360" i="17" s="1"/>
  <c r="H1363" i="17"/>
  <c r="H1370" i="17"/>
  <c r="H1368" i="17" s="1"/>
  <c r="H1369" i="17" s="1"/>
  <c r="H1371" i="17"/>
  <c r="H1378" i="17"/>
  <c r="H1381" i="17"/>
  <c r="H1384" i="17"/>
  <c r="H1385" i="17" s="1"/>
  <c r="H1388" i="17"/>
  <c r="H1389" i="17" s="1"/>
  <c r="H1398" i="17"/>
  <c r="H1399" i="17" s="1"/>
  <c r="H1406" i="17"/>
  <c r="H1407" i="17" s="1"/>
  <c r="H1416" i="17"/>
  <c r="H1417" i="17" s="1"/>
  <c r="H1418" i="17"/>
  <c r="H1419" i="17" s="1"/>
  <c r="H1420" i="17"/>
  <c r="H1421" i="17" s="1"/>
  <c r="H1428" i="17"/>
  <c r="H1429" i="17" s="1"/>
  <c r="H1430" i="17"/>
  <c r="H1431" i="17" s="1"/>
  <c r="H1436" i="17"/>
  <c r="H1437" i="17" s="1"/>
  <c r="H1438" i="17"/>
  <c r="H1439" i="17" s="1"/>
  <c r="H1444" i="17"/>
  <c r="H1445" i="17" s="1"/>
  <c r="H1446" i="17"/>
  <c r="H1447" i="17" s="1"/>
  <c r="H1452" i="17"/>
  <c r="H1453" i="17" s="1"/>
  <c r="H1454" i="17"/>
  <c r="H1455" i="17" s="1"/>
  <c r="H1457" i="17"/>
  <c r="H1462" i="17"/>
  <c r="H1460" i="17" s="1"/>
  <c r="H1461" i="17" s="1"/>
  <c r="H1463" i="17"/>
  <c r="H1470" i="17"/>
  <c r="H1478" i="17"/>
  <c r="H1484" i="17"/>
  <c r="H1485" i="17" s="1"/>
  <c r="H1487" i="17"/>
  <c r="H1488" i="17"/>
  <c r="H1486" i="17" s="1"/>
  <c r="H1489" i="17"/>
  <c r="H1494" i="17"/>
  <c r="H1495" i="17"/>
  <c r="H1498" i="17"/>
  <c r="H1496" i="17" s="1"/>
  <c r="H1497" i="17" s="1"/>
  <c r="H1499" i="17"/>
  <c r="H1508" i="17"/>
  <c r="H1504" i="17" s="1"/>
  <c r="H1505" i="17" s="1"/>
  <c r="H1509" i="17"/>
  <c r="H1518" i="17"/>
  <c r="H1514" i="17" s="1"/>
  <c r="H1515" i="17" s="1"/>
  <c r="H1519" i="17"/>
  <c r="H1528" i="17"/>
  <c r="H1524" i="17" s="1"/>
  <c r="H1525" i="17" s="1"/>
  <c r="H1529" i="17"/>
  <c r="H1538" i="17"/>
  <c r="H1534" i="17" s="1"/>
  <c r="H1535" i="17" s="1"/>
  <c r="H1539" i="17"/>
  <c r="H1544" i="17"/>
  <c r="H1545" i="17"/>
  <c r="H1548" i="17"/>
  <c r="H1556" i="17"/>
  <c r="H1557" i="17" s="1"/>
  <c r="H1560" i="17"/>
  <c r="H1568" i="17"/>
  <c r="H1569" i="17" s="1"/>
  <c r="H1571" i="17"/>
  <c r="H1572" i="17"/>
  <c r="H1570" i="17" s="1"/>
  <c r="H1573" i="17"/>
  <c r="H1578" i="17"/>
  <c r="H1579" i="17"/>
  <c r="H1582" i="17"/>
  <c r="H1580" i="17" s="1"/>
  <c r="H1581" i="17" s="1"/>
  <c r="H1583" i="17"/>
  <c r="H1590" i="17"/>
  <c r="H1596" i="17"/>
  <c r="H1597" i="17" s="1"/>
  <c r="H1600" i="17"/>
  <c r="H1607" i="17"/>
  <c r="H1608" i="17"/>
  <c r="H1606" i="17" s="1"/>
  <c r="H1609" i="17"/>
  <c r="H1614" i="17"/>
  <c r="H1615" i="17"/>
  <c r="H1618" i="17"/>
  <c r="H1616" i="17" s="1"/>
  <c r="H1617" i="17" s="1"/>
  <c r="H1619" i="17"/>
  <c r="H1626" i="17"/>
  <c r="H1627" i="17"/>
  <c r="H1630" i="17"/>
  <c r="H1640" i="17"/>
  <c r="H1641" i="17" s="1"/>
  <c r="H1644" i="17"/>
  <c r="H1652" i="17"/>
  <c r="H1653" i="17" s="1"/>
  <c r="H1655" i="17"/>
  <c r="H1656" i="17"/>
  <c r="H1654" i="17" s="1"/>
  <c r="H1657" i="17"/>
  <c r="H1666" i="17"/>
  <c r="H1664" i="17" s="1"/>
  <c r="H1665" i="17" s="1"/>
  <c r="H1667" i="17"/>
  <c r="H1672" i="17"/>
  <c r="H1673" i="17"/>
  <c r="H1676" i="17"/>
  <c r="H1686" i="17"/>
  <c r="H1693" i="17"/>
  <c r="H1694" i="17"/>
  <c r="H1692" i="17" s="1"/>
  <c r="H1695" i="17"/>
  <c r="H1700" i="17"/>
  <c r="H1701" i="17"/>
  <c r="H1704" i="17"/>
  <c r="H1702" i="17" s="1"/>
  <c r="H1703" i="17" s="1"/>
  <c r="H1705" i="17"/>
  <c r="H1714" i="17"/>
  <c r="H1720" i="17"/>
  <c r="H1723" i="17"/>
  <c r="H1725" i="17"/>
  <c r="H1729" i="17"/>
  <c r="H1730" i="17"/>
  <c r="H1731" i="17" s="1"/>
  <c r="H1734" i="17"/>
  <c r="H1739" i="17"/>
  <c r="H1740" i="17" s="1"/>
  <c r="H1742" i="17"/>
  <c r="H1743" i="17"/>
  <c r="H1741" i="17" s="1"/>
  <c r="H1744" i="17"/>
  <c r="H1749" i="17"/>
  <c r="H1750" i="17"/>
  <c r="H1753" i="17"/>
  <c r="H1751" i="17" s="1"/>
  <c r="H1752" i="17" s="1"/>
  <c r="H1754" i="17"/>
  <c r="H1756" i="17"/>
  <c r="H1757" i="17"/>
  <c r="H1764" i="17"/>
  <c r="H1765" i="17"/>
  <c r="H1768" i="17"/>
  <c r="H1774" i="17"/>
  <c r="H1775" i="17" s="1"/>
  <c r="H1778" i="17"/>
  <c r="H1784" i="17"/>
  <c r="H1785" i="17" s="1"/>
  <c r="H1787" i="17"/>
  <c r="H1788" i="17"/>
  <c r="H1786" i="17" s="1"/>
  <c r="H1789" i="17"/>
  <c r="H1794" i="17"/>
  <c r="H1795" i="17"/>
  <c r="H1798" i="17"/>
  <c r="H1796" i="17" s="1"/>
  <c r="H1797" i="17" s="1"/>
  <c r="H1799" i="17"/>
  <c r="H1804" i="17"/>
  <c r="H1805" i="17"/>
  <c r="H1808" i="17"/>
  <c r="H1811" i="17"/>
  <c r="H1812" i="17" s="1"/>
  <c r="H1819" i="17"/>
  <c r="H1820" i="17" s="1"/>
  <c r="H1823" i="17"/>
  <c r="H1829" i="17"/>
  <c r="H1830" i="17" s="1"/>
  <c r="H1832" i="17"/>
  <c r="H1833" i="17"/>
  <c r="H1831" i="17" s="1"/>
  <c r="H1834" i="17"/>
  <c r="H1839" i="17"/>
  <c r="H1840" i="17"/>
  <c r="H1843" i="17"/>
  <c r="H1841" i="17" s="1"/>
  <c r="H1842" i="17" s="1"/>
  <c r="H1844" i="17"/>
  <c r="H1846" i="17"/>
  <c r="H1847" i="17"/>
  <c r="H1854" i="17"/>
  <c r="H1855" i="17"/>
  <c r="H1856" i="17"/>
  <c r="H1859" i="17"/>
  <c r="H1865" i="17"/>
  <c r="H1866" i="17" s="1"/>
  <c r="H1867" i="17"/>
  <c r="H1870" i="17"/>
  <c r="H1876" i="17"/>
  <c r="H1877" i="17" s="1"/>
  <c r="H1878" i="17"/>
  <c r="H1881" i="17"/>
  <c r="H1887" i="17"/>
  <c r="H1891" i="17"/>
  <c r="H1890" i="17" s="1"/>
  <c r="H1892" i="17"/>
  <c r="H1893" i="17"/>
  <c r="H1898" i="17"/>
  <c r="H1899" i="17"/>
  <c r="H1900" i="17"/>
  <c r="H1903" i="17"/>
  <c r="H1911" i="17"/>
  <c r="H1912" i="17" s="1"/>
  <c r="H1913" i="17"/>
  <c r="H1916" i="17"/>
  <c r="H1930" i="17"/>
  <c r="H1931" i="17" s="1"/>
  <c r="H1932" i="17"/>
  <c r="H1935" i="17"/>
  <c r="H1941" i="17"/>
  <c r="H1942" i="17" s="1"/>
  <c r="H1943" i="17"/>
  <c r="H1945" i="17"/>
  <c r="H1948" i="17"/>
  <c r="H1951" i="17"/>
  <c r="H1952" i="17" s="1"/>
  <c r="H1953" i="17"/>
  <c r="H1955" i="17"/>
  <c r="H1958" i="17"/>
  <c r="H1961" i="17"/>
  <c r="H1962" i="17" s="1"/>
  <c r="H1963" i="17"/>
  <c r="H1965" i="17"/>
  <c r="H1968" i="17"/>
  <c r="H1971" i="17"/>
  <c r="H1972" i="17"/>
  <c r="H1974" i="17"/>
  <c r="H1977" i="17"/>
  <c r="H1980" i="17"/>
  <c r="H1981" i="17"/>
  <c r="H1982" i="17"/>
  <c r="H1986" i="17"/>
  <c r="H1994" i="17"/>
  <c r="H1995" i="17" s="1"/>
  <c r="H1999" i="17"/>
  <c r="H1998" i="17" s="1"/>
  <c r="H1997" i="17" s="1"/>
  <c r="H2005" i="17"/>
  <c r="H2006" i="17" s="1"/>
  <c r="H2009" i="17"/>
  <c r="H2008" i="17" s="1"/>
  <c r="H2010" i="17"/>
  <c r="H2011" i="17"/>
  <c r="H2016" i="17"/>
  <c r="H2017" i="17"/>
  <c r="H2020" i="17"/>
  <c r="H2018" i="17" s="1"/>
  <c r="H2019" i="17" s="1"/>
  <c r="H2021" i="17"/>
  <c r="H2024" i="17"/>
  <c r="H2027" i="17"/>
  <c r="H2031" i="17"/>
  <c r="H2030" i="17" s="1"/>
  <c r="H2032" i="17"/>
  <c r="H2033" i="17"/>
  <c r="H2038" i="17"/>
  <c r="H2039" i="17"/>
  <c r="H2042" i="17"/>
  <c r="H2046" i="17"/>
  <c r="H2049" i="17"/>
  <c r="H2050" i="17" s="1"/>
  <c r="H2053" i="17"/>
  <c r="H2052" i="17" s="1"/>
  <c r="H2054" i="17"/>
  <c r="H2055" i="17"/>
  <c r="H2061" i="17"/>
  <c r="H2062" i="17"/>
  <c r="H2063" i="17"/>
  <c r="H2064" i="17"/>
  <c r="H2066" i="17"/>
  <c r="H2065" i="17" s="1"/>
  <c r="H2072" i="17"/>
  <c r="H2073" i="17" s="1"/>
  <c r="H2076" i="17"/>
  <c r="H2085" i="17"/>
  <c r="H2086" i="17" s="1"/>
  <c r="H2087" i="17"/>
  <c r="H2089" i="17"/>
  <c r="H2088" i="17" s="1"/>
  <c r="H2090" i="17" s="1"/>
  <c r="H2091" i="17" s="1"/>
  <c r="H2098" i="17"/>
  <c r="H2099" i="17" s="1"/>
  <c r="H2102" i="17"/>
  <c r="H2101" i="17" s="1"/>
  <c r="H2103" i="17" s="1"/>
  <c r="H2104" i="17" s="1"/>
  <c r="H2111" i="17"/>
  <c r="H2112" i="17" s="1"/>
  <c r="H2115" i="17"/>
  <c r="H2114" i="17" s="1"/>
  <c r="H2116" i="17" s="1"/>
  <c r="H2117" i="17" s="1"/>
  <c r="H2122" i="17"/>
  <c r="H2123" i="17" s="1"/>
  <c r="H2127" i="17"/>
  <c r="H2133" i="17"/>
  <c r="H2134" i="17" s="1"/>
  <c r="H2135" i="17"/>
  <c r="H2138" i="17"/>
  <c r="H2146" i="17"/>
  <c r="H2147" i="17" s="1"/>
  <c r="H2151" i="17"/>
  <c r="H2157" i="17"/>
  <c r="H2158" i="17" s="1"/>
  <c r="H2162" i="17"/>
  <c r="H2168" i="17"/>
  <c r="H2169" i="17" s="1"/>
  <c r="H2173" i="17"/>
  <c r="H2181" i="17"/>
  <c r="H2182" i="17" s="1"/>
  <c r="H2183" i="17"/>
  <c r="H2186" i="17"/>
  <c r="H2192" i="17"/>
  <c r="H2193" i="17" s="1"/>
  <c r="H2195" i="17"/>
  <c r="H2197" i="17"/>
  <c r="H2198" i="17" s="1"/>
  <c r="H2203" i="17"/>
  <c r="H2204" i="17" s="1"/>
  <c r="H2207" i="17"/>
  <c r="H2206" i="17" s="1"/>
  <c r="H2208" i="17"/>
  <c r="H2209" i="17"/>
  <c r="H2218" i="17"/>
  <c r="H2219" i="17"/>
  <c r="H2220" i="17"/>
  <c r="H2223" i="17"/>
  <c r="H2229" i="17"/>
  <c r="H2230" i="17" s="1"/>
  <c r="H2231" i="17"/>
  <c r="H2232" i="17"/>
  <c r="H2233" i="17"/>
  <c r="H2235" i="17"/>
  <c r="H2237" i="17"/>
  <c r="H2239" i="17"/>
  <c r="H2242" i="17"/>
  <c r="H2246" i="17"/>
  <c r="H2245" i="17" s="1"/>
  <c r="H2247" i="17"/>
  <c r="H2248" i="17"/>
  <c r="H2253" i="17"/>
  <c r="H2254" i="17"/>
  <c r="H2255" i="17"/>
  <c r="H2258" i="17"/>
  <c r="H2265" i="17"/>
  <c r="H2266" i="17" s="1"/>
  <c r="H2267" i="17"/>
  <c r="H2268" i="17"/>
  <c r="H2269" i="17"/>
  <c r="H2272" i="17"/>
  <c r="H2278" i="17"/>
  <c r="H2282" i="17"/>
  <c r="H2285" i="17"/>
  <c r="H2286" i="17" s="1"/>
  <c r="H2288" i="17"/>
  <c r="H2289" i="17"/>
  <c r="H2290" i="17" s="1"/>
  <c r="H2294" i="17"/>
  <c r="H2295" i="17" s="1"/>
  <c r="H2297" i="17"/>
  <c r="H2296" i="17" s="1"/>
  <c r="H2300" i="17"/>
  <c r="H2301" i="17" s="1"/>
  <c r="H2303" i="17"/>
  <c r="H2305" i="17"/>
  <c r="H2307" i="17"/>
  <c r="H2309" i="17"/>
  <c r="H2311" i="17"/>
  <c r="H2313" i="17"/>
  <c r="H2315" i="17"/>
  <c r="H2317" i="17"/>
  <c r="H2319" i="17"/>
  <c r="H2321" i="17"/>
  <c r="H2325" i="17"/>
  <c r="H2326" i="17" s="1"/>
  <c r="H2327" i="17"/>
  <c r="H2328" i="17"/>
  <c r="H2329" i="17"/>
  <c r="H2333" i="17"/>
  <c r="H2341" i="17"/>
  <c r="H2342" i="17" s="1"/>
  <c r="H2343" i="17"/>
  <c r="H2344" i="17" s="1"/>
  <c r="H2346" i="17"/>
  <c r="H2348" i="17"/>
  <c r="H2350" i="17"/>
  <c r="H2353" i="17"/>
  <c r="H2354" i="17"/>
  <c r="H2356" i="17"/>
  <c r="H2359" i="17"/>
  <c r="H2360" i="17" s="1"/>
  <c r="H2362" i="17"/>
  <c r="H2365" i="17"/>
  <c r="H2366" i="17" s="1"/>
  <c r="H2368" i="17"/>
  <c r="H2369" i="17" s="1"/>
  <c r="H2370" i="17"/>
  <c r="H2372" i="17"/>
  <c r="H2373" i="17"/>
  <c r="H2374" i="17" s="1"/>
  <c r="H2376" i="17"/>
  <c r="H2378" i="17"/>
  <c r="H2383" i="17"/>
  <c r="H2384" i="17" s="1"/>
  <c r="H2385" i="17"/>
  <c r="H2387" i="17"/>
  <c r="H2386" i="17" s="1"/>
  <c r="H2394" i="17"/>
  <c r="H2397" i="17"/>
  <c r="H2398" i="17"/>
  <c r="H2400" i="17"/>
  <c r="H2399" i="17" s="1"/>
  <c r="H2403" i="17"/>
  <c r="H2405" i="17"/>
  <c r="H2407" i="17"/>
  <c r="H2410" i="17"/>
  <c r="H2411" i="17"/>
  <c r="H2413" i="17"/>
  <c r="H2412" i="17" s="1"/>
  <c r="H2416" i="17"/>
  <c r="H2418" i="17"/>
  <c r="H2420" i="17"/>
  <c r="H2424" i="17"/>
  <c r="H2425" i="17"/>
  <c r="H2427" i="17"/>
  <c r="H2426" i="17" s="1"/>
  <c r="H2430" i="17"/>
  <c r="H2433" i="17"/>
  <c r="H2434" i="17"/>
  <c r="H2438" i="17"/>
  <c r="H2440" i="17"/>
  <c r="H2444" i="17"/>
  <c r="H2445" i="17"/>
  <c r="H2447" i="17"/>
  <c r="H2451" i="17"/>
  <c r="H2453" i="17"/>
  <c r="H2454" i="17"/>
  <c r="H2458" i="17"/>
  <c r="H2457" i="17" s="1"/>
  <c r="H2460" i="17"/>
  <c r="H2467" i="17"/>
  <c r="H2468" i="17" s="1"/>
  <c r="H2469" i="17"/>
  <c r="H2471" i="17"/>
  <c r="H2476" i="17"/>
  <c r="H2479" i="17"/>
  <c r="H2480" i="17" s="1"/>
  <c r="H2481" i="17"/>
  <c r="H2483" i="17"/>
  <c r="H2482" i="17" s="1"/>
  <c r="H2497" i="17"/>
  <c r="H2501" i="17"/>
  <c r="H2500" i="17" s="1"/>
  <c r="H2504" i="17"/>
  <c r="H2506" i="17"/>
  <c r="H2508" i="17"/>
  <c r="H2510" i="17"/>
  <c r="H2513" i="17"/>
  <c r="H2514" i="17" s="1"/>
  <c r="H2515" i="17"/>
  <c r="H2517" i="17"/>
  <c r="H2516" i="17" s="1"/>
  <c r="H2520" i="17"/>
  <c r="H2522" i="17"/>
  <c r="H2524" i="17"/>
  <c r="H2526" i="17"/>
  <c r="H2528" i="17"/>
  <c r="H2531" i="17"/>
  <c r="H2532" i="17"/>
  <c r="H2533" i="17"/>
  <c r="H2534" i="17"/>
  <c r="H2535" i="17"/>
  <c r="H2536" i="17"/>
  <c r="H2538" i="17"/>
  <c r="H2540" i="17"/>
  <c r="H2542" i="17"/>
  <c r="H2544" i="17"/>
  <c r="H2546" i="17"/>
  <c r="H2549" i="17"/>
  <c r="H2553" i="17"/>
  <c r="H2552" i="17" s="1"/>
  <c r="H2555" i="17" s="1"/>
  <c r="H2554" i="17"/>
  <c r="H2562" i="17"/>
  <c r="H2563" i="17" s="1"/>
  <c r="H2566" i="17"/>
  <c r="H2569" i="17"/>
  <c r="H2571" i="17"/>
  <c r="H2573" i="17"/>
  <c r="H2575" i="17"/>
  <c r="H2581" i="17"/>
  <c r="H2583" i="17"/>
  <c r="H2585" i="17"/>
  <c r="H2587" i="17"/>
  <c r="H2590" i="17"/>
  <c r="H2591" i="17" s="1"/>
  <c r="H2592" i="17"/>
  <c r="H2594" i="17"/>
  <c r="H2603" i="17"/>
  <c r="H2604" i="17" s="1"/>
  <c r="H2607" i="17"/>
  <c r="H2608" i="17" s="1"/>
  <c r="H2613" i="17"/>
  <c r="H2614" i="17" s="1"/>
  <c r="H2616" i="17"/>
  <c r="H2618" i="17"/>
  <c r="H2623" i="17"/>
  <c r="H2625" i="17"/>
  <c r="H2626" i="17" s="1"/>
  <c r="H2631" i="17"/>
  <c r="H2632" i="17" s="1"/>
  <c r="H2633" i="17"/>
  <c r="H2635" i="17"/>
  <c r="H2645" i="17"/>
  <c r="H2646" i="17" s="1"/>
  <c r="H2649" i="17"/>
  <c r="H2657" i="17"/>
  <c r="H2660" i="17"/>
  <c r="H2661" i="17" s="1"/>
  <c r="H2662" i="17"/>
  <c r="H2663" i="17" s="1"/>
  <c r="H2667" i="17"/>
  <c r="H2668" i="17" s="1"/>
  <c r="H2672" i="17"/>
  <c r="H2673" i="17" s="1"/>
  <c r="H2675" i="17"/>
  <c r="H2676" i="17"/>
  <c r="H2677" i="17" s="1"/>
  <c r="H2679" i="17"/>
  <c r="H2681" i="17"/>
  <c r="H2683" i="17"/>
  <c r="H2685" i="17"/>
  <c r="H2687" i="17"/>
  <c r="H2689" i="17"/>
  <c r="H2691" i="17"/>
  <c r="H2695" i="17"/>
  <c r="H2698" i="17"/>
  <c r="H2702" i="17"/>
  <c r="H2701" i="17" s="1"/>
  <c r="H2709" i="17"/>
  <c r="H2710" i="17"/>
  <c r="H2711" i="17"/>
  <c r="H2712" i="17"/>
  <c r="H2713" i="17"/>
  <c r="H2714" i="17"/>
  <c r="H2719" i="17"/>
  <c r="H2720" i="17"/>
  <c r="H2721" i="17"/>
  <c r="H2724" i="17"/>
  <c r="H2727" i="17"/>
  <c r="H2729" i="17"/>
  <c r="H2731" i="17"/>
  <c r="H2734" i="17"/>
  <c r="H2735" i="17" s="1"/>
  <c r="H2737" i="17"/>
  <c r="H2738" i="17"/>
  <c r="H2736" i="17" s="1"/>
  <c r="H2739" i="17"/>
  <c r="H2741" i="17"/>
  <c r="H2743" i="17"/>
  <c r="H2745" i="17"/>
  <c r="H2749" i="17"/>
  <c r="H2750" i="17" s="1"/>
  <c r="H2751" i="17"/>
  <c r="H2752" i="17" s="1"/>
  <c r="H2754" i="17"/>
  <c r="H2755" i="17" s="1"/>
  <c r="H2757" i="17"/>
  <c r="H2759" i="17"/>
  <c r="H2761" i="17"/>
  <c r="H2763" i="17"/>
  <c r="H2765" i="17"/>
  <c r="H2769" i="17"/>
  <c r="H2770" i="17"/>
  <c r="H2768" i="17" s="1"/>
  <c r="H2771" i="17"/>
  <c r="H2772" i="17"/>
  <c r="H2774" i="17"/>
  <c r="H2779" i="17"/>
  <c r="H2777" i="17" s="1"/>
  <c r="H2778" i="17" s="1"/>
  <c r="H2780" i="17"/>
  <c r="H2781" i="17"/>
  <c r="H2784" i="17"/>
  <c r="H2787" i="17"/>
  <c r="H2789" i="17"/>
  <c r="H2792" i="17"/>
  <c r="H2793" i="17"/>
  <c r="H2796" i="17"/>
  <c r="H2798" i="17"/>
  <c r="H2800" i="17"/>
  <c r="H2802" i="17"/>
  <c r="H2804" i="17"/>
  <c r="H2809" i="17"/>
  <c r="H2810" i="17" s="1"/>
  <c r="H2811" i="17"/>
  <c r="H2813" i="17"/>
  <c r="H2814" i="17"/>
  <c r="H2817" i="17"/>
  <c r="H2821" i="17"/>
  <c r="H2823" i="17"/>
  <c r="H2826" i="17"/>
  <c r="H2827" i="17" s="1"/>
  <c r="H2830" i="17"/>
  <c r="H2831" i="17" s="1"/>
  <c r="H2833" i="17"/>
  <c r="H2835" i="17"/>
  <c r="H2837" i="17"/>
  <c r="H2840" i="17"/>
  <c r="H2841" i="17" s="1"/>
  <c r="H2843" i="17"/>
  <c r="H2844" i="17"/>
  <c r="H2845" i="17" s="1"/>
  <c r="H2848" i="17"/>
  <c r="H2850" i="17"/>
  <c r="H2853" i="17"/>
  <c r="H2854" i="17" s="1"/>
  <c r="H2855" i="17"/>
  <c r="H2856" i="17" s="1"/>
  <c r="H2857" i="17"/>
  <c r="H2858" i="17" s="1"/>
  <c r="H2860" i="17"/>
  <c r="H2861" i="17" s="1"/>
  <c r="H2863" i="17"/>
  <c r="H2864" i="17"/>
  <c r="H2865" i="17"/>
  <c r="H2867" i="17"/>
  <c r="H2869" i="17"/>
  <c r="H2871" i="17"/>
  <c r="H2873" i="17"/>
  <c r="H2877" i="17"/>
  <c r="H2879" i="17"/>
  <c r="H2880" i="17" s="1"/>
  <c r="H2882" i="17"/>
  <c r="H2884" i="17"/>
  <c r="H2889" i="17"/>
  <c r="H2890" i="17" s="1"/>
  <c r="H2891" i="17"/>
  <c r="H2892" i="17" s="1"/>
  <c r="H2893" i="17"/>
  <c r="H2894" i="17" s="1"/>
  <c r="H2896" i="17"/>
  <c r="H2897" i="17" s="1"/>
  <c r="H2899" i="17"/>
  <c r="H2900" i="17" s="1"/>
  <c r="H2902" i="17"/>
  <c r="H2904" i="17"/>
  <c r="H2907" i="17"/>
  <c r="H2912" i="17"/>
  <c r="H2913" i="17"/>
  <c r="H2915" i="17"/>
  <c r="H2917" i="17"/>
  <c r="H2919" i="17"/>
  <c r="H2921" i="17"/>
  <c r="H2923" i="17"/>
  <c r="H2925" i="17"/>
  <c r="H2928" i="17"/>
  <c r="H2929" i="17"/>
  <c r="H2930" i="17"/>
  <c r="H2933" i="17"/>
  <c r="H2939" i="17"/>
  <c r="H2942" i="17"/>
  <c r="H2945" i="17"/>
  <c r="H2946" i="17" s="1"/>
  <c r="H2949" i="17"/>
  <c r="H2950" i="17"/>
  <c r="H2948" i="17" s="1"/>
  <c r="H2951" i="17"/>
  <c r="H2956" i="17"/>
  <c r="H2957" i="17"/>
  <c r="H2958" i="17" s="1"/>
  <c r="H2961" i="17"/>
  <c r="H2962" i="17" s="1"/>
  <c r="H2965" i="17"/>
  <c r="H2970" i="17"/>
  <c r="H2968" i="17" s="1"/>
  <c r="H2969" i="17" s="1"/>
  <c r="H2977" i="17"/>
  <c r="H2978" i="17"/>
  <c r="H2981" i="17"/>
  <c r="H2983" i="17"/>
  <c r="H2986" i="17"/>
  <c r="H2987" i="17"/>
  <c r="H2991" i="17"/>
  <c r="H2993" i="17"/>
  <c r="H2995" i="17"/>
  <c r="H2997" i="17"/>
  <c r="H2999" i="17"/>
  <c r="H3001" i="17"/>
  <c r="H3003" i="17"/>
  <c r="H3005" i="17"/>
  <c r="H3007" i="17"/>
  <c r="H3011" i="17"/>
  <c r="H3013" i="17"/>
  <c r="H3017" i="17"/>
  <c r="H3018" i="17" s="1"/>
  <c r="H3020" i="17"/>
  <c r="H3023" i="17"/>
  <c r="H3025" i="17"/>
  <c r="H3027" i="17"/>
  <c r="H3029" i="17"/>
  <c r="H3031" i="17"/>
  <c r="H3033" i="17"/>
  <c r="H3034" i="17" s="1"/>
  <c r="H3035" i="17"/>
  <c r="H3036" i="17"/>
  <c r="H3037" i="17"/>
  <c r="H3039" i="17"/>
  <c r="H3041" i="17"/>
  <c r="H3044" i="17"/>
  <c r="H3045" i="17"/>
  <c r="H3046" i="17"/>
  <c r="H3047" i="17"/>
  <c r="H3048" i="17"/>
  <c r="H3049" i="17"/>
  <c r="H3052" i="17"/>
  <c r="H3054" i="17"/>
  <c r="H3056" i="17"/>
  <c r="H3058" i="17"/>
  <c r="H3060" i="17"/>
  <c r="H3062" i="17"/>
  <c r="H3064" i="17"/>
  <c r="H3066" i="17"/>
  <c r="H3072" i="17"/>
  <c r="H3074" i="17"/>
  <c r="H3076" i="17"/>
  <c r="H3079" i="17"/>
  <c r="H3080" i="17" s="1"/>
  <c r="H3081" i="17"/>
  <c r="H3084" i="17"/>
  <c r="H3087" i="17"/>
  <c r="H3091" i="17"/>
  <c r="H3092" i="17"/>
  <c r="H3093" i="17"/>
  <c r="H3096" i="17"/>
  <c r="H3101" i="17"/>
  <c r="H3102" i="17" s="1"/>
  <c r="H3105" i="17"/>
  <c r="H3108" i="17"/>
  <c r="H3115" i="17"/>
  <c r="H3116" i="17" s="1"/>
  <c r="H3117" i="17"/>
  <c r="H3119" i="17"/>
  <c r="H3122" i="17"/>
  <c r="H3123" i="17" s="1"/>
  <c r="H3124" i="17"/>
  <c r="H3127" i="17"/>
  <c r="H3138" i="17"/>
  <c r="H3140" i="17"/>
  <c r="H3142" i="17"/>
  <c r="H3145" i="17"/>
  <c r="H3147" i="17"/>
  <c r="H3149" i="17"/>
  <c r="H3151" i="17"/>
  <c r="H3152" i="17"/>
  <c r="H3153" i="17"/>
  <c r="H3157" i="17"/>
  <c r="H3159" i="17"/>
  <c r="H3166" i="17"/>
  <c r="H3169" i="17"/>
  <c r="H3179" i="17"/>
  <c r="H3187" i="17"/>
  <c r="H3190" i="17"/>
  <c r="H3199" i="17"/>
  <c r="H3202" i="17"/>
  <c r="H3203" i="17"/>
  <c r="H3204" i="17" s="1"/>
  <c r="H3206" i="17"/>
  <c r="H3210" i="17"/>
  <c r="H3211" i="17"/>
  <c r="H3212" i="17" s="1"/>
  <c r="H3213" i="17"/>
  <c r="H3214" i="17" s="1"/>
  <c r="H3219" i="17"/>
  <c r="H3220" i="17" s="1"/>
  <c r="H3224" i="17"/>
  <c r="H3227" i="17"/>
  <c r="H3229" i="17"/>
  <c r="H3231" i="17"/>
  <c r="H3233" i="17"/>
  <c r="H3236" i="17"/>
  <c r="H3243" i="17"/>
  <c r="H3244" i="17" s="1"/>
  <c r="H3246" i="17"/>
  <c r="H3247" i="17"/>
  <c r="H3248" i="17" s="1"/>
  <c r="H3250" i="17"/>
  <c r="H3252" i="17"/>
  <c r="H3254" i="17"/>
  <c r="H3257" i="17"/>
  <c r="H3258" i="17" s="1"/>
  <c r="H3259" i="17"/>
  <c r="H3260" i="17" s="1"/>
  <c r="H3262" i="17"/>
  <c r="H3264" i="17"/>
  <c r="H3266" i="17"/>
  <c r="H3276" i="17"/>
  <c r="H3278" i="17"/>
  <c r="H3284" i="17"/>
  <c r="H3287" i="17"/>
  <c r="H3290" i="17"/>
  <c r="H3293" i="17"/>
  <c r="H3296" i="17"/>
  <c r="H3299" i="17"/>
  <c r="H3302" i="17"/>
  <c r="H3305" i="17"/>
  <c r="H3308" i="17"/>
  <c r="H3311" i="17"/>
  <c r="H3314" i="17"/>
  <c r="H3317" i="17"/>
  <c r="H3320" i="17"/>
  <c r="H3323" i="17"/>
  <c r="H3326" i="17"/>
  <c r="H3329" i="17"/>
  <c r="H3332" i="17"/>
  <c r="H3335" i="17"/>
  <c r="H3338" i="17"/>
  <c r="H3341" i="17"/>
  <c r="H3344" i="17"/>
  <c r="H3347" i="17"/>
  <c r="H3350" i="17"/>
  <c r="H3353" i="17"/>
  <c r="H3356" i="17"/>
  <c r="H3359" i="17"/>
  <c r="H3362" i="17"/>
  <c r="H3365" i="17"/>
  <c r="H3368" i="17"/>
  <c r="H3371" i="17"/>
  <c r="H3374" i="17"/>
  <c r="H3377" i="17"/>
  <c r="H3380" i="17"/>
  <c r="H3383" i="17"/>
  <c r="H3386" i="17"/>
  <c r="H3389" i="17"/>
  <c r="H3392" i="17"/>
  <c r="H3395" i="17"/>
  <c r="H3398" i="17"/>
  <c r="H3401" i="17"/>
  <c r="H3404" i="17"/>
  <c r="H3407" i="17"/>
  <c r="H3410" i="17"/>
  <c r="H3422" i="17"/>
  <c r="H3425" i="17"/>
  <c r="H3428" i="17"/>
  <c r="H3431" i="17"/>
  <c r="H3434" i="17"/>
  <c r="H3437" i="17"/>
  <c r="H3440" i="17"/>
  <c r="H3443" i="17"/>
  <c r="H3446" i="17"/>
  <c r="H3449" i="17"/>
  <c r="H3452" i="17"/>
  <c r="H3455" i="17"/>
  <c r="H3458" i="17"/>
  <c r="H3461" i="17"/>
  <c r="H3464" i="17"/>
  <c r="H3467" i="17"/>
  <c r="H3470" i="17"/>
  <c r="H3473" i="17"/>
  <c r="H3476" i="17"/>
  <c r="H3479" i="17"/>
  <c r="H3482" i="17"/>
  <c r="H3485" i="17"/>
  <c r="H3488" i="17"/>
  <c r="H3491" i="17"/>
  <c r="H3497" i="17"/>
  <c r="H3500" i="17"/>
  <c r="H3503" i="17"/>
  <c r="M3503" i="17"/>
  <c r="M3504" i="17" s="1"/>
  <c r="H3506" i="17"/>
  <c r="H3509" i="17"/>
  <c r="H3512" i="17"/>
  <c r="H3515" i="17"/>
  <c r="H3518" i="17"/>
  <c r="H3521" i="17"/>
  <c r="H3524" i="17"/>
  <c r="P3524" i="17"/>
  <c r="P3525" i="17" s="1"/>
  <c r="H3527" i="17"/>
  <c r="H3528" i="17" s="1"/>
  <c r="H3531" i="17"/>
  <c r="H3533" i="17" s="1"/>
  <c r="H3534" i="17"/>
  <c r="H3535" i="17" s="1"/>
  <c r="H3540" i="17"/>
  <c r="H3541" i="17" s="1"/>
  <c r="H3542" i="17"/>
  <c r="H3543" i="17"/>
  <c r="H3544" i="17"/>
  <c r="H3546" i="17"/>
  <c r="H3551" i="17"/>
  <c r="H3552" i="17" s="1"/>
  <c r="H3558" i="17"/>
  <c r="H3563" i="17"/>
  <c r="H3564" i="17" s="1"/>
  <c r="H3566" i="17"/>
  <c r="H3568" i="17"/>
  <c r="H3570" i="17"/>
  <c r="H3575" i="17"/>
  <c r="H3579" i="17"/>
  <c r="H3582" i="17"/>
  <c r="H3583" i="17" s="1"/>
  <c r="H3584" i="17"/>
  <c r="H3585" i="17" s="1"/>
  <c r="H3586" i="17"/>
  <c r="H3587" i="17" s="1"/>
  <c r="H3589" i="17"/>
  <c r="H3591" i="17"/>
  <c r="H3593" i="17"/>
  <c r="H3596" i="17"/>
  <c r="H3599" i="17"/>
  <c r="H3602" i="17"/>
  <c r="H3608" i="17"/>
  <c r="H3611" i="17"/>
  <c r="H3614" i="17"/>
  <c r="H3617" i="17"/>
  <c r="H3620" i="17"/>
  <c r="H3623" i="17"/>
  <c r="H3626" i="17"/>
  <c r="H3629" i="17"/>
  <c r="H3632" i="17"/>
  <c r="H3633" i="17" s="1"/>
  <c r="H3635" i="17"/>
  <c r="H3637" i="17"/>
  <c r="H3639" i="17"/>
  <c r="H3654" i="17"/>
  <c r="H3657" i="17"/>
  <c r="H3658" i="17" s="1"/>
  <c r="H3662" i="17"/>
  <c r="H3665" i="17"/>
  <c r="H3667" i="17"/>
  <c r="H3670" i="17"/>
  <c r="H3672" i="17"/>
  <c r="H3675" i="17"/>
  <c r="H3692" i="17"/>
  <c r="H3695" i="17"/>
  <c r="H3698" i="17"/>
  <c r="H3701" i="17"/>
  <c r="I3702" i="17"/>
  <c r="H3704" i="17"/>
  <c r="H3705" i="17"/>
  <c r="H3706" i="17"/>
  <c r="H3707" i="17"/>
  <c r="H3708" i="17"/>
  <c r="H3709" i="17"/>
  <c r="H3712" i="17"/>
  <c r="H3713" i="17"/>
  <c r="H3714" i="17" s="1"/>
  <c r="H3716" i="17"/>
  <c r="H3718" i="17"/>
  <c r="H3720" i="17"/>
  <c r="H3722" i="17"/>
  <c r="H3724" i="17"/>
  <c r="H3727" i="17"/>
  <c r="H3728" i="17" s="1"/>
  <c r="H3729" i="17"/>
  <c r="H3730" i="17" s="1"/>
  <c r="H3731" i="17"/>
  <c r="H3732" i="17" s="1"/>
  <c r="H3735" i="17"/>
  <c r="H3737" i="17"/>
  <c r="H3739" i="17"/>
  <c r="H3740" i="17"/>
  <c r="H3741" i="17" s="1"/>
  <c r="H3745" i="17"/>
  <c r="H3748" i="17"/>
  <c r="H3749" i="17"/>
  <c r="H3750" i="17"/>
  <c r="H3751" i="17"/>
  <c r="H3752" i="17"/>
  <c r="H3753" i="17"/>
  <c r="H3756" i="17"/>
  <c r="H3759" i="17"/>
  <c r="H3760" i="17" s="1"/>
  <c r="H3762" i="17"/>
  <c r="H3764" i="17"/>
  <c r="H3766" i="17"/>
  <c r="H3769" i="17"/>
  <c r="H3772" i="17"/>
  <c r="H3778" i="17"/>
  <c r="H3779" i="17"/>
  <c r="H3780" i="17" s="1"/>
  <c r="H3782" i="17"/>
  <c r="H3784" i="17"/>
  <c r="H3786" i="17"/>
  <c r="H3788" i="17"/>
  <c r="H3790" i="17"/>
  <c r="H3795" i="17"/>
  <c r="H3796" i="17"/>
  <c r="H3797" i="17" s="1"/>
  <c r="H3799" i="17"/>
  <c r="H3801" i="17"/>
  <c r="H3807" i="17"/>
  <c r="H3810" i="17"/>
  <c r="H3813" i="17"/>
  <c r="H3814" i="17" s="1"/>
  <c r="H3815" i="17"/>
  <c r="H3817" i="17"/>
  <c r="H3820" i="17"/>
  <c r="H3823" i="17"/>
  <c r="H3826" i="17"/>
  <c r="H3829" i="17"/>
  <c r="H3832" i="17"/>
  <c r="H3835" i="17"/>
  <c r="H3838" i="17"/>
  <c r="H3841" i="17"/>
  <c r="H3844" i="17"/>
  <c r="H3847" i="17"/>
  <c r="H3850" i="17"/>
  <c r="H3853" i="17"/>
  <c r="H3856" i="17"/>
  <c r="H3859" i="17"/>
  <c r="H3862" i="17"/>
  <c r="H3867" i="17"/>
  <c r="H3865" i="17" s="1"/>
  <c r="H3866" i="17" s="1"/>
  <c r="H3868" i="17"/>
  <c r="H3870" i="17"/>
  <c r="H3875" i="17"/>
  <c r="H3876" i="17" s="1"/>
  <c r="H3878" i="17"/>
  <c r="H3882" i="17"/>
  <c r="H3883" i="17"/>
  <c r="H3881" i="17" s="1"/>
  <c r="H3884" i="17"/>
  <c r="H3886" i="17"/>
  <c r="H3889" i="17"/>
  <c r="H3890" i="17" s="1"/>
  <c r="H3894" i="17"/>
  <c r="H3897" i="17"/>
  <c r="H3899" i="17"/>
  <c r="H3902" i="17"/>
  <c r="H3903" i="17" s="1"/>
  <c r="H3905" i="17"/>
  <c r="H3908" i="17"/>
  <c r="H3911" i="17"/>
  <c r="H3912" i="17" s="1"/>
  <c r="H3914" i="17"/>
  <c r="H3917" i="17"/>
  <c r="H3920" i="17"/>
  <c r="H3921" i="17" s="1"/>
  <c r="H3924" i="17"/>
  <c r="H3923" i="17" s="1"/>
  <c r="H3925" i="17" s="1"/>
  <c r="H3928" i="17"/>
  <c r="H3931" i="17"/>
  <c r="H3932" i="17"/>
  <c r="H3933" i="17"/>
  <c r="H3934" i="17"/>
  <c r="H3935" i="17"/>
  <c r="H3936" i="17"/>
  <c r="H3939" i="17"/>
  <c r="H3942" i="17"/>
  <c r="H3943" i="17" s="1"/>
  <c r="H3945" i="17"/>
  <c r="H3946" i="17" s="1"/>
  <c r="H3948" i="17"/>
  <c r="H3950" i="17"/>
  <c r="H3952" i="17"/>
  <c r="H3953" i="17" s="1"/>
  <c r="H3955" i="17"/>
  <c r="H3957" i="17"/>
  <c r="H3959" i="17"/>
  <c r="H3962" i="17"/>
  <c r="H3963" i="17" s="1"/>
  <c r="H3965" i="17"/>
  <c r="H3966" i="17" s="1"/>
  <c r="H3968" i="17"/>
  <c r="H3970" i="17"/>
  <c r="H3971" i="17" s="1"/>
  <c r="H3973" i="17"/>
  <c r="H3975" i="17"/>
  <c r="H3977" i="17"/>
  <c r="H3980" i="17"/>
  <c r="H3983" i="17"/>
  <c r="H3987" i="17"/>
  <c r="H3990" i="17"/>
  <c r="H3992" i="17"/>
  <c r="H3996" i="17"/>
  <c r="H3997" i="17" s="1"/>
  <c r="H3998" i="17"/>
  <c r="H4002" i="17"/>
  <c r="H4005" i="17"/>
  <c r="H4008" i="17"/>
  <c r="H4011" i="17"/>
  <c r="H4017" i="17"/>
  <c r="H4020" i="17"/>
  <c r="H4025" i="17"/>
  <c r="H4027" i="17"/>
  <c r="H4028" i="17" s="1"/>
  <c r="H4030" i="17"/>
  <c r="H4036" i="17"/>
  <c r="H4039" i="17"/>
  <c r="H4045" i="17"/>
  <c r="H4043" i="17" s="1"/>
  <c r="H4046" i="17"/>
  <c r="H4048" i="17"/>
  <c r="H4051" i="17"/>
  <c r="H4054" i="17"/>
  <c r="H4052" i="17" s="1"/>
  <c r="H4055" i="17"/>
  <c r="H4057" i="17"/>
  <c r="H4060" i="17"/>
  <c r="H4063" i="17"/>
  <c r="H4066" i="17"/>
  <c r="H4070" i="17"/>
  <c r="H4071" i="17" s="1"/>
  <c r="H4074" i="17"/>
  <c r="H4073" i="17" s="1"/>
  <c r="H4075" i="17" s="1"/>
  <c r="H4076" i="17" s="1"/>
  <c r="H4078" i="17"/>
  <c r="H4083" i="17"/>
  <c r="H4084" i="17" s="1"/>
  <c r="H4086" i="17"/>
  <c r="H4089" i="17"/>
  <c r="H4090" i="17" s="1"/>
  <c r="H4093" i="17"/>
  <c r="H4092" i="17" s="1"/>
  <c r="H4094" i="17" s="1"/>
  <c r="H4095" i="17" s="1"/>
  <c r="H4097" i="17"/>
  <c r="H4100" i="17"/>
  <c r="H4103" i="17"/>
  <c r="H4106" i="17"/>
  <c r="H4109" i="17"/>
  <c r="H4112" i="17"/>
  <c r="H4115" i="17"/>
  <c r="H4118" i="17"/>
  <c r="H4121" i="17"/>
  <c r="H4124" i="17"/>
  <c r="H4127" i="17"/>
  <c r="H4130" i="17"/>
  <c r="H4131" i="17"/>
  <c r="H4134" i="17"/>
  <c r="H4132" i="17" s="1"/>
  <c r="H4133" i="17" s="1"/>
  <c r="H4135" i="17"/>
  <c r="H4137" i="17"/>
  <c r="H4139" i="17"/>
  <c r="H4141" i="17"/>
  <c r="H4143" i="17"/>
  <c r="H4145" i="17"/>
  <c r="H4147" i="17"/>
  <c r="H4148" i="17"/>
  <c r="H4149" i="17"/>
  <c r="H4151" i="17"/>
  <c r="H4154" i="17"/>
  <c r="H4155" i="17" s="1"/>
  <c r="H4158" i="17"/>
  <c r="H4161" i="17"/>
  <c r="H4163" i="17"/>
  <c r="H4164" i="17"/>
  <c r="H4165" i="17" s="1"/>
  <c r="H4167" i="17"/>
  <c r="H4170" i="17"/>
  <c r="H4171" i="17"/>
  <c r="H4173" i="17"/>
  <c r="H4176" i="17"/>
  <c r="H4179" i="17"/>
  <c r="H4180" i="17"/>
  <c r="H4182" i="17"/>
  <c r="H4185" i="17"/>
  <c r="H4187" i="17"/>
  <c r="H4190" i="17"/>
  <c r="H4193" i="17"/>
  <c r="H4196" i="17"/>
  <c r="H4199" i="17"/>
  <c r="H4202" i="17"/>
  <c r="H4205" i="17"/>
  <c r="H4210" i="17"/>
  <c r="H4213" i="17"/>
  <c r="H4214" i="17"/>
  <c r="H4216" i="17"/>
  <c r="H4218" i="17"/>
  <c r="H4221" i="17"/>
  <c r="H4228" i="17"/>
  <c r="H4232" i="17"/>
  <c r="H4235" i="17"/>
  <c r="H4237" i="17"/>
  <c r="H4239" i="17"/>
  <c r="H4240" i="17" s="1"/>
  <c r="H4243" i="17"/>
  <c r="H4242" i="17" s="1"/>
  <c r="H4244" i="17" s="1"/>
  <c r="H4247" i="17"/>
  <c r="H4249" i="17"/>
  <c r="H4252" i="17"/>
  <c r="H4255" i="17"/>
  <c r="H4256" i="17" s="1"/>
  <c r="H4257" i="17"/>
  <c r="H4259" i="17"/>
  <c r="H4262" i="17"/>
  <c r="H4263" i="17" s="1"/>
  <c r="H4264" i="17"/>
  <c r="H4269" i="17"/>
  <c r="H4272" i="17"/>
  <c r="H4275" i="17"/>
  <c r="H4278" i="17"/>
  <c r="H4281" i="17"/>
  <c r="H4283" i="17"/>
  <c r="H4284" i="17" s="1"/>
  <c r="H4285" i="17"/>
  <c r="H4286" i="17" s="1"/>
  <c r="H4287" i="17"/>
  <c r="H4288" i="17" s="1"/>
  <c r="H4291" i="17"/>
  <c r="H4294" i="17"/>
  <c r="H4297" i="17"/>
  <c r="H4303" i="17"/>
  <c r="H4304" i="17" s="1"/>
  <c r="H4307" i="17"/>
  <c r="H4308" i="17" s="1"/>
  <c r="H4310" i="17"/>
  <c r="H4313" i="17"/>
  <c r="H4314" i="17" s="1"/>
  <c r="H4316" i="17"/>
  <c r="H4319" i="17"/>
  <c r="H4321" i="17"/>
  <c r="H4325" i="17"/>
  <c r="H4328" i="17"/>
  <c r="H4331" i="17"/>
  <c r="H4332" i="17" s="1"/>
  <c r="H4334" i="17"/>
  <c r="H4337" i="17"/>
  <c r="H4338" i="17"/>
  <c r="H4341" i="17"/>
  <c r="H4339" i="17" s="1"/>
  <c r="H4340" i="17" s="1"/>
  <c r="H4342" i="17"/>
  <c r="H4344" i="17"/>
  <c r="H4346" i="17"/>
  <c r="H4348" i="17"/>
  <c r="H4350" i="17"/>
  <c r="H4353" i="17"/>
  <c r="H4356" i="17"/>
  <c r="H4359" i="17"/>
  <c r="H4362" i="17"/>
  <c r="H4365" i="17"/>
  <c r="H4368" i="17"/>
  <c r="H4369" i="17" s="1"/>
  <c r="H4372" i="17"/>
  <c r="H4375" i="17"/>
  <c r="H4377" i="17"/>
  <c r="H4382" i="17"/>
  <c r="H4385" i="17"/>
  <c r="H4388" i="17"/>
  <c r="H4392" i="17"/>
  <c r="H4396" i="17"/>
  <c r="H4397" i="17"/>
  <c r="H4398" i="17" s="1"/>
  <c r="H4399" i="17"/>
  <c r="H4400" i="17"/>
  <c r="H4401" i="17"/>
  <c r="H4403" i="17"/>
  <c r="H4404" i="17"/>
  <c r="H4406" i="17"/>
  <c r="H4408" i="17"/>
  <c r="H4410" i="17"/>
  <c r="H4412" i="17"/>
  <c r="H4414" i="17"/>
  <c r="H4418" i="17"/>
  <c r="H4420" i="17"/>
  <c r="H4422" i="17"/>
  <c r="H4424" i="17"/>
  <c r="H4426" i="17"/>
  <c r="H4429" i="17"/>
  <c r="H4432" i="17"/>
  <c r="H4435" i="17"/>
  <c r="H4438" i="17"/>
  <c r="H4443" i="17"/>
  <c r="H4452" i="17"/>
  <c r="H4453" i="17"/>
  <c r="H4454" i="17"/>
  <c r="H4456" i="17"/>
  <c r="H4459" i="17"/>
  <c r="H4460" i="17"/>
  <c r="H4461" i="17"/>
  <c r="H4463" i="17"/>
  <c r="H4466" i="17"/>
  <c r="H4467" i="17"/>
  <c r="H4468" i="17"/>
  <c r="H4470" i="17"/>
  <c r="H4473" i="17"/>
  <c r="H4474" i="17"/>
  <c r="H4475" i="17"/>
  <c r="H4477" i="17"/>
  <c r="H4480" i="17"/>
  <c r="H4481" i="17"/>
  <c r="H4482" i="17"/>
  <c r="H4485" i="17"/>
  <c r="H4489" i="17"/>
  <c r="H4490" i="17"/>
  <c r="H4491" i="17" s="1"/>
  <c r="H4494" i="17"/>
  <c r="H4495" i="17" s="1"/>
  <c r="H4505" i="17"/>
  <c r="H4506" i="17" s="1"/>
  <c r="H4507" i="17"/>
  <c r="H4508" i="17" s="1"/>
  <c r="H4509" i="17"/>
  <c r="H4510" i="17" s="1"/>
  <c r="H4513" i="17"/>
  <c r="H4518" i="17"/>
  <c r="H4526" i="17"/>
  <c r="H4532" i="17"/>
  <c r="H4536" i="17"/>
  <c r="H4537" i="17"/>
  <c r="H4538" i="17"/>
  <c r="H4540" i="17"/>
  <c r="H4541" i="17"/>
  <c r="H4542" i="17"/>
  <c r="H4544" i="17"/>
  <c r="H4549" i="17"/>
  <c r="H4550" i="17"/>
  <c r="H4553" i="17"/>
  <c r="H4554" i="17"/>
  <c r="H4555" i="17" s="1"/>
  <c r="H4562" i="17"/>
  <c r="H4563" i="17" s="1"/>
  <c r="H4568" i="17"/>
  <c r="H4569" i="17"/>
  <c r="H4570" i="17"/>
  <c r="H4571" i="17"/>
  <c r="H4572" i="17"/>
  <c r="H4574" i="17"/>
  <c r="H4580" i="17"/>
  <c r="H4581" i="17" s="1"/>
  <c r="H4582" i="17"/>
  <c r="H4584" i="17"/>
  <c r="H4586" i="17"/>
  <c r="H4588" i="17"/>
  <c r="H4593" i="17"/>
  <c r="H4596" i="17"/>
  <c r="H4600" i="17"/>
  <c r="H4602" i="17"/>
  <c r="H4603" i="17" s="1"/>
  <c r="H4604" i="17"/>
  <c r="H4609" i="17"/>
  <c r="H4610" i="17" s="1"/>
  <c r="H4611" i="17"/>
  <c r="H4612" i="17" s="1"/>
  <c r="H4613" i="17"/>
  <c r="H4614" i="17" s="1"/>
  <c r="H4616" i="17"/>
  <c r="H4621" i="17"/>
  <c r="H4619" i="17" s="1"/>
  <c r="H4620" i="17" s="1"/>
  <c r="H4622" i="17"/>
  <c r="H4627" i="17"/>
  <c r="H4628" i="17"/>
  <c r="H4630" i="17"/>
  <c r="H4632" i="17"/>
  <c r="H4634" i="17"/>
  <c r="H4640" i="17"/>
  <c r="H4643" i="17"/>
  <c r="H4647" i="17"/>
  <c r="H4649" i="17"/>
  <c r="H4648" i="17" s="1"/>
  <c r="H4650" i="17" s="1"/>
  <c r="H4651" i="17" s="1"/>
  <c r="H4658" i="17"/>
  <c r="H4662" i="17"/>
  <c r="H4660" i="17" s="1"/>
  <c r="H4663" i="17"/>
  <c r="H4665" i="17"/>
  <c r="H4667" i="17"/>
  <c r="H4669" i="17"/>
  <c r="H4672" i="17"/>
  <c r="H4673" i="17"/>
  <c r="H4676" i="17"/>
  <c r="H4679" i="17"/>
  <c r="H4680" i="17"/>
  <c r="H4684" i="17"/>
  <c r="H4687" i="17"/>
  <c r="H4690" i="17"/>
  <c r="H4693" i="17"/>
  <c r="H4694" i="17"/>
  <c r="H4695" i="17"/>
  <c r="H4696" i="17"/>
  <c r="H4697" i="17"/>
  <c r="H4700" i="17"/>
  <c r="H4701" i="17"/>
  <c r="H4702" i="17"/>
  <c r="H4703" i="17"/>
  <c r="H4705" i="17"/>
  <c r="H4706" i="17" s="1"/>
  <c r="H4707" i="17"/>
  <c r="H4712" i="17"/>
  <c r="H4713" i="17"/>
  <c r="H4714" i="17"/>
  <c r="H4717" i="17"/>
  <c r="H4723" i="17"/>
  <c r="H4724" i="17"/>
  <c r="H4726" i="17"/>
  <c r="H4730" i="17"/>
  <c r="H4731" i="17" s="1"/>
  <c r="H4732" i="17"/>
  <c r="H4735" i="17"/>
  <c r="H4736" i="17" s="1"/>
  <c r="H4738" i="17"/>
  <c r="H4741" i="17"/>
  <c r="H4742" i="17"/>
  <c r="H4744" i="17"/>
  <c r="H4754" i="17"/>
  <c r="H4756" i="17" s="1"/>
  <c r="H4758" i="17"/>
  <c r="H4760" i="17"/>
  <c r="H4761" i="17"/>
  <c r="H4762" i="17" s="1"/>
  <c r="H4767" i="17"/>
  <c r="H4769" i="17"/>
  <c r="H4777" i="17"/>
  <c r="H4780" i="17"/>
  <c r="H4783" i="17"/>
  <c r="H4784" i="17"/>
  <c r="H4785" i="17"/>
  <c r="H4786" i="17"/>
  <c r="H4787" i="17"/>
  <c r="H4788" i="17"/>
  <c r="H4789" i="17"/>
  <c r="H4790" i="17" s="1"/>
  <c r="H4792" i="17"/>
  <c r="H4796" i="17"/>
  <c r="H4797" i="17" s="1"/>
  <c r="H4799" i="17"/>
  <c r="H4801" i="17"/>
  <c r="H4804" i="17"/>
  <c r="H4806" i="17"/>
  <c r="H4807" i="17" s="1"/>
  <c r="H4809" i="17"/>
  <c r="H4811" i="17"/>
  <c r="H4812" i="17"/>
  <c r="H4814" i="17"/>
  <c r="H4816" i="17"/>
  <c r="H4818" i="17"/>
  <c r="H4819" i="17"/>
  <c r="H4820" i="17" s="1"/>
  <c r="H4822" i="17"/>
  <c r="H4825" i="17"/>
  <c r="H4827" i="17" s="1"/>
  <c r="H4828" i="17"/>
  <c r="H4829" i="17" s="1"/>
  <c r="H4830" i="17"/>
  <c r="H4831" i="17"/>
  <c r="H4834" i="17"/>
  <c r="H4837" i="17"/>
  <c r="H4838" i="17"/>
  <c r="H4840" i="17"/>
  <c r="H4844" i="17"/>
  <c r="H4845" i="17" s="1"/>
  <c r="H4849" i="17"/>
  <c r="H4852" i="17"/>
  <c r="H4854" i="17"/>
  <c r="H4856" i="17"/>
  <c r="H4858" i="17"/>
  <c r="H4859" i="17" s="1"/>
  <c r="H4861" i="17"/>
  <c r="H4863" i="17"/>
  <c r="H4864" i="17"/>
  <c r="H4866" i="17"/>
  <c r="H4867" i="17"/>
  <c r="H4868" i="17" s="1"/>
  <c r="H4870" i="17"/>
  <c r="H4874" i="17"/>
  <c r="H4876" i="17"/>
  <c r="H4877" i="17" s="1"/>
  <c r="H4879" i="17"/>
  <c r="H4883" i="17"/>
  <c r="H4887" i="17"/>
  <c r="H4890" i="17"/>
  <c r="H4893" i="17"/>
  <c r="H4898" i="17"/>
  <c r="H4899" i="17"/>
  <c r="H4900" i="17" s="1"/>
  <c r="H4901" i="17"/>
  <c r="H4902" i="17" s="1"/>
  <c r="H4905" i="17"/>
  <c r="H4906" i="17" s="1"/>
  <c r="H4909" i="17"/>
  <c r="H4912" i="17"/>
  <c r="H4914" i="17"/>
  <c r="H4916" i="17"/>
  <c r="H4918" i="17"/>
  <c r="H4920" i="17"/>
  <c r="H4921" i="17" s="1"/>
  <c r="H4923" i="17"/>
  <c r="H4924" i="17" s="1"/>
  <c r="H4926" i="17"/>
  <c r="H4928" i="17"/>
  <c r="H4930" i="17"/>
  <c r="H4932" i="17"/>
  <c r="H4934" i="17"/>
  <c r="H4936" i="17"/>
  <c r="H4938" i="17"/>
  <c r="H4940" i="17"/>
  <c r="H4952" i="17"/>
  <c r="H4954" i="17"/>
  <c r="H4958" i="17"/>
  <c r="H4959" i="17"/>
  <c r="H4960" i="17" s="1"/>
  <c r="H4965" i="17"/>
  <c r="H4967" i="17"/>
  <c r="H4968" i="17"/>
  <c r="H4970" i="17"/>
  <c r="H4972" i="17"/>
  <c r="H4973" i="17"/>
  <c r="H4974" i="17"/>
  <c r="H4976" i="17"/>
  <c r="H4978" i="17"/>
  <c r="H4979" i="17" s="1"/>
  <c r="H4980" i="17"/>
  <c r="H4981" i="17" s="1"/>
  <c r="H4982" i="17"/>
  <c r="H4983" i="17" s="1"/>
  <c r="H4985" i="17"/>
  <c r="H4987" i="17"/>
  <c r="H4989" i="17"/>
  <c r="H4991" i="17"/>
  <c r="H4993" i="17"/>
  <c r="H4994" i="17"/>
  <c r="H4995" i="17" s="1"/>
  <c r="H4998" i="17"/>
  <c r="H4999" i="17" s="1"/>
  <c r="H5000" i="17"/>
  <c r="H5001" i="17"/>
  <c r="H5003" i="17"/>
  <c r="H5004" i="17" s="1"/>
  <c r="H5006" i="17"/>
  <c r="H5010" i="17"/>
  <c r="H5015" i="17"/>
  <c r="H5016" i="17"/>
  <c r="H5017" i="17" s="1"/>
  <c r="H5022" i="17"/>
  <c r="H5023" i="17"/>
  <c r="H5024" i="17" s="1"/>
  <c r="H5025" i="17"/>
  <c r="H5026" i="17" s="1"/>
  <c r="H5030" i="17"/>
  <c r="H5032" i="17"/>
  <c r="H5033" i="17" s="1"/>
  <c r="H5035" i="17"/>
  <c r="H5037" i="17"/>
  <c r="H5039" i="17"/>
  <c r="H5042" i="17"/>
  <c r="H5043" i="17"/>
  <c r="H5044" i="17" s="1"/>
  <c r="H5046" i="17"/>
  <c r="H5049" i="17"/>
  <c r="H5051" i="17"/>
  <c r="H5053" i="17"/>
  <c r="H5055" i="17"/>
  <c r="H5056" i="17"/>
  <c r="H5057" i="17" s="1"/>
  <c r="H5059" i="17"/>
  <c r="H5061" i="17"/>
  <c r="H5062" i="17"/>
  <c r="H5063" i="17" s="1"/>
  <c r="H5075" i="17"/>
  <c r="H5078" i="17"/>
  <c r="H5080" i="17"/>
  <c r="H5082" i="17"/>
  <c r="H5084" i="17"/>
  <c r="H5086" i="17"/>
  <c r="H5088" i="17"/>
  <c r="H5090" i="17"/>
  <c r="H5092" i="17"/>
  <c r="H5094" i="17"/>
  <c r="H5098" i="17"/>
  <c r="H5100" i="17"/>
  <c r="H5102" i="17"/>
  <c r="H5104" i="17"/>
  <c r="H5106" i="17"/>
  <c r="H5108" i="17"/>
  <c r="H5112" i="17"/>
  <c r="H5114" i="17"/>
  <c r="H5120" i="17"/>
  <c r="H5118" i="17" s="1"/>
  <c r="H5121" i="17"/>
  <c r="H5123" i="17"/>
  <c r="H5124" i="17"/>
  <c r="H5126" i="17"/>
  <c r="H5127" i="17"/>
  <c r="H5128" i="17"/>
  <c r="H5130" i="17"/>
  <c r="H5131" i="17"/>
  <c r="H5132" i="17"/>
  <c r="H5134" i="17"/>
  <c r="H5136" i="17"/>
  <c r="H5138" i="17"/>
  <c r="H5140" i="17"/>
  <c r="H5142" i="17"/>
  <c r="H5143" i="17"/>
  <c r="H5145" i="17"/>
  <c r="H5147" i="17"/>
  <c r="H5149" i="17"/>
  <c r="H5150" i="17"/>
  <c r="H5151" i="17" s="1"/>
  <c r="H5153" i="17"/>
  <c r="H5155" i="17"/>
  <c r="H5157" i="17"/>
  <c r="H5159" i="17"/>
  <c r="H5161" i="17"/>
  <c r="H5162" i="17"/>
  <c r="H5163" i="17" s="1"/>
  <c r="H5165" i="17"/>
  <c r="H5167" i="17"/>
  <c r="H5169" i="17"/>
  <c r="H5170" i="17" s="1"/>
  <c r="H5173" i="17"/>
  <c r="H5178" i="17"/>
  <c r="H5183" i="17"/>
  <c r="H5186" i="17"/>
  <c r="H5196" i="17"/>
  <c r="H5198" i="17"/>
  <c r="H5200" i="17"/>
  <c r="H5202" i="17"/>
  <c r="H5207" i="17"/>
  <c r="H5211" i="17"/>
  <c r="H5215" i="17"/>
  <c r="H5216" i="17"/>
  <c r="H5217" i="17" s="1"/>
  <c r="H5219" i="17"/>
  <c r="H5224" i="17"/>
  <c r="H5228" i="17"/>
  <c r="O5228" i="17"/>
  <c r="H5229" i="17"/>
  <c r="O5229" i="17"/>
  <c r="H5233" i="17"/>
  <c r="H5230" i="17" s="1"/>
  <c r="O5233" i="17"/>
  <c r="O5231" i="17" s="1"/>
  <c r="H5234" i="17"/>
  <c r="O5234" i="17"/>
  <c r="O5236" i="17"/>
  <c r="H5237" i="17"/>
  <c r="H5238" i="17" s="1"/>
  <c r="H5240" i="17"/>
  <c r="H5242" i="17"/>
  <c r="H5244" i="17"/>
  <c r="H5246" i="17"/>
  <c r="H5247" i="17"/>
  <c r="H5248" i="17" s="1"/>
  <c r="H5250" i="17"/>
  <c r="H5252" i="17"/>
  <c r="H5254" i="17"/>
  <c r="H5256" i="17"/>
  <c r="H5257" i="17" s="1"/>
  <c r="H5258" i="17"/>
  <c r="H5261" i="17"/>
  <c r="H5263" i="17"/>
  <c r="H5267" i="17"/>
  <c r="H5269" i="17"/>
  <c r="H5278" i="17"/>
  <c r="H5280" i="17"/>
  <c r="H5282" i="17"/>
  <c r="H5284" i="17"/>
  <c r="H5286" i="17"/>
  <c r="H5288" i="17"/>
  <c r="H5292" i="17"/>
  <c r="H5294" i="17"/>
  <c r="H5300" i="17"/>
  <c r="H5301" i="17"/>
  <c r="H5302" i="17" s="1"/>
  <c r="H5304" i="17"/>
  <c r="H5305" i="17"/>
  <c r="H5306" i="17" s="1"/>
  <c r="H5308" i="17"/>
  <c r="H5310" i="17"/>
  <c r="H5311" i="17"/>
  <c r="H5312" i="17" s="1"/>
  <c r="H5314" i="17"/>
  <c r="H5319" i="17"/>
  <c r="H5321" i="17"/>
  <c r="H5323" i="17"/>
  <c r="H5327" i="17"/>
  <c r="H5329" i="17"/>
  <c r="H5331" i="17"/>
  <c r="H5335" i="17"/>
  <c r="H5338" i="17"/>
  <c r="H5340" i="17"/>
  <c r="H5342" i="17"/>
  <c r="H5346" i="17"/>
  <c r="H5348" i="17"/>
  <c r="H5350" i="17"/>
  <c r="H5352" i="17"/>
  <c r="H5354" i="17"/>
  <c r="H5356" i="17"/>
  <c r="H5361" i="17"/>
  <c r="H5362" i="17" s="1"/>
  <c r="H5363" i="17"/>
  <c r="H5365" i="17"/>
  <c r="H5371" i="17"/>
  <c r="H5373" i="17"/>
  <c r="H5374" i="17" s="1"/>
  <c r="H5376" i="17"/>
  <c r="H5377" i="17" s="1"/>
  <c r="H5379" i="17"/>
  <c r="H5384" i="17"/>
  <c r="H5385" i="17" s="1"/>
  <c r="H5387" i="17"/>
  <c r="H5390" i="17"/>
  <c r="H5391" i="17"/>
  <c r="H5393" i="17"/>
  <c r="H5400" i="17"/>
  <c r="H5403" i="17"/>
  <c r="H5412" i="17"/>
  <c r="H5414" i="17"/>
  <c r="H5416" i="17"/>
  <c r="H5418" i="17"/>
  <c r="H5420" i="17"/>
  <c r="H5424" i="17"/>
  <c r="H5425" i="17"/>
  <c r="H5426" i="17"/>
  <c r="H5427" i="17"/>
  <c r="H5429" i="17"/>
  <c r="H5432" i="17"/>
  <c r="H5433" i="17"/>
  <c r="H5434" i="17"/>
  <c r="H5435" i="17"/>
  <c r="H5436" i="17"/>
  <c r="H5438" i="17"/>
  <c r="H5444" i="17"/>
  <c r="H5445" i="17" s="1"/>
  <c r="H5447" i="17"/>
  <c r="H5449" i="17"/>
  <c r="K5450" i="17"/>
  <c r="H5452" i="17"/>
  <c r="H5453" i="17"/>
  <c r="H5454" i="17" s="1"/>
  <c r="H5457" i="17"/>
  <c r="P5457" i="17"/>
  <c r="H5458" i="17"/>
  <c r="P5459" i="17"/>
  <c r="H5460" i="17"/>
  <c r="H5461" i="17" s="1"/>
  <c r="H5464" i="17"/>
  <c r="H5466" i="17"/>
  <c r="H5470" i="17"/>
  <c r="H5471" i="17"/>
  <c r="H5472" i="17" s="1"/>
  <c r="H5474" i="17"/>
  <c r="H5476" i="17"/>
  <c r="H5479" i="17"/>
  <c r="H5481" i="17"/>
  <c r="H5483" i="17"/>
  <c r="H5485" i="17"/>
  <c r="H5487" i="17"/>
  <c r="H5489" i="17"/>
  <c r="H5492" i="17"/>
  <c r="H5495" i="17"/>
  <c r="H5499" i="17"/>
  <c r="H5500" i="17"/>
  <c r="H5501" i="17" s="1"/>
  <c r="H5502" i="17"/>
  <c r="H5505" i="17"/>
  <c r="H5506" i="17"/>
  <c r="H5507" i="17"/>
  <c r="H5509" i="17"/>
  <c r="H5511" i="17"/>
  <c r="H5513" i="17"/>
  <c r="H5515" i="17"/>
  <c r="H5518" i="17"/>
  <c r="H5519" i="17" s="1"/>
  <c r="H5520" i="17"/>
  <c r="H5521" i="17" s="1"/>
  <c r="H5528" i="17"/>
  <c r="H5529" i="17" s="1"/>
  <c r="H5530" i="17"/>
  <c r="H5531" i="17" s="1"/>
  <c r="H5538" i="17"/>
  <c r="H5540" i="17"/>
  <c r="H5541" i="17"/>
  <c r="H5543" i="17"/>
  <c r="H5544" i="17"/>
  <c r="H5547" i="17"/>
  <c r="H5548" i="17"/>
  <c r="H5550" i="17"/>
  <c r="H5552" i="17"/>
  <c r="H5554" i="17"/>
  <c r="H5556" i="17"/>
  <c r="H5558" i="17"/>
  <c r="H5560" i="17"/>
  <c r="H5562" i="17"/>
  <c r="H5564" i="17"/>
  <c r="H5569" i="17"/>
  <c r="H5572" i="17"/>
  <c r="H5573" i="17" s="1"/>
  <c r="H5577" i="17"/>
  <c r="H5575" i="17" s="1"/>
  <c r="H5578" i="17"/>
  <c r="H5581" i="17"/>
  <c r="H5582" i="17"/>
  <c r="H5584" i="17"/>
  <c r="H5585" i="17"/>
  <c r="H5586" i="17" s="1"/>
  <c r="H5588" i="17"/>
  <c r="H5589" i="17"/>
  <c r="H5590" i="17" s="1"/>
  <c r="H5592" i="17"/>
  <c r="H5593" i="17"/>
  <c r="H5594" i="17" s="1"/>
  <c r="H5596" i="17"/>
  <c r="H5597" i="17"/>
  <c r="H5598" i="17"/>
  <c r="H5601" i="17"/>
  <c r="H5602" i="17"/>
  <c r="H5603" i="17"/>
  <c r="H5604" i="17"/>
  <c r="H5608" i="17"/>
  <c r="H5610" i="17"/>
  <c r="H5612" i="17"/>
  <c r="H5616" i="17"/>
  <c r="H5620" i="17"/>
  <c r="H5624" i="17"/>
  <c r="H5627" i="17"/>
  <c r="H5628" i="17"/>
  <c r="H5630" i="17"/>
  <c r="H5631" i="17"/>
  <c r="H5632" i="17" s="1"/>
  <c r="H5634" i="17"/>
  <c r="H5636" i="17"/>
  <c r="H5637" i="17" s="1"/>
  <c r="H5639" i="17"/>
  <c r="H5641" i="17"/>
  <c r="H5643" i="17"/>
  <c r="J5643" i="17"/>
  <c r="H5645" i="17"/>
  <c r="H5648" i="17"/>
  <c r="H5650" i="17"/>
  <c r="H5651" i="17" s="1"/>
  <c r="H5652" i="17"/>
  <c r="H5653" i="17" s="1"/>
  <c r="H5654" i="17"/>
  <c r="H5661" i="17"/>
  <c r="H5663" i="17"/>
  <c r="H5667" i="17"/>
  <c r="H5668" i="17"/>
  <c r="H5669" i="17" s="1"/>
  <c r="H5672" i="17"/>
  <c r="H5674" i="17"/>
  <c r="H5676" i="17"/>
  <c r="H5679" i="17"/>
  <c r="H5680" i="17" s="1"/>
  <c r="H5684" i="17"/>
  <c r="H5686" i="17"/>
  <c r="H5687" i="17"/>
  <c r="H5689" i="17"/>
  <c r="H5690" i="17"/>
  <c r="H5692" i="17"/>
  <c r="H5694" i="17"/>
  <c r="H5696" i="17"/>
  <c r="H5698" i="17"/>
  <c r="H5700" i="17"/>
  <c r="H5702" i="17"/>
  <c r="H5704" i="17"/>
  <c r="H5706" i="17"/>
  <c r="H5708" i="17"/>
  <c r="H5709" i="17"/>
  <c r="H5710" i="17" s="1"/>
  <c r="H5712" i="17"/>
  <c r="H5713" i="17"/>
  <c r="H5714" i="17" s="1"/>
  <c r="H5716" i="17"/>
  <c r="H5718" i="17"/>
  <c r="H5720" i="17"/>
  <c r="H5722" i="17"/>
  <c r="H5724" i="17"/>
  <c r="H5726" i="17"/>
  <c r="H5728" i="17"/>
  <c r="H5730" i="17"/>
  <c r="H5732" i="17"/>
  <c r="H5739" i="17"/>
  <c r="H5741" i="17"/>
  <c r="H5744" i="17"/>
  <c r="H5745" i="17" s="1"/>
  <c r="H5747" i="17"/>
  <c r="H5752" i="17"/>
  <c r="H5753" i="17"/>
  <c r="H5754" i="17" s="1"/>
  <c r="H5757" i="17"/>
  <c r="H5758" i="17" s="1"/>
  <c r="H5759" i="17"/>
  <c r="H5761" i="17"/>
  <c r="H5762" i="17"/>
  <c r="H5764" i="17"/>
  <c r="H5766" i="17"/>
  <c r="H5768" i="17"/>
  <c r="H5770" i="17"/>
  <c r="H5774" i="17"/>
  <c r="H5776" i="17"/>
  <c r="H5778" i="17"/>
  <c r="H5780" i="17"/>
  <c r="H5782" i="17"/>
  <c r="H5784" i="17"/>
  <c r="H5786" i="17"/>
  <c r="H5788" i="17"/>
  <c r="H5790" i="17"/>
  <c r="H5792" i="17"/>
  <c r="H5794" i="17"/>
  <c r="H5795" i="17"/>
  <c r="H5796" i="17"/>
  <c r="H5798" i="17"/>
  <c r="H5799" i="17"/>
  <c r="H5800" i="17"/>
  <c r="H5802" i="17"/>
  <c r="H5804" i="17"/>
  <c r="H5806" i="17"/>
  <c r="H5808" i="17"/>
  <c r="H5809" i="17" s="1"/>
  <c r="H5811" i="17"/>
  <c r="H5812" i="17" s="1"/>
  <c r="H5813" i="17"/>
  <c r="H5815" i="17"/>
  <c r="H5817" i="17"/>
  <c r="H5821" i="17"/>
  <c r="H5823" i="17"/>
  <c r="H5828" i="17"/>
  <c r="H5831" i="17"/>
  <c r="H5832" i="17"/>
  <c r="H5833" i="17"/>
  <c r="H5836" i="17"/>
  <c r="H5838" i="17"/>
  <c r="H5840" i="17"/>
  <c r="H5841" i="17"/>
  <c r="H5842" i="17" s="1"/>
  <c r="H5845" i="17"/>
  <c r="H5846" i="17" s="1"/>
  <c r="H5848" i="17"/>
  <c r="H5852" i="17"/>
  <c r="H5853" i="17"/>
  <c r="H5855" i="17"/>
  <c r="H5859" i="17"/>
  <c r="H5862" i="17"/>
  <c r="H5864" i="17"/>
  <c r="H5865" i="17" s="1"/>
  <c r="H5867" i="17"/>
  <c r="H5868" i="17"/>
  <c r="H5869" i="17" s="1"/>
  <c r="H5871" i="17"/>
  <c r="H5872" i="17"/>
  <c r="H5873" i="17" s="1"/>
  <c r="H5875" i="17"/>
  <c r="H5877" i="17"/>
  <c r="H5879" i="17"/>
  <c r="H5882" i="17"/>
  <c r="H5883" i="17"/>
  <c r="H5885" i="17"/>
  <c r="H5886" i="17"/>
  <c r="H5888" i="17"/>
  <c r="H5889" i="17"/>
  <c r="H5891" i="17"/>
  <c r="H5893" i="17"/>
  <c r="H5894" i="17" s="1"/>
  <c r="H5896" i="17"/>
  <c r="H5900" i="17"/>
  <c r="H5902" i="17"/>
  <c r="H5904" i="17"/>
  <c r="H5910" i="17"/>
  <c r="H5913" i="17"/>
  <c r="H5916" i="17"/>
  <c r="I5932" i="17"/>
  <c r="H5934" i="17"/>
  <c r="H5935" i="17"/>
  <c r="H4725" i="17" l="1"/>
  <c r="H4727" i="17" s="1"/>
  <c r="H4599" i="17"/>
  <c r="H4601" i="17" s="1"/>
  <c r="H4483" i="17"/>
  <c r="H4484" i="17" s="1"/>
  <c r="H4486" i="17"/>
  <c r="H4373" i="17"/>
  <c r="H4370" i="17"/>
  <c r="H4371" i="17" s="1"/>
  <c r="H4267" i="17"/>
  <c r="H4268" i="17" s="1"/>
  <c r="H4270" i="17"/>
  <c r="H4229" i="17"/>
  <c r="H4230" i="17"/>
  <c r="H4159" i="17"/>
  <c r="H4156" i="17"/>
  <c r="H4157" i="17" s="1"/>
  <c r="H4034" i="17"/>
  <c r="H4035" i="17" s="1"/>
  <c r="H4033" i="17"/>
  <c r="H4037" i="17"/>
  <c r="H3019" i="17"/>
  <c r="H3021" i="17"/>
  <c r="H2966" i="17"/>
  <c r="H2967" i="17"/>
  <c r="H2794" i="17"/>
  <c r="H2795" i="17" s="1"/>
  <c r="H2797" i="17"/>
  <c r="H2655" i="17"/>
  <c r="H2656" i="17" s="1"/>
  <c r="H2658" i="17"/>
  <c r="H2565" i="17"/>
  <c r="H2567" i="17"/>
  <c r="H2498" i="17"/>
  <c r="H2499" i="17"/>
  <c r="H2461" i="17"/>
  <c r="H2462" i="17"/>
  <c r="H2271" i="17"/>
  <c r="H2270" i="17" s="1"/>
  <c r="H2273" i="17"/>
  <c r="H2243" i="17"/>
  <c r="H2244" i="17"/>
  <c r="H2172" i="17"/>
  <c r="H2171" i="17" s="1"/>
  <c r="H2174" i="17"/>
  <c r="H2126" i="17"/>
  <c r="H2125" i="17" s="1"/>
  <c r="H2128" i="17"/>
  <c r="H2040" i="17"/>
  <c r="H2041" i="17" s="1"/>
  <c r="H2043" i="17"/>
  <c r="H2028" i="17"/>
  <c r="H2029" i="17"/>
  <c r="H1954" i="17"/>
  <c r="H1956" i="17"/>
  <c r="H1915" i="17"/>
  <c r="H1914" i="17" s="1"/>
  <c r="H1917" i="17"/>
  <c r="H1888" i="17"/>
  <c r="H1889" i="17"/>
  <c r="H1869" i="17"/>
  <c r="H1868" i="17" s="1"/>
  <c r="H1871" i="17"/>
  <c r="H1806" i="17"/>
  <c r="H1807" i="17" s="1"/>
  <c r="H1809" i="17"/>
  <c r="H1732" i="17"/>
  <c r="H1733" i="17" s="1"/>
  <c r="H1735" i="17"/>
  <c r="H1712" i="17"/>
  <c r="H1713" i="17" s="1"/>
  <c r="H1715" i="17"/>
  <c r="H1684" i="17"/>
  <c r="H1685" i="17" s="1"/>
  <c r="H1687" i="17"/>
  <c r="H1642" i="17"/>
  <c r="H1643" i="17" s="1"/>
  <c r="H1645" i="17"/>
  <c r="H1628" i="17"/>
  <c r="H1629" i="17" s="1"/>
  <c r="H1631" i="17"/>
  <c r="H1598" i="17"/>
  <c r="H1599" i="17" s="1"/>
  <c r="H1601" i="17"/>
  <c r="H1588" i="17"/>
  <c r="H1589" i="17" s="1"/>
  <c r="H1591" i="17"/>
  <c r="H1476" i="17"/>
  <c r="H1477" i="17" s="1"/>
  <c r="H1479" i="17"/>
  <c r="H1344" i="17"/>
  <c r="H1345" i="17" s="1"/>
  <c r="H1347" i="17"/>
  <c r="H1319" i="17"/>
  <c r="H1320" i="17" s="1"/>
  <c r="H1322" i="17"/>
  <c r="H1283" i="17"/>
  <c r="H1284" i="17" s="1"/>
  <c r="H1286" i="17"/>
  <c r="H1269" i="17"/>
  <c r="H1270" i="17" s="1"/>
  <c r="H1272" i="17"/>
  <c r="H1175" i="17"/>
  <c r="H1176" i="17" s="1"/>
  <c r="H1178" i="17"/>
  <c r="H1129" i="17"/>
  <c r="H1130" i="17" s="1"/>
  <c r="H1132" i="17"/>
  <c r="H1119" i="17"/>
  <c r="H1120" i="17" s="1"/>
  <c r="H1122" i="17"/>
  <c r="H322" i="17"/>
  <c r="H323" i="17"/>
  <c r="H294" i="17"/>
  <c r="H295" i="17"/>
  <c r="H5574" i="17"/>
  <c r="H5576" i="17" s="1"/>
  <c r="H5171" i="17"/>
  <c r="H4383" i="17"/>
  <c r="H4380" i="17"/>
  <c r="H4381" i="17" s="1"/>
  <c r="H4091" i="17"/>
  <c r="H4061" i="17"/>
  <c r="H4062" i="17" s="1"/>
  <c r="H4064" i="17"/>
  <c r="H4023" i="17"/>
  <c r="H4024" i="17" s="1"/>
  <c r="H4026" i="17"/>
  <c r="H3981" i="17"/>
  <c r="H3982" i="17" s="1"/>
  <c r="H3984" i="17"/>
  <c r="H3922" i="17"/>
  <c r="H3893" i="17"/>
  <c r="H3892" i="17" s="1"/>
  <c r="H3895" i="17"/>
  <c r="H2818" i="17"/>
  <c r="H2815" i="17"/>
  <c r="H2816" i="17" s="1"/>
  <c r="H2699" i="17"/>
  <c r="H2700" i="17"/>
  <c r="H2647" i="17"/>
  <c r="H2648" i="17" s="1"/>
  <c r="H2650" i="17"/>
  <c r="H2634" i="17"/>
  <c r="H2636" i="17"/>
  <c r="H2621" i="17"/>
  <c r="H2622" i="17" s="1"/>
  <c r="H2624" i="17"/>
  <c r="H2593" i="17"/>
  <c r="H2595" i="17"/>
  <c r="H2564" i="17"/>
  <c r="H2550" i="17"/>
  <c r="H2551" i="17"/>
  <c r="H2470" i="17"/>
  <c r="H2472" i="17" s="1"/>
  <c r="H2389" i="17"/>
  <c r="H2388" i="17"/>
  <c r="H2361" i="17"/>
  <c r="H2363" i="17" s="1"/>
  <c r="H2159" i="17"/>
  <c r="H2150" i="17"/>
  <c r="H2149" i="17" s="1"/>
  <c r="H2152" i="17"/>
  <c r="H2113" i="17"/>
  <c r="H1996" i="17"/>
  <c r="H1984" i="17"/>
  <c r="H1983" i="17" s="1"/>
  <c r="H1985" i="17" s="1"/>
  <c r="H1987" i="17"/>
  <c r="H1821" i="17"/>
  <c r="H1822" i="17" s="1"/>
  <c r="H1824" i="17"/>
  <c r="H1776" i="17"/>
  <c r="H1777" i="17" s="1"/>
  <c r="H1779" i="17"/>
  <c r="H1766" i="17"/>
  <c r="H1767" i="17" s="1"/>
  <c r="H1769" i="17"/>
  <c r="H1031" i="17"/>
  <c r="H1032" i="17"/>
  <c r="H888" i="17"/>
  <c r="H890" i="17"/>
  <c r="H565" i="17"/>
  <c r="H566" i="17" s="1"/>
  <c r="H568" i="17"/>
  <c r="H308" i="17"/>
  <c r="H309" i="17"/>
  <c r="H5117" i="17"/>
  <c r="H5119" i="17" s="1"/>
  <c r="H5002" i="17"/>
  <c r="H4832" i="17"/>
  <c r="H4659" i="17"/>
  <c r="H4661" i="17" s="1"/>
  <c r="H4053" i="17"/>
  <c r="H4042" i="17"/>
  <c r="H4044" i="17" s="1"/>
  <c r="H1674" i="17"/>
  <c r="H1675" i="17" s="1"/>
  <c r="H1677" i="17"/>
  <c r="H1558" i="17"/>
  <c r="H1559" i="17" s="1"/>
  <c r="H1561" i="17"/>
  <c r="H1546" i="17"/>
  <c r="H1547" i="17" s="1"/>
  <c r="H1549" i="17"/>
  <c r="H1468" i="17"/>
  <c r="H1469" i="17" s="1"/>
  <c r="H1471" i="17"/>
  <c r="H1376" i="17"/>
  <c r="H1377" i="17" s="1"/>
  <c r="H1379" i="17"/>
  <c r="H1352" i="17"/>
  <c r="H1353" i="17" s="1"/>
  <c r="H1355" i="17"/>
  <c r="H1311" i="17"/>
  <c r="H1312" i="17" s="1"/>
  <c r="H1314" i="17"/>
  <c r="H1239" i="17"/>
  <c r="H1240" i="17" s="1"/>
  <c r="H1242" i="17"/>
  <c r="H1229" i="17"/>
  <c r="H1230" i="17" s="1"/>
  <c r="H1232" i="17"/>
  <c r="H1167" i="17"/>
  <c r="H1168" i="17" s="1"/>
  <c r="H1170" i="17"/>
  <c r="H1080" i="17"/>
  <c r="H1081" i="17" s="1"/>
  <c r="H1083" i="17"/>
  <c r="H1023" i="17"/>
  <c r="H1024" i="17"/>
  <c r="H1026" i="17"/>
  <c r="H727" i="17"/>
  <c r="H724" i="17"/>
  <c r="H725" i="17" s="1"/>
  <c r="H609" i="17"/>
  <c r="H608" i="17" s="1"/>
  <c r="H611" i="17"/>
  <c r="H438" i="17"/>
  <c r="H440" i="17"/>
  <c r="H122" i="17"/>
  <c r="H119" i="17"/>
  <c r="H120" i="17" s="1"/>
  <c r="H580" i="17"/>
  <c r="O5230" i="17"/>
  <c r="O5232" i="17" s="1"/>
  <c r="H4716" i="17"/>
  <c r="H4715" i="17" s="1"/>
  <c r="H4718" i="17"/>
  <c r="H4681" i="17"/>
  <c r="H4685" i="17"/>
  <c r="H4315" i="17"/>
  <c r="H4317" i="17"/>
  <c r="H4181" i="17"/>
  <c r="H4183" i="17"/>
  <c r="H4172" i="17"/>
  <c r="H4174" i="17"/>
  <c r="H3999" i="17"/>
  <c r="H4003" i="17"/>
  <c r="H3991" i="17"/>
  <c r="H3993" i="17"/>
  <c r="H3926" i="17"/>
  <c r="H3126" i="17"/>
  <c r="H3125" i="17" s="1"/>
  <c r="H3104" i="17"/>
  <c r="H3103" i="17" s="1"/>
  <c r="H2725" i="17"/>
  <c r="H2722" i="17"/>
  <c r="H2723" i="17" s="1"/>
  <c r="H2703" i="17"/>
  <c r="H2704" i="17" s="1"/>
  <c r="H5375" i="17"/>
  <c r="H4704" i="17"/>
  <c r="H4682" i="17"/>
  <c r="H4683" i="17" s="1"/>
  <c r="H4492" i="17"/>
  <c r="H4493" i="17" s="1"/>
  <c r="H4305" i="17"/>
  <c r="H4306" i="17" s="1"/>
  <c r="H4258" i="17"/>
  <c r="H4260" i="17" s="1"/>
  <c r="H4245" i="17"/>
  <c r="H4241" i="17"/>
  <c r="H4231" i="17"/>
  <c r="H4233" i="17" s="1"/>
  <c r="H4081" i="17"/>
  <c r="H4082" i="17" s="1"/>
  <c r="H4072" i="17"/>
  <c r="H4000" i="17"/>
  <c r="H4001" i="17" s="1"/>
  <c r="H3937" i="17"/>
  <c r="H3913" i="17"/>
  <c r="H3915" i="17" s="1"/>
  <c r="H3904" i="17"/>
  <c r="H3906" i="17" s="1"/>
  <c r="H3891" i="17"/>
  <c r="H3873" i="17"/>
  <c r="H3874" i="17" s="1"/>
  <c r="H3816" i="17"/>
  <c r="H3818" i="17" s="1"/>
  <c r="H3549" i="17"/>
  <c r="H3550" i="17" s="1"/>
  <c r="H3095" i="17"/>
  <c r="H3094" i="17" s="1"/>
  <c r="H3083" i="17"/>
  <c r="H3082" i="17" s="1"/>
  <c r="H3050" i="17"/>
  <c r="H2971" i="17"/>
  <c r="H2959" i="17"/>
  <c r="H2960" i="17" s="1"/>
  <c r="H2947" i="17"/>
  <c r="H2932" i="17"/>
  <c r="H2931" i="17" s="1"/>
  <c r="H2828" i="17"/>
  <c r="H2829" i="17" s="1"/>
  <c r="H2339" i="17"/>
  <c r="H2340" i="17" s="1"/>
  <c r="H2257" i="17"/>
  <c r="H2256" i="17" s="1"/>
  <c r="H2075" i="17"/>
  <c r="H2077" i="17"/>
  <c r="H1973" i="17"/>
  <c r="H1975" i="17" s="1"/>
  <c r="H1964" i="17"/>
  <c r="H1966" i="17" s="1"/>
  <c r="H1934" i="17"/>
  <c r="H1933" i="17" s="1"/>
  <c r="H1902" i="17"/>
  <c r="H1901" i="17" s="1"/>
  <c r="H1880" i="17"/>
  <c r="H1879" i="17" s="1"/>
  <c r="H1858" i="17"/>
  <c r="H1857" i="17" s="1"/>
  <c r="H1021" i="17"/>
  <c r="H1022" i="17"/>
  <c r="H787" i="17"/>
  <c r="H784" i="17"/>
  <c r="H785" i="17" s="1"/>
  <c r="H705" i="17"/>
  <c r="H706" i="17"/>
  <c r="H592" i="17"/>
  <c r="H595" i="17" s="1"/>
  <c r="H5231" i="17"/>
  <c r="H5232" i="17" s="1"/>
  <c r="H2518" i="17"/>
  <c r="H2502" i="17"/>
  <c r="H2484" i="17"/>
  <c r="H2459" i="17"/>
  <c r="H2428" i="17"/>
  <c r="H2414" i="17"/>
  <c r="H2401" i="17"/>
  <c r="H2298" i="17"/>
  <c r="H2222" i="17"/>
  <c r="H2221" i="17" s="1"/>
  <c r="H2205" i="17"/>
  <c r="H2194" i="17"/>
  <c r="H2185" i="17"/>
  <c r="H2184" i="17" s="1"/>
  <c r="H2170" i="17"/>
  <c r="H2161" i="17"/>
  <c r="H2160" i="17" s="1"/>
  <c r="H2148" i="17"/>
  <c r="H2137" i="17"/>
  <c r="H2136" i="17" s="1"/>
  <c r="H2139" i="17"/>
  <c r="H2124" i="17"/>
  <c r="H2100" i="17"/>
  <c r="H2074" i="17"/>
  <c r="H2067" i="17"/>
  <c r="H2051" i="17"/>
  <c r="H2007" i="17"/>
  <c r="H2000" i="17"/>
  <c r="H1944" i="17"/>
  <c r="H1946" i="17" s="1"/>
  <c r="H1724" i="17"/>
  <c r="H1726" i="17" s="1"/>
  <c r="H1404" i="17"/>
  <c r="H1405" i="17" s="1"/>
  <c r="H1396" i="17"/>
  <c r="H1397" i="17" s="1"/>
  <c r="H1386" i="17"/>
  <c r="H1387" i="17" s="1"/>
  <c r="H1045" i="17"/>
  <c r="H1046" i="17"/>
  <c r="H758" i="17"/>
  <c r="H755" i="17"/>
  <c r="H756" i="17" s="1"/>
  <c r="H733" i="17"/>
  <c r="H734" i="17"/>
  <c r="H649" i="17"/>
  <c r="H650" i="17"/>
  <c r="H633" i="17"/>
  <c r="H632" i="17" s="1"/>
  <c r="H635" i="17"/>
  <c r="H1536" i="17"/>
  <c r="H1537" i="17" s="1"/>
  <c r="H1526" i="17"/>
  <c r="H1527" i="17" s="1"/>
  <c r="H1516" i="17"/>
  <c r="H1517" i="17" s="1"/>
  <c r="H1506" i="17"/>
  <c r="H1507" i="17" s="1"/>
  <c r="H1060" i="17"/>
  <c r="H1059" i="17" s="1"/>
  <c r="H1062" i="17"/>
  <c r="H1034" i="17"/>
  <c r="H1036" i="17"/>
  <c r="H663" i="17"/>
  <c r="H665" i="17"/>
  <c r="H396" i="17"/>
  <c r="H398" i="17"/>
  <c r="H117" i="17"/>
  <c r="H118" i="17" s="1"/>
  <c r="H2187" i="17" l="1"/>
  <c r="H2224" i="17"/>
  <c r="H2163" i="17"/>
  <c r="H1860" i="17"/>
  <c r="H1882" i="17"/>
  <c r="H1904" i="17"/>
  <c r="H1936" i="17"/>
  <c r="H2078" i="17"/>
  <c r="H2259" i="17"/>
  <c r="H2934" i="17"/>
  <c r="H3085" i="17"/>
  <c r="H3097" i="17"/>
  <c r="H3106" i="17"/>
  <c r="H3128" i="17"/>
  <c r="G5" i="16" l="1"/>
  <c r="G12" i="16"/>
  <c r="G15" i="16"/>
  <c r="G18" i="16"/>
  <c r="G21" i="16"/>
  <c r="G24" i="16"/>
  <c r="G27" i="16"/>
  <c r="G30" i="16"/>
  <c r="G31" i="16" s="1"/>
  <c r="G33" i="16"/>
  <c r="G34" i="16" s="1"/>
  <c r="G40" i="16"/>
  <c r="G42" i="16"/>
  <c r="G44" i="16"/>
  <c r="G47" i="16"/>
  <c r="G50" i="16"/>
  <c r="G53" i="16"/>
  <c r="G56" i="16"/>
  <c r="G59" i="16"/>
  <c r="G65" i="16"/>
  <c r="G68" i="16"/>
  <c r="G71" i="16"/>
  <c r="G72" i="16" s="1"/>
  <c r="G73" i="16"/>
  <c r="G74" i="16" s="1"/>
  <c r="G77" i="16"/>
  <c r="G79" i="16"/>
  <c r="G82" i="16"/>
  <c r="G83" i="16" s="1"/>
  <c r="G84" i="16"/>
  <c r="G85" i="16" s="1"/>
  <c r="G88" i="16"/>
  <c r="G90" i="16"/>
  <c r="G97" i="16"/>
  <c r="G98" i="16" s="1"/>
  <c r="G99" i="16"/>
  <c r="G100" i="16" s="1"/>
  <c r="G103" i="16"/>
  <c r="G105" i="16"/>
  <c r="G107" i="16"/>
  <c r="G109" i="16"/>
  <c r="G111" i="16"/>
  <c r="G113" i="16"/>
  <c r="G115" i="16"/>
  <c r="G119" i="16"/>
  <c r="G121" i="16"/>
  <c r="G126" i="16"/>
  <c r="G128" i="16"/>
  <c r="G131" i="16"/>
  <c r="G134" i="16"/>
  <c r="G137" i="16"/>
  <c r="G140" i="16"/>
  <c r="G143" i="16"/>
  <c r="G146" i="16"/>
  <c r="G149" i="16"/>
  <c r="G150" i="16" s="1"/>
  <c r="G151" i="16" s="1"/>
  <c r="G157" i="16"/>
  <c r="G158" i="16" s="1"/>
  <c r="G159" i="16"/>
  <c r="G160" i="16" s="1"/>
  <c r="G167" i="16"/>
  <c r="G170" i="16"/>
  <c r="G171" i="16" s="1"/>
  <c r="G172" i="16"/>
  <c r="G173" i="16" s="1"/>
  <c r="G180" i="16"/>
  <c r="G181" i="16" s="1"/>
  <c r="G183" i="16"/>
  <c r="G185" i="16"/>
  <c r="G188" i="16"/>
  <c r="G189" i="16" s="1"/>
  <c r="G190" i="16"/>
  <c r="G191" i="16" s="1"/>
  <c r="G198" i="16"/>
  <c r="G212" i="16"/>
  <c r="G213" i="16" s="1"/>
  <c r="G216" i="16"/>
  <c r="G214" i="16" s="1"/>
  <c r="G215" i="16" s="1"/>
  <c r="G220" i="16"/>
  <c r="G222" i="16"/>
  <c r="G224" i="16"/>
  <c r="G227" i="16"/>
  <c r="G230" i="16"/>
  <c r="G233" i="16"/>
  <c r="G236" i="16"/>
  <c r="G239" i="16"/>
  <c r="G242" i="16"/>
  <c r="G245" i="16"/>
  <c r="G248" i="16"/>
  <c r="G251" i="16"/>
  <c r="G254" i="16"/>
  <c r="G257" i="16"/>
  <c r="G260" i="16"/>
  <c r="G263" i="16"/>
  <c r="G266" i="16"/>
  <c r="G267" i="16" s="1"/>
  <c r="G269" i="16"/>
  <c r="G271" i="16"/>
  <c r="G273" i="16"/>
  <c r="G275" i="16"/>
  <c r="G278" i="16"/>
  <c r="G279" i="16" s="1"/>
  <c r="G281" i="16"/>
  <c r="G283" i="16"/>
  <c r="G286" i="16"/>
  <c r="G287" i="16" s="1"/>
  <c r="G289" i="16"/>
  <c r="G291" i="16"/>
  <c r="G294" i="16"/>
  <c r="G295" i="16" s="1"/>
  <c r="G297" i="16"/>
  <c r="G299" i="16"/>
  <c r="G302" i="16"/>
  <c r="G303" i="16" s="1"/>
  <c r="G305" i="16"/>
  <c r="G307" i="16"/>
  <c r="G311" i="16"/>
  <c r="G316" i="16"/>
  <c r="G320" i="16"/>
  <c r="G324" i="16"/>
  <c r="G327" i="16"/>
  <c r="G328" i="16" s="1"/>
  <c r="G330" i="16"/>
  <c r="G332" i="16"/>
  <c r="G334" i="16"/>
  <c r="G337" i="16"/>
  <c r="G338" i="16" s="1"/>
  <c r="G340" i="16"/>
  <c r="G342" i="16"/>
  <c r="G344" i="16"/>
  <c r="G346" i="16"/>
  <c r="G348" i="16"/>
  <c r="G352" i="16"/>
  <c r="G356" i="16"/>
  <c r="G360" i="16"/>
  <c r="G364" i="16"/>
  <c r="G369" i="16"/>
  <c r="G373" i="16"/>
  <c r="G377" i="16"/>
  <c r="G381" i="16"/>
  <c r="G384" i="16"/>
  <c r="G387" i="16"/>
  <c r="G390" i="16"/>
  <c r="G393" i="16"/>
  <c r="G396" i="16"/>
  <c r="G399" i="16"/>
  <c r="G402" i="16"/>
  <c r="G405" i="16"/>
  <c r="G408" i="16"/>
  <c r="G412" i="16"/>
  <c r="G420" i="16"/>
  <c r="G423" i="16"/>
  <c r="G192" i="16" l="1"/>
  <c r="G193" i="16" s="1"/>
  <c r="G101" i="16"/>
  <c r="G75" i="16"/>
  <c r="G161" i="16"/>
  <c r="G162" i="16" s="1"/>
  <c r="G217" i="16"/>
  <c r="G174" i="16"/>
  <c r="G86" i="16"/>
  <c r="G7" i="15"/>
  <c r="G8" i="15" s="1"/>
  <c r="G12" i="15"/>
  <c r="G11" i="15" s="1"/>
  <c r="G10" i="15" s="1"/>
  <c r="G13" i="15" s="1"/>
  <c r="G15" i="15"/>
  <c r="G18" i="15"/>
  <c r="G19" i="15" s="1"/>
  <c r="G21" i="15"/>
  <c r="G23" i="15"/>
  <c r="G24" i="15"/>
  <c r="G25" i="15" s="1"/>
  <c r="G28" i="15"/>
  <c r="G31" i="15"/>
  <c r="G37" i="15"/>
  <c r="G40" i="15"/>
  <c r="G43" i="15"/>
  <c r="G46" i="15"/>
  <c r="G49" i="15"/>
  <c r="G52" i="15"/>
  <c r="G55" i="15"/>
  <c r="G58" i="15"/>
  <c r="G61" i="15"/>
  <c r="G64" i="15"/>
  <c r="G67" i="15"/>
  <c r="G70" i="15"/>
  <c r="G73" i="15"/>
  <c r="G76" i="15"/>
  <c r="G79" i="15"/>
  <c r="G80" i="15" s="1"/>
  <c r="G87" i="15"/>
  <c r="G90" i="15"/>
  <c r="G93" i="15"/>
  <c r="G94" i="15" s="1"/>
  <c r="G100" i="15"/>
  <c r="G101" i="15" s="1"/>
  <c r="G109" i="15"/>
  <c r="G111" i="15"/>
  <c r="G114" i="15"/>
  <c r="G115" i="15" s="1"/>
  <c r="G125" i="15"/>
  <c r="G126" i="15" s="1"/>
  <c r="G128" i="15"/>
  <c r="G134" i="15"/>
  <c r="G137" i="15"/>
  <c r="G140" i="15"/>
  <c r="G143" i="15"/>
  <c r="G146" i="15"/>
  <c r="G149" i="15"/>
  <c r="G152" i="15"/>
  <c r="G155" i="15"/>
  <c r="G158" i="15"/>
  <c r="G161" i="15"/>
  <c r="G164" i="15"/>
  <c r="G168" i="15"/>
  <c r="G171" i="15"/>
  <c r="G174" i="15"/>
  <c r="G177" i="15"/>
  <c r="G180" i="15"/>
  <c r="G183" i="15"/>
  <c r="G186" i="15"/>
  <c r="G189" i="15"/>
  <c r="G192" i="15"/>
  <c r="G195" i="15"/>
  <c r="G198" i="15"/>
  <c r="G201" i="15"/>
  <c r="G202" i="15" s="1"/>
  <c r="G214" i="15"/>
  <c r="G215" i="15" s="1"/>
  <c r="G218" i="15"/>
  <c r="G219" i="15" s="1"/>
  <c r="G227" i="15"/>
  <c r="G230" i="15"/>
  <c r="G233" i="15"/>
  <c r="G236" i="15"/>
  <c r="G242" i="15"/>
  <c r="G245" i="15"/>
  <c r="G246" i="15" s="1"/>
  <c r="G248" i="15"/>
  <c r="G250" i="15"/>
  <c r="G253" i="15"/>
  <c r="G254" i="15" s="1"/>
  <c r="G257" i="15"/>
  <c r="G255" i="15" s="1"/>
  <c r="G256" i="15" s="1"/>
  <c r="G261" i="15"/>
  <c r="G263" i="15"/>
  <c r="G274" i="15"/>
  <c r="G277" i="15"/>
  <c r="G281" i="15"/>
  <c r="G284" i="15"/>
  <c r="G287" i="15"/>
  <c r="G290" i="15"/>
  <c r="G293" i="15"/>
  <c r="G296" i="15"/>
  <c r="I296" i="15"/>
  <c r="G299" i="15"/>
  <c r="G304" i="15"/>
  <c r="G305" i="15" s="1"/>
  <c r="G307" i="15"/>
  <c r="G309" i="15"/>
  <c r="G311" i="15"/>
  <c r="G314" i="15"/>
  <c r="G315" i="15" s="1"/>
  <c r="G317" i="15"/>
  <c r="G320" i="15"/>
  <c r="G323" i="15"/>
  <c r="G326" i="15"/>
  <c r="G335" i="15"/>
  <c r="G338" i="15"/>
  <c r="G339" i="15" s="1"/>
  <c r="G341" i="15"/>
  <c r="G343" i="15"/>
  <c r="G345" i="15"/>
  <c r="G348" i="15"/>
  <c r="G351" i="15"/>
  <c r="G352" i="15"/>
  <c r="G353" i="15" s="1"/>
  <c r="G356" i="15"/>
  <c r="G359" i="15"/>
  <c r="G362" i="15"/>
  <c r="G365" i="15"/>
  <c r="G368" i="15"/>
  <c r="G371" i="15"/>
  <c r="G374" i="15"/>
  <c r="G375" i="15" s="1"/>
  <c r="G377" i="15"/>
  <c r="G380" i="15"/>
  <c r="G381" i="15" s="1"/>
  <c r="G383" i="15"/>
  <c r="G385" i="15"/>
  <c r="G388" i="15"/>
  <c r="G391" i="15"/>
  <c r="G396" i="15"/>
  <c r="G397" i="15" s="1"/>
  <c r="G399" i="15"/>
  <c r="G398" i="15" s="1"/>
  <c r="G402" i="15"/>
  <c r="G404" i="15"/>
  <c r="G410" i="15"/>
  <c r="G416" i="15"/>
  <c r="G422" i="15"/>
  <c r="G425" i="15"/>
  <c r="G426" i="15" s="1"/>
  <c r="G428" i="15"/>
  <c r="G427" i="15" s="1"/>
  <c r="G431" i="15"/>
  <c r="G434" i="15"/>
  <c r="G435" i="15" s="1"/>
  <c r="G440" i="15"/>
  <c r="G443" i="15"/>
  <c r="G446" i="15"/>
  <c r="G449" i="15"/>
  <c r="G452" i="15"/>
  <c r="G455" i="15"/>
  <c r="G458" i="15"/>
  <c r="G461" i="15"/>
  <c r="G464" i="15"/>
  <c r="G467" i="15"/>
  <c r="G472" i="15"/>
  <c r="G475" i="15"/>
  <c r="G478" i="15"/>
  <c r="G481" i="15"/>
  <c r="G484" i="15"/>
  <c r="G487" i="15"/>
  <c r="G490" i="15"/>
  <c r="G493" i="15"/>
  <c r="G496" i="15"/>
  <c r="G499" i="15"/>
  <c r="G502" i="15"/>
  <c r="G505" i="15"/>
  <c r="G508" i="15"/>
  <c r="G511" i="15"/>
  <c r="G514" i="15"/>
  <c r="G521" i="15"/>
  <c r="G522" i="15" s="1"/>
  <c r="G523" i="15"/>
  <c r="G524" i="15"/>
  <c r="G525" i="15" s="1"/>
  <c r="G528" i="15"/>
  <c r="G529" i="15"/>
  <c r="G530" i="15" s="1"/>
  <c r="G532" i="15"/>
  <c r="G533" i="15" s="1"/>
  <c r="G535" i="15"/>
  <c r="G537" i="15"/>
  <c r="G539" i="15"/>
  <c r="G541" i="15"/>
  <c r="G543" i="15"/>
  <c r="G544" i="15" s="1"/>
  <c r="G546" i="15"/>
  <c r="G547" i="15" s="1"/>
  <c r="G549" i="15"/>
  <c r="G551" i="15"/>
  <c r="G553" i="15"/>
  <c r="G555" i="15"/>
  <c r="G557" i="15"/>
  <c r="G559" i="15"/>
  <c r="G561" i="15"/>
  <c r="G563" i="15"/>
  <c r="G565" i="15"/>
  <c r="G567" i="15"/>
  <c r="G570" i="15"/>
  <c r="G571" i="15" s="1"/>
  <c r="G572" i="15"/>
  <c r="G573" i="15" s="1"/>
  <c r="G575" i="15"/>
  <c r="G580" i="15"/>
  <c r="G582" i="15"/>
  <c r="G584" i="15"/>
  <c r="G586" i="15"/>
  <c r="G588" i="15"/>
  <c r="G589" i="15"/>
  <c r="G590" i="15" s="1"/>
  <c r="G592" i="15"/>
  <c r="G594" i="15"/>
  <c r="G596" i="15"/>
  <c r="G598" i="15"/>
  <c r="G601" i="15"/>
  <c r="G606" i="15"/>
  <c r="G608" i="15"/>
  <c r="G610" i="15"/>
  <c r="G612" i="15"/>
  <c r="G614" i="15"/>
  <c r="G616" i="15"/>
  <c r="G620" i="15"/>
  <c r="G621" i="15"/>
  <c r="G624" i="15"/>
  <c r="G622" i="15" s="1"/>
  <c r="G623" i="15" s="1"/>
  <c r="G625" i="15"/>
  <c r="G630" i="15"/>
  <c r="G631" i="15"/>
  <c r="G634" i="15"/>
  <c r="G632" i="15" s="1"/>
  <c r="G633" i="15" s="1"/>
  <c r="G635" i="15"/>
  <c r="G644" i="15"/>
  <c r="G194" i="16" l="1"/>
  <c r="G195" i="16" s="1"/>
  <c r="G196" i="16" s="1"/>
  <c r="G163" i="16"/>
  <c r="G164" i="16" s="1"/>
  <c r="G165" i="16" s="1"/>
  <c r="G175" i="16"/>
  <c r="G176" i="16"/>
  <c r="G177" i="16" s="1"/>
  <c r="G178" i="16" s="1"/>
  <c r="G216" i="15"/>
  <c r="G116" i="15"/>
  <c r="G102" i="15"/>
  <c r="G258" i="15"/>
  <c r="G203" i="15"/>
  <c r="G95" i="15"/>
  <c r="G9" i="15"/>
  <c r="G519" i="15"/>
  <c r="G520" i="15" s="1"/>
  <c r="G217" i="15"/>
  <c r="G220" i="15" s="1"/>
  <c r="G429" i="15"/>
  <c r="G400" i="15"/>
  <c r="G26" i="15"/>
  <c r="G1836" i="14"/>
  <c r="G1834" i="14"/>
  <c r="G1832" i="14"/>
  <c r="G1829" i="14"/>
  <c r="G1830" i="14" s="1"/>
  <c r="G1827" i="14"/>
  <c r="G1828" i="14" s="1"/>
  <c r="G1826" i="14"/>
  <c r="G1821" i="14"/>
  <c r="G1816" i="14"/>
  <c r="G1814" i="14"/>
  <c r="G1812" i="14"/>
  <c r="G1810" i="14"/>
  <c r="G1808" i="14"/>
  <c r="G1806" i="14"/>
  <c r="G1803" i="14"/>
  <c r="G1804" i="14" s="1"/>
  <c r="G1802" i="14"/>
  <c r="G1800" i="14"/>
  <c r="G1798" i="14"/>
  <c r="G1796" i="14"/>
  <c r="G1794" i="14"/>
  <c r="G1792" i="14"/>
  <c r="G1790" i="14"/>
  <c r="G1788" i="14"/>
  <c r="G1785" i="14"/>
  <c r="G1786" i="14" s="1"/>
  <c r="G1783" i="14"/>
  <c r="G1782" i="14" s="1"/>
  <c r="G1784" i="14" s="1"/>
  <c r="G1780" i="14"/>
  <c r="G1781" i="14" s="1"/>
  <c r="G1775" i="14"/>
  <c r="G1759" i="14"/>
  <c r="G1757" i="14"/>
  <c r="G1753" i="14"/>
  <c r="G1754" i="14" s="1"/>
  <c r="G1751" i="14"/>
  <c r="G1748" i="14"/>
  <c r="G1749" i="14" s="1"/>
  <c r="G1744" i="14"/>
  <c r="G1737" i="14"/>
  <c r="G1731" i="14"/>
  <c r="G1728" i="14"/>
  <c r="G1719" i="14"/>
  <c r="G1720" i="14" s="1"/>
  <c r="G1712" i="14"/>
  <c r="G1713" i="14" s="1"/>
  <c r="G1709" i="14"/>
  <c r="G1710" i="14" s="1"/>
  <c r="G1700" i="14"/>
  <c r="G1692" i="14"/>
  <c r="G1693" i="14" s="1"/>
  <c r="G1688" i="14"/>
  <c r="G1689" i="14" s="1"/>
  <c r="G1685" i="14"/>
  <c r="G1683" i="14"/>
  <c r="G1679" i="14"/>
  <c r="G1680" i="14" s="1"/>
  <c r="G1675" i="14"/>
  <c r="G1676" i="14" s="1"/>
  <c r="G1672" i="14"/>
  <c r="G1670" i="14"/>
  <c r="G1666" i="14"/>
  <c r="G1667" i="14" s="1"/>
  <c r="G1665" i="14"/>
  <c r="G1662" i="14"/>
  <c r="G1663" i="14" s="1"/>
  <c r="G1653" i="14"/>
  <c r="G1654" i="14" s="1"/>
  <c r="G1652" i="14"/>
  <c r="G1649" i="14"/>
  <c r="G1650" i="14" s="1"/>
  <c r="G1646" i="14"/>
  <c r="G1644" i="14"/>
  <c r="G1659" i="14" s="1"/>
  <c r="G1640" i="14"/>
  <c r="G1641" i="14" s="1"/>
  <c r="G1639" i="14"/>
  <c r="G1636" i="14"/>
  <c r="G1637" i="14" s="1"/>
  <c r="G1633" i="14"/>
  <c r="G1629" i="14"/>
  <c r="G1630" i="14" s="1"/>
  <c r="G1628" i="14"/>
  <c r="G1625" i="14"/>
  <c r="G1626" i="14" s="1"/>
  <c r="G1622" i="14"/>
  <c r="G1618" i="14"/>
  <c r="G1619" i="14" s="1"/>
  <c r="G1617" i="14"/>
  <c r="G1614" i="14"/>
  <c r="G1615" i="14" s="1"/>
  <c r="G1611" i="14"/>
  <c r="G1608" i="14"/>
  <c r="G1605" i="14"/>
  <c r="G1601" i="14"/>
  <c r="G1602" i="14" s="1"/>
  <c r="G1600" i="14"/>
  <c r="G1597" i="14"/>
  <c r="G1598" i="14" s="1"/>
  <c r="G1594" i="14"/>
  <c r="G1592" i="14"/>
  <c r="G1590" i="14"/>
  <c r="G1588" i="14"/>
  <c r="G1584" i="14"/>
  <c r="G1585" i="14" s="1"/>
  <c r="G1583" i="14"/>
  <c r="G1580" i="14"/>
  <c r="G1581" i="14" s="1"/>
  <c r="G1577" i="14"/>
  <c r="G1558" i="14"/>
  <c r="G1553" i="14"/>
  <c r="G1554" i="14" s="1"/>
  <c r="G1556" i="14" s="1"/>
  <c r="G1552" i="14"/>
  <c r="G1551" i="14"/>
  <c r="G1546" i="14"/>
  <c r="G1541" i="14"/>
  <c r="G1539" i="14"/>
  <c r="G1537" i="14"/>
  <c r="G1535" i="14"/>
  <c r="G1531" i="14"/>
  <c r="G1524" i="14"/>
  <c r="G1521" i="14"/>
  <c r="G1518" i="14"/>
  <c r="G1519" i="14" s="1"/>
  <c r="G1514" i="14"/>
  <c r="G1511" i="14"/>
  <c r="G1509" i="14"/>
  <c r="G1510" i="14" s="1"/>
  <c r="G1505" i="14"/>
  <c r="G1502" i="14"/>
  <c r="G1499" i="14"/>
  <c r="G1500" i="14" s="1"/>
  <c r="G1493" i="14"/>
  <c r="G1487" i="14"/>
  <c r="G1485" i="14"/>
  <c r="G1481" i="14"/>
  <c r="G1479" i="14"/>
  <c r="G1476" i="14"/>
  <c r="G1477" i="14" s="1"/>
  <c r="G1474" i="14"/>
  <c r="G1475" i="14" s="1"/>
  <c r="G1468" i="14"/>
  <c r="G1466" i="14"/>
  <c r="G1467" i="14" s="1"/>
  <c r="G1462" i="14"/>
  <c r="G1463" i="14" s="1"/>
  <c r="G1457" i="14"/>
  <c r="G1458" i="14" s="1"/>
  <c r="G1453" i="14"/>
  <c r="G1454" i="14" s="1"/>
  <c r="G1449" i="14"/>
  <c r="G1447" i="14"/>
  <c r="G1445" i="14"/>
  <c r="G1443" i="14"/>
  <c r="G1441" i="14"/>
  <c r="G1439" i="14"/>
  <c r="G1440" i="14" s="1"/>
  <c r="G1435" i="14"/>
  <c r="G1436" i="14" s="1"/>
  <c r="G1432" i="14"/>
  <c r="G1430" i="14"/>
  <c r="G1428" i="14"/>
  <c r="G1426" i="14"/>
  <c r="G1423" i="14"/>
  <c r="G1420" i="14"/>
  <c r="G1421" i="14" s="1"/>
  <c r="G1417" i="14"/>
  <c r="G1414" i="14"/>
  <c r="G1411" i="14"/>
  <c r="G1412" i="14" s="1"/>
  <c r="G1409" i="14"/>
  <c r="G1410" i="14" s="1"/>
  <c r="G1407" i="14"/>
  <c r="G1405" i="14"/>
  <c r="G1403" i="14"/>
  <c r="G1401" i="14"/>
  <c r="G1399" i="14"/>
  <c r="G1397" i="14"/>
  <c r="G1395" i="14"/>
  <c r="G1393" i="14"/>
  <c r="G1386" i="14"/>
  <c r="G1387" i="14" s="1"/>
  <c r="G1383" i="14"/>
  <c r="G1384" i="14" s="1"/>
  <c r="G1381" i="14"/>
  <c r="G1382" i="14" s="1"/>
  <c r="G1357" i="14"/>
  <c r="G1354" i="14"/>
  <c r="G1349" i="14"/>
  <c r="G1347" i="14"/>
  <c r="G1344" i="14"/>
  <c r="G1345" i="14" s="1"/>
  <c r="G1341" i="14"/>
  <c r="G1342" i="14" s="1"/>
  <c r="G1338" i="14"/>
  <c r="G1336" i="14"/>
  <c r="G1334" i="14"/>
  <c r="G1332" i="14"/>
  <c r="G1330" i="14"/>
  <c r="G1327" i="14"/>
  <c r="G1328" i="14" s="1"/>
  <c r="G1324" i="14"/>
  <c r="G1325" i="14" s="1"/>
  <c r="G1316" i="14"/>
  <c r="G1311" i="14"/>
  <c r="G1313" i="14" s="1"/>
  <c r="G1305" i="14"/>
  <c r="G1302" i="14"/>
  <c r="G1299" i="14"/>
  <c r="G1296" i="14"/>
  <c r="G1293" i="14"/>
  <c r="G1288" i="14"/>
  <c r="G1286" i="14"/>
  <c r="G1284" i="14"/>
  <c r="G1282" i="14"/>
  <c r="G1279" i="14"/>
  <c r="G1280" i="14" s="1"/>
  <c r="G1277" i="14"/>
  <c r="G1278" i="14" s="1"/>
  <c r="G1271" i="14"/>
  <c r="G1272" i="14" s="1"/>
  <c r="G1266" i="14"/>
  <c r="G1268" i="14" s="1"/>
  <c r="G1261" i="14"/>
  <c r="G1262" i="14" s="1"/>
  <c r="G1257" i="14"/>
  <c r="G1258" i="14" s="1"/>
  <c r="G1255" i="14"/>
  <c r="G1252" i="14"/>
  <c r="G1253" i="14" s="1"/>
  <c r="G1250" i="14"/>
  <c r="N1249" i="14"/>
  <c r="G1248" i="14"/>
  <c r="G1245" i="14"/>
  <c r="G1243" i="14"/>
  <c r="G1241" i="14"/>
  <c r="G1239" i="14"/>
  <c r="G1232" i="14"/>
  <c r="G1231" i="14"/>
  <c r="G1230" i="14"/>
  <c r="G1227" i="14"/>
  <c r="G1229" i="14" s="1"/>
  <c r="G1219" i="14"/>
  <c r="G1220" i="14" s="1"/>
  <c r="G1214" i="14"/>
  <c r="G1215" i="14" s="1"/>
  <c r="G1206" i="14"/>
  <c r="G1204" i="14"/>
  <c r="G1201" i="14"/>
  <c r="G1202" i="14" s="1"/>
  <c r="G1187" i="14"/>
  <c r="G1182" i="14"/>
  <c r="G1183" i="14" s="1"/>
  <c r="G1177" i="14"/>
  <c r="G1170" i="14"/>
  <c r="G1171" i="14" s="1"/>
  <c r="G1160" i="14"/>
  <c r="G1159" i="14"/>
  <c r="G1156" i="14"/>
  <c r="G1150" i="14"/>
  <c r="G1146" i="14"/>
  <c r="G1145" i="14"/>
  <c r="G1139" i="14"/>
  <c r="G1140" i="14" s="1"/>
  <c r="G1134" i="14"/>
  <c r="G1135" i="14" s="1"/>
  <c r="G1132" i="14"/>
  <c r="G1119" i="14"/>
  <c r="G1116" i="14"/>
  <c r="G1112" i="14"/>
  <c r="G1113" i="14" s="1"/>
  <c r="G1107" i="14"/>
  <c r="G1108" i="14" s="1"/>
  <c r="G1100" i="14"/>
  <c r="G1096" i="14"/>
  <c r="G1094" i="14"/>
  <c r="G1090" i="14"/>
  <c r="G1091" i="14" s="1"/>
  <c r="G1089" i="14"/>
  <c r="G1082" i="14"/>
  <c r="H1076" i="14"/>
  <c r="H1074" i="14"/>
  <c r="H1072" i="14"/>
  <c r="G1070" i="14"/>
  <c r="H1070" i="14" s="1"/>
  <c r="H1068" i="14"/>
  <c r="G1060" i="14"/>
  <c r="G1057" i="14"/>
  <c r="G1054" i="14"/>
  <c r="G1045" i="14"/>
  <c r="G1038" i="14"/>
  <c r="G1030" i="14"/>
  <c r="G1024" i="14"/>
  <c r="G1023" i="14" s="1"/>
  <c r="G1022" i="14" s="1"/>
  <c r="G1017" i="14"/>
  <c r="G1016" i="14" s="1"/>
  <c r="G1015" i="14" s="1"/>
  <c r="G1010" i="14"/>
  <c r="G1009" i="14" s="1"/>
  <c r="G1008" i="14" s="1"/>
  <c r="G1003" i="14"/>
  <c r="G1002" i="14" s="1"/>
  <c r="G1001" i="14" s="1"/>
  <c r="G996" i="14"/>
  <c r="G995" i="14" s="1"/>
  <c r="G994" i="14" s="1"/>
  <c r="G989" i="14"/>
  <c r="G988" i="14" s="1"/>
  <c r="G987" i="14" s="1"/>
  <c r="G982" i="14"/>
  <c r="G981" i="14"/>
  <c r="G972" i="14"/>
  <c r="G974" i="14" s="1"/>
  <c r="G970" i="14"/>
  <c r="G968" i="14"/>
  <c r="G969" i="14" s="1"/>
  <c r="G954" i="14"/>
  <c r="G955" i="14" s="1"/>
  <c r="G952" i="14"/>
  <c r="G949" i="14"/>
  <c r="G950" i="14" s="1"/>
  <c r="G946" i="14"/>
  <c r="G937" i="14"/>
  <c r="G939" i="14" s="1"/>
  <c r="G935" i="14"/>
  <c r="G933" i="14"/>
  <c r="G934" i="14" s="1"/>
  <c r="G928" i="14"/>
  <c r="G926" i="14"/>
  <c r="G918" i="14"/>
  <c r="G919" i="14" s="1"/>
  <c r="G912" i="14"/>
  <c r="G914" i="14" s="1"/>
  <c r="G906" i="14"/>
  <c r="G907" i="14" s="1"/>
  <c r="G902" i="14"/>
  <c r="G904" i="14" s="1"/>
  <c r="G900" i="14"/>
  <c r="G898" i="14"/>
  <c r="G895" i="14"/>
  <c r="G892" i="14"/>
  <c r="G890" i="14"/>
  <c r="G887" i="14"/>
  <c r="G889" i="14" s="1"/>
  <c r="G884" i="14"/>
  <c r="G880" i="14"/>
  <c r="G882" i="14" s="1"/>
  <c r="G871" i="14"/>
  <c r="G868" i="14"/>
  <c r="G870" i="14" s="1"/>
  <c r="G866" i="14"/>
  <c r="G867" i="14" s="1"/>
  <c r="G858" i="14"/>
  <c r="G859" i="14" s="1"/>
  <c r="G855" i="14"/>
  <c r="G856" i="14" s="1"/>
  <c r="G846" i="14"/>
  <c r="G848" i="14" s="1"/>
  <c r="G837" i="14"/>
  <c r="G838" i="14" s="1"/>
  <c r="G836" i="14"/>
  <c r="G834" i="14"/>
  <c r="G832" i="14"/>
  <c r="G828" i="14"/>
  <c r="G826" i="14"/>
  <c r="G824" i="14"/>
  <c r="G821" i="14"/>
  <c r="G817" i="14"/>
  <c r="G809" i="14"/>
  <c r="G810" i="14" s="1"/>
  <c r="G806" i="14"/>
  <c r="G807" i="14" s="1"/>
  <c r="G803" i="14"/>
  <c r="G804" i="14" s="1"/>
  <c r="G801" i="14"/>
  <c r="G802" i="14" s="1"/>
  <c r="G793" i="14"/>
  <c r="G794" i="14" s="1"/>
  <c r="G792" i="14"/>
  <c r="G790" i="14"/>
  <c r="G786" i="14"/>
  <c r="G784" i="14"/>
  <c r="G781" i="14"/>
  <c r="G779" i="14"/>
  <c r="G775" i="14"/>
  <c r="G773" i="14"/>
  <c r="G771" i="14"/>
  <c r="G769" i="14"/>
  <c r="G767" i="14"/>
  <c r="G764" i="14"/>
  <c r="G765" i="14" s="1"/>
  <c r="G763" i="14"/>
  <c r="G761" i="14"/>
  <c r="G759" i="14"/>
  <c r="G757" i="14"/>
  <c r="G755" i="14"/>
  <c r="G753" i="14"/>
  <c r="G751" i="14"/>
  <c r="G748" i="14"/>
  <c r="G749" i="14" s="1"/>
  <c r="G744" i="14"/>
  <c r="G742" i="14"/>
  <c r="G740" i="14"/>
  <c r="G738" i="14"/>
  <c r="G736" i="14"/>
  <c r="G731" i="14"/>
  <c r="G728" i="14"/>
  <c r="G726" i="14"/>
  <c r="I724" i="14"/>
  <c r="G723" i="14"/>
  <c r="G724" i="14" s="1"/>
  <c r="I722" i="14"/>
  <c r="G720" i="14"/>
  <c r="G721" i="14" s="1"/>
  <c r="G718" i="14"/>
  <c r="G714" i="14"/>
  <c r="G715" i="14" s="1"/>
  <c r="G708" i="14"/>
  <c r="G707" i="14" s="1"/>
  <c r="G705" i="14" s="1"/>
  <c r="G706" i="14" s="1"/>
  <c r="G704" i="14"/>
  <c r="G695" i="14"/>
  <c r="G694" i="14" s="1"/>
  <c r="G692" i="14" s="1"/>
  <c r="G693" i="14" s="1"/>
  <c r="G696" i="14" s="1"/>
  <c r="G690" i="14"/>
  <c r="G691" i="14" s="1"/>
  <c r="G684" i="14"/>
  <c r="G683" i="14"/>
  <c r="G681" i="14" s="1"/>
  <c r="G682" i="14" s="1"/>
  <c r="G679" i="14"/>
  <c r="G680" i="14" s="1"/>
  <c r="H665" i="14"/>
  <c r="H662" i="14"/>
  <c r="H659" i="14"/>
  <c r="H656" i="14"/>
  <c r="G650" i="14"/>
  <c r="G647" i="14"/>
  <c r="G644" i="14"/>
  <c r="G641" i="14"/>
  <c r="G638" i="14"/>
  <c r="G629" i="14"/>
  <c r="G631" i="14" s="1"/>
  <c r="G627" i="14"/>
  <c r="G626" i="14" s="1"/>
  <c r="G628" i="14" s="1"/>
  <c r="G624" i="14"/>
  <c r="G620" i="14"/>
  <c r="G621" i="14" s="1"/>
  <c r="G619" i="14"/>
  <c r="G612" i="14"/>
  <c r="G614" i="14" s="1"/>
  <c r="G609" i="14"/>
  <c r="G610" i="14" s="1"/>
  <c r="G606" i="14"/>
  <c r="G607" i="14" s="1"/>
  <c r="G603" i="14"/>
  <c r="G604" i="14" s="1"/>
  <c r="G598" i="14"/>
  <c r="G595" i="14"/>
  <c r="G591" i="14"/>
  <c r="G593" i="14" s="1"/>
  <c r="G586" i="14"/>
  <c r="G584" i="14"/>
  <c r="G585" i="14" s="1"/>
  <c r="G582" i="14"/>
  <c r="G578" i="14"/>
  <c r="G579" i="14" s="1"/>
  <c r="G575" i="14"/>
  <c r="G573" i="14"/>
  <c r="G569" i="14"/>
  <c r="G567" i="14"/>
  <c r="G563" i="14"/>
  <c r="G561" i="14"/>
  <c r="G550" i="14"/>
  <c r="G551" i="14" s="1"/>
  <c r="G548" i="14"/>
  <c r="G544" i="14"/>
  <c r="G545" i="14" s="1"/>
  <c r="G539" i="14"/>
  <c r="G541" i="14" s="1"/>
  <c r="G538" i="14"/>
  <c r="G534" i="14"/>
  <c r="G536" i="14" s="1"/>
  <c r="G533" i="14"/>
  <c r="G529" i="14"/>
  <c r="G531" i="14" s="1"/>
  <c r="G528" i="14"/>
  <c r="G526" i="14"/>
  <c r="G520" i="14"/>
  <c r="G521" i="14" s="1"/>
  <c r="G519" i="14"/>
  <c r="G514" i="14"/>
  <c r="G515" i="14" s="1"/>
  <c r="G512" i="14"/>
  <c r="G508" i="14"/>
  <c r="G509" i="14" s="1"/>
  <c r="G505" i="14"/>
  <c r="G501" i="14"/>
  <c r="G495" i="14"/>
  <c r="G488" i="14"/>
  <c r="G479" i="14"/>
  <c r="G481" i="14" s="1"/>
  <c r="G477" i="14"/>
  <c r="G476" i="14" s="1"/>
  <c r="G474" i="14" s="1"/>
  <c r="G475" i="14" s="1"/>
  <c r="G465" i="14"/>
  <c r="G467" i="14" s="1"/>
  <c r="G463" i="14"/>
  <c r="G462" i="14" s="1"/>
  <c r="G460" i="14" s="1"/>
  <c r="G461" i="14" s="1"/>
  <c r="G451" i="14"/>
  <c r="G452" i="14" s="1"/>
  <c r="G449" i="14"/>
  <c r="G439" i="14"/>
  <c r="G440" i="14" s="1"/>
  <c r="G437" i="14"/>
  <c r="G421" i="14"/>
  <c r="G418" i="14"/>
  <c r="G416" i="14"/>
  <c r="G414" i="14"/>
  <c r="G412" i="14"/>
  <c r="G410" i="14"/>
  <c r="G408" i="14"/>
  <c r="G405" i="14"/>
  <c r="G406" i="14" s="1"/>
  <c r="G401" i="14"/>
  <c r="G399" i="14"/>
  <c r="G397" i="14"/>
  <c r="G395" i="14"/>
  <c r="G391" i="14"/>
  <c r="G392" i="14" s="1"/>
  <c r="G388" i="14"/>
  <c r="G382" i="14"/>
  <c r="G381" i="14"/>
  <c r="G375" i="14"/>
  <c r="G372" i="14"/>
  <c r="G369" i="14"/>
  <c r="G366" i="14"/>
  <c r="G355" i="14"/>
  <c r="G353" i="14"/>
  <c r="G351" i="14"/>
  <c r="G349" i="14"/>
  <c r="G347" i="14"/>
  <c r="G348" i="14" s="1"/>
  <c r="G344" i="14"/>
  <c r="G341" i="14"/>
  <c r="G342" i="14" s="1"/>
  <c r="G340" i="14"/>
  <c r="G338" i="14"/>
  <c r="G336" i="14"/>
  <c r="G334" i="14"/>
  <c r="G331" i="14"/>
  <c r="G332" i="14" s="1"/>
  <c r="G329" i="14"/>
  <c r="G327" i="14"/>
  <c r="G324" i="14"/>
  <c r="G325" i="14" s="1"/>
  <c r="G321" i="14"/>
  <c r="G322" i="14" s="1"/>
  <c r="G319" i="14"/>
  <c r="G317" i="14"/>
  <c r="G315" i="14"/>
  <c r="G313" i="14"/>
  <c r="G310" i="14"/>
  <c r="G311" i="14" s="1"/>
  <c r="G309" i="14"/>
  <c r="G307" i="14"/>
  <c r="G305" i="14"/>
  <c r="G301" i="14"/>
  <c r="G302" i="14" s="1"/>
  <c r="G298" i="14"/>
  <c r="G299" i="14" s="1"/>
  <c r="G297" i="14"/>
  <c r="G294" i="14"/>
  <c r="G295" i="14" s="1"/>
  <c r="G291" i="14"/>
  <c r="G289" i="14"/>
  <c r="G287" i="14"/>
  <c r="G276" i="14"/>
  <c r="G273" i="14"/>
  <c r="G274" i="14" s="1"/>
  <c r="G272" i="14"/>
  <c r="G269" i="14"/>
  <c r="G270" i="14" s="1"/>
  <c r="G267" i="14"/>
  <c r="G264" i="14"/>
  <c r="G265" i="14" s="1"/>
  <c r="G262" i="14"/>
  <c r="G260" i="14"/>
  <c r="G257" i="14"/>
  <c r="G258" i="14" s="1"/>
  <c r="G254" i="14"/>
  <c r="G252" i="14"/>
  <c r="G253" i="14" s="1"/>
  <c r="G251" i="14"/>
  <c r="G246" i="14"/>
  <c r="G244" i="14"/>
  <c r="G242" i="14"/>
  <c r="G243" i="14" s="1"/>
  <c r="G241" i="14"/>
  <c r="G236" i="14"/>
  <c r="G234" i="14"/>
  <c r="G232" i="14"/>
  <c r="G233" i="14" s="1"/>
  <c r="G231" i="14"/>
  <c r="G226" i="14"/>
  <c r="G223" i="14"/>
  <c r="G224" i="14" s="1"/>
  <c r="G222" i="14"/>
  <c r="G219" i="14"/>
  <c r="G220" i="14" s="1"/>
  <c r="G217" i="14"/>
  <c r="G214" i="14"/>
  <c r="G215" i="14" s="1"/>
  <c r="G212" i="14"/>
  <c r="G210" i="14"/>
  <c r="G208" i="14"/>
  <c r="G205" i="14"/>
  <c r="G206" i="14" s="1"/>
  <c r="G203" i="14"/>
  <c r="G201" i="14"/>
  <c r="G199" i="14"/>
  <c r="G197" i="14"/>
  <c r="G196" i="14"/>
  <c r="G194" i="14"/>
  <c r="G195" i="14" s="1"/>
  <c r="G193" i="14"/>
  <c r="G181" i="14"/>
  <c r="G178" i="14"/>
  <c r="G179" i="14" s="1"/>
  <c r="G177" i="14"/>
  <c r="G175" i="14"/>
  <c r="G173" i="14"/>
  <c r="G171" i="14"/>
  <c r="G168" i="14"/>
  <c r="G169" i="14" s="1"/>
  <c r="G164" i="14"/>
  <c r="G165" i="14" s="1"/>
  <c r="G163" i="14"/>
  <c r="G159" i="14"/>
  <c r="G155" i="14"/>
  <c r="G156" i="14" s="1"/>
  <c r="G154" i="14"/>
  <c r="G152" i="14"/>
  <c r="G148" i="14"/>
  <c r="G149" i="14" s="1"/>
  <c r="G146" i="14"/>
  <c r="G147" i="14" s="1"/>
  <c r="G142" i="14"/>
  <c r="G140" i="14"/>
  <c r="G137" i="14"/>
  <c r="G138" i="14" s="1"/>
  <c r="G136" i="14"/>
  <c r="G134" i="14"/>
  <c r="G132" i="14"/>
  <c r="G130" i="14"/>
  <c r="G128" i="14"/>
  <c r="G126" i="14"/>
  <c r="G121" i="14"/>
  <c r="G122" i="14" s="1"/>
  <c r="G118" i="14"/>
  <c r="G119" i="14" s="1"/>
  <c r="G109" i="14"/>
  <c r="G106" i="14"/>
  <c r="G104" i="14"/>
  <c r="G97" i="14"/>
  <c r="G96" i="14"/>
  <c r="G82" i="14"/>
  <c r="G83" i="14" s="1"/>
  <c r="G79" i="14"/>
  <c r="G77" i="14"/>
  <c r="G75" i="14"/>
  <c r="G71" i="14"/>
  <c r="G67" i="14"/>
  <c r="G65" i="14"/>
  <c r="G63" i="14"/>
  <c r="G61" i="14"/>
  <c r="G59" i="14"/>
  <c r="G57" i="14"/>
  <c r="G54" i="14"/>
  <c r="G55" i="14" s="1"/>
  <c r="G53" i="14"/>
  <c r="G51" i="14"/>
  <c r="G49" i="14"/>
  <c r="G43" i="14"/>
  <c r="G41" i="14"/>
  <c r="G39" i="14"/>
  <c r="G35" i="14"/>
  <c r="G36" i="14" s="1"/>
  <c r="G33" i="14"/>
  <c r="G34" i="14" s="1"/>
  <c r="G31" i="14"/>
  <c r="G32" i="14" s="1"/>
  <c r="G28" i="14"/>
  <c r="G26" i="14"/>
  <c r="G27" i="14" s="1"/>
  <c r="G24" i="14"/>
  <c r="G25" i="14" s="1"/>
  <c r="G22" i="14"/>
  <c r="G23" i="14" s="1"/>
  <c r="G19" i="14"/>
  <c r="G12" i="14"/>
  <c r="G9" i="14"/>
  <c r="G10" i="14" s="1"/>
  <c r="G8" i="14"/>
  <c r="G5" i="14"/>
  <c r="G6" i="14" s="1"/>
  <c r="G1168" i="14" l="1"/>
  <c r="G1169" i="14" s="1"/>
  <c r="G1455" i="14"/>
  <c r="G1456" i="14" s="1"/>
  <c r="G1690" i="14"/>
  <c r="G1691" i="14" s="1"/>
  <c r="G1677" i="14"/>
  <c r="G1678" i="14" s="1"/>
  <c r="G1755" i="14"/>
  <c r="G592" i="14"/>
  <c r="G605" i="14"/>
  <c r="G971" i="14"/>
  <c r="G613" i="14"/>
  <c r="G630" i="14"/>
  <c r="G881" i="14"/>
  <c r="G936" i="14"/>
  <c r="G973" i="14"/>
  <c r="G466" i="14"/>
  <c r="G480" i="14"/>
  <c r="G510" i="14"/>
  <c r="G535" i="14"/>
  <c r="G847" i="14"/>
  <c r="G893" i="14"/>
  <c r="G903" i="14"/>
  <c r="G908" i="14"/>
  <c r="G913" i="14"/>
  <c r="G920" i="14"/>
  <c r="G1110" i="14"/>
  <c r="G1136" i="14"/>
  <c r="G1326" i="14"/>
  <c r="G1464" i="14"/>
  <c r="G1465" i="14" s="1"/>
  <c r="G530" i="14"/>
  <c r="G540" i="14"/>
  <c r="G685" i="14"/>
  <c r="G869" i="14"/>
  <c r="G888" i="14"/>
  <c r="G901" i="14"/>
  <c r="G938" i="14"/>
  <c r="G956" i="14"/>
  <c r="G983" i="14"/>
  <c r="G1111" i="14"/>
  <c r="G1203" i="14"/>
  <c r="G1207" i="14"/>
  <c r="G1216" i="14"/>
  <c r="G1228" i="14"/>
  <c r="G1267" i="14"/>
  <c r="G1312" i="14"/>
  <c r="G1343" i="14"/>
  <c r="G441" i="14"/>
  <c r="G453" i="14"/>
  <c r="G464" i="14"/>
  <c r="G478" i="14"/>
  <c r="G709" i="14"/>
  <c r="G990" i="14"/>
  <c r="G1004" i="14"/>
  <c r="G1018" i="14"/>
  <c r="G1029" i="14"/>
  <c r="G1032" i="14" s="1"/>
  <c r="G1037" i="14"/>
  <c r="G1036" i="14" s="1"/>
  <c r="G1044" i="14"/>
  <c r="G1043" i="14" s="1"/>
  <c r="G1186" i="14"/>
  <c r="G1188" i="14" s="1"/>
  <c r="G1501" i="14"/>
  <c r="G1503" i="14" s="1"/>
  <c r="G1520" i="14"/>
  <c r="G1522" i="14" s="1"/>
  <c r="G436" i="14"/>
  <c r="G434" i="14" s="1"/>
  <c r="G435" i="14" s="1"/>
  <c r="G448" i="14"/>
  <c r="G446" i="14" s="1"/>
  <c r="G447" i="14" s="1"/>
  <c r="G546" i="14"/>
  <c r="G580" i="14"/>
  <c r="G811" i="14"/>
  <c r="G857" i="14"/>
  <c r="G997" i="14"/>
  <c r="G1011" i="14"/>
  <c r="G1025" i="14"/>
  <c r="G1109" i="14"/>
  <c r="G1184" i="14"/>
  <c r="G1233" i="14"/>
  <c r="G1259" i="14"/>
  <c r="G1315" i="14"/>
  <c r="G1314" i="14" s="1"/>
  <c r="G1424" i="14"/>
  <c r="G1422" i="14"/>
  <c r="G1437" i="14"/>
  <c r="G1438" i="14" s="1"/>
  <c r="G384" i="14"/>
  <c r="G393" i="14"/>
  <c r="G1046" i="14" l="1"/>
  <c r="G1039" i="14"/>
  <c r="G438" i="14"/>
  <c r="G1317" i="14"/>
  <c r="G450" i="14"/>
  <c r="G254" i="1" l="1"/>
  <c r="G256" i="1"/>
  <c r="G258" i="1"/>
  <c r="G260" i="1"/>
  <c r="G266" i="1"/>
  <c r="G270" i="1"/>
  <c r="G274" i="1"/>
  <c r="G278" i="1"/>
  <c r="M287" i="1"/>
  <c r="G289" i="1"/>
  <c r="G293" i="1"/>
  <c r="J333" i="1"/>
  <c r="K333" i="1"/>
  <c r="G352" i="1"/>
  <c r="F92" i="1"/>
  <c r="F93" i="1"/>
  <c r="F99" i="1"/>
  <c r="F100" i="1"/>
  <c r="F106" i="1"/>
  <c r="F109" i="1"/>
  <c r="F110" i="1"/>
  <c r="F115" i="1"/>
  <c r="F118" i="1"/>
  <c r="F119" i="1" s="1"/>
  <c r="F122" i="1"/>
  <c r="F124" i="1"/>
  <c r="F134" i="1"/>
  <c r="F136" i="1"/>
  <c r="F137" i="1"/>
  <c r="F138" i="1" s="1"/>
  <c r="F141" i="1"/>
  <c r="F142" i="1" s="1"/>
  <c r="F145" i="1"/>
  <c r="F151" i="1"/>
  <c r="F153" i="1"/>
  <c r="I158" i="1"/>
  <c r="J158" i="1" s="1"/>
  <c r="K158" i="1" s="1"/>
  <c r="I159" i="1"/>
  <c r="J159" i="1" s="1"/>
  <c r="H160" i="1"/>
  <c r="I160" i="1"/>
  <c r="H161" i="1"/>
  <c r="I161" i="1"/>
  <c r="F162" i="1"/>
  <c r="F170" i="1"/>
  <c r="G170" i="1" s="1"/>
  <c r="F171" i="1"/>
  <c r="G171" i="1"/>
  <c r="F172" i="1"/>
  <c r="G172" i="1"/>
  <c r="G176" i="1"/>
  <c r="G179" i="1"/>
  <c r="F184" i="1"/>
  <c r="F189" i="1"/>
  <c r="F192" i="1"/>
  <c r="F195" i="1"/>
  <c r="F200" i="1"/>
  <c r="F203" i="1"/>
  <c r="F206" i="1"/>
  <c r="F207" i="1" s="1"/>
  <c r="F208" i="1" s="1"/>
  <c r="F210" i="1"/>
  <c r="G218" i="1"/>
  <c r="G220" i="1"/>
  <c r="G222" i="1"/>
  <c r="G224" i="1"/>
  <c r="G225" i="1" s="1"/>
  <c r="G229" i="1"/>
  <c r="G230" i="1" s="1"/>
  <c r="G234" i="1"/>
  <c r="G235" i="1" s="1"/>
  <c r="G40" i="12"/>
  <c r="G41" i="12" s="1"/>
  <c r="G42" i="12" s="1"/>
  <c r="G38" i="12"/>
  <c r="G39" i="12" s="1"/>
  <c r="G34" i="12"/>
  <c r="G30" i="12"/>
  <c r="G31" i="12" s="1"/>
  <c r="G32" i="12" s="1"/>
  <c r="G28" i="12"/>
  <c r="G29" i="12" s="1"/>
  <c r="G24" i="12"/>
  <c r="G20" i="12"/>
  <c r="G21" i="12" s="1"/>
  <c r="G22" i="12" s="1"/>
  <c r="G18" i="12"/>
  <c r="G19" i="12" s="1"/>
  <c r="G15" i="12"/>
  <c r="G11" i="12"/>
  <c r="G12" i="12" s="1"/>
  <c r="G10" i="12"/>
  <c r="G7" i="12"/>
  <c r="G8" i="12" s="1"/>
  <c r="G322" i="11"/>
  <c r="G319" i="11"/>
  <c r="G318" i="11" s="1"/>
  <c r="G312" i="11"/>
  <c r="G310" i="11"/>
  <c r="G308" i="11"/>
  <c r="G305" i="11"/>
  <c r="G304" i="11" s="1"/>
  <c r="G301" i="11" s="1"/>
  <c r="G302" i="11" s="1"/>
  <c r="G303" i="11" s="1"/>
  <c r="G299" i="11"/>
  <c r="G300" i="11" s="1"/>
  <c r="G296" i="11"/>
  <c r="G293" i="11"/>
  <c r="G294" i="11" s="1"/>
  <c r="G291" i="11"/>
  <c r="G292" i="11" s="1"/>
  <c r="G288" i="11"/>
  <c r="G290" i="11" s="1"/>
  <c r="G284" i="11"/>
  <c r="G281" i="11"/>
  <c r="G282" i="11" s="1"/>
  <c r="G279" i="11"/>
  <c r="G280" i="11" s="1"/>
  <c r="G276" i="11"/>
  <c r="G278" i="11" s="1"/>
  <c r="G272" i="11"/>
  <c r="G269" i="11"/>
  <c r="G270" i="11" s="1"/>
  <c r="G266" i="11"/>
  <c r="G268" i="11" s="1"/>
  <c r="G262" i="11"/>
  <c r="G259" i="11"/>
  <c r="G260" i="11" s="1"/>
  <c r="G256" i="11"/>
  <c r="G258" i="11" s="1"/>
  <c r="G253" i="11"/>
  <c r="G250" i="11"/>
  <c r="G251" i="11" s="1"/>
  <c r="G248" i="11"/>
  <c r="G249" i="11" s="1"/>
  <c r="G236" i="11"/>
  <c r="G233" i="11"/>
  <c r="G234" i="11" s="1"/>
  <c r="G231" i="11"/>
  <c r="G232" i="11" s="1"/>
  <c r="G228" i="11"/>
  <c r="G229" i="11" s="1"/>
  <c r="G223" i="11"/>
  <c r="G220" i="11"/>
  <c r="G221" i="11" s="1"/>
  <c r="G217" i="11"/>
  <c r="G218" i="11" s="1"/>
  <c r="G215" i="11"/>
  <c r="G212" i="11"/>
  <c r="G213" i="11" s="1"/>
  <c r="G210" i="11"/>
  <c r="G211" i="11" s="1"/>
  <c r="G203" i="11"/>
  <c r="G200" i="11"/>
  <c r="G201" i="11" s="1"/>
  <c r="G198" i="11"/>
  <c r="G199" i="11" s="1"/>
  <c r="G196" i="11"/>
  <c r="G194" i="11"/>
  <c r="G191" i="11"/>
  <c r="G192" i="11" s="1"/>
  <c r="G189" i="11"/>
  <c r="G190" i="11" s="1"/>
  <c r="G184" i="11"/>
  <c r="G181" i="11"/>
  <c r="G182" i="11" s="1"/>
  <c r="G179" i="11"/>
  <c r="G180" i="11" s="1"/>
  <c r="G176" i="11"/>
  <c r="G177" i="11" s="1"/>
  <c r="G173" i="11"/>
  <c r="G170" i="11"/>
  <c r="G171" i="11" s="1"/>
  <c r="G168" i="11"/>
  <c r="G169" i="11" s="1"/>
  <c r="G165" i="11"/>
  <c r="G166" i="11" s="1"/>
  <c r="G162" i="11"/>
  <c r="G160" i="11"/>
  <c r="G157" i="11"/>
  <c r="G158" i="11" s="1"/>
  <c r="G155" i="11"/>
  <c r="G156" i="11" s="1"/>
  <c r="G152" i="11"/>
  <c r="G154" i="11" s="1"/>
  <c r="G149" i="11"/>
  <c r="G147" i="11"/>
  <c r="G144" i="11"/>
  <c r="G145" i="11" s="1"/>
  <c r="G142" i="11"/>
  <c r="G143" i="11" s="1"/>
  <c r="G140" i="11"/>
  <c r="G138" i="11"/>
  <c r="G136" i="11"/>
  <c r="G133" i="11"/>
  <c r="G134" i="11" s="1"/>
  <c r="G131" i="11"/>
  <c r="G132" i="11" s="1"/>
  <c r="G124" i="11"/>
  <c r="G121" i="11"/>
  <c r="G122" i="11" s="1"/>
  <c r="G119" i="11"/>
  <c r="G120" i="11" s="1"/>
  <c r="G116" i="11"/>
  <c r="G113" i="11"/>
  <c r="G110" i="11"/>
  <c r="G111" i="11" s="1"/>
  <c r="G107" i="11"/>
  <c r="G108" i="11" s="1"/>
  <c r="G104" i="11"/>
  <c r="G106" i="11" s="1"/>
  <c r="G101" i="11"/>
  <c r="G98" i="11"/>
  <c r="G99" i="11" s="1"/>
  <c r="G95" i="11"/>
  <c r="G97" i="11" s="1"/>
  <c r="G92" i="11"/>
  <c r="G93" i="11" s="1"/>
  <c r="G85" i="11"/>
  <c r="G82" i="11"/>
  <c r="G83" i="11" s="1"/>
  <c r="G79" i="11"/>
  <c r="G80" i="11" s="1"/>
  <c r="G76" i="11"/>
  <c r="G73" i="11"/>
  <c r="G74" i="11" s="1"/>
  <c r="G70" i="11"/>
  <c r="G71" i="11" s="1"/>
  <c r="G72" i="11" s="1"/>
  <c r="G67" i="11"/>
  <c r="G69" i="11" s="1"/>
  <c r="G61" i="11"/>
  <c r="G57" i="11"/>
  <c r="G59" i="11" s="1"/>
  <c r="G54" i="11"/>
  <c r="G55" i="11" s="1"/>
  <c r="G47" i="11"/>
  <c r="G44" i="11"/>
  <c r="G45" i="11" s="1"/>
  <c r="G38" i="11"/>
  <c r="G40" i="11" s="1"/>
  <c r="G31" i="11"/>
  <c r="G27" i="11"/>
  <c r="G29" i="11" s="1"/>
  <c r="G24" i="11"/>
  <c r="G25" i="11" s="1"/>
  <c r="G11" i="11"/>
  <c r="G8" i="11"/>
  <c r="G7" i="11" s="1"/>
  <c r="G6" i="11" s="1"/>
  <c r="G3" i="11"/>
  <c r="G4" i="11" s="1"/>
  <c r="G117" i="11" l="1"/>
  <c r="G1162" i="11"/>
  <c r="F204" i="1"/>
  <c r="G311" i="1"/>
  <c r="F94" i="1"/>
  <c r="F101" i="1"/>
  <c r="G41" i="11"/>
  <c r="G42" i="11" s="1"/>
  <c r="G43" i="11" s="1"/>
  <c r="G58" i="11"/>
  <c r="G28" i="11"/>
  <c r="G96" i="11"/>
  <c r="G105" i="11"/>
  <c r="G257" i="11"/>
  <c r="G267" i="11"/>
  <c r="G277" i="11"/>
  <c r="J161" i="1"/>
  <c r="K161" i="1" s="1"/>
  <c r="J160" i="1"/>
  <c r="K160" i="1" s="1"/>
  <c r="K159" i="1"/>
  <c r="G23" i="12"/>
  <c r="G25" i="12" s="1"/>
  <c r="G33" i="12"/>
  <c r="G35" i="12" s="1"/>
  <c r="G39" i="11"/>
  <c r="G68" i="11"/>
  <c r="G153" i="11"/>
  <c r="G289" i="11"/>
  <c r="G320" i="11"/>
  <c r="G315" i="11"/>
  <c r="G316" i="11" s="1"/>
  <c r="G317" i="11" s="1"/>
  <c r="G26" i="11"/>
  <c r="G56" i="11"/>
  <c r="G81" i="11"/>
  <c r="G94" i="11"/>
  <c r="G109" i="11"/>
  <c r="G118" i="11"/>
  <c r="G167" i="11"/>
  <c r="G178" i="11"/>
  <c r="G219" i="11"/>
  <c r="G230" i="11"/>
  <c r="G306" i="11"/>
  <c r="G5" i="11"/>
  <c r="G9" i="11"/>
  <c r="J162" i="1" l="1"/>
  <c r="K162" i="1"/>
  <c r="G10721" i="4"/>
  <c r="G10717" i="4"/>
  <c r="G10718" i="4" s="1"/>
  <c r="G10719" i="4" s="1"/>
  <c r="G10715" i="4"/>
  <c r="G10716" i="4" s="1"/>
  <c r="K52" i="7" l="1"/>
  <c r="K51" i="7"/>
  <c r="G10709" i="4" l="1"/>
  <c r="G10707" i="4"/>
  <c r="G10705" i="4"/>
  <c r="G10700" i="4"/>
  <c r="G10697" i="4"/>
  <c r="G10699" i="4" s="1"/>
  <c r="G10701" i="4"/>
  <c r="G10698" i="4"/>
  <c r="G10702" i="4" l="1"/>
  <c r="G10703" i="4" s="1"/>
  <c r="G10694" i="4"/>
  <c r="G10689" i="4"/>
  <c r="G10690" i="4" s="1"/>
  <c r="G10686" i="4"/>
  <c r="G10687" i="4" s="1"/>
  <c r="G10683" i="4"/>
  <c r="G10680" i="4"/>
  <c r="G10677" i="4"/>
  <c r="G10676" i="4" s="1"/>
  <c r="G10673" i="4"/>
  <c r="G10675" i="4" s="1"/>
  <c r="G10674" i="4" l="1"/>
  <c r="G10678" i="4"/>
  <c r="G10691" i="4"/>
  <c r="G10692" i="4" s="1"/>
  <c r="G10688" i="4"/>
  <c r="G10662" i="4"/>
  <c r="G10659" i="4"/>
  <c r="G10669" i="4" l="1"/>
  <c r="G10670" i="4" s="1"/>
  <c r="G10666" i="4"/>
  <c r="G10653" i="4" l="1"/>
  <c r="G10655" i="4"/>
  <c r="G10644" i="4" l="1"/>
  <c r="G10646" i="4"/>
  <c r="G10647" i="4" s="1"/>
  <c r="G10651" i="4"/>
  <c r="G10649" i="4"/>
  <c r="G10632" i="4" l="1"/>
  <c r="G10634" i="4" s="1"/>
  <c r="G10638" i="4"/>
  <c r="G10636" i="4"/>
  <c r="G10633" i="4" l="1"/>
  <c r="G10605" i="4"/>
  <c r="G10606" i="4" s="1"/>
  <c r="G10609" i="4"/>
  <c r="G10607" i="4" s="1"/>
  <c r="G10613" i="4"/>
  <c r="G10615" i="4"/>
  <c r="G10616" i="4" s="1"/>
  <c r="G10460" i="4"/>
  <c r="G10608" i="4" l="1"/>
  <c r="G10610" i="4"/>
  <c r="G10611" i="4" s="1"/>
  <c r="G10459" i="4"/>
  <c r="G10461" i="4" s="1"/>
  <c r="G10458" i="4"/>
  <c r="G10577" i="4"/>
  <c r="G10578" i="4" s="1"/>
  <c r="G10579" i="4" s="1"/>
  <c r="G10627" i="4"/>
  <c r="G10629" i="4" s="1"/>
  <c r="G10625" i="4"/>
  <c r="G10626" i="4" s="1"/>
  <c r="G10623" i="4"/>
  <c r="G10619" i="4"/>
  <c r="G10617" i="4" s="1"/>
  <c r="G10618" i="4" s="1"/>
  <c r="G10571" i="4"/>
  <c r="G10570" i="4"/>
  <c r="G10565" i="4"/>
  <c r="G10566" i="4"/>
  <c r="G10567" i="4"/>
  <c r="G10561" i="4"/>
  <c r="G10562" i="4" s="1"/>
  <c r="G10553" i="4"/>
  <c r="G10552" i="4"/>
  <c r="G10546" i="4"/>
  <c r="G10547" i="4"/>
  <c r="G10548" i="4"/>
  <c r="G10539" i="4"/>
  <c r="G10541" i="4" s="1"/>
  <c r="G10535" i="4"/>
  <c r="G10536" i="4"/>
  <c r="G10532" i="4"/>
  <c r="G10533" i="4" s="1"/>
  <c r="G10525" i="4"/>
  <c r="G10526" i="4"/>
  <c r="G10515" i="4"/>
  <c r="G10516" i="4"/>
  <c r="G10510" i="4"/>
  <c r="G10502" i="4"/>
  <c r="G10503" i="4" s="1"/>
  <c r="G10499" i="4"/>
  <c r="G10498" i="4" s="1"/>
  <c r="G10500" i="4" s="1"/>
  <c r="G10485" i="4"/>
  <c r="G10486" i="4"/>
  <c r="G10487" i="4" s="1"/>
  <c r="G10484" i="4"/>
  <c r="G10476" i="4"/>
  <c r="G10477" i="4" s="1"/>
  <c r="G10475" i="4"/>
  <c r="G10474" i="4"/>
  <c r="G10494" i="4"/>
  <c r="G10462" i="4" l="1"/>
  <c r="G10575" i="4"/>
  <c r="G10576" i="4" s="1"/>
  <c r="G10517" i="4"/>
  <c r="G10527" i="4"/>
  <c r="G10542" i="4"/>
  <c r="G10568" i="4"/>
  <c r="G10620" i="4"/>
  <c r="G10621" i="4" s="1"/>
  <c r="G10501" i="4"/>
  <c r="G10549" i="4"/>
  <c r="G10511" i="4"/>
  <c r="G10504" i="4"/>
  <c r="G10488" i="4"/>
  <c r="G10478" i="4"/>
  <c r="G10468" i="4" l="1"/>
  <c r="G10422" i="4" l="1"/>
  <c r="G10412" i="4"/>
  <c r="G10438" i="4"/>
  <c r="G10446" i="4"/>
  <c r="G10428" i="4"/>
  <c r="G10440" i="4"/>
  <c r="G10413" i="4"/>
  <c r="G10419" i="4"/>
  <c r="G10420" i="4"/>
  <c r="G10429" i="4"/>
  <c r="G10432" i="4"/>
  <c r="G10433" i="4"/>
  <c r="G10430" i="4"/>
  <c r="G10431" i="4" l="1"/>
  <c r="G10424" i="4"/>
  <c r="G10439" i="4"/>
  <c r="G10425" i="4"/>
  <c r="G10417" i="4"/>
  <c r="G10414" i="4"/>
  <c r="G10423" i="4"/>
  <c r="G10437" i="4"/>
  <c r="G10418" i="4"/>
  <c r="G10404" i="4" l="1"/>
  <c r="G10400" i="4"/>
  <c r="G10397" i="4" l="1"/>
  <c r="G10394" i="4"/>
  <c r="G10383" i="4"/>
  <c r="G10386" i="4"/>
  <c r="G10385" i="4" s="1"/>
  <c r="G10391" i="4"/>
  <c r="G10389" i="4"/>
  <c r="G10384" i="4"/>
  <c r="G10387" i="4" l="1"/>
  <c r="G10376" i="4"/>
  <c r="G10375" i="4" s="1"/>
  <c r="G10377" i="4" s="1"/>
  <c r="G10366" i="4" l="1"/>
  <c r="G10365" i="4" l="1"/>
  <c r="G10367" i="4" s="1"/>
  <c r="G10371" i="4"/>
  <c r="G10369" i="4"/>
  <c r="G10357" i="4" l="1"/>
  <c r="G10358" i="4" s="1"/>
  <c r="G10359" i="4" l="1"/>
  <c r="G10352" i="4"/>
  <c r="G10331" i="4"/>
  <c r="G10334" i="4"/>
  <c r="G10330" i="4"/>
  <c r="G10332" i="4" s="1"/>
  <c r="G10328" i="4"/>
  <c r="G10329" i="4" s="1"/>
  <c r="G10345" i="4"/>
  <c r="G10343" i="4"/>
  <c r="G10341" i="4" s="1"/>
  <c r="G10342" i="4" s="1"/>
  <c r="G10349" i="4"/>
  <c r="G10339" i="4"/>
  <c r="G10340" i="4" s="1"/>
  <c r="G10347" i="4"/>
  <c r="G10336" i="4"/>
  <c r="G10319" i="4"/>
  <c r="G10344" i="4" l="1"/>
  <c r="G10309" i="4"/>
  <c r="G10307" i="4" s="1"/>
  <c r="G10315" i="4"/>
  <c r="G10313" i="4" s="1"/>
  <c r="G10314" i="4" s="1"/>
  <c r="G10312" i="4"/>
  <c r="G10305" i="4"/>
  <c r="G10316" i="4" l="1"/>
  <c r="G10310" i="4"/>
  <c r="G10306" i="4"/>
  <c r="G10308" i="4" s="1"/>
  <c r="G10290" i="4"/>
  <c r="G10296" i="4" l="1"/>
  <c r="G10299" i="4"/>
  <c r="G10293" i="4" l="1"/>
  <c r="G10256" i="4" l="1"/>
  <c r="G10250" i="4"/>
  <c r="G10243" i="4" l="1"/>
  <c r="G10241" i="4"/>
  <c r="G10237" i="4"/>
  <c r="G10279" i="4"/>
  <c r="G10280" i="4" s="1"/>
  <c r="G10285" i="4"/>
  <c r="G10283" i="4"/>
  <c r="G10281" i="4" l="1"/>
  <c r="G10270" i="4"/>
  <c r="G10267" i="4"/>
  <c r="G10264" i="4"/>
  <c r="G10262" i="4" s="1"/>
  <c r="G10263" i="4" s="1"/>
  <c r="G10259" i="4"/>
  <c r="G10261" i="4" s="1"/>
  <c r="G10265" i="4" l="1"/>
  <c r="G10260" i="4"/>
  <c r="G10200" i="4"/>
  <c r="G10203" i="4"/>
  <c r="G10230" i="4"/>
  <c r="G10228" i="4"/>
  <c r="G10232" i="4"/>
  <c r="G10226" i="4"/>
  <c r="G10224" i="4"/>
  <c r="G10222" i="4"/>
  <c r="G10220" i="4"/>
  <c r="G10218" i="4"/>
  <c r="G10216" i="4"/>
  <c r="G10214" i="4"/>
  <c r="G10212" i="4"/>
  <c r="G10210" i="4"/>
  <c r="G10204" i="4" l="1"/>
  <c r="G10206" i="4"/>
  <c r="G10207" i="4" s="1"/>
  <c r="G10196" i="4"/>
  <c r="G10193" i="4"/>
  <c r="G10192" i="4" s="1"/>
  <c r="G10194" i="4" l="1"/>
  <c r="G10208" i="4"/>
  <c r="G10199" i="4"/>
  <c r="G10201" i="4" s="1"/>
  <c r="H10182" i="4"/>
  <c r="G10180" i="4" l="1"/>
  <c r="G10182" i="4" s="1"/>
  <c r="G10189" i="4" l="1"/>
  <c r="G10186" i="4"/>
  <c r="G10154" i="4" l="1"/>
  <c r="G10152" i="4" s="1"/>
  <c r="G10153" i="4" s="1"/>
  <c r="G10162" i="4"/>
  <c r="G10160" i="4"/>
  <c r="G10158" i="4"/>
  <c r="G10174" i="4"/>
  <c r="G10168" i="4"/>
  <c r="G10166" i="4" s="1"/>
  <c r="G10167" i="4" s="1"/>
  <c r="G10172" i="4"/>
  <c r="G10164" i="4"/>
  <c r="G10165" i="4" s="1"/>
  <c r="G10155" i="4"/>
  <c r="G10150" i="4"/>
  <c r="G10151" i="4" s="1"/>
  <c r="G10169" i="4" l="1"/>
  <c r="G10146" i="4"/>
  <c r="G10144" i="4"/>
  <c r="G10142" i="4"/>
  <c r="G10143" i="4" s="1"/>
  <c r="G10139" i="4"/>
  <c r="G10138" i="4" s="1"/>
  <c r="G653" i="4"/>
  <c r="G10140" i="4" l="1"/>
  <c r="B11" i="9"/>
  <c r="B10" i="9"/>
  <c r="G10121" i="4" l="1"/>
  <c r="G10122" i="4" s="1"/>
  <c r="G10123" i="4" s="1"/>
  <c r="G10118" i="4"/>
  <c r="G10119" i="4" s="1"/>
  <c r="G10133" i="4"/>
  <c r="G10126" i="4"/>
  <c r="G10127" i="4" s="1"/>
  <c r="G10130" i="4"/>
  <c r="G10131" i="4" s="1"/>
  <c r="G10129" i="4"/>
  <c r="G10125" i="4"/>
  <c r="G55" i="7"/>
  <c r="I51" i="7" l="1"/>
  <c r="I52" i="7"/>
  <c r="G10120" i="4"/>
  <c r="G10083" i="4"/>
  <c r="G10078" i="4" l="1"/>
  <c r="G10115" i="4" l="1"/>
  <c r="G10100" i="4" l="1"/>
  <c r="G10098" i="4"/>
  <c r="G10111" i="4"/>
  <c r="G10110" i="4" s="1"/>
  <c r="G10107" i="4"/>
  <c r="G10105" i="4"/>
  <c r="G10106" i="4" l="1"/>
  <c r="G10108" i="4" s="1"/>
  <c r="G10112" i="4"/>
  <c r="G10088" i="4"/>
  <c r="G10089" i="4" s="1"/>
  <c r="G10092" i="4"/>
  <c r="G10090" i="4" s="1"/>
  <c r="G10093" i="4" l="1"/>
  <c r="G10091" i="4"/>
  <c r="G10094" i="4"/>
  <c r="G10095" i="4" s="1"/>
  <c r="G10096" i="4" s="1"/>
  <c r="G10040" i="4"/>
  <c r="G10041" i="4" s="1"/>
  <c r="I9999" i="4"/>
  <c r="G10038" i="4"/>
  <c r="G10072" i="4"/>
  <c r="G10070" i="4"/>
  <c r="G10068" i="4"/>
  <c r="G10066" i="4"/>
  <c r="G10064" i="4"/>
  <c r="G10062" i="4"/>
  <c r="G10060" i="4"/>
  <c r="G10058" i="4"/>
  <c r="G10056" i="4"/>
  <c r="G10054" i="4"/>
  <c r="G10052" i="4"/>
  <c r="G10050" i="4"/>
  <c r="G10047" i="4"/>
  <c r="G10048" i="4" s="1"/>
  <c r="G10046" i="4"/>
  <c r="G10044" i="4"/>
  <c r="G10039" i="4"/>
  <c r="G9967" i="4"/>
  <c r="G10042" i="4" l="1"/>
  <c r="G10036" i="4"/>
  <c r="G10034" i="4"/>
  <c r="G10032" i="4"/>
  <c r="G10030" i="4"/>
  <c r="G10020" i="4"/>
  <c r="G10022" i="4" s="1"/>
  <c r="G10028" i="4"/>
  <c r="G10026" i="4"/>
  <c r="G10024" i="4"/>
  <c r="G10021" i="4"/>
  <c r="G10018" i="4"/>
  <c r="G10016" i="4"/>
  <c r="G10014" i="4"/>
  <c r="G10011" i="4"/>
  <c r="G10012" i="4" s="1"/>
  <c r="G10007" i="4"/>
  <c r="G10009" i="4" s="1"/>
  <c r="G10000" i="4"/>
  <c r="G10001" i="4" s="1"/>
  <c r="G10005" i="4"/>
  <c r="G10003" i="4"/>
  <c r="G9997" i="4"/>
  <c r="G9993" i="4"/>
  <c r="G9988" i="4"/>
  <c r="G9989" i="4" s="1"/>
  <c r="G9991" i="4"/>
  <c r="G9985" i="4"/>
  <c r="G10008" i="4" l="1"/>
  <c r="G9998" i="4"/>
  <c r="G9982" i="4"/>
  <c r="G9976" i="4"/>
  <c r="G9975" i="4" s="1"/>
  <c r="G9977" i="4" s="1"/>
  <c r="G9970" i="4"/>
  <c r="G9972" i="4" s="1"/>
  <c r="G9978" i="4" l="1"/>
  <c r="G9971" i="4"/>
  <c r="G9963" i="4"/>
  <c r="G9934" i="4"/>
  <c r="G9937" i="4"/>
  <c r="G9936" i="4" s="1"/>
  <c r="G9960" i="4" l="1"/>
  <c r="G9942" i="4" l="1"/>
  <c r="G9940" i="4"/>
  <c r="G9938" i="4"/>
  <c r="G9935" i="4"/>
  <c r="G9928" i="4" l="1"/>
  <c r="G9926" i="4" s="1"/>
  <c r="G9927" i="4" s="1"/>
  <c r="G9929" i="4" l="1"/>
  <c r="G9925" i="4"/>
  <c r="G9917" i="4" l="1"/>
  <c r="G9914" i="4"/>
  <c r="G9911" i="4"/>
  <c r="G9908" i="4"/>
  <c r="G9909" i="4" s="1"/>
  <c r="G9905" i="4" l="1"/>
  <c r="G9902" i="4" l="1"/>
  <c r="G9900" i="4"/>
  <c r="G9897" i="4"/>
  <c r="G9894" i="4"/>
  <c r="G9893" i="4"/>
  <c r="G9892" i="4"/>
  <c r="G9891" i="4"/>
  <c r="G9888" i="4"/>
  <c r="G9885" i="4"/>
  <c r="G9881" i="4" l="1"/>
  <c r="G9854" i="4"/>
  <c r="G9853" i="4" s="1"/>
  <c r="G9851" i="4"/>
  <c r="G9877" i="4" l="1"/>
  <c r="G9875" i="4" l="1"/>
  <c r="G9873" i="4"/>
  <c r="G9870" i="4"/>
  <c r="G9871" i="4" s="1"/>
  <c r="G9869" i="4"/>
  <c r="G9867" i="4"/>
  <c r="G9865" i="4"/>
  <c r="G9863" i="4"/>
  <c r="G9861" i="4"/>
  <c r="G9859" i="4"/>
  <c r="G9857" i="4"/>
  <c r="G9855" i="4"/>
  <c r="G9852" i="4"/>
  <c r="G9847" i="4"/>
  <c r="G9842" i="4"/>
  <c r="G9843" i="4" s="1"/>
  <c r="G9837" i="4"/>
  <c r="G9839" i="4" s="1"/>
  <c r="G9838" i="4" l="1"/>
  <c r="G9844" i="4"/>
  <c r="G9834" i="4"/>
  <c r="G9831" i="4" l="1"/>
  <c r="G9828" i="4"/>
  <c r="G9824" i="4" l="1"/>
  <c r="G9821" i="4"/>
  <c r="G9818" i="4"/>
  <c r="G9815" i="4"/>
  <c r="G9812" i="4"/>
  <c r="G9809" i="4"/>
  <c r="G9806" i="4"/>
  <c r="G9803" i="4"/>
  <c r="G9800" i="4"/>
  <c r="G9797" i="4"/>
  <c r="G9794" i="4"/>
  <c r="G9791" i="4"/>
  <c r="G9721" i="4"/>
  <c r="G9787" i="4"/>
  <c r="G9788" i="4" s="1"/>
  <c r="G9782" i="4"/>
  <c r="G9783" i="4" s="1"/>
  <c r="G9778" i="4"/>
  <c r="G9779" i="4" s="1"/>
  <c r="G9772" i="4"/>
  <c r="G9770" i="4"/>
  <c r="G9784" i="4" l="1"/>
  <c r="G9765" i="4"/>
  <c r="G9764" i="4" s="1"/>
  <c r="G9766" i="4" s="1"/>
  <c r="G9763" i="4"/>
  <c r="G9760" i="4"/>
  <c r="G9757" i="4"/>
  <c r="G9754" i="4"/>
  <c r="G9748" i="4"/>
  <c r="G9745" i="4"/>
  <c r="G9739" i="4"/>
  <c r="G9736" i="4"/>
  <c r="G9737" i="4" s="1"/>
  <c r="G9738" i="4"/>
  <c r="G9740" i="4" s="1"/>
  <c r="G9732" i="4"/>
  <c r="G9731" i="4" s="1"/>
  <c r="G9729" i="4"/>
  <c r="G9730" i="4" s="1"/>
  <c r="G9725" i="4"/>
  <c r="G9726" i="4" s="1"/>
  <c r="G9724" i="4"/>
  <c r="G9742" i="4"/>
  <c r="G9718" i="4"/>
  <c r="G9715" i="4"/>
  <c r="G9712" i="4"/>
  <c r="G9709" i="4"/>
  <c r="G9706" i="4"/>
  <c r="G9703" i="4"/>
  <c r="G9700" i="4"/>
  <c r="G9697" i="4"/>
  <c r="G9694" i="4"/>
  <c r="G9751" i="4"/>
  <c r="G9691" i="4"/>
  <c r="G9733" i="4" l="1"/>
  <c r="G9687" i="4"/>
  <c r="G9688" i="4" s="1"/>
  <c r="G9684" i="4"/>
  <c r="G9681" i="4" l="1"/>
  <c r="G9678" i="4" l="1"/>
  <c r="G9675" i="4"/>
  <c r="G9672" i="4"/>
  <c r="G9635" i="4"/>
  <c r="G9632" i="4"/>
  <c r="G9665" i="4"/>
  <c r="G9664" i="4" s="1"/>
  <c r="G9666" i="4" s="1"/>
  <c r="G9663" i="4"/>
  <c r="G9646" i="4"/>
  <c r="G9645" i="4" s="1"/>
  <c r="G9647" i="4" s="1"/>
  <c r="G9643" i="4"/>
  <c r="G9644" i="4" s="1"/>
  <c r="G9651" i="4"/>
  <c r="G9649" i="4"/>
  <c r="G9661" i="4"/>
  <c r="G9659" i="4"/>
  <c r="G9656" i="4"/>
  <c r="G9655" i="4" s="1"/>
  <c r="G9653" i="4"/>
  <c r="G9654" i="4" s="1"/>
  <c r="G9629" i="4"/>
  <c r="G9626" i="4"/>
  <c r="G9619" i="4"/>
  <c r="G9620" i="4" s="1"/>
  <c r="G9623" i="4"/>
  <c r="G9657" i="4" l="1"/>
  <c r="G9617" i="4"/>
  <c r="G9618" i="4" s="1"/>
  <c r="G9613" i="4"/>
  <c r="G9610" i="4"/>
  <c r="G9607" i="4"/>
  <c r="G9604" i="4"/>
  <c r="G9601" i="4"/>
  <c r="G9598" i="4"/>
  <c r="G9595" i="4"/>
  <c r="G9592" i="4"/>
  <c r="G9589" i="4"/>
  <c r="G9586" i="4"/>
  <c r="G9583" i="4"/>
  <c r="G9579" i="4" l="1"/>
  <c r="G9575" i="4"/>
  <c r="G9572" i="4" s="1"/>
  <c r="G9571" i="4"/>
  <c r="G9563" i="4"/>
  <c r="G9567" i="4"/>
  <c r="G9564" i="4" s="1"/>
  <c r="G9560" i="4"/>
  <c r="G9557" i="4"/>
  <c r="G9554" i="4"/>
  <c r="G9551" i="4"/>
  <c r="G9568" i="4" l="1"/>
  <c r="G9576" i="4"/>
  <c r="G9565" i="4"/>
  <c r="G9566" i="4" s="1"/>
  <c r="G9573" i="4"/>
  <c r="G9574" i="4" s="1"/>
  <c r="G9548" i="4"/>
  <c r="G9544" i="4"/>
  <c r="G9542" i="4" s="1"/>
  <c r="G9543" i="4" s="1"/>
  <c r="G9541" i="4"/>
  <c r="G9538" i="4"/>
  <c r="G9534" i="4"/>
  <c r="G9532" i="4" s="1"/>
  <c r="G9533" i="4" s="1"/>
  <c r="G9531" i="4"/>
  <c r="G9535" i="4"/>
  <c r="G9527" i="4"/>
  <c r="G9525" i="4" s="1"/>
  <c r="G9526" i="4" s="1"/>
  <c r="G9524" i="4"/>
  <c r="G9521" i="4"/>
  <c r="G9518" i="4"/>
  <c r="G9510" i="4"/>
  <c r="G9513" i="4"/>
  <c r="G9515" i="4"/>
  <c r="G9507" i="4"/>
  <c r="G9508" i="4" s="1"/>
  <c r="G9504" i="4"/>
  <c r="G9499" i="4"/>
  <c r="G9498" i="4" s="1"/>
  <c r="G9496" i="4"/>
  <c r="G9497" i="4" s="1"/>
  <c r="G9502" i="4"/>
  <c r="G9528" i="4" l="1"/>
  <c r="G9545" i="4"/>
  <c r="G9509" i="4"/>
  <c r="G9511" i="4" s="1"/>
  <c r="G9500" i="4"/>
  <c r="G9490" i="4"/>
  <c r="G9489" i="4" s="1"/>
  <c r="G9493" i="4"/>
  <c r="G9488" i="4"/>
  <c r="G9491" i="4" l="1"/>
  <c r="G9485" i="4"/>
  <c r="G9483" i="4"/>
  <c r="G9481" i="4"/>
  <c r="G9477" i="4"/>
  <c r="G9478" i="4" s="1"/>
  <c r="G9431" i="4"/>
  <c r="G9473" i="4"/>
  <c r="G9464" i="4"/>
  <c r="G9465" i="4" s="1"/>
  <c r="G9468" i="4"/>
  <c r="G9466" i="4" s="1"/>
  <c r="G9467" i="4" s="1"/>
  <c r="G9471" i="4"/>
  <c r="G9460" i="4"/>
  <c r="G9461" i="4" s="1"/>
  <c r="G9457" i="4"/>
  <c r="G9448" i="4"/>
  <c r="G9446" i="4" s="1"/>
  <c r="G9447" i="4" s="1"/>
  <c r="G9445" i="4"/>
  <c r="G9440" i="4"/>
  <c r="G9438" i="4"/>
  <c r="G9469" i="4" l="1"/>
  <c r="G9449" i="4"/>
  <c r="G9458" i="4"/>
  <c r="G9459" i="4" s="1"/>
  <c r="D6" i="9"/>
  <c r="D5" i="9"/>
  <c r="G9430" i="4" l="1"/>
  <c r="G9427" i="4"/>
  <c r="G9418" i="4"/>
  <c r="G9424" i="4" l="1"/>
  <c r="G9421" i="4"/>
  <c r="G9415" i="4" l="1"/>
  <c r="G9407" i="4"/>
  <c r="G9408" i="4" s="1"/>
  <c r="G9412" i="4"/>
  <c r="G9413" i="4" s="1"/>
  <c r="G9404" i="4"/>
  <c r="G9401" i="4"/>
  <c r="G9402" i="4" s="1"/>
  <c r="G9397" i="4"/>
  <c r="G9398" i="4" s="1"/>
  <c r="G9394" i="4"/>
  <c r="G9392" i="4"/>
  <c r="G9389" i="4"/>
  <c r="G9387" i="4" s="1"/>
  <c r="G9388" i="4" s="1"/>
  <c r="G9385" i="4"/>
  <c r="G9386" i="4" s="1"/>
  <c r="G9382" i="4"/>
  <c r="G9379" i="4"/>
  <c r="G9377" i="4" s="1"/>
  <c r="G9374" i="4"/>
  <c r="G9375" i="4" s="1"/>
  <c r="G9380" i="4" l="1"/>
  <c r="G9376" i="4"/>
  <c r="G9399" i="4"/>
  <c r="G9400" i="4" s="1"/>
  <c r="G9378" i="4"/>
  <c r="G9390" i="4"/>
  <c r="G9410" i="4"/>
  <c r="G9409" i="4"/>
  <c r="G9369" i="4"/>
  <c r="G9365" i="4"/>
  <c r="G9363" i="4" s="1"/>
  <c r="G9364" i="4" s="1"/>
  <c r="G9362" i="4"/>
  <c r="G9355" i="4"/>
  <c r="G9359" i="4"/>
  <c r="G9357" i="4"/>
  <c r="G9353" i="4"/>
  <c r="G9354" i="4" s="1"/>
  <c r="G9347" i="4"/>
  <c r="G9341" i="4"/>
  <c r="G9344" i="4"/>
  <c r="G9338" i="4"/>
  <c r="G9335" i="4"/>
  <c r="G9329" i="4"/>
  <c r="G9326" i="4"/>
  <c r="G9411" i="4" l="1"/>
  <c r="G9366" i="4"/>
  <c r="G9323" i="4"/>
  <c r="G9320" i="4"/>
  <c r="G9317" i="4"/>
  <c r="G9318" i="4" s="1"/>
  <c r="G9314" i="4"/>
  <c r="G9311" i="4"/>
  <c r="G9309" i="4" s="1"/>
  <c r="G9310" i="4" s="1"/>
  <c r="G9307" i="4"/>
  <c r="G9308" i="4" s="1"/>
  <c r="G9304" i="4"/>
  <c r="G9301" i="4"/>
  <c r="G9312" i="4" l="1"/>
  <c r="G9298" i="4"/>
  <c r="G9295" i="4"/>
  <c r="G9289" i="4" l="1"/>
  <c r="G9287" i="4"/>
  <c r="G9284" i="4"/>
  <c r="G9281" i="4"/>
  <c r="G9288" i="4" l="1"/>
  <c r="G9291" i="4" s="1"/>
  <c r="G9292" i="4" s="1"/>
  <c r="G9278" i="4"/>
  <c r="G9290" i="4" l="1"/>
  <c r="G9272" i="4"/>
  <c r="G9260" i="4" l="1"/>
  <c r="G9265" i="4"/>
  <c r="G9266" i="4" s="1"/>
  <c r="G9264" i="4"/>
  <c r="G9261" i="4"/>
  <c r="G9262" i="4" s="1"/>
  <c r="G9258" i="4"/>
  <c r="G9256" i="4"/>
  <c r="G9254" i="4"/>
  <c r="G9251" i="4"/>
  <c r="G9252" i="4" s="1"/>
  <c r="G9249" i="4"/>
  <c r="G9247" i="4"/>
  <c r="G9244" i="4"/>
  <c r="G9245" i="4" s="1"/>
  <c r="G9241" i="4"/>
  <c r="G9242" i="4" s="1"/>
  <c r="G9236" i="4"/>
  <c r="G9237" i="4" s="1"/>
  <c r="G9234" i="4" l="1"/>
  <c r="G9224" i="4"/>
  <c r="G9226" i="4"/>
  <c r="G9221" i="4"/>
  <c r="G9222" i="4" s="1"/>
  <c r="G9220" i="4"/>
  <c r="G9218" i="4"/>
  <c r="G9215" i="4"/>
  <c r="G9216" i="4" s="1"/>
  <c r="G9214" i="4"/>
  <c r="G9212" i="4"/>
  <c r="G9210" i="4"/>
  <c r="G9208" i="4"/>
  <c r="G9206" i="4"/>
  <c r="G9204" i="4"/>
  <c r="G9201" i="4"/>
  <c r="G9202" i="4" s="1"/>
  <c r="G9199" i="4"/>
  <c r="G9197" i="4"/>
  <c r="G9195" i="4"/>
  <c r="G9192" i="4"/>
  <c r="G9193" i="4" s="1"/>
  <c r="G9190" i="4"/>
  <c r="G9188" i="4"/>
  <c r="G9186" i="4"/>
  <c r="G9183" i="4"/>
  <c r="G9184" i="4" s="1"/>
  <c r="G9181" i="4"/>
  <c r="G9178" i="4"/>
  <c r="G9179" i="4" s="1"/>
  <c r="G9175" i="4"/>
  <c r="G9176" i="4" s="1"/>
  <c r="G9171" i="4"/>
  <c r="G9172" i="4" s="1"/>
  <c r="G9165" i="4"/>
  <c r="G9161" i="4"/>
  <c r="G9158" i="4"/>
  <c r="G9159" i="4" s="1"/>
  <c r="G9154" i="4"/>
  <c r="G9155" i="4" s="1"/>
  <c r="G9157" i="4"/>
  <c r="G9153" i="4"/>
  <c r="G9151" i="4"/>
  <c r="G9149" i="4"/>
  <c r="G9147" i="4"/>
  <c r="G9145" i="4"/>
  <c r="G9142" i="4"/>
  <c r="G9143" i="4" s="1"/>
  <c r="G9140" i="4"/>
  <c r="G9138" i="4"/>
  <c r="G9136" i="4"/>
  <c r="G9133" i="4"/>
  <c r="G9134" i="4" s="1"/>
  <c r="G9131" i="4"/>
  <c r="G9129" i="4"/>
  <c r="G9127" i="4"/>
  <c r="G9124" i="4"/>
  <c r="G9125" i="4" s="1"/>
  <c r="G9122" i="4"/>
  <c r="G9120" i="4"/>
  <c r="G9117" i="4"/>
  <c r="G9118" i="4" s="1"/>
  <c r="G9114" i="4"/>
  <c r="G9115" i="4" s="1"/>
  <c r="G9110" i="4"/>
  <c r="G9111" i="4" s="1"/>
  <c r="G9104" i="4"/>
  <c r="G9098" i="4"/>
  <c r="G9099" i="4"/>
  <c r="G9100" i="4" s="1"/>
  <c r="G9095" i="4"/>
  <c r="G9096" i="4" s="1"/>
  <c r="G9094" i="4"/>
  <c r="G9091" i="4"/>
  <c r="G9092" i="4" s="1"/>
  <c r="G9090" i="4"/>
  <c r="G9088" i="4"/>
  <c r="G9086" i="4"/>
  <c r="G9084" i="4"/>
  <c r="G9082" i="4"/>
  <c r="G9080" i="4"/>
  <c r="G9075" i="4"/>
  <c r="G9076" i="4" s="1"/>
  <c r="G9078" i="4"/>
  <c r="G9073" i="4"/>
  <c r="G9071" i="4"/>
  <c r="G9069" i="4"/>
  <c r="G9066" i="4"/>
  <c r="G9067" i="4" s="1"/>
  <c r="G9064" i="4"/>
  <c r="G9062" i="4"/>
  <c r="G9059" i="4"/>
  <c r="G9060" i="4" s="1"/>
  <c r="G9056" i="4"/>
  <c r="G9057" i="4" s="1"/>
  <c r="G9052" i="4"/>
  <c r="G9053" i="4" s="1"/>
  <c r="G9046" i="4"/>
  <c r="G9026" i="4"/>
  <c r="G9032" i="4"/>
  <c r="G9040" i="4"/>
  <c r="G9042" i="4"/>
  <c r="G9037" i="4"/>
  <c r="G9038" i="4" s="1"/>
  <c r="G9036" i="4"/>
  <c r="G9033" i="4"/>
  <c r="G9034" i="4" s="1"/>
  <c r="G9029" i="4"/>
  <c r="G9030" i="4" s="1"/>
  <c r="G9028" i="4"/>
  <c r="G9024" i="4"/>
  <c r="G9022" i="4"/>
  <c r="G9020" i="4"/>
  <c r="G9017" i="4"/>
  <c r="G9018" i="4" s="1"/>
  <c r="G9015" i="4"/>
  <c r="G9013" i="4"/>
  <c r="G9011" i="4"/>
  <c r="G9008" i="4"/>
  <c r="G9009" i="4" s="1"/>
  <c r="G9006" i="4"/>
  <c r="G9004" i="4"/>
  <c r="G9002" i="4"/>
  <c r="G8999" i="4"/>
  <c r="G9000" i="4" s="1"/>
  <c r="G8996" i="4"/>
  <c r="G8997" i="4" s="1"/>
  <c r="G8992" i="4"/>
  <c r="G8990" i="4" s="1"/>
  <c r="G8991" i="4" s="1"/>
  <c r="G8986" i="4"/>
  <c r="G8972" i="4"/>
  <c r="G8966" i="4"/>
  <c r="G8982" i="4"/>
  <c r="G9235" i="4" l="1"/>
  <c r="G9231" i="4"/>
  <c r="G9232" i="4" s="1"/>
  <c r="G9233" i="4" s="1"/>
  <c r="G9108" i="4"/>
  <c r="G9109" i="4" s="1"/>
  <c r="H9227" i="4"/>
  <c r="H9161" i="4"/>
  <c r="H9100" i="4"/>
  <c r="G9169" i="4"/>
  <c r="G9170" i="4" s="1"/>
  <c r="G9050" i="4"/>
  <c r="G9051" i="4" s="1"/>
  <c r="I9042" i="4"/>
  <c r="G8993" i="4"/>
  <c r="G8987" i="4"/>
  <c r="G8988" i="4" s="1"/>
  <c r="G8989" i="4" s="1"/>
  <c r="G8980" i="4"/>
  <c r="G8978" i="4"/>
  <c r="G8976" i="4"/>
  <c r="G8973" i="4"/>
  <c r="G8974" i="4" s="1"/>
  <c r="G8970" i="4"/>
  <c r="G8968" i="4"/>
  <c r="G8964" i="4"/>
  <c r="G8962" i="4"/>
  <c r="G8960" i="4"/>
  <c r="G8958" i="4"/>
  <c r="G8956" i="4"/>
  <c r="G8953" i="4"/>
  <c r="G8954" i="4" s="1"/>
  <c r="G8951" i="4"/>
  <c r="G8949" i="4"/>
  <c r="G8947" i="4"/>
  <c r="G8944" i="4"/>
  <c r="G8945" i="4" s="1"/>
  <c r="G8942" i="4"/>
  <c r="G9105" i="4" l="1"/>
  <c r="G9106" i="4" s="1"/>
  <c r="G9107" i="4" s="1"/>
  <c r="G9166" i="4"/>
  <c r="G9167" i="4" s="1"/>
  <c r="G9168" i="4" s="1"/>
  <c r="G9047" i="4"/>
  <c r="G9048" i="4" s="1"/>
  <c r="G9049" i="4" s="1"/>
  <c r="G8940" i="4"/>
  <c r="G8937" i="4"/>
  <c r="G8938" i="4" s="1"/>
  <c r="G8934" i="4"/>
  <c r="G8935" i="4" s="1"/>
  <c r="G8930" i="4"/>
  <c r="G8931" i="4" s="1"/>
  <c r="G8924" i="4"/>
  <c r="G8928" i="4" l="1"/>
  <c r="G8728" i="4"/>
  <c r="G8925" i="4" l="1"/>
  <c r="G8926" i="4" s="1"/>
  <c r="G8927" i="4" s="1"/>
  <c r="G8929" i="4"/>
  <c r="G8915" i="4"/>
  <c r="G8917" i="4"/>
  <c r="G8913" i="4"/>
  <c r="G8911" i="4"/>
  <c r="G8909" i="4"/>
  <c r="G8905" i="4"/>
  <c r="G8906" i="4" s="1"/>
  <c r="G8902" i="4"/>
  <c r="G8899" i="4"/>
  <c r="G8900" i="4" s="1"/>
  <c r="G8888" i="4"/>
  <c r="G8887" i="4" s="1"/>
  <c r="G8884" i="4"/>
  <c r="G8885" i="4" s="1"/>
  <c r="G8894" i="4"/>
  <c r="G8896" i="4"/>
  <c r="G8892" i="4"/>
  <c r="G8886" i="4"/>
  <c r="G8881" i="4"/>
  <c r="G8878" i="4"/>
  <c r="G8889" i="4" l="1"/>
  <c r="G8890" i="4" s="1"/>
  <c r="G8868" i="4"/>
  <c r="G8865" i="4"/>
  <c r="G8862" i="4"/>
  <c r="G8859" i="4"/>
  <c r="G8856" i="4"/>
  <c r="G8854" i="4"/>
  <c r="G8852" i="4"/>
  <c r="G8850" i="4"/>
  <c r="G8847" i="4"/>
  <c r="G8848" i="4" s="1"/>
  <c r="G8846" i="4"/>
  <c r="G8843" i="4"/>
  <c r="G8840" i="4"/>
  <c r="G8841" i="4" s="1"/>
  <c r="G5991" i="4"/>
  <c r="G5990" i="4" s="1"/>
  <c r="G8836" i="4"/>
  <c r="G8835" i="4" s="1"/>
  <c r="G8837" i="4" s="1"/>
  <c r="G8834" i="4"/>
  <c r="G8829" i="4"/>
  <c r="G8831" i="4"/>
  <c r="G8824" i="4"/>
  <c r="G8819" i="4"/>
  <c r="G8815" i="4"/>
  <c r="G8813" i="4"/>
  <c r="G8808" i="4"/>
  <c r="G8805" i="4"/>
  <c r="G8806" i="4" s="1"/>
  <c r="G8803" i="4"/>
  <c r="G8804" i="4" s="1"/>
  <c r="G5992" i="4" l="1"/>
  <c r="G8842" i="4"/>
  <c r="G8844" i="4" s="1"/>
  <c r="G8800" i="4"/>
  <c r="G8798" i="4"/>
  <c r="G8794" i="4"/>
  <c r="G8795" i="4" s="1"/>
  <c r="G8786" i="4"/>
  <c r="G8787" i="4" s="1"/>
  <c r="G8791" i="4"/>
  <c r="G8780" i="4"/>
  <c r="G8781" i="4" s="1"/>
  <c r="G8783" i="4"/>
  <c r="G8778" i="4"/>
  <c r="G8779" i="4" s="1"/>
  <c r="G8775" i="4"/>
  <c r="G8772" i="4"/>
  <c r="G8796" i="4" l="1"/>
  <c r="G8788" i="4"/>
  <c r="G8769" i="4"/>
  <c r="G8766" i="4"/>
  <c r="G8767" i="4" s="1"/>
  <c r="G8763" i="4"/>
  <c r="G8760" i="4"/>
  <c r="G8757" i="4"/>
  <c r="G8750" i="4"/>
  <c r="G8754" i="4"/>
  <c r="G8752" i="4"/>
  <c r="G8748" i="4"/>
  <c r="G8745" i="4"/>
  <c r="G8744" i="4" s="1"/>
  <c r="G8743" i="4" s="1"/>
  <c r="G8741" i="4"/>
  <c r="G8742" i="4" s="1"/>
  <c r="G8738" i="4"/>
  <c r="G8739" i="4" s="1"/>
  <c r="G8740" i="4" l="1"/>
  <c r="G8746" i="4"/>
  <c r="G8720" i="4"/>
  <c r="G8721" i="4" s="1"/>
  <c r="G8723" i="4"/>
  <c r="G8722" i="4"/>
  <c r="G8731" i="4"/>
  <c r="G8730" i="4"/>
  <c r="G8732" i="4"/>
  <c r="G8733" i="4" s="1"/>
  <c r="G8726" i="4"/>
  <c r="G8724" i="4" l="1"/>
  <c r="G8718" i="4"/>
  <c r="G8712" i="4" l="1"/>
  <c r="G8709" i="4"/>
  <c r="G8706" i="4"/>
  <c r="G8703" i="4"/>
  <c r="G8700" i="4"/>
  <c r="G8697" i="4"/>
  <c r="G8694" i="4" l="1"/>
  <c r="G8692" i="4"/>
  <c r="G8688" i="4"/>
  <c r="G8684" i="4"/>
  <c r="G8687" i="4"/>
  <c r="G8689" i="4" s="1"/>
  <c r="G8685" i="4"/>
  <c r="G8681" i="4"/>
  <c r="G8677" i="4"/>
  <c r="G8676" i="4" s="1"/>
  <c r="G8679" i="4" s="1"/>
  <c r="G8673" i="4"/>
  <c r="G8674" i="4" s="1"/>
  <c r="G8670" i="4"/>
  <c r="G8668" i="4"/>
  <c r="G8665" i="4"/>
  <c r="G8666" i="4" s="1"/>
  <c r="G8662" i="4"/>
  <c r="G8660" i="4"/>
  <c r="G8657" i="4"/>
  <c r="G8658" i="4" s="1"/>
  <c r="G8654" i="4"/>
  <c r="G8651" i="4"/>
  <c r="G8650" i="4" s="1"/>
  <c r="G8648" i="4"/>
  <c r="G8649" i="4" s="1"/>
  <c r="G8675" i="4" l="1"/>
  <c r="G8652" i="4"/>
  <c r="G8686" i="4"/>
  <c r="G8690" i="4"/>
  <c r="G8678" i="4"/>
  <c r="G8645" i="4"/>
  <c r="G8642" i="4"/>
  <c r="G8639" i="4"/>
  <c r="G8636" i="4"/>
  <c r="G8633" i="4"/>
  <c r="G8631" i="4"/>
  <c r="G8628" i="4"/>
  <c r="G8625" i="4"/>
  <c r="G8626" i="4" s="1"/>
  <c r="G8615" i="4"/>
  <c r="G8614" i="4" s="1"/>
  <c r="G8616" i="4" s="1"/>
  <c r="G8622" i="4"/>
  <c r="G8620" i="4"/>
  <c r="G8618" i="4"/>
  <c r="G8612" i="4"/>
  <c r="G8613" i="4" s="1"/>
  <c r="G8609" i="4"/>
  <c r="G8606" i="4"/>
  <c r="G8605" i="4"/>
  <c r="G8607" i="4"/>
  <c r="G8603" i="4"/>
  <c r="G8599" i="4"/>
  <c r="G8596" i="4"/>
  <c r="G8593" i="4"/>
  <c r="G8594" i="4" s="1"/>
  <c r="G8587" i="4"/>
  <c r="G8586" i="4" s="1"/>
  <c r="G8585" i="4" s="1"/>
  <c r="G8590" i="4"/>
  <c r="G8582" i="4"/>
  <c r="G8583" i="4" s="1"/>
  <c r="G8535" i="4"/>
  <c r="G8565" i="4"/>
  <c r="G8561" i="4"/>
  <c r="G8557" i="4"/>
  <c r="G8559" i="4" s="1"/>
  <c r="G8554" i="4"/>
  <c r="G8551" i="4"/>
  <c r="G8547" i="4"/>
  <c r="G8543" i="4"/>
  <c r="G8544" i="4" s="1"/>
  <c r="G8540" i="4"/>
  <c r="G8538" i="4"/>
  <c r="G8534" i="4"/>
  <c r="G8536" i="4" s="1"/>
  <c r="G8531" i="4"/>
  <c r="G8533" i="4" s="1"/>
  <c r="G8526" i="4"/>
  <c r="G8523" i="4"/>
  <c r="G8522" i="4" s="1"/>
  <c r="G8524" i="4" s="1"/>
  <c r="G8519" i="4"/>
  <c r="G8521" i="4" s="1"/>
  <c r="G8514" i="4"/>
  <c r="G8513" i="4" s="1"/>
  <c r="G8515" i="4" s="1"/>
  <c r="G8517" i="4"/>
  <c r="G8510" i="4"/>
  <c r="G8511" i="4" s="1"/>
  <c r="G8508" i="4"/>
  <c r="G8509" i="4" s="1"/>
  <c r="G8520" i="4" l="1"/>
  <c r="G8545" i="4"/>
  <c r="G8560" i="4"/>
  <c r="G8562" i="4" s="1"/>
  <c r="G8558" i="4"/>
  <c r="G8588" i="4"/>
  <c r="G8595" i="4"/>
  <c r="G8597" i="4" s="1"/>
  <c r="G8627" i="4"/>
  <c r="G8629" i="4" s="1"/>
  <c r="G8584" i="4"/>
  <c r="G8546" i="4"/>
  <c r="G8532" i="4"/>
  <c r="G8512" i="4"/>
  <c r="G8579" i="4"/>
  <c r="G8576" i="4"/>
  <c r="G8573" i="4"/>
  <c r="G8570" i="4"/>
  <c r="G8563" i="4" l="1"/>
  <c r="G8548" i="4"/>
  <c r="G8549" i="4" s="1"/>
  <c r="G8501" i="4"/>
  <c r="G8458" i="4" l="1"/>
  <c r="G8456" i="4"/>
  <c r="G8451" i="4"/>
  <c r="G8449" i="4"/>
  <c r="G8447" i="4"/>
  <c r="G8444" i="4"/>
  <c r="G8445" i="4" s="1"/>
  <c r="G8441" i="4"/>
  <c r="G8435" i="4" l="1"/>
  <c r="G8433" i="4"/>
  <c r="G8423" i="4"/>
  <c r="G8422" i="4" s="1"/>
  <c r="G8430" i="4"/>
  <c r="G8428" i="4"/>
  <c r="G8426" i="4"/>
  <c r="G8420" i="4"/>
  <c r="G8421" i="4" s="1"/>
  <c r="G8434" i="4" l="1"/>
  <c r="G8436" i="4" s="1"/>
  <c r="G8424" i="4"/>
  <c r="K2143" i="4"/>
  <c r="G8498" i="4"/>
  <c r="G8493" i="4"/>
  <c r="G8494" i="4" s="1"/>
  <c r="G8495" i="4"/>
  <c r="G8496" i="4" s="1"/>
  <c r="G8491" i="4" l="1"/>
  <c r="G8492" i="4" s="1"/>
  <c r="G2140" i="4"/>
  <c r="G5511" i="4" l="1"/>
  <c r="G8482" i="4"/>
  <c r="G8479" i="4"/>
  <c r="G8476" i="4"/>
  <c r="G8473" i="4"/>
  <c r="G8470" i="4"/>
  <c r="G8467" i="4"/>
  <c r="G8464" i="4"/>
  <c r="G8461" i="4"/>
  <c r="G8414" i="4" l="1"/>
  <c r="G8411" i="4" l="1"/>
  <c r="G4359" i="4"/>
  <c r="G8408" i="4" l="1"/>
  <c r="G8406" i="4"/>
  <c r="G8403" i="4"/>
  <c r="G8400" i="4"/>
  <c r="G8397" i="4"/>
  <c r="G8394" i="4" l="1"/>
  <c r="G8391" i="4"/>
  <c r="G8388" i="4"/>
  <c r="G8383" i="4"/>
  <c r="G8384" i="4" s="1"/>
  <c r="G8385" i="4" s="1"/>
  <c r="G8386" i="4" s="1"/>
  <c r="G8380" i="4"/>
  <c r="G8382" i="4" s="1"/>
  <c r="G8377" i="4"/>
  <c r="G8374" i="4"/>
  <c r="G8368" i="4"/>
  <c r="G8365" i="4"/>
  <c r="G8362" i="4"/>
  <c r="G8363" i="4" s="1"/>
  <c r="G8381" i="4" l="1"/>
  <c r="G8275" i="4"/>
  <c r="G8276" i="4" s="1"/>
  <c r="G8323" i="4"/>
  <c r="G8326" i="4" s="1"/>
  <c r="G8299" i="4"/>
  <c r="G8300" i="4" s="1"/>
  <c r="G8289" i="4"/>
  <c r="G8290" i="4" s="1"/>
  <c r="G8335" i="4"/>
  <c r="G8338" i="4" s="1"/>
  <c r="G8334" i="4"/>
  <c r="G8332" i="4"/>
  <c r="G8328" i="4"/>
  <c r="G8329" i="4" s="1"/>
  <c r="G8317" i="4"/>
  <c r="G8318" i="4" s="1"/>
  <c r="G8321" i="4"/>
  <c r="G8322" i="4" s="1"/>
  <c r="G8316" i="4"/>
  <c r="G8314" i="4"/>
  <c r="G8306" i="4"/>
  <c r="G8307" i="4" s="1"/>
  <c r="G8311" i="4"/>
  <c r="G8312" i="4" s="1"/>
  <c r="G8308" i="4"/>
  <c r="G8304" i="4"/>
  <c r="G8305" i="4" s="1"/>
  <c r="G8283" i="4"/>
  <c r="G8297" i="4"/>
  <c r="G8298" i="4" s="1"/>
  <c r="G8295" i="4"/>
  <c r="G8287" i="4"/>
  <c r="G8288" i="4" s="1"/>
  <c r="G8285" i="4"/>
  <c r="G8286" i="4" s="1"/>
  <c r="G8281" i="4"/>
  <c r="G8279" i="4"/>
  <c r="G8292" i="4" l="1"/>
  <c r="G8336" i="4"/>
  <c r="G8337" i="4"/>
  <c r="G8291" i="4"/>
  <c r="G8325" i="4"/>
  <c r="G8327" i="4" s="1"/>
  <c r="G8324" i="4"/>
  <c r="G8277" i="4"/>
  <c r="G8278" i="4" s="1"/>
  <c r="H8339" i="4"/>
  <c r="G8339" i="4"/>
  <c r="G8309" i="4"/>
  <c r="G8310" i="4" s="1"/>
  <c r="G8301" i="4"/>
  <c r="G8302" i="4" s="1"/>
  <c r="G8272" i="4"/>
  <c r="G8273" i="4" s="1"/>
  <c r="G8270" i="4"/>
  <c r="G8293" i="4" l="1"/>
  <c r="G8356" i="4"/>
  <c r="G8353" i="4"/>
  <c r="G8350" i="4"/>
  <c r="G8345" i="4"/>
  <c r="G8342" i="4"/>
  <c r="G8344" i="4" s="1"/>
  <c r="G8346" i="4"/>
  <c r="G8347" i="4" s="1"/>
  <c r="G8348" i="4" s="1"/>
  <c r="G8343" i="4"/>
  <c r="G8259" i="4"/>
  <c r="G8260" i="4" s="1"/>
  <c r="G8264" i="4"/>
  <c r="G8257" i="4"/>
  <c r="G8258" i="4" s="1"/>
  <c r="G8250" i="4"/>
  <c r="G8247" i="4"/>
  <c r="G8248" i="4" s="1"/>
  <c r="G8242" i="4"/>
  <c r="G8244" i="4" s="1"/>
  <c r="G8245" i="4" s="1"/>
  <c r="G8239" i="4"/>
  <c r="G8240" i="4" s="1"/>
  <c r="G8237" i="4"/>
  <c r="G8238" i="4" s="1"/>
  <c r="G8254" i="4"/>
  <c r="G8252" i="4"/>
  <c r="G8234" i="4"/>
  <c r="G8226" i="4"/>
  <c r="G8227" i="4" s="1"/>
  <c r="G8230" i="4"/>
  <c r="G8231" i="4" s="1"/>
  <c r="G8232" i="4" s="1"/>
  <c r="G8216" i="4"/>
  <c r="G8217" i="4" s="1"/>
  <c r="G8218" i="4" s="1"/>
  <c r="G8219" i="4" s="1"/>
  <c r="G8221" i="4"/>
  <c r="G8223" i="4"/>
  <c r="G8213" i="4"/>
  <c r="G8215" i="4" s="1"/>
  <c r="G8210" i="4"/>
  <c r="G8208" i="4"/>
  <c r="G8203" i="4"/>
  <c r="G8204" i="4" s="1"/>
  <c r="G8205" i="4" s="1"/>
  <c r="G8206" i="4" s="1"/>
  <c r="G8200" i="4"/>
  <c r="G8201" i="4" s="1"/>
  <c r="G8189" i="4"/>
  <c r="G8191" i="4" s="1"/>
  <c r="G8192" i="4"/>
  <c r="G8193" i="4" s="1"/>
  <c r="G8194" i="4" s="1"/>
  <c r="G8195" i="4" s="1"/>
  <c r="G8197" i="4"/>
  <c r="G8181" i="4"/>
  <c r="G8182" i="4" s="1"/>
  <c r="G8183" i="4" s="1"/>
  <c r="G8184" i="4" s="1"/>
  <c r="G8186" i="4"/>
  <c r="G8178" i="4"/>
  <c r="G8179" i="4" s="1"/>
  <c r="G8170" i="4"/>
  <c r="G8168" i="4"/>
  <c r="G8175" i="4"/>
  <c r="G8190" i="4" l="1"/>
  <c r="G8228" i="4"/>
  <c r="G8243" i="4"/>
  <c r="G8214" i="4"/>
  <c r="G8261" i="4"/>
  <c r="G8262" i="4" s="1"/>
  <c r="G8241" i="4"/>
  <c r="G8202" i="4"/>
  <c r="G8180" i="4"/>
  <c r="G8169" i="4" l="1"/>
  <c r="G8171" i="4"/>
  <c r="G8172" i="4" l="1"/>
  <c r="G8173" i="4" s="1"/>
  <c r="G8164" i="4"/>
  <c r="G8160" i="4"/>
  <c r="G8162" i="4"/>
  <c r="G8153" i="4"/>
  <c r="G8154" i="4" s="1"/>
  <c r="G8155" i="4"/>
  <c r="G8157" i="4" s="1"/>
  <c r="G8158" i="4" s="1"/>
  <c r="G8150" i="4"/>
  <c r="G8145" i="4"/>
  <c r="G8147" i="4" s="1"/>
  <c r="G8148" i="4" s="1"/>
  <c r="G8143" i="4"/>
  <c r="G8144" i="4" s="1"/>
  <c r="G8135" i="4"/>
  <c r="G8140" i="4"/>
  <c r="G8136" i="4"/>
  <c r="G8137" i="4" s="1"/>
  <c r="G8138" i="4" s="1"/>
  <c r="G8132" i="4"/>
  <c r="G8134" i="4" s="1"/>
  <c r="G8121" i="4"/>
  <c r="G8122" i="4" s="1"/>
  <c r="G8129" i="4"/>
  <c r="G8124" i="4"/>
  <c r="G8125" i="4" s="1"/>
  <c r="G8126" i="4" s="1"/>
  <c r="G8127" i="4" s="1"/>
  <c r="G8113" i="4"/>
  <c r="G8114" i="4" s="1"/>
  <c r="G8115" i="4" s="1"/>
  <c r="G8116" i="4" s="1"/>
  <c r="G8118" i="4"/>
  <c r="G8110" i="4"/>
  <c r="G8111" i="4" s="1"/>
  <c r="G8156" i="4" l="1"/>
  <c r="G8133" i="4"/>
  <c r="G8146" i="4"/>
  <c r="G8123" i="4"/>
  <c r="G8112" i="4"/>
  <c r="G8101" i="4"/>
  <c r="G8102" i="4" s="1"/>
  <c r="G8103" i="4" s="1"/>
  <c r="G8104" i="4" s="1"/>
  <c r="G8098" i="4"/>
  <c r="G8100" i="4" s="1"/>
  <c r="G8106" i="4"/>
  <c r="G8090" i="4"/>
  <c r="G8091" i="4" s="1"/>
  <c r="G8092" i="4" s="1"/>
  <c r="G8093" i="4" s="1"/>
  <c r="G8095" i="4"/>
  <c r="G8087" i="4"/>
  <c r="G8088" i="4" s="1"/>
  <c r="G8079" i="4"/>
  <c r="G8084" i="4"/>
  <c r="G8080" i="4"/>
  <c r="G8081" i="4" s="1"/>
  <c r="G8082" i="4" s="1"/>
  <c r="G8076" i="4"/>
  <c r="G8077" i="4" s="1"/>
  <c r="G8073" i="4"/>
  <c r="G8068" i="4"/>
  <c r="G8069" i="4" s="1"/>
  <c r="G8070" i="4" s="1"/>
  <c r="G8071" i="4" s="1"/>
  <c r="G8057" i="4"/>
  <c r="G8058" i="4" s="1"/>
  <c r="G8059" i="4" s="1"/>
  <c r="G8060" i="4" s="1"/>
  <c r="G8065" i="4"/>
  <c r="G8066" i="4" s="1"/>
  <c r="G8062" i="4"/>
  <c r="G8054" i="4"/>
  <c r="G8055" i="4" s="1"/>
  <c r="G8043" i="4"/>
  <c r="G8044" i="4" s="1"/>
  <c r="G8046" i="4"/>
  <c r="G8047" i="4" s="1"/>
  <c r="G8048" i="4" s="1"/>
  <c r="G8049" i="4" s="1"/>
  <c r="G8051" i="4"/>
  <c r="G8067" i="4" l="1"/>
  <c r="G8099" i="4"/>
  <c r="G8089" i="4"/>
  <c r="G8078" i="4"/>
  <c r="G8056" i="4"/>
  <c r="G8045" i="4"/>
  <c r="G8039" i="4"/>
  <c r="G8040" i="4" s="1"/>
  <c r="G8036" i="4"/>
  <c r="G8034" i="4"/>
  <c r="G8029" i="4"/>
  <c r="G8031" i="4" s="1"/>
  <c r="G8032" i="4" s="1"/>
  <c r="G8024" i="4"/>
  <c r="G8020" i="4"/>
  <c r="G8021" i="4" s="1"/>
  <c r="G8022" i="4" s="1"/>
  <c r="G8018" i="4"/>
  <c r="G8019" i="4" s="1"/>
  <c r="G7919" i="4"/>
  <c r="G7917" i="4" s="1"/>
  <c r="G8030" i="4" l="1"/>
  <c r="G8004" i="4"/>
  <c r="G8005" i="4" s="1"/>
  <c r="G8006" i="4" s="1"/>
  <c r="G8015" i="4"/>
  <c r="G8013" i="4"/>
  <c r="G8011" i="4"/>
  <c r="G8009" i="4"/>
  <c r="G8002" i="4"/>
  <c r="G8003" i="4" s="1"/>
  <c r="G7999" i="4"/>
  <c r="G8000" i="4" s="1"/>
  <c r="G7990" i="4"/>
  <c r="G7989" i="4" s="1"/>
  <c r="G7991" i="4" s="1"/>
  <c r="G7992" i="4" s="1"/>
  <c r="G7994" i="4"/>
  <c r="G7996" i="4"/>
  <c r="G7986" i="4"/>
  <c r="G7987" i="4" s="1"/>
  <c r="G8001" i="4" l="1"/>
  <c r="G8007" i="4"/>
  <c r="G7988" i="4"/>
  <c r="G7953" i="4"/>
  <c r="G7983" i="4"/>
  <c r="G7975" i="4"/>
  <c r="G7973" i="4"/>
  <c r="G7970" i="4"/>
  <c r="G7969" i="4" s="1"/>
  <c r="G7971" i="4" s="1"/>
  <c r="G7967" i="4"/>
  <c r="G7968" i="4" s="1"/>
  <c r="G7964" i="4" l="1"/>
  <c r="G7946" i="4"/>
  <c r="G7945" i="4" s="1"/>
  <c r="G7947" i="4" s="1"/>
  <c r="G7949" i="4"/>
  <c r="G7943" i="4"/>
  <c r="G7944" i="4" s="1"/>
  <c r="G7959" i="4"/>
  <c r="G7960" i="4" s="1"/>
  <c r="G7962" i="4"/>
  <c r="G7927" i="4"/>
  <c r="G7926" i="4" s="1"/>
  <c r="G7937" i="4"/>
  <c r="G7935" i="4"/>
  <c r="G7933" i="4"/>
  <c r="G7930" i="4"/>
  <c r="G7931" i="4" s="1"/>
  <c r="G7918" i="4"/>
  <c r="G7920" i="4"/>
  <c r="G7916" i="4"/>
  <c r="G7913" i="4"/>
  <c r="G7910" i="4"/>
  <c r="G7907" i="4"/>
  <c r="G7904" i="4"/>
  <c r="G7901" i="4"/>
  <c r="G7898" i="4"/>
  <c r="G7899" i="4" s="1"/>
  <c r="G7892" i="4"/>
  <c r="G7891" i="4" s="1"/>
  <c r="G7893" i="4" s="1"/>
  <c r="G7890" i="4"/>
  <c r="G7895" i="4"/>
  <c r="G7887" i="4"/>
  <c r="G7884" i="4"/>
  <c r="G7883" i="4" s="1"/>
  <c r="G7885" i="4" s="1"/>
  <c r="G7882" i="4"/>
  <c r="G7879" i="4"/>
  <c r="G7878" i="4"/>
  <c r="G7875" i="4"/>
  <c r="G7872" i="4"/>
  <c r="G7871" i="4"/>
  <c r="G7928" i="4" l="1"/>
  <c r="G7868" i="4"/>
  <c r="G7865" i="4" l="1"/>
  <c r="G7862" i="4"/>
  <c r="G7854" i="4" l="1"/>
  <c r="G7855" i="4" s="1"/>
  <c r="G7847" i="4"/>
  <c r="G7849" i="4" s="1"/>
  <c r="G7852" i="4"/>
  <c r="G7853" i="4" s="1"/>
  <c r="G7857" i="4"/>
  <c r="G7859" i="4"/>
  <c r="G7844" i="4"/>
  <c r="G7841" i="4"/>
  <c r="G7838" i="4"/>
  <c r="G7835" i="4"/>
  <c r="G7832" i="4"/>
  <c r="G7826" i="4"/>
  <c r="G7827" i="4" s="1"/>
  <c r="G7829" i="4"/>
  <c r="G7823" i="4"/>
  <c r="G7820" i="4"/>
  <c r="G7850" i="4" l="1"/>
  <c r="G7851" i="4" s="1"/>
  <c r="G7848" i="4"/>
  <c r="G7817" i="4"/>
  <c r="G7814" i="4"/>
  <c r="G7811" i="4"/>
  <c r="G7808" i="4"/>
  <c r="G7804" i="4"/>
  <c r="G7805" i="4" s="1"/>
  <c r="G7801" i="4"/>
  <c r="G7802" i="4" s="1"/>
  <c r="G7803" i="4" l="1"/>
  <c r="G7798" i="4"/>
  <c r="G7795" i="4"/>
  <c r="G7792" i="4"/>
  <c r="G7789" i="4"/>
  <c r="G7786" i="4"/>
  <c r="G7783" i="4"/>
  <c r="G7780" i="4"/>
  <c r="G7776" i="4"/>
  <c r="G7777" i="4" s="1"/>
  <c r="G7773" i="4"/>
  <c r="G7766" i="4"/>
  <c r="G7768" i="4" s="1"/>
  <c r="G7770" i="4"/>
  <c r="G7769" i="4" s="1"/>
  <c r="G7767" i="4"/>
  <c r="G7760" i="4"/>
  <c r="G7758" i="4" s="1"/>
  <c r="G7759" i="4" s="1"/>
  <c r="G7763" i="4"/>
  <c r="G7756" i="4"/>
  <c r="G7757" i="4" s="1"/>
  <c r="G7753" i="4"/>
  <c r="G7771" i="4" l="1"/>
  <c r="G7778" i="4"/>
  <c r="G7779" i="4"/>
  <c r="G7781" i="4" s="1"/>
  <c r="G7761" i="4"/>
  <c r="G7750" i="4"/>
  <c r="G7747" i="4"/>
  <c r="G7744" i="4"/>
  <c r="G7745" i="4" s="1"/>
  <c r="G7741" i="4"/>
  <c r="G7734" i="4"/>
  <c r="G7733" i="4" l="1"/>
  <c r="G7735" i="4" s="1"/>
  <c r="G7738" i="4"/>
  <c r="G7730" i="4"/>
  <c r="G7731" i="4" s="1"/>
  <c r="G7727" i="4"/>
  <c r="G7732" i="4" l="1"/>
  <c r="G7736" i="4"/>
  <c r="G7721" i="4" l="1"/>
  <c r="G7717" i="4"/>
  <c r="G7711" i="4"/>
  <c r="G7712" i="4" s="1"/>
  <c r="G7705" i="4"/>
  <c r="G7706" i="4" s="1"/>
  <c r="G7694" i="4"/>
  <c r="G7698" i="4"/>
  <c r="G7697" i="4" s="1"/>
  <c r="G7699" i="4" s="1"/>
  <c r="G7695" i="4"/>
  <c r="G7691" i="4"/>
  <c r="G7685" i="4"/>
  <c r="G7684" i="4" s="1"/>
  <c r="G7686" i="4" s="1"/>
  <c r="G7688" i="4"/>
  <c r="G7682" i="4"/>
  <c r="G7683" i="4" s="1"/>
  <c r="G7679" i="4"/>
  <c r="G7674" i="4"/>
  <c r="G7673" i="4" s="1"/>
  <c r="G7671" i="4"/>
  <c r="G7672" i="4" s="1"/>
  <c r="G7675" i="4" l="1"/>
  <c r="G7700" i="4"/>
  <c r="G7707" i="4"/>
  <c r="G7708" i="4"/>
  <c r="G7709" i="4" s="1"/>
  <c r="G7710" i="4" s="1"/>
  <c r="G7696" i="4"/>
  <c r="G7665" i="4"/>
  <c r="G7663" i="4" s="1"/>
  <c r="G7664" i="4" s="1"/>
  <c r="G7661" i="4"/>
  <c r="G7662" i="4" s="1"/>
  <c r="G7656" i="4"/>
  <c r="G7653" i="4"/>
  <c r="G7654" i="4" s="1"/>
  <c r="G7641" i="4"/>
  <c r="G7638" i="4"/>
  <c r="G7632" i="4"/>
  <c r="G7629" i="4"/>
  <c r="G7630" i="4" s="1"/>
  <c r="G7626" i="4"/>
  <c r="G7627" i="4" s="1"/>
  <c r="G7623" i="4"/>
  <c r="G7614" i="4"/>
  <c r="G7613" i="4" s="1"/>
  <c r="G7666" i="4" l="1"/>
  <c r="G7615" i="4"/>
  <c r="G7612" i="4"/>
  <c r="G7607" i="4" l="1"/>
  <c r="G1278" i="4"/>
  <c r="G7584" i="4"/>
  <c r="G7583" i="4" s="1"/>
  <c r="G7585" i="4" s="1"/>
  <c r="G7587" i="4"/>
  <c r="G7581" i="4"/>
  <c r="G7582" i="4" s="1"/>
  <c r="G7595" i="4"/>
  <c r="G7593" i="4"/>
  <c r="G7591" i="4"/>
  <c r="G7589" i="4"/>
  <c r="G7601" i="4"/>
  <c r="G7600" i="4" s="1"/>
  <c r="G7598" i="4"/>
  <c r="G7599" i="4" s="1"/>
  <c r="G7604" i="4"/>
  <c r="G7602" i="4" l="1"/>
  <c r="G7558" i="4"/>
  <c r="G7557" i="4" s="1"/>
  <c r="G7576" i="4"/>
  <c r="G7573" i="4"/>
  <c r="G7574" i="4" s="1"/>
  <c r="G7561" i="4"/>
  <c r="G7562" i="4" s="1"/>
  <c r="G7559" i="4" l="1"/>
  <c r="G7571" i="4"/>
  <c r="G7569" i="4"/>
  <c r="G7565" i="4"/>
  <c r="G7563" i="4" s="1"/>
  <c r="G7564" i="4" s="1"/>
  <c r="G7567" i="4"/>
  <c r="G7566" i="4" l="1"/>
  <c r="G7548" i="4"/>
  <c r="G7538" i="4"/>
  <c r="G7529" i="4" l="1"/>
  <c r="G7520" i="4" l="1"/>
  <c r="G7517" i="4"/>
  <c r="G7514" i="4"/>
  <c r="G7511" i="4"/>
  <c r="G7505" i="4"/>
  <c r="G7502" i="4"/>
  <c r="G7508" i="4"/>
  <c r="G7526" i="4"/>
  <c r="G7523" i="4"/>
  <c r="B9" i="9" l="1"/>
  <c r="B6" i="9"/>
  <c r="B8" i="9"/>
  <c r="B5" i="9"/>
  <c r="G7487" i="4" l="1"/>
  <c r="G7485" i="4"/>
  <c r="G7482" i="4"/>
  <c r="G7483" i="4" s="1"/>
  <c r="G7472" i="4"/>
  <c r="G7468" i="4"/>
  <c r="G7462" i="4"/>
  <c r="G7454" i="4"/>
  <c r="G7455" i="4" s="1"/>
  <c r="G7459" i="4"/>
  <c r="G7457" i="4"/>
  <c r="G7444" i="4"/>
  <c r="G7443" i="4" s="1"/>
  <c r="G7438" i="4"/>
  <c r="G7437" i="4" s="1"/>
  <c r="G7449" i="4"/>
  <c r="G7445" i="4" l="1"/>
  <c r="G7439" i="4"/>
  <c r="G7418" i="4" l="1"/>
  <c r="G7421" i="4"/>
  <c r="G7430" i="4"/>
  <c r="G7427" i="4"/>
  <c r="G7424" i="4"/>
  <c r="G7496" i="4" l="1"/>
  <c r="G7493" i="4"/>
  <c r="G7490" i="4"/>
  <c r="G7409" i="4" l="1"/>
  <c r="G7411" i="4" s="1"/>
  <c r="G7406" i="4"/>
  <c r="G7307" i="4"/>
  <c r="G7379" i="4"/>
  <c r="G7377" i="4"/>
  <c r="G7393" i="4"/>
  <c r="G7391" i="4"/>
  <c r="G7389" i="4"/>
  <c r="G7387" i="4"/>
  <c r="G7385" i="4"/>
  <c r="G7410" i="4" l="1"/>
  <c r="G7383" i="4"/>
  <c r="G7381" i="4"/>
  <c r="G7397" i="4"/>
  <c r="G7395" i="4"/>
  <c r="G7403" i="4"/>
  <c r="G7401" i="4"/>
  <c r="G7399" i="4"/>
  <c r="G7396" i="4"/>
  <c r="G7378" i="4"/>
  <c r="G7375" i="4"/>
  <c r="G7372" i="4"/>
  <c r="G7373" i="4" s="1"/>
  <c r="G7369" i="4"/>
  <c r="G7361" i="4"/>
  <c r="G7362" i="4" s="1"/>
  <c r="G7364" i="4"/>
  <c r="G7360" i="4"/>
  <c r="G7357" i="4"/>
  <c r="G7358" i="4" s="1"/>
  <c r="G7354" i="4"/>
  <c r="G7352" i="4"/>
  <c r="G7349" i="4"/>
  <c r="G7350" i="4" s="1"/>
  <c r="G7343" i="4"/>
  <c r="G7340" i="4"/>
  <c r="G7337" i="4"/>
  <c r="G7330" i="4"/>
  <c r="G7334" i="4"/>
  <c r="G7325" i="4"/>
  <c r="G7321" i="4"/>
  <c r="G7296" i="4" l="1"/>
  <c r="G7297" i="4" s="1"/>
  <c r="G7301" i="4"/>
  <c r="G7299" i="4"/>
  <c r="G7292" i="4" l="1"/>
  <c r="G7289" i="4"/>
  <c r="G7287" i="4"/>
  <c r="G7285" i="4"/>
  <c r="G7279" i="4"/>
  <c r="G7277" i="4"/>
  <c r="G7263" i="4"/>
  <c r="G7281" i="4"/>
  <c r="G7271" i="4"/>
  <c r="G7273" i="4"/>
  <c r="G7269" i="4"/>
  <c r="G7265" i="4"/>
  <c r="G7255" i="4"/>
  <c r="G7258" i="4"/>
  <c r="G7250" i="4" l="1"/>
  <c r="G7247" i="4"/>
  <c r="G7241" i="4"/>
  <c r="G7238" i="4"/>
  <c r="G7235" i="4"/>
  <c r="G7232" i="4"/>
  <c r="G7224" i="4" l="1"/>
  <c r="G7223" i="4" s="1"/>
  <c r="G7220" i="4"/>
  <c r="G7221" i="4" s="1"/>
  <c r="G7215" i="4"/>
  <c r="G7211" i="4"/>
  <c r="G7213" i="4" s="1"/>
  <c r="G7212" i="4" l="1"/>
  <c r="G7214" i="4"/>
  <c r="G7216" i="4" s="1"/>
  <c r="G7225" i="4"/>
  <c r="G7222" i="4"/>
  <c r="J71" i="7"/>
  <c r="K72" i="7" s="1"/>
  <c r="G7166" i="4"/>
  <c r="G7167" i="4" s="1"/>
  <c r="G7177" i="4"/>
  <c r="G7178" i="4" s="1"/>
  <c r="G7168" i="4"/>
  <c r="H7169" i="4" s="1"/>
  <c r="G7170" i="4" s="1"/>
  <c r="G7155" i="4"/>
  <c r="G7153" i="4" s="1"/>
  <c r="G7154" i="4" s="1"/>
  <c r="G7144" i="4"/>
  <c r="G7145" i="4" s="1"/>
  <c r="G7111" i="4"/>
  <c r="G7109" i="4" s="1"/>
  <c r="G7110" i="4" s="1"/>
  <c r="G7133" i="4"/>
  <c r="G7134" i="4" s="1"/>
  <c r="G7120" i="4"/>
  <c r="G7121" i="4" s="1"/>
  <c r="G7122" i="4"/>
  <c r="G7124" i="4" s="1"/>
  <c r="H7125" i="4" s="1"/>
  <c r="G7126" i="4" s="1"/>
  <c r="K73" i="7" l="1"/>
  <c r="G7157" i="4"/>
  <c r="H7158" i="4" s="1"/>
  <c r="G7158" i="4" s="1"/>
  <c r="G7146" i="4"/>
  <c r="H7147" i="4" s="1"/>
  <c r="G7147" i="4" s="1"/>
  <c r="G7156" i="4"/>
  <c r="G7175" i="4"/>
  <c r="G7176" i="4" s="1"/>
  <c r="G7159" i="4"/>
  <c r="G7169" i="4"/>
  <c r="G7179" i="4"/>
  <c r="H7180" i="4" s="1"/>
  <c r="G7125" i="4"/>
  <c r="G7164" i="4"/>
  <c r="G7165" i="4" s="1"/>
  <c r="G7123" i="4"/>
  <c r="G7135" i="4"/>
  <c r="H7136" i="4" s="1"/>
  <c r="G7142" i="4"/>
  <c r="G7143" i="4" s="1"/>
  <c r="G7131" i="4"/>
  <c r="G7132" i="4" s="1"/>
  <c r="G7112" i="4"/>
  <c r="G7113" i="4"/>
  <c r="H7114" i="4" s="1"/>
  <c r="G7206" i="4"/>
  <c r="G7202" i="4"/>
  <c r="G7200" i="4" s="1"/>
  <c r="G7201" i="4" s="1"/>
  <c r="G7204" i="4"/>
  <c r="G7197" i="4"/>
  <c r="G7192" i="4"/>
  <c r="G7193" i="4" s="1"/>
  <c r="G7188" i="4"/>
  <c r="G7189" i="4" s="1"/>
  <c r="G7148" i="4" l="1"/>
  <c r="G7190" i="4"/>
  <c r="G7191" i="4" s="1"/>
  <c r="G7115" i="4"/>
  <c r="G7114" i="4"/>
  <c r="G7136" i="4"/>
  <c r="G7137" i="4"/>
  <c r="G7181" i="4"/>
  <c r="G7180" i="4"/>
  <c r="G7203" i="4"/>
  <c r="G7101" i="4"/>
  <c r="G7104" i="4"/>
  <c r="G6359" i="4" l="1"/>
  <c r="G6355" i="4"/>
  <c r="G6353" i="4" s="1"/>
  <c r="G6354" i="4" s="1"/>
  <c r="G6352" i="4"/>
  <c r="G6356" i="4"/>
  <c r="G6348" i="4"/>
  <c r="G6349" i="4" s="1"/>
  <c r="G6344" i="4"/>
  <c r="G6345" i="4" s="1"/>
  <c r="G6346" i="4" l="1"/>
  <c r="G6347" i="4" s="1"/>
  <c r="G6334" i="4"/>
  <c r="G7093" i="4" l="1"/>
  <c r="G7094" i="4" s="1"/>
  <c r="G7088" i="4"/>
  <c r="G7089" i="4" s="1"/>
  <c r="G7076" i="4"/>
  <c r="G7074" i="4" s="1"/>
  <c r="G7075" i="4" s="1"/>
  <c r="G7071" i="4"/>
  <c r="G7073" i="4" s="1"/>
  <c r="G7044" i="4"/>
  <c r="G7062" i="4"/>
  <c r="G7060" i="4" s="1"/>
  <c r="G7061" i="4" s="1"/>
  <c r="G7063" i="4"/>
  <c r="G7064" i="4"/>
  <c r="G7057" i="4"/>
  <c r="G7058" i="4" s="1"/>
  <c r="G7054" i="4"/>
  <c r="G7051" i="4"/>
  <c r="G7052" i="4" s="1"/>
  <c r="G7048" i="4"/>
  <c r="G7042" i="4"/>
  <c r="G7036" i="4"/>
  <c r="G7033" i="4"/>
  <c r="G7029" i="4"/>
  <c r="G7028" i="4" s="1"/>
  <c r="G7027" i="4"/>
  <c r="G7020" i="4"/>
  <c r="G7021" i="4" s="1"/>
  <c r="G7019" i="4"/>
  <c r="G7072" i="4" l="1"/>
  <c r="G7090" i="4"/>
  <c r="G7091" i="4"/>
  <c r="G7092" i="4" s="1"/>
  <c r="G7030" i="4"/>
  <c r="G7077" i="4"/>
  <c r="G7043" i="4"/>
  <c r="G7045" i="4" s="1"/>
  <c r="G7059" i="4"/>
  <c r="G7011" i="4"/>
  <c r="G7012" i="4" s="1"/>
  <c r="G7006" i="4"/>
  <c r="G7008" i="4" s="1"/>
  <c r="G6996" i="4"/>
  <c r="G6997" i="4" s="1"/>
  <c r="G7003" i="4"/>
  <c r="G7000" i="4"/>
  <c r="G6998" i="4" s="1"/>
  <c r="G6999" i="4" s="1"/>
  <c r="G7001" i="4" l="1"/>
  <c r="G7009" i="4"/>
  <c r="G7010" i="4" s="1"/>
  <c r="G7007" i="4"/>
  <c r="G6975" i="4"/>
  <c r="G6973" i="4"/>
  <c r="G6993" i="4"/>
  <c r="G6991" i="4"/>
  <c r="G6989" i="4"/>
  <c r="G6987" i="4"/>
  <c r="G6985" i="4"/>
  <c r="G6983" i="4"/>
  <c r="G6981" i="4"/>
  <c r="G6979" i="4"/>
  <c r="G6977" i="4" l="1"/>
  <c r="G6974" i="4"/>
  <c r="G6970" i="4"/>
  <c r="G6967" i="4"/>
  <c r="G6966" i="4" s="1"/>
  <c r="G6965" i="4" s="1"/>
  <c r="G6962" i="4"/>
  <c r="G6963" i="4" s="1"/>
  <c r="G6958" i="4"/>
  <c r="G6959" i="4" s="1"/>
  <c r="L34" i="7"/>
  <c r="I38" i="7"/>
  <c r="G6957" i="4"/>
  <c r="I53" i="7" l="1"/>
  <c r="G6976" i="4"/>
  <c r="G6964" i="4"/>
  <c r="G6968" i="4"/>
  <c r="G6954" i="4"/>
  <c r="G6951" i="4"/>
  <c r="G6948" i="4"/>
  <c r="G6945" i="4"/>
  <c r="G6942" i="4"/>
  <c r="G6939" i="4"/>
  <c r="G6936" i="4"/>
  <c r="G6933" i="4"/>
  <c r="G6928" i="4"/>
  <c r="G6929" i="4" s="1"/>
  <c r="G6925" i="4"/>
  <c r="G6921" i="4"/>
  <c r="G6919" i="4" s="1"/>
  <c r="G6920" i="4" s="1"/>
  <c r="G6918" i="4"/>
  <c r="I54" i="7" l="1"/>
  <c r="G6926" i="4"/>
  <c r="G6927" i="4" s="1"/>
  <c r="G6922" i="4"/>
  <c r="G6915" i="4"/>
  <c r="G6912" i="4"/>
  <c r="G6909" i="4"/>
  <c r="G6906" i="4"/>
  <c r="G6642" i="4"/>
  <c r="G6899" i="4"/>
  <c r="G6896" i="4"/>
  <c r="G6892" i="4" l="1"/>
  <c r="G6891" i="4" s="1"/>
  <c r="G6890" i="4"/>
  <c r="G6887" i="4"/>
  <c r="G6884" i="4"/>
  <c r="G6881" i="4"/>
  <c r="G6878" i="4"/>
  <c r="G6875" i="4"/>
  <c r="I6872" i="4"/>
  <c r="G6893" i="4" l="1"/>
  <c r="G6858" i="4"/>
  <c r="G6860" i="4" s="1"/>
  <c r="G6862" i="4"/>
  <c r="G6864" i="4"/>
  <c r="G6856" i="4"/>
  <c r="G6857" i="4" s="1"/>
  <c r="G6853" i="4"/>
  <c r="G6855" i="4" s="1"/>
  <c r="G6872" i="4"/>
  <c r="G6870" i="4"/>
  <c r="G6854" i="4" l="1"/>
  <c r="G6859" i="4"/>
  <c r="G6847" i="4"/>
  <c r="G6842" i="4"/>
  <c r="G6841" i="4" s="1"/>
  <c r="G6843" i="4" s="1"/>
  <c r="G6845" i="4"/>
  <c r="G6839" i="4"/>
  <c r="G6840" i="4" s="1"/>
  <c r="G6829" i="4"/>
  <c r="G6830" i="4" s="1"/>
  <c r="G6834" i="4"/>
  <c r="G6832" i="4"/>
  <c r="G6809" i="4"/>
  <c r="G6810" i="4" s="1"/>
  <c r="G6811" i="4"/>
  <c r="G6812" i="4"/>
  <c r="G6826" i="4"/>
  <c r="G6824" i="4"/>
  <c r="G6822" i="4"/>
  <c r="G6820" i="4"/>
  <c r="G6818" i="4"/>
  <c r="G6815" i="4"/>
  <c r="G6816" i="4" s="1"/>
  <c r="G6806" i="4"/>
  <c r="G6804" i="4"/>
  <c r="G6801" i="4"/>
  <c r="G6802" i="4" s="1"/>
  <c r="G6798" i="4"/>
  <c r="G6796" i="4"/>
  <c r="G6756" i="4"/>
  <c r="G6758" i="4" s="1"/>
  <c r="G6757" i="4"/>
  <c r="G6793" i="4"/>
  <c r="G6788" i="4"/>
  <c r="G6785" i="4"/>
  <c r="G6786" i="4" s="1"/>
  <c r="G6777" i="4"/>
  <c r="G6778" i="4" s="1"/>
  <c r="G6782" i="4"/>
  <c r="G6780" i="4"/>
  <c r="G6813" i="4" l="1"/>
  <c r="G6794" i="4"/>
  <c r="G6764" i="4"/>
  <c r="G6771" i="4"/>
  <c r="G6769" i="4"/>
  <c r="G6767" i="4"/>
  <c r="G6765" i="4"/>
  <c r="G6759" i="4"/>
  <c r="G6753" i="4"/>
  <c r="G6755" i="4" s="1"/>
  <c r="G6745" i="4"/>
  <c r="G6747" i="4"/>
  <c r="G6746" i="4"/>
  <c r="G6748" i="4"/>
  <c r="G6742" i="4"/>
  <c r="G6744" i="4" s="1"/>
  <c r="G6736" i="4"/>
  <c r="G6734" i="4" s="1"/>
  <c r="G6735" i="4" s="1"/>
  <c r="G6739" i="4"/>
  <c r="G6732" i="4"/>
  <c r="G6733" i="4" s="1"/>
  <c r="G6729" i="4"/>
  <c r="G6726" i="4"/>
  <c r="G6720" i="4"/>
  <c r="G6714" i="4"/>
  <c r="G6715" i="4" s="1"/>
  <c r="G6709" i="4"/>
  <c r="G6743" i="4" l="1"/>
  <c r="G6737" i="4"/>
  <c r="G6754" i="4"/>
  <c r="G6710" i="4"/>
  <c r="G6712" i="4"/>
  <c r="G6711" i="4"/>
  <c r="G6705" i="4"/>
  <c r="G6700" i="4"/>
  <c r="G6698" i="4"/>
  <c r="G6687" i="4"/>
  <c r="G6713" i="4" l="1"/>
  <c r="G6673" i="4"/>
  <c r="G6672" i="4" s="1"/>
  <c r="G6693" i="4" l="1"/>
  <c r="G6691" i="4"/>
  <c r="G6689" i="4"/>
  <c r="G6685" i="4"/>
  <c r="G6683" i="4"/>
  <c r="G6680" i="4"/>
  <c r="G6681" i="4" s="1"/>
  <c r="G6678" i="4"/>
  <c r="G6674" i="4"/>
  <c r="G6671" i="4"/>
  <c r="G6665" i="4"/>
  <c r="G6666" i="4" s="1"/>
  <c r="G6655" i="4"/>
  <c r="G6657" i="4"/>
  <c r="G6662" i="4"/>
  <c r="G6660" i="4"/>
  <c r="G6658" i="4" l="1"/>
  <c r="G6656" i="4"/>
  <c r="G6639" i="4" l="1"/>
  <c r="G6640" i="4" s="1"/>
  <c r="G6651" i="4"/>
  <c r="G6652" i="4" s="1"/>
  <c r="G6644" i="4"/>
  <c r="G6646" i="4"/>
  <c r="G6636" i="4" l="1"/>
  <c r="G6623" i="4"/>
  <c r="G6627" i="4"/>
  <c r="G6618" i="4"/>
  <c r="G6607" i="4"/>
  <c r="G6611" i="4"/>
  <c r="G6609" i="4"/>
  <c r="G6457" i="4"/>
  <c r="G6458" i="4" s="1"/>
  <c r="G6452" i="4"/>
  <c r="G6602" i="4"/>
  <c r="G6600" i="4"/>
  <c r="G6597" i="4"/>
  <c r="G6594" i="4"/>
  <c r="G6595" i="4" s="1"/>
  <c r="G6588" i="4"/>
  <c r="G6589" i="4" s="1"/>
  <c r="G6582" i="4"/>
  <c r="G6584" i="4" s="1"/>
  <c r="G6576" i="4"/>
  <c r="G6567" i="4"/>
  <c r="G6559" i="4"/>
  <c r="G6556" i="4"/>
  <c r="G6554" i="4"/>
  <c r="G6549" i="4"/>
  <c r="G6551" i="4"/>
  <c r="G6455" i="4" l="1"/>
  <c r="G6456" i="4" s="1"/>
  <c r="G6585" i="4"/>
  <c r="G6583" i="4"/>
  <c r="G6586" i="4"/>
  <c r="G6587" i="4" s="1"/>
  <c r="G6596" i="4"/>
  <c r="G6598" i="4" s="1"/>
  <c r="G6546" i="4"/>
  <c r="G6535" i="4"/>
  <c r="G6536" i="4" s="1"/>
  <c r="G6537" i="4"/>
  <c r="G6538" i="4" s="1"/>
  <c r="G6533" i="4"/>
  <c r="G6534" i="4" s="1"/>
  <c r="G6543" i="4"/>
  <c r="G6541" i="4"/>
  <c r="G6527" i="4"/>
  <c r="G6524" i="4"/>
  <c r="G6521" i="4"/>
  <c r="G6518" i="4"/>
  <c r="G6515" i="4"/>
  <c r="G6512" i="4"/>
  <c r="G6509" i="4" l="1"/>
  <c r="G6506" i="4"/>
  <c r="G6503" i="4" l="1"/>
  <c r="G6500" i="4"/>
  <c r="G6501" i="4" s="1"/>
  <c r="G6497" i="4"/>
  <c r="G6495" i="4"/>
  <c r="G6492" i="4"/>
  <c r="G6491" i="4"/>
  <c r="G6489" i="4"/>
  <c r="G6490" i="4" s="1"/>
  <c r="G6472" i="4"/>
  <c r="G6474" i="4"/>
  <c r="G6475" i="4"/>
  <c r="G6482" i="4"/>
  <c r="G6484" i="4"/>
  <c r="G6493" i="4" l="1"/>
  <c r="G6480" i="4"/>
  <c r="G6478" i="4"/>
  <c r="G6476" i="4"/>
  <c r="G6473" i="4"/>
  <c r="G6464" i="4"/>
  <c r="G6465" i="4" s="1"/>
  <c r="G6466" i="4"/>
  <c r="G6467" i="4" s="1"/>
  <c r="G6461" i="4"/>
  <c r="G6462" i="4" s="1"/>
  <c r="G6463" i="4" l="1"/>
  <c r="G6454" i="4"/>
  <c r="G6449" i="4" l="1"/>
  <c r="G6446" i="4"/>
  <c r="G6440" i="4"/>
  <c r="G6441" i="4" s="1"/>
  <c r="G6442" i="4"/>
  <c r="G6439" i="4"/>
  <c r="G6443" i="4"/>
  <c r="G6436" i="4"/>
  <c r="G6430" i="4"/>
  <c r="G6433" i="4"/>
  <c r="G6427" i="4"/>
  <c r="G6424" i="4"/>
  <c r="G6421" i="4"/>
  <c r="G6418" i="4"/>
  <c r="G6415" i="4"/>
  <c r="G6412" i="4"/>
  <c r="G6409" i="4" l="1"/>
  <c r="G6407" i="4"/>
  <c r="G6405" i="4"/>
  <c r="G6399" i="4"/>
  <c r="G6400" i="4"/>
  <c r="G6402" i="4"/>
  <c r="G6397" i="4"/>
  <c r="G6401" i="4" l="1"/>
  <c r="G6403" i="4"/>
  <c r="G6398" i="4"/>
  <c r="G6370" i="4"/>
  <c r="G6369" i="4" s="1"/>
  <c r="G6384" i="4"/>
  <c r="G6382" i="4" s="1"/>
  <c r="G6383" i="4" s="1"/>
  <c r="G6386" i="4"/>
  <c r="G6387" i="4" s="1"/>
  <c r="G6385" i="4" l="1"/>
  <c r="G6368" i="4"/>
  <c r="G6371" i="4" s="1"/>
  <c r="G6372" i="4"/>
  <c r="G6373" i="4" s="1"/>
  <c r="G6365" i="4"/>
  <c r="G6374" i="4" l="1"/>
  <c r="G6328" i="4"/>
  <c r="G6325" i="4"/>
  <c r="G6322" i="4"/>
  <c r="G338" i="4" l="1"/>
  <c r="G244" i="4"/>
  <c r="I707" i="4"/>
  <c r="I4149" i="4" l="1"/>
  <c r="L38" i="7" l="1"/>
  <c r="L36" i="7"/>
  <c r="I40" i="7"/>
  <c r="L40" i="7" s="1"/>
  <c r="I39" i="7"/>
  <c r="L39" i="7" s="1"/>
  <c r="L35" i="7"/>
  <c r="G6314" i="4" l="1"/>
  <c r="G6313" i="4" s="1"/>
  <c r="G6319" i="4"/>
  <c r="G6317" i="4"/>
  <c r="G6311" i="4"/>
  <c r="G6312" i="4" s="1"/>
  <c r="G6308" i="4"/>
  <c r="G6301" i="4"/>
  <c r="G6300" i="4" s="1"/>
  <c r="G6302" i="4" s="1"/>
  <c r="G6304" i="4"/>
  <c r="G6298" i="4"/>
  <c r="G6299" i="4" s="1"/>
  <c r="G6295" i="4"/>
  <c r="G6292" i="4"/>
  <c r="G6289" i="4"/>
  <c r="G6286" i="4"/>
  <c r="G6280" i="4"/>
  <c r="G6278" i="4" s="1"/>
  <c r="G6279" i="4" s="1"/>
  <c r="G6276" i="4"/>
  <c r="G6277" i="4" s="1"/>
  <c r="G6272" i="4"/>
  <c r="G6273" i="4" s="1"/>
  <c r="G6261" i="4"/>
  <c r="G6262" i="4" s="1"/>
  <c r="G6263" i="4" s="1"/>
  <c r="G6259" i="4"/>
  <c r="G6260" i="4" s="1"/>
  <c r="G6269" i="4"/>
  <c r="G6267" i="4"/>
  <c r="G6265" i="4"/>
  <c r="G6281" i="4" l="1"/>
  <c r="G6315" i="4"/>
  <c r="G6256" i="4"/>
  <c r="G6253" i="4"/>
  <c r="G6250" i="4"/>
  <c r="G6247" i="4"/>
  <c r="G6244" i="4"/>
  <c r="G6241" i="4"/>
  <c r="G6238" i="4"/>
  <c r="G6235" i="4"/>
  <c r="G6229" i="4"/>
  <c r="G6227" i="4" s="1"/>
  <c r="G6230" i="4" l="1"/>
  <c r="G6228" i="4"/>
  <c r="G6224" i="4"/>
  <c r="G6225" i="4" s="1"/>
  <c r="G6221" i="4"/>
  <c r="G6208" i="4"/>
  <c r="G6215" i="4"/>
  <c r="G6213" i="4"/>
  <c r="G6211" i="4"/>
  <c r="G6209" i="4"/>
  <c r="G6226" i="4" l="1"/>
  <c r="G6198" i="4"/>
  <c r="G6199" i="4" s="1"/>
  <c r="G6200" i="4" l="1"/>
  <c r="G6158" i="4"/>
  <c r="G6093" i="4" l="1"/>
  <c r="G6065" i="4"/>
  <c r="G6061" i="4"/>
  <c r="G6073" i="4"/>
  <c r="G6067" i="4"/>
  <c r="G6039" i="4"/>
  <c r="G6025" i="4"/>
  <c r="G6027" i="4"/>
  <c r="G6029" i="4"/>
  <c r="G6031" i="4"/>
  <c r="G6154" i="4" l="1"/>
  <c r="G6193" i="4"/>
  <c r="G6189" i="4"/>
  <c r="G6187" i="4"/>
  <c r="G6185" i="4"/>
  <c r="G6191" i="4"/>
  <c r="G6183" i="4"/>
  <c r="G6180" i="4"/>
  <c r="G6181" i="4" s="1"/>
  <c r="G6176" i="4"/>
  <c r="G6175" i="4"/>
  <c r="G6179" i="4"/>
  <c r="G6170" i="4"/>
  <c r="G6166" i="4"/>
  <c r="G6164" i="4"/>
  <c r="G6160" i="4"/>
  <c r="G6156" i="4"/>
  <c r="G6162" i="4"/>
  <c r="G6152" i="4"/>
  <c r="G6147" i="4"/>
  <c r="G6148" i="4" s="1"/>
  <c r="H6203" i="4" l="1"/>
  <c r="H6171" i="4"/>
  <c r="G6177" i="4"/>
  <c r="G6139" i="4"/>
  <c r="G6138" i="4"/>
  <c r="G6144" i="4"/>
  <c r="G6145" i="4" s="1"/>
  <c r="G6142" i="4"/>
  <c r="G6125" i="4"/>
  <c r="G6121" i="4"/>
  <c r="G6119" i="4"/>
  <c r="G6123" i="4"/>
  <c r="G6127" i="4"/>
  <c r="G6129" i="4"/>
  <c r="G6131" i="4"/>
  <c r="G6113" i="4"/>
  <c r="G6114" i="4" s="1"/>
  <c r="G6116" i="4"/>
  <c r="G6117" i="4" s="1"/>
  <c r="G6097" i="4"/>
  <c r="G6095" i="4"/>
  <c r="G6101" i="4"/>
  <c r="G6103" i="4"/>
  <c r="G6099" i="4"/>
  <c r="G6091" i="4"/>
  <c r="G6088" i="4"/>
  <c r="G6089" i="4" s="1"/>
  <c r="G6058" i="4"/>
  <c r="G6059" i="4" s="1"/>
  <c r="G6022" i="4"/>
  <c r="G6023" i="4" s="1"/>
  <c r="G6086" i="4"/>
  <c r="G6084" i="4"/>
  <c r="G6077" i="4"/>
  <c r="G6071" i="4"/>
  <c r="G6069" i="4"/>
  <c r="G6063" i="4"/>
  <c r="G6054" i="4"/>
  <c r="G6056" i="4"/>
  <c r="G6047" i="4"/>
  <c r="G6045" i="4"/>
  <c r="G6041" i="4"/>
  <c r="G6037" i="4"/>
  <c r="G6033" i="4"/>
  <c r="G6019" i="4"/>
  <c r="G6020" i="4" s="1"/>
  <c r="G6010" i="4"/>
  <c r="H6048" i="4" l="1"/>
  <c r="H6106" i="4"/>
  <c r="H6134" i="4"/>
  <c r="H6078" i="4"/>
  <c r="G6140" i="4"/>
  <c r="G6111" i="4"/>
  <c r="G6110" i="4"/>
  <c r="G6016" i="4"/>
  <c r="G6017" i="4"/>
  <c r="G5988" i="4"/>
  <c r="G5989" i="4" s="1"/>
  <c r="G6004" i="4"/>
  <c r="G6002" i="4"/>
  <c r="G6000" i="4"/>
  <c r="G5998" i="4"/>
  <c r="G5995" i="4"/>
  <c r="G5996" i="4" s="1"/>
  <c r="G5994" i="4"/>
  <c r="G6018" i="4" l="1"/>
  <c r="G6112" i="4"/>
  <c r="G5977" i="4" l="1"/>
  <c r="G5974" i="4"/>
  <c r="G5971" i="4"/>
  <c r="G5968" i="4"/>
  <c r="G5965" i="4"/>
  <c r="G5962" i="4"/>
  <c r="G5959" i="4"/>
  <c r="G5956" i="4"/>
  <c r="G5953" i="4"/>
  <c r="G5950" i="4"/>
  <c r="G5947" i="4"/>
  <c r="G5944" i="4"/>
  <c r="G5941" i="4"/>
  <c r="G5931" i="4" l="1"/>
  <c r="G5924" i="4" l="1"/>
  <c r="G5927" i="4"/>
  <c r="G5922" i="4"/>
  <c r="G5918" i="4" l="1"/>
  <c r="G5915" i="4"/>
  <c r="G5912" i="4"/>
  <c r="G5909" i="4"/>
  <c r="G5910" i="4" s="1"/>
  <c r="G5905" i="4"/>
  <c r="G5906" i="4" s="1"/>
  <c r="G5898" i="4"/>
  <c r="G5896" i="4" s="1"/>
  <c r="G5897" i="4" s="1"/>
  <c r="G5901" i="4"/>
  <c r="G5899" i="4"/>
  <c r="G5894" i="4"/>
  <c r="G5895" i="4" s="1"/>
  <c r="G5883" i="4"/>
  <c r="G5881" i="4" s="1"/>
  <c r="G5882" i="4" s="1"/>
  <c r="G5888" i="4"/>
  <c r="G5886" i="4"/>
  <c r="G5890" i="4"/>
  <c r="G5884" i="4"/>
  <c r="I4277" i="4"/>
  <c r="G5875" i="4"/>
  <c r="G5872" i="4"/>
  <c r="G5869" i="4"/>
  <c r="G5866" i="4"/>
  <c r="G5863" i="4"/>
  <c r="G5860" i="4"/>
  <c r="G5854" i="4"/>
  <c r="G5852" i="4" s="1"/>
  <c r="G5853" i="4" s="1"/>
  <c r="G5845" i="4"/>
  <c r="G5846" i="4" s="1"/>
  <c r="G5836" i="4"/>
  <c r="G5837" i="4" s="1"/>
  <c r="G5827" i="4"/>
  <c r="G5825" i="4" s="1"/>
  <c r="G5826" i="4" s="1"/>
  <c r="G5842" i="4"/>
  <c r="G5824" i="4"/>
  <c r="G5851" i="4"/>
  <c r="G5833" i="4"/>
  <c r="G5732" i="4"/>
  <c r="G5730" i="4" s="1"/>
  <c r="G5738" i="4"/>
  <c r="G5739" i="4" s="1"/>
  <c r="G5743" i="4"/>
  <c r="G5744" i="4" s="1"/>
  <c r="G5742" i="4"/>
  <c r="G5748" i="4"/>
  <c r="G5750" i="4"/>
  <c r="G5746" i="4"/>
  <c r="G5752" i="4"/>
  <c r="G5754" i="4"/>
  <c r="G5755" i="4" s="1"/>
  <c r="G5770" i="4"/>
  <c r="G5768" i="4"/>
  <c r="G5766" i="4"/>
  <c r="G5764" i="4"/>
  <c r="G5762" i="4"/>
  <c r="G5760" i="4"/>
  <c r="G5757" i="4"/>
  <c r="G5758" i="4" s="1"/>
  <c r="G5686" i="4"/>
  <c r="G5687" i="4" s="1"/>
  <c r="G5694" i="4"/>
  <c r="G5695" i="4" s="1"/>
  <c r="G5689" i="4"/>
  <c r="G5723" i="4"/>
  <c r="G5698" i="4"/>
  <c r="G5699" i="4" s="1"/>
  <c r="G5701" i="4"/>
  <c r="G5703" i="4"/>
  <c r="G5705" i="4"/>
  <c r="G5707" i="4"/>
  <c r="G5709" i="4"/>
  <c r="G5711" i="4"/>
  <c r="G5715" i="4"/>
  <c r="G5713" i="4"/>
  <c r="G5718" i="4"/>
  <c r="G5719" i="4" s="1"/>
  <c r="G5717" i="4"/>
  <c r="G5725" i="4"/>
  <c r="G5727" i="4"/>
  <c r="G5627" i="4"/>
  <c r="G5625" i="4"/>
  <c r="G5623" i="4"/>
  <c r="G5621" i="4"/>
  <c r="G5619" i="4"/>
  <c r="G5615" i="4"/>
  <c r="G5658" i="4"/>
  <c r="G5659" i="4"/>
  <c r="G5660" i="4" s="1"/>
  <c r="G5670" i="4"/>
  <c r="G5671" i="4" s="1"/>
  <c r="G5654" i="4"/>
  <c r="G5655" i="4" s="1"/>
  <c r="G5648" i="4"/>
  <c r="G5646" i="4" s="1"/>
  <c r="G5673" i="4"/>
  <c r="I5673" i="4"/>
  <c r="G5675" i="4"/>
  <c r="G5677" i="4"/>
  <c r="G5679" i="4"/>
  <c r="G5681" i="4"/>
  <c r="G5405" i="4"/>
  <c r="G5411" i="4"/>
  <c r="G5409" i="4" s="1"/>
  <c r="G5415" i="4"/>
  <c r="G5416" i="4" s="1"/>
  <c r="G5418" i="4"/>
  <c r="G5420" i="4"/>
  <c r="G5422" i="4"/>
  <c r="G5424" i="4"/>
  <c r="G5426" i="4"/>
  <c r="G5430" i="4"/>
  <c r="G5432" i="4"/>
  <c r="G5434" i="4"/>
  <c r="G5438" i="4"/>
  <c r="G5440" i="4"/>
  <c r="G5443" i="4"/>
  <c r="G5818" i="4"/>
  <c r="G5815" i="4"/>
  <c r="G5812" i="4"/>
  <c r="G5797" i="4"/>
  <c r="G5809" i="4"/>
  <c r="G5807" i="4"/>
  <c r="G5805" i="4"/>
  <c r="G5803" i="4"/>
  <c r="G5801" i="4"/>
  <c r="G5795" i="4"/>
  <c r="G5793" i="4"/>
  <c r="G5792" i="4"/>
  <c r="G1320" i="4"/>
  <c r="G1318" i="4"/>
  <c r="G5668" i="4"/>
  <c r="G5666" i="4"/>
  <c r="G5777" i="4"/>
  <c r="G5780" i="4"/>
  <c r="G5781" i="4"/>
  <c r="G5782" i="4" s="1"/>
  <c r="G5783" i="4"/>
  <c r="G5784" i="4" s="1"/>
  <c r="G5786" i="4"/>
  <c r="G5731" i="4" l="1"/>
  <c r="G5734" i="4"/>
  <c r="H5441" i="4"/>
  <c r="G5907" i="4"/>
  <c r="G5908" i="4" s="1"/>
  <c r="G5828" i="4"/>
  <c r="G5834" i="4"/>
  <c r="G5835" i="4" s="1"/>
  <c r="G5843" i="4"/>
  <c r="G5844" i="4" s="1"/>
  <c r="G5855" i="4"/>
  <c r="G5733" i="4"/>
  <c r="G5735" i="4"/>
  <c r="G5690" i="4"/>
  <c r="G5647" i="4"/>
  <c r="G5650" i="4"/>
  <c r="G5652" i="4" s="1"/>
  <c r="G5649" i="4"/>
  <c r="G5412" i="4"/>
  <c r="G5406" i="4"/>
  <c r="G5407" i="4" s="1"/>
  <c r="G5408" i="4" s="1"/>
  <c r="G5410" i="4"/>
  <c r="G5736" i="4" l="1"/>
  <c r="G5691" i="4"/>
  <c r="G5692" i="4"/>
  <c r="G5651" i="4"/>
  <c r="G5643" i="4" l="1"/>
  <c r="G5617" i="4"/>
  <c r="G5664" i="4"/>
  <c r="G5662" i="4"/>
  <c r="G5641" i="4"/>
  <c r="G5639" i="4"/>
  <c r="G5635" i="4"/>
  <c r="G5633" i="4"/>
  <c r="I5637" i="4"/>
  <c r="G5637" i="4"/>
  <c r="G5683" i="4"/>
  <c r="G5600" i="4"/>
  <c r="G5630" i="4"/>
  <c r="G5631" i="4" s="1"/>
  <c r="G5629" i="4"/>
  <c r="G5612" i="4"/>
  <c r="G5613" i="4" s="1"/>
  <c r="G5601" i="4"/>
  <c r="G5605" i="4"/>
  <c r="G5606" i="4" s="1"/>
  <c r="G5597" i="4"/>
  <c r="G5595" i="4"/>
  <c r="G5593" i="4"/>
  <c r="G5591" i="4"/>
  <c r="G5589" i="4"/>
  <c r="G5587" i="4"/>
  <c r="G5584" i="4"/>
  <c r="G5585" i="4" s="1"/>
  <c r="G5580" i="4"/>
  <c r="G5578" i="4" s="1"/>
  <c r="G5545" i="4"/>
  <c r="H5473" i="4"/>
  <c r="G5559" i="4"/>
  <c r="G5555" i="4"/>
  <c r="G5557" i="4"/>
  <c r="G5553" i="4"/>
  <c r="G5561" i="4"/>
  <c r="G5565" i="4"/>
  <c r="G5563" i="4"/>
  <c r="G5567" i="4"/>
  <c r="G5571" i="4"/>
  <c r="G5548" i="4"/>
  <c r="G5549" i="4" s="1"/>
  <c r="G5598" i="4" l="1"/>
  <c r="G5572" i="4"/>
  <c r="G5603" i="4"/>
  <c r="G5579" i="4"/>
  <c r="G5575" i="4"/>
  <c r="G5576" i="4" s="1"/>
  <c r="G5581" i="4"/>
  <c r="G5577" i="4"/>
  <c r="G5541" i="4"/>
  <c r="G5539" i="4" s="1"/>
  <c r="G5540" i="4" s="1"/>
  <c r="G5546" i="4"/>
  <c r="G5535" i="4"/>
  <c r="G5530" i="4"/>
  <c r="G5528" i="4"/>
  <c r="G5526" i="4"/>
  <c r="G5524" i="4"/>
  <c r="G5522" i="4"/>
  <c r="G5520" i="4"/>
  <c r="G5518" i="4"/>
  <c r="G5515" i="4"/>
  <c r="G5516" i="4" s="1"/>
  <c r="G5509" i="4"/>
  <c r="G5510" i="4" s="1"/>
  <c r="G5505" i="4"/>
  <c r="G5500" i="4"/>
  <c r="G5498" i="4"/>
  <c r="G5496" i="4"/>
  <c r="G5494" i="4"/>
  <c r="G5492" i="4"/>
  <c r="G5488" i="4"/>
  <c r="G5490" i="4"/>
  <c r="G5485" i="4"/>
  <c r="G5486" i="4" s="1"/>
  <c r="G5481" i="4"/>
  <c r="G5479" i="4" s="1"/>
  <c r="G5480" i="4" s="1"/>
  <c r="G5475" i="4"/>
  <c r="G5468" i="4"/>
  <c r="G5466" i="4"/>
  <c r="G5464" i="4"/>
  <c r="G5462" i="4"/>
  <c r="G5460" i="4"/>
  <c r="G5458" i="4"/>
  <c r="G5456" i="4"/>
  <c r="G5472" i="4"/>
  <c r="G5453" i="4"/>
  <c r="G5454" i="4" s="1"/>
  <c r="G5449" i="4"/>
  <c r="G5447" i="4" s="1"/>
  <c r="G5444" i="4" s="1"/>
  <c r="G5445" i="4" s="1"/>
  <c r="G4701" i="4"/>
  <c r="G5398" i="4"/>
  <c r="G5396" i="4"/>
  <c r="G5393" i="4"/>
  <c r="G5394" i="4" s="1"/>
  <c r="G5385" i="4"/>
  <c r="G5386" i="4" s="1"/>
  <c r="G5390" i="4"/>
  <c r="G5388" i="4"/>
  <c r="G5382" i="4"/>
  <c r="G5378" i="4"/>
  <c r="G5379" i="4" s="1"/>
  <c r="G5368" i="4"/>
  <c r="G5369" i="4" s="1"/>
  <c r="G5372" i="4"/>
  <c r="G5371" i="4" s="1"/>
  <c r="G5362" i="4"/>
  <c r="G5360" i="4" s="1"/>
  <c r="G5361" i="4" s="1"/>
  <c r="G5344" i="4"/>
  <c r="G5345" i="4" s="1"/>
  <c r="G5339" i="4"/>
  <c r="G5340" i="4" s="1"/>
  <c r="G5336" i="4"/>
  <c r="G5330" i="4"/>
  <c r="G5328" i="4" s="1"/>
  <c r="G5329" i="4" s="1"/>
  <c r="G5325" i="4"/>
  <c r="G5326" i="4" s="1"/>
  <c r="G5316" i="4"/>
  <c r="G5317" i="4" s="1"/>
  <c r="G5314" i="4"/>
  <c r="G5313" i="4" s="1"/>
  <c r="G5312" i="4" s="1"/>
  <c r="G5315" i="4" s="1"/>
  <c r="G5301" i="4"/>
  <c r="G5302" i="4" s="1"/>
  <c r="G5303" i="4" s="1"/>
  <c r="G5298" i="4"/>
  <c r="G5299" i="4" s="1"/>
  <c r="G5288" i="4"/>
  <c r="G5290" i="4" s="1"/>
  <c r="G5291" i="4"/>
  <c r="G5283" i="4"/>
  <c r="G5284" i="4" s="1"/>
  <c r="G5280" i="4"/>
  <c r="G5277" i="4"/>
  <c r="G5183" i="4"/>
  <c r="G5186" i="4"/>
  <c r="G5274" i="4"/>
  <c r="G5271" i="4"/>
  <c r="G5268" i="4"/>
  <c r="G5265" i="4"/>
  <c r="G5262" i="4"/>
  <c r="G5259" i="4"/>
  <c r="G5256" i="4"/>
  <c r="G5253" i="4"/>
  <c r="G5250" i="4"/>
  <c r="G5247" i="4"/>
  <c r="G5244" i="4"/>
  <c r="G5241" i="4"/>
  <c r="G5238" i="4"/>
  <c r="G5235" i="4"/>
  <c r="G5232" i="4"/>
  <c r="G5229" i="4"/>
  <c r="G5226" i="4"/>
  <c r="G5223" i="4"/>
  <c r="G5219" i="4"/>
  <c r="G5217" i="4" s="1"/>
  <c r="G5218" i="4" s="1"/>
  <c r="G5216" i="4"/>
  <c r="G5213" i="4"/>
  <c r="G5210" i="4"/>
  <c r="G5207" i="4"/>
  <c r="G5204" i="4"/>
  <c r="G5201" i="4"/>
  <c r="G5177" i="4"/>
  <c r="G5174" i="4"/>
  <c r="G5166" i="4"/>
  <c r="G5167" i="4" s="1"/>
  <c r="G5195" i="4"/>
  <c r="G5192" i="4"/>
  <c r="G5139" i="4"/>
  <c r="G5138" i="4" s="1"/>
  <c r="G5137" i="4"/>
  <c r="G5142" i="4"/>
  <c r="G5143" i="4" s="1"/>
  <c r="G5157" i="4"/>
  <c r="G5159" i="4"/>
  <c r="G5153" i="4"/>
  <c r="G5151" i="4"/>
  <c r="G5155" i="4"/>
  <c r="G5149" i="4"/>
  <c r="G5147" i="4"/>
  <c r="G5503" i="4" l="1"/>
  <c r="G5533" i="4"/>
  <c r="G5607" i="4"/>
  <c r="G5604" i="4"/>
  <c r="G5473" i="4"/>
  <c r="G5331" i="4"/>
  <c r="G5542" i="4"/>
  <c r="G5536" i="4"/>
  <c r="G5537" i="4" s="1"/>
  <c r="G5538" i="4" s="1"/>
  <c r="G5512" i="4"/>
  <c r="G5506" i="4"/>
  <c r="G5507" i="4" s="1"/>
  <c r="G5508" i="4" s="1"/>
  <c r="G5482" i="4"/>
  <c r="G5450" i="4"/>
  <c r="G5476" i="4"/>
  <c r="G5448" i="4"/>
  <c r="G5446" i="4"/>
  <c r="G5342" i="4"/>
  <c r="G5343" i="4" s="1"/>
  <c r="G5300" i="4"/>
  <c r="G5363" i="4"/>
  <c r="G5373" i="4"/>
  <c r="G5286" i="4"/>
  <c r="G5287" i="4" s="1"/>
  <c r="G5370" i="4"/>
  <c r="G5341" i="4"/>
  <c r="G5327" i="4"/>
  <c r="G5318" i="4"/>
  <c r="G5285" i="4"/>
  <c r="G5168" i="4"/>
  <c r="G5220" i="4"/>
  <c r="G5140" i="4"/>
  <c r="G5133" i="4"/>
  <c r="G5130" i="4"/>
  <c r="G5131" i="4" s="1"/>
  <c r="G5082" i="4"/>
  <c r="G5081" i="4" s="1"/>
  <c r="G5124" i="4"/>
  <c r="G5122" i="4" s="1"/>
  <c r="G5123" i="4" s="1"/>
  <c r="G5127" i="4"/>
  <c r="G5608" i="4" l="1"/>
  <c r="G5609" i="4"/>
  <c r="G5477" i="4"/>
  <c r="G5478" i="4" s="1"/>
  <c r="G5125" i="4"/>
  <c r="G5083" i="4"/>
  <c r="G5132" i="4"/>
  <c r="G5134" i="4" s="1"/>
  <c r="G5120" i="4"/>
  <c r="G5121" i="4" s="1"/>
  <c r="G5108" i="4"/>
  <c r="G5103" i="4"/>
  <c r="G5105" i="4" s="1"/>
  <c r="G5100" i="4"/>
  <c r="G5097" i="4"/>
  <c r="G5094" i="4"/>
  <c r="G5091" i="4"/>
  <c r="G5088" i="4"/>
  <c r="G5109" i="4" l="1"/>
  <c r="G5106" i="4"/>
  <c r="G5107" i="4" s="1"/>
  <c r="G5104" i="4"/>
  <c r="G5078" i="4"/>
  <c r="G5079" i="4" s="1"/>
  <c r="G5072" i="4"/>
  <c r="G5069" i="4"/>
  <c r="G5045" i="4"/>
  <c r="G5062" i="4"/>
  <c r="G5061" i="4" s="1"/>
  <c r="G5042" i="4"/>
  <c r="G5043" i="4" s="1"/>
  <c r="G5059" i="4"/>
  <c r="G5057" i="4"/>
  <c r="G5055" i="4"/>
  <c r="G5053" i="4"/>
  <c r="G5051" i="4"/>
  <c r="G5048" i="4"/>
  <c r="G5049" i="4" s="1"/>
  <c r="G5040" i="4"/>
  <c r="G5032" i="4"/>
  <c r="G5033" i="4" s="1"/>
  <c r="G5028" i="4"/>
  <c r="G5029" i="4" s="1"/>
  <c r="G5025" i="4"/>
  <c r="G5026" i="4" s="1"/>
  <c r="G5014" i="4"/>
  <c r="G5015" i="4" s="1"/>
  <c r="G5018" i="4"/>
  <c r="G5020" i="4" s="1"/>
  <c r="G5011" i="4"/>
  <c r="G5012" i="4" s="1"/>
  <c r="G5008" i="4"/>
  <c r="G5006" i="4"/>
  <c r="G5003" i="4"/>
  <c r="G5004" i="4" s="1"/>
  <c r="G4989" i="4"/>
  <c r="G4990" i="4" s="1"/>
  <c r="G4984" i="4"/>
  <c r="G4985" i="4" s="1"/>
  <c r="G4981" i="4"/>
  <c r="G4978" i="4"/>
  <c r="G4976" i="4" s="1"/>
  <c r="G4977" i="4" s="1"/>
  <c r="G4973" i="4"/>
  <c r="G4975" i="4" s="1"/>
  <c r="G4979" i="4"/>
  <c r="G4962" i="4"/>
  <c r="G4963" i="4" s="1"/>
  <c r="G4967" i="4"/>
  <c r="G4968" i="4" s="1"/>
  <c r="G4959" i="4"/>
  <c r="G4953" i="4"/>
  <c r="G4951" i="4" s="1"/>
  <c r="G4952" i="4" s="1"/>
  <c r="G4948" i="4"/>
  <c r="G4949" i="4" s="1"/>
  <c r="G4944" i="4"/>
  <c r="G4943" i="4"/>
  <c r="G4938" i="4"/>
  <c r="G4940" i="4" s="1"/>
  <c r="G4911" i="4"/>
  <c r="G4909" i="4" s="1"/>
  <c r="G4910" i="4" s="1"/>
  <c r="G4913" i="4"/>
  <c r="G4914" i="4" s="1"/>
  <c r="G4903" i="4"/>
  <c r="G4902" i="4" s="1"/>
  <c r="G4904" i="4" s="1"/>
  <c r="G4899" i="4"/>
  <c r="G4900" i="4" s="1"/>
  <c r="G4896" i="4"/>
  <c r="G4893" i="4"/>
  <c r="G4892" i="4" s="1"/>
  <c r="G4891" i="4" s="1"/>
  <c r="G4888" i="4"/>
  <c r="G4889" i="4" s="1"/>
  <c r="G4876" i="4"/>
  <c r="G4878" i="4" s="1"/>
  <c r="G4879" i="4"/>
  <c r="G4880" i="4" s="1"/>
  <c r="G4881" i="4"/>
  <c r="G4882" i="4" s="1"/>
  <c r="G4873" i="4"/>
  <c r="G4870" i="4"/>
  <c r="D7" i="9"/>
  <c r="G4862" i="4"/>
  <c r="G4863" i="4" s="1"/>
  <c r="G4867" i="4"/>
  <c r="G4858" i="4"/>
  <c r="G4859" i="4" s="1"/>
  <c r="G4854" i="4"/>
  <c r="G4851" i="4"/>
  <c r="G4846" i="4"/>
  <c r="G4844" i="4" s="1"/>
  <c r="G4845" i="4" s="1"/>
  <c r="G4842" i="4"/>
  <c r="G4843" i="4" s="1"/>
  <c r="G4838" i="4"/>
  <c r="G4839" i="4" s="1"/>
  <c r="G4816" i="4"/>
  <c r="G4818" i="4" s="1"/>
  <c r="G4812" i="4"/>
  <c r="G4813" i="4" s="1"/>
  <c r="G4834" i="4"/>
  <c r="G4827" i="4"/>
  <c r="G4828" i="4" s="1"/>
  <c r="G4832" i="4"/>
  <c r="G4825" i="4"/>
  <c r="G4820" i="4"/>
  <c r="G4821" i="4" s="1"/>
  <c r="G4830" i="4"/>
  <c r="G4823" i="4"/>
  <c r="G4806" i="4"/>
  <c r="G4796" i="4"/>
  <c r="G4800" i="4"/>
  <c r="G4793" i="4"/>
  <c r="G4794" i="4" s="1"/>
  <c r="G4785" i="4"/>
  <c r="G4786" i="4" s="1"/>
  <c r="G4788" i="4"/>
  <c r="G4787" i="4" s="1"/>
  <c r="G4789" i="4" s="1"/>
  <c r="G32" i="7"/>
  <c r="D34" i="9" l="1"/>
  <c r="D36" i="9"/>
  <c r="D38" i="9"/>
  <c r="D40" i="9"/>
  <c r="D42" i="9"/>
  <c r="D44" i="9"/>
  <c r="D46" i="9"/>
  <c r="D48" i="9"/>
  <c r="D33" i="9"/>
  <c r="D35" i="9"/>
  <c r="D37" i="9"/>
  <c r="D39" i="9"/>
  <c r="D41" i="9"/>
  <c r="D43" i="9"/>
  <c r="D45" i="9"/>
  <c r="D47" i="9"/>
  <c r="D49" i="9"/>
  <c r="D12" i="9"/>
  <c r="D14" i="9"/>
  <c r="D16" i="9"/>
  <c r="D18" i="9"/>
  <c r="D20" i="9"/>
  <c r="D22" i="9"/>
  <c r="D24" i="9"/>
  <c r="D26" i="9"/>
  <c r="D28" i="9"/>
  <c r="D30" i="9"/>
  <c r="D32" i="9"/>
  <c r="D9" i="9"/>
  <c r="D11" i="9"/>
  <c r="D13" i="9"/>
  <c r="D15" i="9"/>
  <c r="D17" i="9"/>
  <c r="D19" i="9"/>
  <c r="D21" i="9"/>
  <c r="D23" i="9"/>
  <c r="D25" i="9"/>
  <c r="D27" i="9"/>
  <c r="D29" i="9"/>
  <c r="D31" i="9"/>
  <c r="G4847" i="4"/>
  <c r="G4974" i="4"/>
  <c r="G5030" i="4"/>
  <c r="G5031" i="4" s="1"/>
  <c r="G5034" i="4"/>
  <c r="G5080" i="4"/>
  <c r="G5044" i="4"/>
  <c r="G5046" i="4" s="1"/>
  <c r="G5019" i="4"/>
  <c r="G4987" i="4"/>
  <c r="G4988" i="4" s="1"/>
  <c r="G5016" i="4"/>
  <c r="G5017" i="4" s="1"/>
  <c r="G5063" i="4"/>
  <c r="G5027" i="4"/>
  <c r="G5013" i="4"/>
  <c r="G4860" i="4"/>
  <c r="G4861" i="4" s="1"/>
  <c r="G4945" i="4"/>
  <c r="G4950" i="4"/>
  <c r="G4954" i="4"/>
  <c r="G4890" i="4"/>
  <c r="G4912" i="4"/>
  <c r="G4939" i="4"/>
  <c r="G4965" i="4"/>
  <c r="G4966" i="4" s="1"/>
  <c r="G4941" i="4"/>
  <c r="G4942" i="4" s="1"/>
  <c r="G4986" i="4"/>
  <c r="G4964" i="4"/>
  <c r="G4915" i="4"/>
  <c r="G4894" i="4"/>
  <c r="G4901" i="4"/>
  <c r="G4883" i="4"/>
  <c r="G4814" i="4"/>
  <c r="G4815" i="4" s="1"/>
  <c r="G4779" i="4"/>
  <c r="G4772" i="4"/>
  <c r="G4773" i="4" s="1"/>
  <c r="G4781" i="4"/>
  <c r="G4777" i="4"/>
  <c r="G4775" i="4"/>
  <c r="G4768" i="4"/>
  <c r="G4769" i="4" s="1"/>
  <c r="G4765" i="4"/>
  <c r="G4762" i="4"/>
  <c r="G4763" i="4" s="1"/>
  <c r="G4757" i="4"/>
  <c r="G4756" i="4"/>
  <c r="G4747" i="4"/>
  <c r="G4746" i="4" s="1"/>
  <c r="G4748" i="4" s="1"/>
  <c r="G4750" i="4"/>
  <c r="G4751" i="4" s="1"/>
  <c r="G4753" i="4"/>
  <c r="G4743" i="4"/>
  <c r="G4740" i="4"/>
  <c r="G4741" i="4" s="1"/>
  <c r="G4737" i="4"/>
  <c r="G4734" i="4" l="1"/>
  <c r="G4730" i="4"/>
  <c r="G4729" i="4" s="1"/>
  <c r="G4731" i="4" s="1"/>
  <c r="G4725" i="4"/>
  <c r="G4724" i="4" s="1"/>
  <c r="G4726" i="4" s="1"/>
  <c r="G4712" i="4"/>
  <c r="G4711" i="4" s="1"/>
  <c r="G4710" i="4" s="1"/>
  <c r="G4721" i="4"/>
  <c r="G4718" i="4"/>
  <c r="G4719" i="4" s="1"/>
  <c r="G44" i="7"/>
  <c r="G43" i="7"/>
  <c r="G42" i="7"/>
  <c r="G45" i="7"/>
  <c r="G46" i="7" s="1"/>
  <c r="G4707" i="4"/>
  <c r="G4708" i="4" s="1"/>
  <c r="G4505" i="4"/>
  <c r="G4503" i="4" s="1"/>
  <c r="G4504" i="4" s="1"/>
  <c r="G4690" i="4"/>
  <c r="G4688" i="4"/>
  <c r="G4686" i="4"/>
  <c r="G4683" i="4"/>
  <c r="G4684" i="4" s="1"/>
  <c r="G4679" i="4"/>
  <c r="G4680" i="4" s="1"/>
  <c r="G4659" i="4"/>
  <c r="G4660" i="4" s="1"/>
  <c r="G4663" i="4"/>
  <c r="G4661" i="4" s="1"/>
  <c r="G4662" i="4" s="1"/>
  <c r="G4674" i="4"/>
  <c r="G4672" i="4"/>
  <c r="G4670" i="4"/>
  <c r="G4668" i="4"/>
  <c r="G4666" i="4"/>
  <c r="G4656" i="4"/>
  <c r="G4654" i="4" s="1"/>
  <c r="G4655" i="4" s="1"/>
  <c r="G4653" i="4"/>
  <c r="G4650" i="4"/>
  <c r="G4648" i="4" s="1"/>
  <c r="G4649" i="4" s="1"/>
  <c r="G4647" i="4"/>
  <c r="G4486" i="4"/>
  <c r="G4484" i="4" s="1"/>
  <c r="G4485" i="4" s="1"/>
  <c r="G4500" i="4"/>
  <c r="G4501" i="4" s="1"/>
  <c r="G4630" i="4"/>
  <c r="G4631" i="4" s="1"/>
  <c r="G4639" i="4"/>
  <c r="G4637" i="4"/>
  <c r="G4635" i="4"/>
  <c r="G4633" i="4"/>
  <c r="G4620" i="4"/>
  <c r="G4625" i="4"/>
  <c r="G4617" i="4"/>
  <c r="G4615" i="4"/>
  <c r="G4613" i="4"/>
  <c r="G4611" i="4"/>
  <c r="G4608" i="4"/>
  <c r="G4609" i="4" s="1"/>
  <c r="G4607" i="4"/>
  <c r="G4604" i="4"/>
  <c r="G4605" i="4" s="1"/>
  <c r="G4601" i="4"/>
  <c r="G4600" i="4" s="1"/>
  <c r="G4598" i="4"/>
  <c r="G4599" i="4" s="1"/>
  <c r="G4585" i="4"/>
  <c r="G4586" i="4" s="1"/>
  <c r="G4580" i="4"/>
  <c r="G4581" i="4" s="1"/>
  <c r="G4574" i="4"/>
  <c r="G4572" i="4" s="1"/>
  <c r="G4573" i="4" s="1"/>
  <c r="G4569" i="4"/>
  <c r="G4570" i="4" s="1"/>
  <c r="G317" i="4"/>
  <c r="G4566" i="4"/>
  <c r="G4564" i="4"/>
  <c r="G4562" i="4"/>
  <c r="G4560" i="4"/>
  <c r="G4558" i="4"/>
  <c r="G4556" i="4"/>
  <c r="G4554" i="4"/>
  <c r="G4552" i="4"/>
  <c r="G4550" i="4"/>
  <c r="G4535" i="4"/>
  <c r="G4534" i="4" s="1"/>
  <c r="G4547" i="4"/>
  <c r="G4533" i="4"/>
  <c r="G4526" i="4"/>
  <c r="G4521" i="4"/>
  <c r="G4520" i="4" s="1"/>
  <c r="G4517" i="4"/>
  <c r="G4518" i="4"/>
  <c r="G4519" i="4" s="1"/>
  <c r="G4481" i="4"/>
  <c r="G4482" i="4" s="1"/>
  <c r="G4470" i="4"/>
  <c r="G4471" i="4" s="1"/>
  <c r="G4475" i="4"/>
  <c r="G4473" i="4" s="1"/>
  <c r="G4474" i="4" s="1"/>
  <c r="G4455" i="4"/>
  <c r="G4456" i="4" s="1"/>
  <c r="G4401" i="4"/>
  <c r="G4458" i="4"/>
  <c r="G4459" i="4" s="1"/>
  <c r="G4467" i="4"/>
  <c r="G4454" i="4"/>
  <c r="G4450" i="4"/>
  <c r="G4451" i="4" s="1"/>
  <c r="G4446" i="4"/>
  <c r="G4445" i="4"/>
  <c r="G4443" i="4" s="1"/>
  <c r="G4444" i="4" s="1"/>
  <c r="G4440" i="4"/>
  <c r="G4441" i="4" s="1"/>
  <c r="G4434" i="4"/>
  <c r="G4437" i="4"/>
  <c r="G4430" i="4"/>
  <c r="G4427" i="4"/>
  <c r="G4426" i="4" s="1"/>
  <c r="G4423" i="4"/>
  <c r="G4421" i="4"/>
  <c r="G4418" i="4"/>
  <c r="G4419" i="4" s="1"/>
  <c r="G4412" i="4"/>
  <c r="G4411" i="4" s="1"/>
  <c r="G4410" i="4" s="1"/>
  <c r="G4407" i="4"/>
  <c r="G4408" i="4" s="1"/>
  <c r="G4404" i="4"/>
  <c r="G4398" i="4"/>
  <c r="G4395" i="4"/>
  <c r="G4392" i="4"/>
  <c r="G4389" i="4"/>
  <c r="G4386" i="4"/>
  <c r="G4375" i="4"/>
  <c r="G4376" i="4" s="1"/>
  <c r="G4382" i="4"/>
  <c r="G4383" i="4" s="1"/>
  <c r="G4657" i="4" l="1"/>
  <c r="G4506" i="4"/>
  <c r="G4709" i="4"/>
  <c r="G4713" i="4"/>
  <c r="G4651" i="4"/>
  <c r="G4664" i="4"/>
  <c r="G4681" i="4"/>
  <c r="G4682" i="4" s="1"/>
  <c r="G4575" i="4"/>
  <c r="G4502" i="4"/>
  <c r="G4487" i="4"/>
  <c r="G4583" i="4"/>
  <c r="G4584" i="4" s="1"/>
  <c r="G4619" i="4"/>
  <c r="G4621" i="4" s="1"/>
  <c r="G4602" i="4"/>
  <c r="G4582" i="4"/>
  <c r="G4476" i="4"/>
  <c r="G4571" i="4"/>
  <c r="G4522" i="4"/>
  <c r="G4536" i="4"/>
  <c r="G4483" i="4"/>
  <c r="G4472" i="4"/>
  <c r="G4373" i="4"/>
  <c r="G4374" i="4" s="1"/>
  <c r="G4447" i="4"/>
  <c r="G4428" i="4"/>
  <c r="G4442" i="4"/>
  <c r="G4433" i="4"/>
  <c r="G4435" i="4" s="1"/>
  <c r="G4409" i="4"/>
  <c r="G4413" i="4"/>
  <c r="G4380" i="4"/>
  <c r="G4381" i="4" s="1"/>
  <c r="G4342" i="4" l="1"/>
  <c r="G4348" i="4"/>
  <c r="G4345" i="4"/>
  <c r="G4351" i="4"/>
  <c r="G4352" i="4" s="1"/>
  <c r="G4339" i="4"/>
  <c r="G4336" i="4"/>
  <c r="G4333" i="4"/>
  <c r="G4324" i="4"/>
  <c r="G4322" i="4"/>
  <c r="G4330" i="4"/>
  <c r="G4328" i="4"/>
  <c r="G4326" i="4"/>
  <c r="G4311" i="4"/>
  <c r="G4312" i="4" s="1"/>
  <c r="G4313" i="4"/>
  <c r="G4314" i="4" s="1"/>
  <c r="G4318" i="4"/>
  <c r="G4316" i="4"/>
  <c r="G4310" i="4"/>
  <c r="G4306" i="4"/>
  <c r="G4305" i="4" s="1"/>
  <c r="G4303" i="4"/>
  <c r="G4304" i="4" s="1"/>
  <c r="G4300" i="4"/>
  <c r="G4297" i="4"/>
  <c r="G4294" i="4"/>
  <c r="G4276" i="4"/>
  <c r="G4291" i="4"/>
  <c r="G4288" i="4"/>
  <c r="G4277" i="4"/>
  <c r="H4277" i="4" s="1"/>
  <c r="G4307" i="4" l="1"/>
  <c r="G4321" i="4"/>
  <c r="G4323" i="4" s="1"/>
  <c r="G4285" i="4"/>
  <c r="G4282" i="4"/>
  <c r="G4250" i="4"/>
  <c r="F28" i="1"/>
  <c r="F24" i="1"/>
  <c r="G4147" i="4" l="1"/>
  <c r="G4144" i="4"/>
  <c r="G4139" i="4"/>
  <c r="G4137" i="4"/>
  <c r="G4189" i="4"/>
  <c r="G4187" i="4"/>
  <c r="G4185" i="4"/>
  <c r="G4202" i="4"/>
  <c r="G4200" i="4"/>
  <c r="G4198" i="4"/>
  <c r="G4211" i="4"/>
  <c r="G4215" i="4"/>
  <c r="G4213" i="4"/>
  <c r="G4237" i="4"/>
  <c r="G4224" i="4"/>
  <c r="G4228" i="4"/>
  <c r="G4241" i="4"/>
  <c r="G4254" i="4"/>
  <c r="G4226" i="4"/>
  <c r="G4239" i="4"/>
  <c r="G4234" i="4"/>
  <c r="L4247" i="4"/>
  <c r="L4248" i="4" s="1"/>
  <c r="L4250" i="4" s="1"/>
  <c r="L4251" i="4" s="1"/>
  <c r="L4252" i="4" s="1"/>
  <c r="G4252" i="4"/>
  <c r="G4265" i="4"/>
  <c r="G4263" i="4"/>
  <c r="G4261" i="4"/>
  <c r="G4176" i="4"/>
  <c r="G4174" i="4"/>
  <c r="G4172" i="4"/>
  <c r="G4166" i="4"/>
  <c r="G4162" i="4"/>
  <c r="G4164" i="4"/>
  <c r="G4148" i="4" l="1"/>
  <c r="G4125" i="4"/>
  <c r="G4120" i="4"/>
  <c r="G4121" i="4" s="1"/>
  <c r="G4118" i="4"/>
  <c r="G4116" i="4"/>
  <c r="G4110" i="4"/>
  <c r="G4091" i="4"/>
  <c r="G4090" i="4" s="1"/>
  <c r="G4089" i="4" s="1"/>
  <c r="G4086" i="4"/>
  <c r="G4087" i="4" s="1"/>
  <c r="G4079" i="4"/>
  <c r="G4078" i="4" s="1"/>
  <c r="G4077" i="4" s="1"/>
  <c r="G4074" i="4"/>
  <c r="G4075" i="4" s="1"/>
  <c r="G4071" i="4"/>
  <c r="G4068" i="4"/>
  <c r="G4069" i="4" s="1"/>
  <c r="G4061" i="4"/>
  <c r="G4055" i="4"/>
  <c r="G4049" i="4"/>
  <c r="G4063" i="4"/>
  <c r="G4051" i="4"/>
  <c r="G4057" i="4"/>
  <c r="G4053" i="4"/>
  <c r="G25" i="7"/>
  <c r="G22" i="7"/>
  <c r="G4065" i="4"/>
  <c r="G4059" i="4"/>
  <c r="G4045" i="4"/>
  <c r="G4039" i="4"/>
  <c r="G4040" i="4" s="1"/>
  <c r="G3003" i="4"/>
  <c r="G3001" i="4" s="1"/>
  <c r="G3002" i="4" s="1"/>
  <c r="G2996" i="4"/>
  <c r="G2997" i="4" s="1"/>
  <c r="G2998" i="4"/>
  <c r="G2999" i="4" s="1"/>
  <c r="G3006" i="4"/>
  <c r="G2985" i="4"/>
  <c r="G2986" i="4" s="1"/>
  <c r="G2994" i="4"/>
  <c r="G2992" i="4"/>
  <c r="G2990" i="4"/>
  <c r="G2988" i="4"/>
  <c r="G2989" i="4" s="1"/>
  <c r="G4035" i="4"/>
  <c r="G4033" i="4"/>
  <c r="G4029" i="4"/>
  <c r="G4027" i="4"/>
  <c r="G4023" i="4"/>
  <c r="G4020" i="4"/>
  <c r="G4021" i="4" s="1"/>
  <c r="G4014" i="4"/>
  <c r="G4013" i="4" s="1"/>
  <c r="G4010" i="4"/>
  <c r="G4011" i="4" s="1"/>
  <c r="G4004" i="4"/>
  <c r="G4002" i="4" s="1"/>
  <c r="G4003" i="4" s="1"/>
  <c r="G3999" i="4"/>
  <c r="G4000" i="4" s="1"/>
  <c r="G4271" i="4"/>
  <c r="G4273" i="4"/>
  <c r="G3994" i="4"/>
  <c r="G3991" i="4"/>
  <c r="G3992" i="4" s="1"/>
  <c r="G3988" i="4"/>
  <c r="G3986" i="4" s="1"/>
  <c r="G3985" i="4"/>
  <c r="G3984" i="4"/>
  <c r="G3983" i="4"/>
  <c r="G3979" i="4"/>
  <c r="G3980" i="4" s="1"/>
  <c r="G3973" i="4"/>
  <c r="G3972" i="4" s="1"/>
  <c r="G3971" i="4" s="1"/>
  <c r="G3968" i="4"/>
  <c r="G3969" i="4" s="1"/>
  <c r="G3962" i="4"/>
  <c r="G3957" i="4"/>
  <c r="G3958" i="4" s="1"/>
  <c r="G3951" i="4"/>
  <c r="G3949" i="4" s="1"/>
  <c r="G3950" i="4" s="1"/>
  <c r="G3946" i="4"/>
  <c r="G3948" i="4" s="1"/>
  <c r="G3940" i="4"/>
  <c r="G3935" i="4"/>
  <c r="G3936" i="4" s="1"/>
  <c r="G3929" i="4"/>
  <c r="G3927" i="4" s="1"/>
  <c r="G3928" i="4" s="1"/>
  <c r="G3925" i="4"/>
  <c r="G3926" i="4" s="1"/>
  <c r="G3919" i="4"/>
  <c r="G3918" i="4" s="1"/>
  <c r="G3917" i="4" s="1"/>
  <c r="G3914" i="4"/>
  <c r="G3915" i="4" s="1"/>
  <c r="G3903" i="4"/>
  <c r="G3904" i="4" s="1"/>
  <c r="G3908" i="4"/>
  <c r="G4092" i="4" l="1"/>
  <c r="G4088" i="4"/>
  <c r="G4080" i="4"/>
  <c r="G4076" i="4"/>
  <c r="G4005" i="4"/>
  <c r="G4041" i="4"/>
  <c r="G4015" i="4"/>
  <c r="G3004" i="4"/>
  <c r="G3000" i="4"/>
  <c r="G3947" i="4"/>
  <c r="G3952" i="4"/>
  <c r="G4001" i="4"/>
  <c r="G3987" i="4"/>
  <c r="G3989" i="4" s="1"/>
  <c r="G3981" i="4"/>
  <c r="G3974" i="4"/>
  <c r="G3970" i="4"/>
  <c r="G3961" i="4"/>
  <c r="G3960" i="4" s="1"/>
  <c r="G3959" i="4"/>
  <c r="G3939" i="4"/>
  <c r="G3938" i="4" s="1"/>
  <c r="G3937" i="4"/>
  <c r="G3930" i="4"/>
  <c r="G3920" i="4"/>
  <c r="G3916" i="4"/>
  <c r="G3907" i="4"/>
  <c r="G3906" i="4" s="1"/>
  <c r="G3905" i="4"/>
  <c r="G3963" i="4" l="1"/>
  <c r="G3941" i="4"/>
  <c r="G3909" i="4"/>
  <c r="G3897" i="4" l="1"/>
  <c r="G3898" i="4" s="1"/>
  <c r="G3892" i="4" l="1"/>
  <c r="G3889" i="4"/>
  <c r="G3890" i="4" s="1"/>
  <c r="G3884" i="4"/>
  <c r="G3886" i="4"/>
  <c r="G3881" i="4"/>
  <c r="G3882" i="4" s="1"/>
  <c r="G3874" i="4"/>
  <c r="G3872" i="4"/>
  <c r="G3865" i="4"/>
  <c r="G3864" i="4" s="1"/>
  <c r="G3863" i="4" s="1"/>
  <c r="G3860" i="4"/>
  <c r="G3861" i="4" s="1"/>
  <c r="G3866" i="4" l="1"/>
  <c r="G3862" i="4"/>
  <c r="G3857" i="4" l="1"/>
  <c r="G3854" i="4"/>
  <c r="G3849" i="4"/>
  <c r="G3842" i="4"/>
  <c r="G3834" i="4"/>
  <c r="G3832" i="4"/>
  <c r="G3829" i="4"/>
  <c r="G3821" i="4"/>
  <c r="G3820" i="4" s="1"/>
  <c r="G3819" i="4" s="1"/>
  <c r="G3822" i="4" s="1"/>
  <c r="G3816" i="4"/>
  <c r="G3817" i="4" s="1"/>
  <c r="G3806" i="4"/>
  <c r="G3807" i="4" s="1"/>
  <c r="G3811" i="4"/>
  <c r="G3809" i="4"/>
  <c r="G3802" i="4"/>
  <c r="G3803" i="4" s="1"/>
  <c r="G3796" i="4"/>
  <c r="G3797" i="4" s="1"/>
  <c r="G3789" i="4"/>
  <c r="G3787" i="4" s="1"/>
  <c r="G3788" i="4" s="1"/>
  <c r="G3792" i="4"/>
  <c r="G3784" i="4"/>
  <c r="G3781" i="4"/>
  <c r="G3818" i="4" l="1"/>
  <c r="G3800" i="4"/>
  <c r="G3801" i="4" s="1"/>
  <c r="G3790" i="4"/>
  <c r="G3775" i="4"/>
  <c r="G3776" i="4" s="1"/>
  <c r="G3778" i="4"/>
  <c r="G3770" i="4"/>
  <c r="G3771" i="4" s="1"/>
  <c r="G3768" i="4"/>
  <c r="G3764" i="4"/>
  <c r="G3762" i="4"/>
  <c r="G3760" i="4"/>
  <c r="G3751" i="4"/>
  <c r="G3752" i="4" s="1"/>
  <c r="G3748" i="4"/>
  <c r="G3744" i="4"/>
  <c r="G3745" i="4" s="1"/>
  <c r="G3731" i="4"/>
  <c r="G3732" i="4" s="1"/>
  <c r="G3737" i="4"/>
  <c r="G3736" i="4" s="1"/>
  <c r="G3738" i="4" s="1"/>
  <c r="G3740" i="4"/>
  <c r="G3734" i="4"/>
  <c r="G3735" i="4" s="1"/>
  <c r="G3747" i="4" l="1"/>
  <c r="G3749" i="4" s="1"/>
  <c r="G3772" i="4"/>
  <c r="G3746" i="4"/>
  <c r="G3733" i="4"/>
  <c r="G3722" i="4"/>
  <c r="G3528" i="4"/>
  <c r="G3527" i="4" s="1"/>
  <c r="G3529" i="4" s="1"/>
  <c r="G3518" i="4"/>
  <c r="G3517" i="4" s="1"/>
  <c r="G3557" i="4"/>
  <c r="G3554" i="4"/>
  <c r="G3551" i="4"/>
  <c r="G3548" i="4"/>
  <c r="G3545" i="4"/>
  <c r="G3519" i="4" l="1"/>
  <c r="G3542" i="4" l="1"/>
  <c r="G3539" i="4"/>
  <c r="G5198" i="4"/>
  <c r="G3524" i="4"/>
  <c r="G3525" i="4" s="1"/>
  <c r="G3514" i="4"/>
  <c r="G3515" i="4" s="1"/>
  <c r="G3508" i="4"/>
  <c r="G3509" i="4" s="1"/>
  <c r="G3503" i="4"/>
  <c r="G3504" i="4" s="1"/>
  <c r="G3497" i="4"/>
  <c r="G3495" i="4" s="1"/>
  <c r="G3492" i="4"/>
  <c r="G3493" i="4" s="1"/>
  <c r="G3486" i="4"/>
  <c r="G3484" i="4" s="1"/>
  <c r="G3485" i="4" s="1"/>
  <c r="G3481" i="4"/>
  <c r="G3482" i="4" s="1"/>
  <c r="G3475" i="4"/>
  <c r="G3473" i="4" s="1"/>
  <c r="G3474" i="4" s="1"/>
  <c r="G3470" i="4"/>
  <c r="G3471" i="4" s="1"/>
  <c r="G3464" i="4"/>
  <c r="G3462" i="4" s="1"/>
  <c r="G3463" i="4" s="1"/>
  <c r="G3459" i="4"/>
  <c r="G3460" i="4" s="1"/>
  <c r="G3461" i="4" l="1"/>
  <c r="G3465" i="4"/>
  <c r="G3476" i="4"/>
  <c r="G3483" i="4"/>
  <c r="G3506" i="4"/>
  <c r="G3507" i="4" s="1"/>
  <c r="G3516" i="4"/>
  <c r="G3472" i="4"/>
  <c r="G3487" i="4"/>
  <c r="G3498" i="4"/>
  <c r="G3526" i="4"/>
  <c r="G3505" i="4"/>
  <c r="G3496" i="4"/>
  <c r="G3494" i="4"/>
  <c r="G3456" i="4"/>
  <c r="G3453" i="4"/>
  <c r="G3450" i="4"/>
  <c r="G3447" i="4"/>
  <c r="G3444" i="4"/>
  <c r="G3441" i="4"/>
  <c r="G3438" i="4"/>
  <c r="G3435" i="4"/>
  <c r="G3432" i="4"/>
  <c r="G3429" i="4"/>
  <c r="G3426" i="4"/>
  <c r="G3423" i="4"/>
  <c r="G3420" i="4"/>
  <c r="G3417" i="4"/>
  <c r="G3414" i="4"/>
  <c r="G3411" i="4"/>
  <c r="G3408" i="4" l="1"/>
  <c r="G3402" i="4"/>
  <c r="G3387" i="4"/>
  <c r="G3384" i="4"/>
  <c r="G3710" i="4"/>
  <c r="G3711" i="4"/>
  <c r="G3709" i="4"/>
  <c r="G3703" i="4" l="1"/>
  <c r="G3701" i="4"/>
  <c r="G3700" i="4"/>
  <c r="G3697" i="4"/>
  <c r="G3698" i="4" s="1"/>
  <c r="G3706" i="4"/>
  <c r="G3705" i="4"/>
  <c r="G3704" i="4"/>
  <c r="G3378" i="4"/>
  <c r="G3377" i="4" s="1"/>
  <c r="G3379" i="4" s="1"/>
  <c r="G3374" i="4"/>
  <c r="G3375" i="4" s="1"/>
  <c r="G3381" i="4"/>
  <c r="G3369" i="4"/>
  <c r="G3368" i="4" s="1"/>
  <c r="G3370" i="4" s="1"/>
  <c r="G3376" i="4"/>
  <c r="G3372" i="4"/>
  <c r="G3367" i="4"/>
  <c r="G3365" i="4"/>
  <c r="G3366" i="4" s="1"/>
  <c r="G3690" i="4"/>
  <c r="G3693" i="4"/>
  <c r="G3691" i="4"/>
  <c r="G3692" i="4" s="1"/>
  <c r="G3688" i="4"/>
  <c r="G3686" i="4"/>
  <c r="G3687" i="4" s="1"/>
  <c r="G3344" i="4"/>
  <c r="G3334" i="4"/>
  <c r="G3335" i="4" s="1"/>
  <c r="G3342" i="4"/>
  <c r="G3339" i="4"/>
  <c r="G3340" i="4" s="1"/>
  <c r="G3338" i="4"/>
  <c r="G3151" i="4"/>
  <c r="G3149" i="4" s="1"/>
  <c r="G3683" i="4"/>
  <c r="G3360" i="4"/>
  <c r="G3357" i="4"/>
  <c r="G3679" i="4"/>
  <c r="G3680" i="4" s="1"/>
  <c r="G3676" i="4"/>
  <c r="G3350" i="4"/>
  <c r="G3351" i="4" s="1"/>
  <c r="G3347" i="4"/>
  <c r="G3672" i="4"/>
  <c r="G3331" i="4"/>
  <c r="G3329" i="4"/>
  <c r="G3326" i="4"/>
  <c r="G3327" i="4" s="1"/>
  <c r="G3670" i="4"/>
  <c r="G3671" i="4" s="1"/>
  <c r="G3667" i="4"/>
  <c r="G3666" i="4"/>
  <c r="G3323" i="4"/>
  <c r="G3321" i="4"/>
  <c r="G3319" i="4"/>
  <c r="G3317" i="4"/>
  <c r="G3312" i="4"/>
  <c r="G3308" i="4"/>
  <c r="G3310" i="4" s="1"/>
  <c r="G3661" i="4"/>
  <c r="G3658" i="4"/>
  <c r="G3659" i="4" s="1"/>
  <c r="G3655" i="4"/>
  <c r="G3646" i="4"/>
  <c r="G3637" i="4"/>
  <c r="G3305" i="4"/>
  <c r="G3302" i="4"/>
  <c r="G3303" i="4" s="1"/>
  <c r="G3621" i="4"/>
  <c r="G3616" i="4"/>
  <c r="G3619" i="4"/>
  <c r="G3620" i="4" s="1"/>
  <c r="G3613" i="4"/>
  <c r="G3610" i="4"/>
  <c r="G3602" i="4"/>
  <c r="G3299" i="4"/>
  <c r="G3599" i="4"/>
  <c r="G3598" i="4"/>
  <c r="G3596" i="4"/>
  <c r="G3597" i="4" s="1"/>
  <c r="G3296" i="4"/>
  <c r="G3295" i="4"/>
  <c r="G3292" i="4"/>
  <c r="G3290" i="4" s="1"/>
  <c r="G3291" i="4" s="1"/>
  <c r="G3590" i="4"/>
  <c r="G3588" i="4"/>
  <c r="G3589" i="4" s="1"/>
  <c r="G3583" i="4"/>
  <c r="G3584" i="4" s="1"/>
  <c r="G3271" i="4"/>
  <c r="G3272" i="4" s="1"/>
  <c r="G3276" i="4"/>
  <c r="G3274" i="4" s="1"/>
  <c r="G3275" i="4" s="1"/>
  <c r="G3287" i="4"/>
  <c r="G3285" i="4"/>
  <c r="G3283" i="4"/>
  <c r="G3281" i="4"/>
  <c r="G3279" i="4"/>
  <c r="G3262" i="4"/>
  <c r="G3261" i="4"/>
  <c r="G3258" i="4"/>
  <c r="G3702" i="4" l="1"/>
  <c r="G3352" i="4"/>
  <c r="G3150" i="4"/>
  <c r="G3152" i="4" s="1"/>
  <c r="G3681" i="4"/>
  <c r="G3293" i="4"/>
  <c r="G3594" i="4"/>
  <c r="G3595" i="4" s="1"/>
  <c r="G3309" i="4"/>
  <c r="G3660" i="4"/>
  <c r="G3591" i="4"/>
  <c r="G3277" i="4"/>
  <c r="G3586" i="4"/>
  <c r="G3587" i="4" s="1"/>
  <c r="G3251" i="4"/>
  <c r="G3253" i="4"/>
  <c r="G3249" i="4"/>
  <c r="G3247" i="4"/>
  <c r="G3245" i="4"/>
  <c r="G3243" i="4"/>
  <c r="G3240" i="4"/>
  <c r="G3241" i="4" s="1"/>
  <c r="G3238" i="4"/>
  <c r="G3239" i="4" s="1"/>
  <c r="G3574" i="4"/>
  <c r="G3236" i="4" l="1"/>
  <c r="G3237" i="4" s="1"/>
  <c r="G3573" i="4"/>
  <c r="G3570" i="4"/>
  <c r="G3229" i="4"/>
  <c r="G3226" i="4"/>
  <c r="G3211" i="4" l="1"/>
  <c r="G3195" i="4"/>
  <c r="G3196" i="4" l="1"/>
  <c r="G3197" i="4"/>
  <c r="G3198" i="4" s="1"/>
  <c r="G3193" i="4" l="1"/>
  <c r="G3194" i="4" s="1"/>
  <c r="G3208" i="4"/>
  <c r="G3204" i="4"/>
  <c r="G3202" i="4"/>
  <c r="G3200" i="4"/>
  <c r="G3189" i="4"/>
  <c r="G3161" i="4"/>
  <c r="G3162" i="4" s="1"/>
  <c r="G3174" i="4"/>
  <c r="G3172" i="4"/>
  <c r="G3170" i="4"/>
  <c r="G3168" i="4"/>
  <c r="G3159" i="4"/>
  <c r="G3157" i="4" s="1"/>
  <c r="G3158" i="4" s="1"/>
  <c r="G3166" i="4"/>
  <c r="G3164" i="4"/>
  <c r="G3147" i="4"/>
  <c r="G3148" i="4" s="1"/>
  <c r="G3141" i="4"/>
  <c r="G3138" i="4"/>
  <c r="G3160" i="4" l="1"/>
  <c r="G3133" i="4"/>
  <c r="G3128" i="4"/>
  <c r="G3129" i="4" s="1"/>
  <c r="G3125" i="4"/>
  <c r="G3121" i="4"/>
  <c r="G3120" i="4" s="1"/>
  <c r="G3122" i="4" l="1"/>
  <c r="G3110" i="4"/>
  <c r="G3105" i="4"/>
  <c r="G3102" i="4"/>
  <c r="G3103" i="4" s="1"/>
  <c r="G3097" i="4"/>
  <c r="G3096" i="4" s="1"/>
  <c r="G3099" i="4"/>
  <c r="G3100" i="4" s="1"/>
  <c r="G3091" i="4"/>
  <c r="G3087" i="4"/>
  <c r="G3084" i="4"/>
  <c r="G3080" i="4"/>
  <c r="G3078" i="4"/>
  <c r="G3069" i="4"/>
  <c r="G3066" i="4"/>
  <c r="G3098" i="4" l="1"/>
  <c r="G3050" i="4"/>
  <c r="G3051" i="4" s="1"/>
  <c r="G3060" i="4"/>
  <c r="G3058" i="4"/>
  <c r="G3056" i="4"/>
  <c r="G3054" i="4"/>
  <c r="G3047" i="4"/>
  <c r="G3048" i="4" s="1"/>
  <c r="G3052" i="4"/>
  <c r="G3044" i="4"/>
  <c r="G3042" i="4"/>
  <c r="G3040" i="4"/>
  <c r="G3037" i="4"/>
  <c r="G3031" i="4"/>
  <c r="G3028" i="4"/>
  <c r="G3049" i="4" l="1"/>
  <c r="G2926" i="4"/>
  <c r="G2928" i="4" s="1"/>
  <c r="G2929" i="4" s="1"/>
  <c r="G3038" i="4"/>
  <c r="G2973" i="4"/>
  <c r="G2970" i="4"/>
  <c r="G2965" i="4"/>
  <c r="G2966" i="4" s="1"/>
  <c r="G2962" i="4"/>
  <c r="G2927" i="4" l="1"/>
  <c r="G2967" i="4"/>
  <c r="G19" i="7" l="1"/>
  <c r="G2959" i="4"/>
  <c r="G2956" i="4" l="1"/>
  <c r="G2951" i="4" l="1"/>
  <c r="G2952" i="4" s="1"/>
  <c r="G2950" i="4"/>
  <c r="G2947" i="4"/>
  <c r="G2945" i="4"/>
  <c r="G2943" i="4"/>
  <c r="G2935" i="4"/>
  <c r="G2936" i="4" s="1"/>
  <c r="G2939" i="4"/>
  <c r="G3399" i="4"/>
  <c r="G3396" i="4"/>
  <c r="G3393" i="4"/>
  <c r="G3390" i="4"/>
  <c r="G3232" i="4"/>
  <c r="G3230" i="4" s="1"/>
  <c r="G3231" i="4" s="1"/>
  <c r="G3223" i="4"/>
  <c r="G3220" i="4"/>
  <c r="G3214" i="4"/>
  <c r="G3182" i="4"/>
  <c r="G3183" i="4" s="1"/>
  <c r="G3184" i="4" s="1"/>
  <c r="G3179" i="4"/>
  <c r="G3180" i="4" s="1"/>
  <c r="G3144" i="4"/>
  <c r="G3146" i="4" s="1"/>
  <c r="G3113" i="4"/>
  <c r="G3116" i="4"/>
  <c r="G3139" i="4"/>
  <c r="G3126" i="4"/>
  <c r="G3079" i="4"/>
  <c r="G3075" i="4"/>
  <c r="G3072" i="4"/>
  <c r="G3063" i="4"/>
  <c r="G3025" i="4"/>
  <c r="G3022" i="4"/>
  <c r="G3019" i="4"/>
  <c r="G3016" i="4"/>
  <c r="G2932" i="4"/>
  <c r="G2930" i="4"/>
  <c r="G2924" i="4"/>
  <c r="G3181" i="4" l="1"/>
  <c r="G2953" i="4"/>
  <c r="G3233" i="4"/>
  <c r="G2937" i="4"/>
  <c r="G3081" i="4"/>
  <c r="G3145" i="4"/>
  <c r="G16" i="7"/>
  <c r="G13" i="7"/>
  <c r="G10" i="7"/>
  <c r="G7" i="7"/>
  <c r="G4" i="7"/>
  <c r="G2909" i="4"/>
  <c r="G2912" i="4"/>
  <c r="G2902" i="4"/>
  <c r="G2903" i="4" s="1"/>
  <c r="G2899" i="4"/>
  <c r="G2896" i="4"/>
  <c r="G2893" i="4"/>
  <c r="G2890" i="4"/>
  <c r="G2887" i="4"/>
  <c r="G2884" i="4"/>
  <c r="G2881" i="4"/>
  <c r="G2878" i="4"/>
  <c r="G2875" i="4"/>
  <c r="G2873" i="4"/>
  <c r="G2868" i="4"/>
  <c r="K2568" i="4"/>
  <c r="K2567" i="4"/>
  <c r="K2566" i="4"/>
  <c r="G2866" i="4"/>
  <c r="G2858" i="4"/>
  <c r="G2857" i="4" s="1"/>
  <c r="G2859" i="4" s="1"/>
  <c r="G2854" i="4"/>
  <c r="G2855" i="4" s="1"/>
  <c r="G2904" i="4" l="1"/>
  <c r="G2856" i="4"/>
  <c r="G2851" i="4" l="1"/>
  <c r="G2846" i="4"/>
  <c r="G2844" i="4" s="1"/>
  <c r="G2845" i="4" s="1"/>
  <c r="G2849" i="4"/>
  <c r="G2839" i="4"/>
  <c r="G2834" i="4"/>
  <c r="G2835" i="4" s="1"/>
  <c r="G2827" i="4"/>
  <c r="G2828" i="4" s="1"/>
  <c r="G2823" i="4"/>
  <c r="G2825" i="4" s="1"/>
  <c r="G2809" i="4"/>
  <c r="G2810" i="4" s="1"/>
  <c r="G2816" i="4"/>
  <c r="G2814" i="4"/>
  <c r="G2812" i="4"/>
  <c r="G2801" i="4"/>
  <c r="G2802" i="4" s="1"/>
  <c r="G2803" i="4"/>
  <c r="G2804" i="4" s="1"/>
  <c r="G2799" i="4"/>
  <c r="G2800" i="4" s="1"/>
  <c r="G2796" i="4"/>
  <c r="G2794" i="4"/>
  <c r="G2791" i="4"/>
  <c r="G2792" i="4" s="1"/>
  <c r="G2826" i="4" l="1"/>
  <c r="G2829" i="4" s="1"/>
  <c r="G2824" i="4"/>
  <c r="G2847" i="4"/>
  <c r="G2836" i="4"/>
  <c r="G2786" i="4"/>
  <c r="G2784" i="4"/>
  <c r="G2782" i="4"/>
  <c r="G2779" i="4"/>
  <c r="G2780" i="4" s="1"/>
  <c r="G2769" i="4"/>
  <c r="G2770" i="4" s="1"/>
  <c r="G2767" i="4"/>
  <c r="G2768" i="4" s="1"/>
  <c r="G2760" i="4"/>
  <c r="G2761" i="4" s="1"/>
  <c r="G2758" i="4"/>
  <c r="G2759" i="4" s="1"/>
  <c r="G2747" i="4"/>
  <c r="G2748" i="4" s="1"/>
  <c r="G2755" i="4"/>
  <c r="G2749" i="4"/>
  <c r="G2750" i="4" s="1"/>
  <c r="G2744" i="4"/>
  <c r="G2731" i="4"/>
  <c r="G2733" i="4"/>
  <c r="G2732" i="4" s="1"/>
  <c r="G2736" i="4"/>
  <c r="G2738" i="4" s="1"/>
  <c r="G2730" i="4"/>
  <c r="G2718" i="4"/>
  <c r="G2720" i="4"/>
  <c r="G2725" i="4"/>
  <c r="G2723" i="4"/>
  <c r="G2673" i="4"/>
  <c r="G2670" i="4"/>
  <c r="G2664" i="4"/>
  <c r="G2665" i="4" s="1"/>
  <c r="G2661" i="4"/>
  <c r="G2662" i="4" s="1"/>
  <c r="G2658" i="4"/>
  <c r="G2659" i="4" s="1"/>
  <c r="G2655" i="4"/>
  <c r="G2652" i="4"/>
  <c r="G2653" i="4" s="1"/>
  <c r="G2737" i="4" l="1"/>
  <c r="G2734" i="4"/>
  <c r="G2729" i="4"/>
  <c r="G2660" i="4"/>
  <c r="G2721" i="4" l="1"/>
  <c r="G2719" i="4"/>
  <c r="G2710" i="4"/>
  <c r="G2712" i="4"/>
  <c r="G2713" i="4" s="1"/>
  <c r="G2711" i="4"/>
  <c r="G2708" i="4"/>
  <c r="G2709" i="4" s="1"/>
  <c r="G2699" i="4"/>
  <c r="G2700" i="4" s="1"/>
  <c r="G2705" i="4"/>
  <c r="G2702" i="4"/>
  <c r="G2703" i="4" s="1"/>
  <c r="G2696" i="4"/>
  <c r="G2694" i="4"/>
  <c r="G2691" i="4"/>
  <c r="G2687" i="4"/>
  <c r="G2685" i="4"/>
  <c r="G2648" i="4"/>
  <c r="G2646" i="4"/>
  <c r="G2647" i="4" s="1"/>
  <c r="G2644" i="4"/>
  <c r="G2645" i="4" s="1"/>
  <c r="G2701" i="4" l="1"/>
  <c r="G2641" i="4"/>
  <c r="G2638" i="4"/>
  <c r="G2631" i="4"/>
  <c r="G2632" i="4" s="1"/>
  <c r="G2634" i="4"/>
  <c r="G2627" i="4"/>
  <c r="G2624" i="4"/>
  <c r="G2621" i="4"/>
  <c r="G2618" i="4"/>
  <c r="G2615" i="4"/>
  <c r="G2612" i="4"/>
  <c r="G2609" i="4"/>
  <c r="G2599" i="4"/>
  <c r="G2596" i="4"/>
  <c r="G2592" i="4"/>
  <c r="G2589" i="4"/>
  <c r="G2574" i="4"/>
  <c r="G2559" i="4" l="1"/>
  <c r="G2563" i="4"/>
  <c r="G2562" i="4" s="1"/>
  <c r="G2560" i="4"/>
  <c r="G2553" i="4"/>
  <c r="G2538" i="4"/>
  <c r="G2539" i="4" s="1"/>
  <c r="G2544" i="4"/>
  <c r="G2545" i="4" s="1"/>
  <c r="G2542" i="4"/>
  <c r="G2541" i="4" s="1"/>
  <c r="G2533" i="4"/>
  <c r="G2529" i="4"/>
  <c r="G2531" i="4" s="1"/>
  <c r="G2523" i="4"/>
  <c r="G2522" i="4" s="1"/>
  <c r="G2517" i="4"/>
  <c r="G2512" i="4"/>
  <c r="G2513" i="4" s="1"/>
  <c r="G2507" i="4"/>
  <c r="G2508" i="4" s="1"/>
  <c r="G2502" i="4"/>
  <c r="G2503" i="4" s="1"/>
  <c r="G2497" i="4"/>
  <c r="G2498" i="4" s="1"/>
  <c r="G2492" i="4"/>
  <c r="G2493" i="4" s="1"/>
  <c r="G2518" i="4"/>
  <c r="G2488" i="4"/>
  <c r="G2487" i="4" s="1"/>
  <c r="G2489" i="4" s="1"/>
  <c r="G2486" i="4"/>
  <c r="G2479" i="4"/>
  <c r="G2483" i="4"/>
  <c r="G2482" i="4" s="1"/>
  <c r="G2484" i="4" s="1"/>
  <c r="G2481" i="4"/>
  <c r="G2564" i="4" l="1"/>
  <c r="G2524" i="4"/>
  <c r="G2543" i="4"/>
  <c r="G2546" i="4"/>
  <c r="G2561" i="4"/>
  <c r="G2448" i="4" l="1"/>
  <c r="G2445" i="4"/>
  <c r="G2446" i="4" s="1"/>
  <c r="G2444" i="4"/>
  <c r="G2467" i="4"/>
  <c r="G2468" i="4" s="1"/>
  <c r="G2474" i="4"/>
  <c r="G2470" i="4"/>
  <c r="G2456" i="4"/>
  <c r="G2457" i="4" s="1"/>
  <c r="G2459" i="4"/>
  <c r="G2463" i="4"/>
  <c r="G2450" i="4"/>
  <c r="G2451" i="4" s="1"/>
  <c r="G2427" i="4"/>
  <c r="G2442" i="4"/>
  <c r="G2440" i="4"/>
  <c r="G2458" i="4" l="1"/>
  <c r="G2460" i="4" s="1"/>
  <c r="G2452" i="4"/>
  <c r="G2438" i="4"/>
  <c r="G2430" i="4"/>
  <c r="G2428" i="4"/>
  <c r="G2423" i="4"/>
  <c r="G2411" i="4"/>
  <c r="G2354" i="4"/>
  <c r="G2400" i="4"/>
  <c r="G2399" i="4" s="1"/>
  <c r="G2401" i="4" s="1"/>
  <c r="G2402" i="4" s="1"/>
  <c r="G2396" i="4"/>
  <c r="G2398" i="4" s="1"/>
  <c r="G2390" i="4"/>
  <c r="G2389" i="4" s="1"/>
  <c r="G2391" i="4" s="1"/>
  <c r="G2392" i="4" s="1"/>
  <c r="G2386" i="4"/>
  <c r="G2387" i="4" s="1"/>
  <c r="G2380" i="4"/>
  <c r="G2379" i="4" s="1"/>
  <c r="G2381" i="4" s="1"/>
  <c r="G2382" i="4" s="1"/>
  <c r="G2376" i="4"/>
  <c r="G2378" i="4" s="1"/>
  <c r="G2370" i="4"/>
  <c r="G2369" i="4" s="1"/>
  <c r="G2371" i="4" s="1"/>
  <c r="G2372" i="4" s="1"/>
  <c r="G2366" i="4"/>
  <c r="G2367" i="4" s="1"/>
  <c r="G2360" i="4"/>
  <c r="G2359" i="4" s="1"/>
  <c r="G2361" i="4" s="1"/>
  <c r="G2362" i="4" s="1"/>
  <c r="G2356" i="4"/>
  <c r="G2358" i="4" s="1"/>
  <c r="G2350" i="4"/>
  <c r="G2334" i="4"/>
  <c r="G2333" i="4" s="1"/>
  <c r="G2330" i="4"/>
  <c r="G2331" i="4" s="1"/>
  <c r="G2319" i="4"/>
  <c r="G2315" i="4"/>
  <c r="G2316" i="4" s="1"/>
  <c r="G2306" i="4"/>
  <c r="G2305" i="4" s="1"/>
  <c r="G2307" i="4" s="1"/>
  <c r="G2302" i="4"/>
  <c r="G2303" i="4" s="1"/>
  <c r="G2295" i="4"/>
  <c r="G2290" i="4"/>
  <c r="G2291" i="4" s="1"/>
  <c r="G2287" i="4"/>
  <c r="G2284" i="4"/>
  <c r="G2283" i="4" s="1"/>
  <c r="G2281" i="4"/>
  <c r="G2282" i="4" s="1"/>
  <c r="G2276" i="4"/>
  <c r="G2271" i="4"/>
  <c r="G2272" i="4" s="1"/>
  <c r="G2262" i="4"/>
  <c r="G2261" i="4" s="1"/>
  <c r="G2260" i="4" s="1"/>
  <c r="G2257" i="4"/>
  <c r="G2258" i="4" s="1"/>
  <c r="G2229" i="4"/>
  <c r="G2230" i="4" s="1"/>
  <c r="G2234" i="4"/>
  <c r="G2232" i="4" s="1"/>
  <c r="G2233" i="4" s="1"/>
  <c r="G2219" i="4"/>
  <c r="G2221" i="4" s="1"/>
  <c r="G2223" i="4"/>
  <c r="G2211" i="4"/>
  <c r="G2206" i="4"/>
  <c r="G2207" i="4" s="1"/>
  <c r="G2202" i="4"/>
  <c r="G2203" i="4" s="1"/>
  <c r="G2200" i="4"/>
  <c r="G2193" i="4"/>
  <c r="G2191" i="4" s="1"/>
  <c r="G2192" i="4" s="1"/>
  <c r="G2189" i="4"/>
  <c r="G2190" i="4" s="1"/>
  <c r="G2187" i="4"/>
  <c r="G2184" i="4"/>
  <c r="G2179" i="4"/>
  <c r="G2177" i="4" s="1"/>
  <c r="G2178" i="4" s="1"/>
  <c r="G2175" i="4"/>
  <c r="G2176" i="4" s="1"/>
  <c r="G2162" i="4"/>
  <c r="G2167" i="4"/>
  <c r="G2168" i="4" s="1"/>
  <c r="G2163" i="4"/>
  <c r="G2164" i="4" s="1"/>
  <c r="G2169" i="4"/>
  <c r="G2170" i="4" s="1"/>
  <c r="G2156" i="4"/>
  <c r="G2154" i="4"/>
  <c r="G2149" i="4"/>
  <c r="G2147" i="4" s="1"/>
  <c r="G2145" i="4"/>
  <c r="G2146" i="4" s="1"/>
  <c r="G2138" i="4"/>
  <c r="G2139" i="4" s="1"/>
  <c r="G2136" i="4"/>
  <c r="G2137" i="4" s="1"/>
  <c r="G2130" i="4"/>
  <c r="G2125" i="4"/>
  <c r="G2124" i="4" s="1"/>
  <c r="G2126" i="4" s="1"/>
  <c r="G2111" i="4"/>
  <c r="G2110" i="4" s="1"/>
  <c r="G2112" i="4" s="1"/>
  <c r="G2121" i="4"/>
  <c r="G2122" i="4" s="1"/>
  <c r="G2114" i="4"/>
  <c r="G2115" i="4" s="1"/>
  <c r="G2107" i="4"/>
  <c r="G2108" i="4" s="1"/>
  <c r="G2099" i="4"/>
  <c r="G2095" i="4"/>
  <c r="G2096" i="4" s="1"/>
  <c r="G2088" i="4"/>
  <c r="G2085" i="4"/>
  <c r="G2086" i="4" s="1"/>
  <c r="G2077" i="4"/>
  <c r="G2073" i="4"/>
  <c r="G2075" i="4" s="1"/>
  <c r="G2068" i="4"/>
  <c r="G2067" i="4" s="1"/>
  <c r="G2064" i="4"/>
  <c r="G2065" i="4" s="1"/>
  <c r="G2344" i="4"/>
  <c r="G2341" i="4"/>
  <c r="G2247" i="4"/>
  <c r="G2242" i="4"/>
  <c r="G2244" i="4" s="1"/>
  <c r="G2246" i="4"/>
  <c r="G2377" i="4" l="1"/>
  <c r="G2357" i="4"/>
  <c r="G2194" i="4"/>
  <c r="G2141" i="4"/>
  <c r="G2368" i="4"/>
  <c r="G2204" i="4"/>
  <c r="G2205" i="4" s="1"/>
  <c r="G2397" i="4"/>
  <c r="G2123" i="4"/>
  <c r="G2292" i="4"/>
  <c r="G2109" i="4"/>
  <c r="G2165" i="4"/>
  <c r="G2166" i="4" s="1"/>
  <c r="G2388" i="4"/>
  <c r="G2087" i="4"/>
  <c r="G2089" i="4" s="1"/>
  <c r="G2150" i="4"/>
  <c r="G2220" i="4"/>
  <c r="G2222" i="4"/>
  <c r="G2224" i="4" s="1"/>
  <c r="G2235" i="4"/>
  <c r="G2263" i="4"/>
  <c r="G2273" i="4"/>
  <c r="G2318" i="4"/>
  <c r="G2320" i="4" s="1"/>
  <c r="G2321" i="4" s="1"/>
  <c r="G2335" i="4"/>
  <c r="G2336" i="4" s="1"/>
  <c r="G2332" i="4"/>
  <c r="G2317" i="4"/>
  <c r="G2308" i="4"/>
  <c r="G2304" i="4"/>
  <c r="G2294" i="4"/>
  <c r="G2293" i="4" s="1"/>
  <c r="G2285" i="4"/>
  <c r="G2275" i="4"/>
  <c r="G2274" i="4" s="1"/>
  <c r="G2259" i="4"/>
  <c r="G2231" i="4"/>
  <c r="G2180" i="4"/>
  <c r="G2171" i="4"/>
  <c r="G2148" i="4"/>
  <c r="G2097" i="4"/>
  <c r="G2098" i="4"/>
  <c r="G2100" i="4" s="1"/>
  <c r="G2069" i="4"/>
  <c r="G2074" i="4"/>
  <c r="G2076" i="4"/>
  <c r="G2078" i="4" s="1"/>
  <c r="G2066" i="4"/>
  <c r="G2248" i="4"/>
  <c r="G2243" i="4"/>
  <c r="G2296" i="4" l="1"/>
  <c r="G2277" i="4"/>
  <c r="G2046" i="4"/>
  <c r="G2042" i="4"/>
  <c r="G2044" i="4" s="1"/>
  <c r="G2043" i="4" l="1"/>
  <c r="G2047" i="4"/>
  <c r="G2045" i="4"/>
  <c r="G2035" i="4"/>
  <c r="G2032" i="4"/>
  <c r="G2018" i="4"/>
  <c r="G2015" i="4"/>
  <c r="G2016" i="4" s="1"/>
  <c r="G2024" i="4"/>
  <c r="G2027" i="4"/>
  <c r="G2012" i="4"/>
  <c r="G2009" i="4"/>
  <c r="G2006" i="4"/>
  <c r="G2001" i="4"/>
  <c r="G2002" i="4" s="1"/>
  <c r="G1996" i="4"/>
  <c r="G1998" i="4" s="1"/>
  <c r="G1993" i="4"/>
  <c r="G1990" i="4"/>
  <c r="G1983" i="4"/>
  <c r="G1973" i="4"/>
  <c r="G7978" i="4"/>
  <c r="G7979" i="4" s="1"/>
  <c r="G7981" i="4"/>
  <c r="G1966" i="4"/>
  <c r="G1967" i="4" s="1"/>
  <c r="G1955" i="4"/>
  <c r="G1956" i="4" s="1"/>
  <c r="G1952" i="4"/>
  <c r="G1948" i="4"/>
  <c r="G1946" i="4" s="1"/>
  <c r="G1947" i="4" s="1"/>
  <c r="G1944" i="4"/>
  <c r="G1945" i="4" s="1"/>
  <c r="G1943" i="4"/>
  <c r="G1894" i="4"/>
  <c r="G1901" i="4"/>
  <c r="G1906" i="4"/>
  <c r="G1907" i="4"/>
  <c r="G1888" i="4"/>
  <c r="G1922" i="4"/>
  <c r="G1921" i="4" s="1"/>
  <c r="G1938" i="4"/>
  <c r="G1919" i="4"/>
  <c r="G1920" i="4" s="1"/>
  <c r="G1935" i="4"/>
  <c r="G1933" i="4"/>
  <c r="G1931" i="4"/>
  <c r="G1929" i="4"/>
  <c r="G1927" i="4"/>
  <c r="G1925" i="4"/>
  <c r="G1904" i="4"/>
  <c r="G1905" i="4" s="1"/>
  <c r="G1916" i="4"/>
  <c r="G1914" i="4"/>
  <c r="G1912" i="4"/>
  <c r="G1910" i="4"/>
  <c r="G1897" i="4"/>
  <c r="G1898" i="4" s="1"/>
  <c r="G1886" i="4"/>
  <c r="G1882" i="4"/>
  <c r="G1867" i="4"/>
  <c r="G1870" i="4"/>
  <c r="G1871" i="4" s="1"/>
  <c r="G1875" i="4"/>
  <c r="G1862" i="4"/>
  <c r="G1863" i="4" s="1"/>
  <c r="G1865" i="4"/>
  <c r="G1997" i="4" l="1"/>
  <c r="G2048" i="4"/>
  <c r="G2003" i="4"/>
  <c r="G1908" i="4"/>
  <c r="G1949" i="4"/>
  <c r="G1953" i="4"/>
  <c r="G1954" i="4" s="1"/>
  <c r="G1923" i="4"/>
  <c r="G1879" i="4"/>
  <c r="G1851" i="4"/>
  <c r="G1852" i="4" s="1"/>
  <c r="G1853" i="4"/>
  <c r="G1854" i="4" s="1"/>
  <c r="G1857" i="4"/>
  <c r="G1859" i="4"/>
  <c r="G1832" i="4" l="1"/>
  <c r="G1833" i="4" s="1"/>
  <c r="G1847" i="4"/>
  <c r="G1848" i="4" s="1"/>
  <c r="G1843" i="4"/>
  <c r="G1828" i="4"/>
  <c r="G1829" i="4" s="1"/>
  <c r="G1827" i="4"/>
  <c r="G1839" i="4"/>
  <c r="G1835" i="4"/>
  <c r="G1837" i="4"/>
  <c r="G1373" i="4"/>
  <c r="G1823" i="4" l="1"/>
  <c r="G1821" i="4"/>
  <c r="G1296" i="4"/>
  <c r="G1814" i="4"/>
  <c r="G1800" i="4"/>
  <c r="G1796" i="4"/>
  <c r="G1795" i="4"/>
  <c r="G1798" i="4"/>
  <c r="G1797" i="4"/>
  <c r="J1794" i="4"/>
  <c r="G1788" i="4"/>
  <c r="G1780" i="4"/>
  <c r="G1770" i="4"/>
  <c r="G1791" i="4"/>
  <c r="G1783" i="4"/>
  <c r="G1773" i="4"/>
  <c r="G1787" i="4"/>
  <c r="G1779" i="4"/>
  <c r="G1769" i="4"/>
  <c r="G1771" i="4"/>
  <c r="G1772" i="4" s="1"/>
  <c r="G1781" i="4"/>
  <c r="G1782" i="4" s="1"/>
  <c r="G1789" i="4"/>
  <c r="G1790" i="4" s="1"/>
  <c r="G1811" i="4"/>
  <c r="G1808" i="4"/>
  <c r="G3715" i="4"/>
  <c r="G1805" i="4"/>
  <c r="G1778" i="4"/>
  <c r="J1778" i="4" s="1"/>
  <c r="G1768" i="4"/>
  <c r="G1786" i="4"/>
  <c r="J1786" i="4" s="1"/>
  <c r="G1738" i="4" l="1"/>
  <c r="G1735" i="4"/>
  <c r="G1765" i="4"/>
  <c r="G1762" i="4"/>
  <c r="G1759" i="4"/>
  <c r="G1755" i="4"/>
  <c r="G1756" i="4" s="1"/>
  <c r="G1750" i="4"/>
  <c r="G1754" i="4"/>
  <c r="G1752" i="4"/>
  <c r="G1741" i="4"/>
  <c r="G1732" i="4"/>
  <c r="G1729" i="4"/>
  <c r="G1726" i="4"/>
  <c r="G1721" i="4"/>
  <c r="G1722" i="4" s="1"/>
  <c r="G1716" i="4"/>
  <c r="G1717" i="4"/>
  <c r="G1718" i="4" s="1"/>
  <c r="G1720" i="4"/>
  <c r="G1712" i="4"/>
  <c r="G1713" i="4" s="1"/>
  <c r="G1705" i="4"/>
  <c r="G1706" i="4" s="1"/>
  <c r="G1699" i="4"/>
  <c r="G1700" i="4" s="1"/>
  <c r="G1698" i="4"/>
  <c r="G1691" i="4"/>
  <c r="G1692" i="4" s="1"/>
  <c r="G1686" i="4"/>
  <c r="G1687" i="4"/>
  <c r="G1688" i="4" s="1"/>
  <c r="G1681" i="4"/>
  <c r="G1682" i="4"/>
  <c r="G1680" i="4"/>
  <c r="G1677" i="4"/>
  <c r="G1671" i="4"/>
  <c r="G1668" i="4"/>
  <c r="G1665" i="4"/>
  <c r="G1662" i="4"/>
  <c r="G1659" i="4"/>
  <c r="G1656" i="4"/>
  <c r="G1683" i="4" l="1"/>
  <c r="G1689" i="4"/>
  <c r="G1690" i="4" s="1"/>
  <c r="G1653" i="4"/>
  <c r="G1649" i="4"/>
  <c r="G1650" i="4" s="1"/>
  <c r="G1648" i="4"/>
  <c r="G1645" i="4"/>
  <c r="G1642" i="4"/>
  <c r="G1639" i="4"/>
  <c r="G1636" i="4"/>
  <c r="G1633" i="4"/>
  <c r="G1630" i="4"/>
  <c r="G1627" i="4"/>
  <c r="G1624" i="4"/>
  <c r="G1621" i="4"/>
  <c r="G1618" i="4"/>
  <c r="G1613" i="4"/>
  <c r="G1614" i="4"/>
  <c r="G1579" i="4"/>
  <c r="G1580" i="4" s="1"/>
  <c r="G1606" i="4"/>
  <c r="G1607" i="4"/>
  <c r="G1608" i="4" s="1"/>
  <c r="G1599" i="4"/>
  <c r="G1600" i="4"/>
  <c r="G1601" i="4" s="1"/>
  <c r="G1577" i="4"/>
  <c r="G1598" i="4"/>
  <c r="G1592" i="4"/>
  <c r="G1593" i="4" s="1"/>
  <c r="G1589" i="4"/>
  <c r="G1591" i="4"/>
  <c r="G1586" i="4"/>
  <c r="G1574" i="4"/>
  <c r="G1569" i="4"/>
  <c r="G1571" i="4"/>
  <c r="G1567" i="4"/>
  <c r="G1561" i="4"/>
  <c r="G1556" i="4"/>
  <c r="G1557" i="4" s="1"/>
  <c r="G1555" i="4"/>
  <c r="G1552" i="4"/>
  <c r="G1548" i="4"/>
  <c r="G1549" i="4" s="1"/>
  <c r="G1547" i="4"/>
  <c r="G1545" i="4"/>
  <c r="G1527" i="4"/>
  <c r="G1524" i="4"/>
  <c r="G1521" i="4"/>
  <c r="G1349" i="4"/>
  <c r="G1516" i="4"/>
  <c r="G1517" i="4"/>
  <c r="G1518" i="4" s="1"/>
  <c r="G1558" i="4" l="1"/>
  <c r="G1615" i="4"/>
  <c r="G1432" i="4"/>
  <c r="G1434" i="4" s="1"/>
  <c r="G1431" i="4"/>
  <c r="G1488" i="4"/>
  <c r="G1489" i="4" s="1"/>
  <c r="G1511" i="4"/>
  <c r="G1512" i="4" s="1"/>
  <c r="G1508" i="4"/>
  <c r="G1509" i="4"/>
  <c r="G1507" i="4"/>
  <c r="G1501" i="4"/>
  <c r="G1500" i="4"/>
  <c r="G1494" i="4"/>
  <c r="G1495" i="4" s="1"/>
  <c r="G1492" i="4"/>
  <c r="G1485" i="4"/>
  <c r="G1486" i="4" s="1"/>
  <c r="G1484" i="4"/>
  <c r="G1480" i="4"/>
  <c r="G1481" i="4" s="1"/>
  <c r="G1478" i="4"/>
  <c r="G1474" i="4"/>
  <c r="G1475" i="4" s="1"/>
  <c r="G1472" i="4"/>
  <c r="G1510" i="4" l="1"/>
  <c r="G1513" i="4"/>
  <c r="G1469" i="4"/>
  <c r="G1465" i="4"/>
  <c r="G1466" i="4" s="1"/>
  <c r="G1463" i="4"/>
  <c r="G1459" i="4"/>
  <c r="G1460" i="4" s="1"/>
  <c r="G1458" i="4"/>
  <c r="G1456" i="4"/>
  <c r="G1453" i="4"/>
  <c r="G1450" i="4"/>
  <c r="G1447" i="4"/>
  <c r="G1444" i="4"/>
  <c r="G1440" i="4" l="1"/>
  <c r="G1441" i="4" s="1"/>
  <c r="G1437" i="4"/>
  <c r="G1439" i="4"/>
  <c r="G1429" i="4"/>
  <c r="G1425" i="4"/>
  <c r="G1426" i="4" s="1"/>
  <c r="G1423" i="4"/>
  <c r="G1424" i="4" s="1"/>
  <c r="G1421" i="4"/>
  <c r="G1417" i="4"/>
  <c r="G1418" i="4" s="1"/>
  <c r="G1416" i="4"/>
  <c r="G1414" i="4"/>
  <c r="G1411" i="4"/>
  <c r="G1396" i="4"/>
  <c r="G1408" i="4"/>
  <c r="G1405" i="4"/>
  <c r="G1402" i="4"/>
  <c r="G1399" i="4"/>
  <c r="G1393" i="4" l="1"/>
  <c r="G1390" i="4"/>
  <c r="G1385" i="4"/>
  <c r="G1386" i="4"/>
  <c r="G1384" i="4" s="1"/>
  <c r="G1377" i="4"/>
  <c r="G1378" i="4"/>
  <c r="G1379" i="4"/>
  <c r="G1380" i="4" l="1"/>
  <c r="G1387" i="4"/>
  <c r="G1370" i="4"/>
  <c r="G1367" i="4"/>
  <c r="G1364" i="4"/>
  <c r="G1361" i="4"/>
  <c r="G1358" i="4"/>
  <c r="G1345" i="4" l="1"/>
  <c r="G1346" i="4" s="1"/>
  <c r="G1343" i="4"/>
  <c r="G1344" i="4" s="1"/>
  <c r="G1337" i="4"/>
  <c r="G1339" i="4" s="1"/>
  <c r="G1336" i="4"/>
  <c r="G1330" i="4"/>
  <c r="G1331" i="4"/>
  <c r="G1258" i="4"/>
  <c r="G1259" i="4" s="1"/>
  <c r="G1316" i="4"/>
  <c r="G1289" i="4"/>
  <c r="G1290" i="4" s="1"/>
  <c r="G1288" i="4"/>
  <c r="G1309" i="4"/>
  <c r="G1307" i="4"/>
  <c r="G1294" i="4"/>
  <c r="G1300" i="4"/>
  <c r="G1305" i="4"/>
  <c r="G1304" i="4"/>
  <c r="G1299" i="4"/>
  <c r="G1301" i="4"/>
  <c r="G1314" i="4"/>
  <c r="G1312" i="4"/>
  <c r="G1324" i="4"/>
  <c r="G1326" i="4"/>
  <c r="G1291" i="4"/>
  <c r="G1292" i="4" s="1"/>
  <c r="G1283" i="4"/>
  <c r="G1280" i="4"/>
  <c r="G1281" i="4" s="1"/>
  <c r="G1285" i="4"/>
  <c r="G1267" i="4"/>
  <c r="G1268" i="4" s="1"/>
  <c r="G1274" i="4"/>
  <c r="G1269" i="4"/>
  <c r="G1270" i="4" s="1"/>
  <c r="G1263" i="4"/>
  <c r="G1276" i="4"/>
  <c r="G1272" i="4"/>
  <c r="G1266" i="4"/>
  <c r="G1234" i="4"/>
  <c r="G1237" i="4"/>
  <c r="G1238" i="4" s="1"/>
  <c r="G1249" i="4"/>
  <c r="G1248" i="4"/>
  <c r="G1245" i="4"/>
  <c r="G1246" i="4" s="1"/>
  <c r="G1244" i="4"/>
  <c r="G1242" i="4"/>
  <c r="G1240" i="4"/>
  <c r="G1231" i="4"/>
  <c r="G1232" i="4" s="1"/>
  <c r="G1233" i="4"/>
  <c r="G1229" i="4"/>
  <c r="G1217" i="4"/>
  <c r="G1218" i="4" s="1"/>
  <c r="G1219" i="4"/>
  <c r="G1220" i="4"/>
  <c r="G1225" i="4"/>
  <c r="G1226" i="4" s="1"/>
  <c r="G1223" i="4"/>
  <c r="G1212" i="4"/>
  <c r="G1210" i="4"/>
  <c r="G1207" i="4"/>
  <c r="G1208" i="4" s="1"/>
  <c r="G1186" i="4"/>
  <c r="G1187" i="4" s="1"/>
  <c r="G1197" i="4"/>
  <c r="G1190" i="4"/>
  <c r="G1191" i="4" s="1"/>
  <c r="G1332" i="4" l="1"/>
  <c r="G1338" i="4"/>
  <c r="G1260" i="4"/>
  <c r="G1261" i="4" s="1"/>
  <c r="G1221" i="4"/>
  <c r="G1235" i="4"/>
  <c r="G1180" i="4"/>
  <c r="G1174" i="4"/>
  <c r="G1175" i="4" s="1"/>
  <c r="G1167" i="4"/>
  <c r="G1165" i="4" s="1"/>
  <c r="G1166" i="4" s="1"/>
  <c r="G1168" i="4"/>
  <c r="G1162" i="4"/>
  <c r="G1164" i="4" s="1"/>
  <c r="G1154" i="4"/>
  <c r="G1155" i="4" s="1"/>
  <c r="G1149" i="4"/>
  <c r="G1151" i="4" s="1"/>
  <c r="G1142" i="4"/>
  <c r="G1143" i="4" s="1"/>
  <c r="G1137" i="4"/>
  <c r="G1138" i="4" s="1"/>
  <c r="G1131" i="4"/>
  <c r="G1104" i="4"/>
  <c r="G1106" i="4" s="1"/>
  <c r="G1108" i="4"/>
  <c r="G1109" i="4"/>
  <c r="G1101" i="4"/>
  <c r="G1098" i="4"/>
  <c r="G1090" i="4"/>
  <c r="G1091" i="4" s="1"/>
  <c r="G1088" i="4"/>
  <c r="G1081" i="4"/>
  <c r="G1065" i="4"/>
  <c r="G1066" i="4" s="1"/>
  <c r="G1068" i="4"/>
  <c r="G1176" i="4" l="1"/>
  <c r="G1105" i="4"/>
  <c r="G1139" i="4"/>
  <c r="G1163" i="4"/>
  <c r="G1110" i="4"/>
  <c r="G1150" i="4"/>
  <c r="G1169" i="4"/>
  <c r="G1092" i="4"/>
  <c r="G1056" i="4"/>
  <c r="G1057" i="4" s="1"/>
  <c r="G1055" i="4"/>
  <c r="G1059" i="4"/>
  <c r="G1052" i="4"/>
  <c r="G1053" i="4" s="1"/>
  <c r="G1047" i="4"/>
  <c r="G1043" i="4"/>
  <c r="G1044" i="4" s="1"/>
  <c r="G1040" i="4"/>
  <c r="G1042" i="4" s="1"/>
  <c r="G1039" i="4"/>
  <c r="G1031" i="4" l="1"/>
  <c r="G1028" i="4"/>
  <c r="G1029" i="4" s="1"/>
  <c r="G1024" i="4"/>
  <c r="G1025" i="4" s="1"/>
  <c r="G1027" i="4"/>
  <c r="G1021" i="4" l="1"/>
  <c r="G1019" i="4"/>
  <c r="G1017" i="4"/>
  <c r="G999" i="4"/>
  <c r="G1000" i="4" s="1"/>
  <c r="G996" i="4"/>
  <c r="G997" i="4" s="1"/>
  <c r="G1008" i="4"/>
  <c r="G1006" i="4"/>
  <c r="G985" i="4"/>
  <c r="G988" i="4"/>
  <c r="G989" i="4" s="1"/>
  <c r="G1004" i="4"/>
  <c r="G1002" i="4"/>
  <c r="G1003" i="4" s="1"/>
  <c r="G994" i="4"/>
  <c r="G992" i="4"/>
  <c r="G986" i="4"/>
  <c r="G980" i="4"/>
  <c r="G976" i="4"/>
  <c r="G977" i="4"/>
  <c r="G978" i="4" s="1"/>
  <c r="G959" i="4"/>
  <c r="G957" i="4"/>
  <c r="G958" i="4" s="1"/>
  <c r="G955" i="4"/>
  <c r="G956" i="4" s="1"/>
  <c r="G970" i="4"/>
  <c r="G968" i="4"/>
  <c r="G966" i="4"/>
  <c r="G964" i="4"/>
  <c r="G962" i="4"/>
  <c r="G960" i="4"/>
  <c r="G949" i="4"/>
  <c r="G950" i="4" s="1"/>
  <c r="G951" i="4"/>
  <c r="G952" i="4" s="1"/>
  <c r="G945" i="4" l="1"/>
  <c r="K907" i="4"/>
  <c r="F56" i="1"/>
  <c r="F58" i="1"/>
  <c r="F59" i="1" s="1"/>
  <c r="F61" i="1"/>
  <c r="F64" i="1"/>
  <c r="F65" i="1" s="1"/>
  <c r="F63" i="1"/>
  <c r="F51" i="1"/>
  <c r="F50" i="1"/>
  <c r="F52" i="1"/>
  <c r="F46" i="1"/>
  <c r="F47" i="1" s="1"/>
  <c r="F44" i="1"/>
  <c r="F41" i="1"/>
  <c r="F42" i="1" s="1"/>
  <c r="F22" i="1"/>
  <c r="F25" i="1"/>
  <c r="F26" i="1"/>
  <c r="F27" i="1" s="1"/>
  <c r="F29" i="1"/>
  <c r="F35" i="1"/>
  <c r="I570" i="4"/>
  <c r="G939" i="4"/>
  <c r="G936" i="4"/>
  <c r="G933" i="4"/>
  <c r="F60" i="1" l="1"/>
  <c r="G909" i="4"/>
  <c r="G910" i="4" s="1"/>
  <c r="G912" i="4"/>
  <c r="G913" i="4"/>
  <c r="G914" i="4" s="1"/>
  <c r="G916" i="4"/>
  <c r="G918" i="4"/>
  <c r="G919" i="4" s="1"/>
  <c r="G920" i="4"/>
  <c r="G921" i="4" s="1"/>
  <c r="G922" i="4"/>
  <c r="G923" i="4" s="1"/>
  <c r="G902" i="4"/>
  <c r="G898" i="4"/>
  <c r="G894" i="4" l="1"/>
  <c r="G890" i="4"/>
  <c r="G799" i="4"/>
  <c r="G856" i="4"/>
  <c r="G853" i="4"/>
  <c r="G850" i="4"/>
  <c r="G835" i="4"/>
  <c r="G832" i="4"/>
  <c r="I834" i="4"/>
  <c r="I836" i="4" s="1"/>
  <c r="G860" i="4"/>
  <c r="G861" i="4" s="1"/>
  <c r="G880" i="4"/>
  <c r="G881" i="4" s="1"/>
  <c r="G872" i="4"/>
  <c r="G873" i="4" s="1"/>
  <c r="G870" i="4"/>
  <c r="G805" i="4"/>
  <c r="G806" i="4" s="1"/>
  <c r="G802" i="4"/>
  <c r="G803" i="4" s="1"/>
  <c r="G808" i="4"/>
  <c r="G874" i="4" l="1"/>
  <c r="G871" i="4" s="1"/>
  <c r="G867" i="4"/>
  <c r="G869" i="4" s="1"/>
  <c r="G864" i="4"/>
  <c r="G847" i="4"/>
  <c r="G841" i="4"/>
  <c r="G839" i="4"/>
  <c r="G826" i="4"/>
  <c r="G827" i="4" s="1"/>
  <c r="G820" i="4"/>
  <c r="G821" i="4" s="1"/>
  <c r="G814" i="4"/>
  <c r="G817" i="4"/>
  <c r="G811" i="4"/>
  <c r="G868" i="4" l="1"/>
  <c r="G796" i="4"/>
  <c r="G793" i="4"/>
  <c r="G792" i="4"/>
  <c r="G789" i="4"/>
  <c r="G788" i="4"/>
  <c r="G743" i="4"/>
  <c r="G744" i="4" s="1"/>
  <c r="G745" i="4"/>
  <c r="G728" i="4"/>
  <c r="G729" i="4"/>
  <c r="G726" i="4"/>
  <c r="G727" i="4" s="1"/>
  <c r="G739" i="4"/>
  <c r="G737" i="4"/>
  <c r="G735" i="4"/>
  <c r="G732" i="4"/>
  <c r="G733" i="4" s="1"/>
  <c r="G723" i="4"/>
  <c r="G720" i="4"/>
  <c r="G718" i="4"/>
  <c r="G702" i="4"/>
  <c r="G703" i="4" s="1"/>
  <c r="G705" i="4"/>
  <c r="G713" i="4"/>
  <c r="G711" i="4"/>
  <c r="G709" i="4"/>
  <c r="G710" i="4" s="1"/>
  <c r="G707" i="4"/>
  <c r="G698" i="4"/>
  <c r="G695" i="4"/>
  <c r="G693" i="4"/>
  <c r="G690" i="4"/>
  <c r="G691" i="4" s="1"/>
  <c r="G684" i="4"/>
  <c r="G686" i="4"/>
  <c r="G687" i="4" s="1"/>
  <c r="G680" i="4"/>
  <c r="G677" i="4"/>
  <c r="G730" i="4" l="1"/>
  <c r="G668" i="4"/>
  <c r="G669" i="4" s="1"/>
  <c r="G671" i="4"/>
  <c r="G672" i="4" s="1"/>
  <c r="G665" i="4"/>
  <c r="G666" i="4" s="1"/>
  <c r="G650" i="4"/>
  <c r="G651" i="4" s="1"/>
  <c r="G652" i="4"/>
  <c r="G656" i="4"/>
  <c r="G657" i="4" s="1"/>
  <c r="G661" i="4"/>
  <c r="G647" i="4"/>
  <c r="G644" i="4"/>
  <c r="G641" i="4"/>
  <c r="G654" i="4" l="1"/>
  <c r="G667" i="4"/>
  <c r="G629" i="4"/>
  <c r="G630" i="4" s="1"/>
  <c r="G634" i="4"/>
  <c r="G632" i="4" s="1"/>
  <c r="G633" i="4" s="1"/>
  <c r="G635" i="4"/>
  <c r="G620" i="4"/>
  <c r="G618" i="4"/>
  <c r="G614" i="4"/>
  <c r="G612" i="4"/>
  <c r="G636" i="4" l="1"/>
  <c r="G631" i="4"/>
  <c r="G605" i="4"/>
  <c r="G600" i="4"/>
  <c r="G601" i="4" s="1"/>
  <c r="G606" i="4"/>
  <c r="G604" i="4"/>
  <c r="G597" i="4"/>
  <c r="G588" i="4"/>
  <c r="G586" i="4" s="1"/>
  <c r="G587" i="4" s="1"/>
  <c r="G589" i="4"/>
  <c r="G592" i="4"/>
  <c r="G583" i="4"/>
  <c r="G585" i="4" s="1"/>
  <c r="G579" i="4"/>
  <c r="G580" i="4" s="1"/>
  <c r="G578" i="4"/>
  <c r="G576" i="4"/>
  <c r="G574" i="4"/>
  <c r="G566" i="4"/>
  <c r="G564" i="4"/>
  <c r="G568" i="4"/>
  <c r="G590" i="4" l="1"/>
  <c r="G602" i="4"/>
  <c r="G584" i="4"/>
  <c r="G570" i="4"/>
  <c r="G565" i="4"/>
  <c r="G567" i="4"/>
  <c r="G560" i="4"/>
  <c r="G556" i="4"/>
  <c r="G558" i="4" s="1"/>
  <c r="G553" i="4"/>
  <c r="G554" i="4" s="1"/>
  <c r="G555" i="4" s="1"/>
  <c r="G551" i="4"/>
  <c r="G544" i="4"/>
  <c r="G545" i="4" s="1"/>
  <c r="G547" i="4"/>
  <c r="G541" i="4"/>
  <c r="G542" i="4" s="1"/>
  <c r="G538" i="4"/>
  <c r="G535" i="4"/>
  <c r="G536" i="4" s="1"/>
  <c r="G532" i="4"/>
  <c r="G529" i="4"/>
  <c r="G530" i="4" s="1"/>
  <c r="G523" i="4"/>
  <c r="G524" i="4" s="1"/>
  <c r="G526" i="4"/>
  <c r="G557" i="4" l="1"/>
  <c r="G520" i="4"/>
  <c r="G517" i="4"/>
  <c r="G514" i="4"/>
  <c r="G511" i="4"/>
  <c r="G508" i="4"/>
  <c r="G505" i="4"/>
  <c r="G499" i="4"/>
  <c r="G500" i="4" s="1"/>
  <c r="G497" i="4"/>
  <c r="G493" i="4"/>
  <c r="G494" i="4" s="1"/>
  <c r="G490" i="4"/>
  <c r="G487" i="4"/>
  <c r="G488" i="4" s="1"/>
  <c r="G485" i="4"/>
  <c r="G481" i="4"/>
  <c r="G482" i="4" s="1"/>
  <c r="G475" i="4"/>
  <c r="G478" i="4"/>
  <c r="G476" i="4"/>
  <c r="G473" i="4"/>
  <c r="G469" i="4"/>
  <c r="G470" i="4" s="1"/>
  <c r="G463" i="4"/>
  <c r="G464" i="4" s="1"/>
  <c r="G460" i="4"/>
  <c r="G453" i="4"/>
  <c r="G455" i="4" s="1"/>
  <c r="G456" i="4"/>
  <c r="G458" i="4"/>
  <c r="G451" i="4"/>
  <c r="G452" i="4" s="1"/>
  <c r="G447" i="4"/>
  <c r="G441" i="4"/>
  <c r="G442" i="4" s="1"/>
  <c r="G752" i="4"/>
  <c r="G753" i="4" s="1"/>
  <c r="G353" i="4"/>
  <c r="G764" i="4"/>
  <c r="G760" i="4"/>
  <c r="G758" i="4"/>
  <c r="G756" i="4"/>
  <c r="G438" i="4"/>
  <c r="G436" i="4"/>
  <c r="G434" i="4"/>
  <c r="G425" i="4"/>
  <c r="G427" i="4"/>
  <c r="G421" i="4"/>
  <c r="G419" i="4"/>
  <c r="G417" i="4"/>
  <c r="G415" i="4"/>
  <c r="G413" i="4"/>
  <c r="G411" i="4"/>
  <c r="G409" i="4"/>
  <c r="G407" i="4"/>
  <c r="G405" i="4"/>
  <c r="G403" i="4"/>
  <c r="G401" i="4"/>
  <c r="G382" i="4"/>
  <c r="G381" i="4" s="1"/>
  <c r="G383" i="4" s="1"/>
  <c r="G393" i="4"/>
  <c r="G391" i="4"/>
  <c r="G388" i="4"/>
  <c r="G389" i="4" s="1"/>
  <c r="G386" i="4"/>
  <c r="G337" i="4"/>
  <c r="G341" i="4"/>
  <c r="G342" i="4" s="1"/>
  <c r="G377" i="4"/>
  <c r="G375" i="4"/>
  <c r="G373" i="4"/>
  <c r="G371" i="4"/>
  <c r="G369" i="4"/>
  <c r="G367" i="4"/>
  <c r="G365" i="4"/>
  <c r="G363" i="4"/>
  <c r="G361" i="4"/>
  <c r="G359" i="4"/>
  <c r="G357" i="4"/>
  <c r="G348" i="4"/>
  <c r="G349" i="4" s="1"/>
  <c r="G355" i="4"/>
  <c r="G346" i="4"/>
  <c r="G345" i="4"/>
  <c r="G319" i="4"/>
  <c r="G320" i="4" s="1"/>
  <c r="G321" i="4"/>
  <c r="G322" i="4"/>
  <c r="G331" i="4"/>
  <c r="G329" i="4"/>
  <c r="G327" i="4"/>
  <c r="G325" i="4"/>
  <c r="G4" i="4"/>
  <c r="G296" i="4"/>
  <c r="G297" i="4" s="1"/>
  <c r="G298" i="4"/>
  <c r="G299" i="4"/>
  <c r="G312" i="4"/>
  <c r="G310" i="4"/>
  <c r="G308" i="4"/>
  <c r="G306" i="4"/>
  <c r="G304" i="4"/>
  <c r="G302" i="4"/>
  <c r="G292" i="4"/>
  <c r="G290" i="4"/>
  <c r="G287" i="4"/>
  <c r="G288" i="4" s="1"/>
  <c r="G284" i="4"/>
  <c r="G282" i="4"/>
  <c r="G279" i="4"/>
  <c r="G280" i="4" s="1"/>
  <c r="G454" i="4" l="1"/>
  <c r="G483" i="4"/>
  <c r="G495" i="4"/>
  <c r="G471" i="4"/>
  <c r="G339" i="4"/>
  <c r="G300" i="4"/>
  <c r="G323" i="4"/>
  <c r="G227" i="4"/>
  <c r="G273" i="4"/>
  <c r="G274" i="4"/>
  <c r="G275" i="4"/>
  <c r="G226" i="4" l="1"/>
  <c r="G228" i="4" s="1"/>
  <c r="G178" i="4"/>
  <c r="G175" i="4"/>
  <c r="G172" i="4"/>
  <c r="G169" i="4"/>
  <c r="G166" i="4"/>
  <c r="G163" i="4"/>
  <c r="G268" i="4"/>
  <c r="G267" i="4"/>
  <c r="G243" i="4"/>
  <c r="G239" i="4"/>
  <c r="G24" i="4"/>
  <c r="G179" i="4" l="1"/>
  <c r="G269" i="4"/>
  <c r="G247" i="4"/>
  <c r="G248" i="4" s="1"/>
  <c r="G252" i="4"/>
  <c r="G262" i="4"/>
  <c r="G260" i="4"/>
  <c r="G258" i="4"/>
  <c r="G256" i="4"/>
  <c r="G254" i="4"/>
  <c r="G250" i="4"/>
  <c r="G245" i="4"/>
  <c r="G237" i="4" l="1"/>
  <c r="G233" i="4"/>
  <c r="G223" i="4"/>
  <c r="G225" i="4" s="1"/>
  <c r="G767" i="4"/>
  <c r="G768" i="4" s="1"/>
  <c r="G773" i="4"/>
  <c r="G774" i="4" s="1"/>
  <c r="G769" i="4"/>
  <c r="G770" i="4" s="1"/>
  <c r="G771" i="4"/>
  <c r="G772" i="4" s="1"/>
  <c r="H776" i="4"/>
  <c r="G777" i="4"/>
  <c r="G778" i="4" s="1"/>
  <c r="G776" i="4"/>
  <c r="G215" i="4"/>
  <c r="G214" i="4" s="1"/>
  <c r="G213" i="4" s="1"/>
  <c r="G210" i="4"/>
  <c r="G211" i="4" s="1"/>
  <c r="G224" i="4" l="1"/>
  <c r="G212" i="4"/>
  <c r="G216" i="4"/>
  <c r="G203" i="4"/>
  <c r="G202" i="4"/>
  <c r="G204" i="4"/>
  <c r="G198" i="4"/>
  <c r="G200" i="4" s="1"/>
  <c r="G181" i="4"/>
  <c r="G183" i="4" s="1"/>
  <c r="G195" i="4"/>
  <c r="G194" i="4"/>
  <c r="G185" i="4"/>
  <c r="G186" i="4"/>
  <c r="G187" i="4"/>
  <c r="G205" i="4" l="1"/>
  <c r="G182" i="4"/>
  <c r="G188" i="4"/>
  <c r="G199" i="4"/>
  <c r="G160" i="4" l="1"/>
  <c r="G155" i="4"/>
  <c r="G156" i="4" s="1"/>
  <c r="G157" i="4" s="1"/>
  <c r="G158" i="4" s="1"/>
  <c r="G153" i="4"/>
  <c r="G154" i="4" s="1"/>
  <c r="G126" i="4"/>
  <c r="G148" i="4"/>
  <c r="G146" i="4"/>
  <c r="G150" i="4"/>
  <c r="G140" i="4"/>
  <c r="G141" i="4" s="1"/>
  <c r="G142" i="4" s="1"/>
  <c r="G143" i="4" s="1"/>
  <c r="G138" i="4"/>
  <c r="G139" i="4" s="1"/>
  <c r="G135" i="4" l="1"/>
  <c r="G133" i="4"/>
  <c r="G131" i="4" l="1"/>
  <c r="G124" i="4"/>
  <c r="G125" i="4" s="1"/>
  <c r="G127" i="4"/>
  <c r="G128" i="4" s="1"/>
  <c r="G129" i="4" s="1"/>
  <c r="G113" i="4"/>
  <c r="G119" i="4"/>
  <c r="G116" i="4"/>
  <c r="G117" i="4" s="1"/>
  <c r="G115" i="4"/>
  <c r="G111" i="4"/>
  <c r="G108" i="4"/>
  <c r="G109" i="4" s="1"/>
  <c r="G66" i="4" l="1"/>
  <c r="G67" i="4" s="1"/>
  <c r="G68" i="4" s="1"/>
  <c r="G69" i="4" s="1"/>
  <c r="G64" i="4"/>
  <c r="G65" i="4" s="1"/>
  <c r="G104" i="4"/>
  <c r="G102" i="4"/>
  <c r="G82" i="4"/>
  <c r="G81" i="4"/>
  <c r="G79" i="4"/>
  <c r="G77" i="4"/>
  <c r="G100" i="4"/>
  <c r="G98" i="4"/>
  <c r="G96" i="4"/>
  <c r="G94" i="4"/>
  <c r="G92" i="4"/>
  <c r="G88" i="4"/>
  <c r="G90" i="4"/>
  <c r="G86" i="4" l="1"/>
  <c r="G84" i="4"/>
  <c r="G74" i="4"/>
  <c r="G72" i="4"/>
  <c r="G61" i="4"/>
  <c r="G59" i="4"/>
  <c r="G52" i="4"/>
  <c r="G54" i="4"/>
  <c r="G49" i="4" l="1"/>
  <c r="G45" i="4"/>
  <c r="G13" i="4"/>
  <c r="G14" i="4"/>
  <c r="G17" i="4"/>
  <c r="G18" i="4" s="1"/>
  <c r="G40" i="4"/>
  <c r="G38" i="4"/>
  <c r="G36" i="4"/>
  <c r="G34" i="4"/>
  <c r="G32" i="4"/>
  <c r="G30" i="4"/>
  <c r="G28" i="4"/>
  <c r="G26" i="4"/>
  <c r="G22" i="4"/>
  <c r="G21" i="4"/>
  <c r="G15" i="4" l="1"/>
  <c r="G7" i="4"/>
  <c r="G8" i="4"/>
  <c r="G6" i="4"/>
  <c r="F10" i="1"/>
  <c r="F11" i="1" s="1"/>
  <c r="F12" i="1"/>
  <c r="F13" i="1" s="1"/>
  <c r="H3" i="1"/>
  <c r="F7" i="1"/>
  <c r="F5" i="1"/>
  <c r="F3" i="1"/>
  <c r="G9" i="4" l="1"/>
</calcChain>
</file>

<file path=xl/comments1.xml><?xml version="1.0" encoding="utf-8"?>
<comments xmlns="http://schemas.openxmlformats.org/spreadsheetml/2006/main">
  <authors>
    <author>Автор</author>
  </authors>
  <commentList>
    <comment ref="G71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"-0,070" - ce minys kruwka, bo jii ja rahyvav nuw4e
</t>
        </r>
      </text>
    </comment>
    <comment ref="G71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"-0,070" - ce minys kruwka, bo jii ja rahyvav nuw4e
</t>
        </r>
      </text>
    </comment>
    <comment ref="G109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В175.93.016сб-1 є три хомути а тут є два тому взяв 2/3 з цього хомута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G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Розраховано з розкрою листа 1м х 2м. 50шт з листа</t>
        </r>
      </text>
    </comment>
    <comment ref="G6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Розраховано з розкрою листа 1м х 2м. 50шт з листа</t>
        </r>
      </text>
    </comment>
  </commentList>
</comments>
</file>

<file path=xl/connections.xml><?xml version="1.0" encoding="utf-8"?>
<connections xmlns="http://schemas.openxmlformats.org/spreadsheetml/2006/main">
  <connection id="1" odcFile="C:\Program Files\Microsoft Office\Office12\QUERIES\Биржевые котировки MSN MoneyCentral Investor.iqy" name="Биржевые котировки MSN MoneyCentral Investor" type="4" refreshedVersion="0" background="1">
    <webPr parsePre="1" consecutive="1" url="http://moneycentral.msn.com/investor/external/excel/quotes.asp?SYMBOL=[&quot;QUOTE0&quot;,&quot;Введите символы MS Investor, разделенные запятыми.&quot;]" htmlFormat="all"/>
    <parameters count="1">
      <parameter name="QUOTE0" prompt="Введите символы MS Investor, разделенные запятыми."/>
    </parameters>
  </connection>
</connections>
</file>

<file path=xl/sharedStrings.xml><?xml version="1.0" encoding="utf-8"?>
<sst xmlns="http://schemas.openxmlformats.org/spreadsheetml/2006/main" count="44174" uniqueCount="12618">
  <si>
    <t>175.04.082сб  прокладка</t>
  </si>
  <si>
    <t>175.04.174-1 прокладка</t>
  </si>
  <si>
    <t>пароніт ПОН S=4 ГОСТ 481-71</t>
  </si>
  <si>
    <t>кг</t>
  </si>
  <si>
    <t>175.04.211-1 оболонка</t>
  </si>
  <si>
    <t>175.04.210-1 оболонка</t>
  </si>
  <si>
    <t>лента НМ S=0,15 М3 ГОСТ 1173-77</t>
  </si>
  <si>
    <t>в реалі роблять з полоси 150*75мм дві штуки ( одна заходить в іншу і обрізають ножицями)</t>
  </si>
  <si>
    <t>грунт ФЛ-03К</t>
  </si>
  <si>
    <t>емаль ХВ-518 захисна</t>
  </si>
  <si>
    <t>54.83.131сб ступінь з'ємна</t>
  </si>
  <si>
    <t>розчинник Р-4</t>
  </si>
  <si>
    <t>сольвент</t>
  </si>
  <si>
    <t>дріб ДЧК</t>
  </si>
  <si>
    <t>грнут ФЛ-03К</t>
  </si>
  <si>
    <t>емаль ПФ-115 сіра</t>
  </si>
  <si>
    <t>175.31.002сб радіатор водяний правий</t>
  </si>
  <si>
    <t>175.31.001сб-А радіатор водяний лівий</t>
  </si>
  <si>
    <t>сада каустична</t>
  </si>
  <si>
    <t>сода кальцинована</t>
  </si>
  <si>
    <t>155.59.199сб-1  корпус головки</t>
  </si>
  <si>
    <t>Все це входить в болок ППО 155.59.001-А</t>
  </si>
  <si>
    <t>припій Л63 ГОСТ 15527-70</t>
  </si>
  <si>
    <t>кисень</t>
  </si>
  <si>
    <t>бура технічна</t>
  </si>
  <si>
    <t>155.59.481 трубка</t>
  </si>
  <si>
    <t>труба М3-М-10*1 ГОСТ 617-72</t>
  </si>
  <si>
    <t>54.59.328-2 мембрана</t>
  </si>
  <si>
    <t>лист S=0,35 Л63-М ГОСТ15527-70</t>
  </si>
  <si>
    <t>ВИГОТОВЛЕННЯ ВСЕ</t>
  </si>
  <si>
    <t>175.93.044сб  чашка</t>
  </si>
  <si>
    <t>172.93.059сб-1А  чашка</t>
  </si>
  <si>
    <t>172.93.147-1Б  чашка</t>
  </si>
  <si>
    <t>лист S=2 АМг6БМ ГОСТ 21631-76</t>
  </si>
  <si>
    <t>175.93.074  планка</t>
  </si>
  <si>
    <t>лист S=3 Cталь15 ГОСТ16523-70</t>
  </si>
  <si>
    <t>емаль ПФ-115 біла</t>
  </si>
  <si>
    <t>клей 88НП</t>
  </si>
  <si>
    <t>175.93.103сб  хомут правий</t>
  </si>
  <si>
    <t>дріт зварювальний d=1,2 СВ08Г2С</t>
  </si>
  <si>
    <t>вуглекислий газ</t>
  </si>
  <si>
    <t>175.93.079  планка</t>
  </si>
  <si>
    <t>175.93.162  дужка</t>
  </si>
  <si>
    <t>175.93.163  дужка</t>
  </si>
  <si>
    <t>175.93.164  дужка</t>
  </si>
  <si>
    <t>175.93.166  планка</t>
  </si>
  <si>
    <t>175.93.167  дужка</t>
  </si>
  <si>
    <t>172.93.225  планка</t>
  </si>
  <si>
    <t>172.93.268  дужка</t>
  </si>
  <si>
    <t>175.93.101сб  хомут правий</t>
  </si>
  <si>
    <t>172.93.134сб  защіпка</t>
  </si>
  <si>
    <t>припій ЛК 62-05</t>
  </si>
  <si>
    <t xml:space="preserve">кисень </t>
  </si>
  <si>
    <t>пише що 5 штампує. Ми заготовку даємо? Чи як?</t>
  </si>
  <si>
    <t>лист S=4 Сталь15 ГОСТ1577-70</t>
  </si>
  <si>
    <t>лист S=3 Сталь15 ГОСТ16523-70</t>
  </si>
  <si>
    <t>175.93.051сб  опора</t>
  </si>
  <si>
    <t>172.93.059сб-1А  чашка - див. пункт вище</t>
  </si>
  <si>
    <t>175.93.089  планка</t>
  </si>
  <si>
    <t>лист S=3, Сталь15 ГОСТ16523-70</t>
  </si>
  <si>
    <t>175.93.053сб чехол</t>
  </si>
  <si>
    <t>175.93.092  планка</t>
  </si>
  <si>
    <t>лист S=2, АМг6БМ ГОСТ21631-76</t>
  </si>
  <si>
    <t>176.70.074сб  кришка</t>
  </si>
  <si>
    <t>клей НТ-150 ТУ38-105-789-75</t>
  </si>
  <si>
    <t>176.70.040  кришка</t>
  </si>
  <si>
    <t>лист S=5, АМг6М ГОСТ21631-76</t>
  </si>
  <si>
    <t>434.87.020сб  клапан</t>
  </si>
  <si>
    <t>434.87.105  накладка</t>
  </si>
  <si>
    <t>лист S=1, АМг6БМ ГОСТ21631-76</t>
  </si>
  <si>
    <t>434.87.106  накладка</t>
  </si>
  <si>
    <t>172.22.004сб  вловлювач нижній</t>
  </si>
  <si>
    <t>емаль ХВ-518</t>
  </si>
  <si>
    <t>172.22.002сб  фіксатор</t>
  </si>
  <si>
    <t>172.22.012  фіксатор</t>
  </si>
  <si>
    <t>лист S=3 ГОСТ19903-74 Сталь15 ГОСТ16523-89</t>
  </si>
  <si>
    <t>54.31.89сб-1  замок</t>
  </si>
  <si>
    <t>172.22.016  ребро</t>
  </si>
  <si>
    <t>лист S=2 ГОСТ19904-90 Сталь15 ГОСТ16523-89</t>
  </si>
  <si>
    <t>172.22.017  планка</t>
  </si>
  <si>
    <t>172.22.022  кутник</t>
  </si>
  <si>
    <t>172.22.021  планка</t>
  </si>
  <si>
    <t>лист S=5, Сталь15 ГОСТ1577-70</t>
  </si>
  <si>
    <t>172.22.023  стінка ліва</t>
  </si>
  <si>
    <t>лист S=1 ГОСТ19904-90 Сталь15 ГОСТ16523-89</t>
  </si>
  <si>
    <t>172.22.024  стінка задня</t>
  </si>
  <si>
    <t>172.22.025  стінка права</t>
  </si>
  <si>
    <t>172.22.026  рамка</t>
  </si>
  <si>
    <t>172.22.031  упор</t>
  </si>
  <si>
    <t>лист S=4 ГОСТ19903-74 Сталь15 ГОСТ1577-70</t>
  </si>
  <si>
    <t>54.29.755А  петля замка</t>
  </si>
  <si>
    <t>54.28.1273  язичок замка</t>
  </si>
  <si>
    <t>54.31.373  скоба</t>
  </si>
  <si>
    <t>проволока D=4 ГОСТ3282-75</t>
  </si>
  <si>
    <t>Лист S=2 ГОСТ16523-70</t>
  </si>
  <si>
    <t>Проволока 6-О-Ч ГОСТ3282-74</t>
  </si>
  <si>
    <t>150.31.1594-1  петля</t>
  </si>
  <si>
    <t>лист S=1,5  СтальУ7А-С ГОСТ2283-69</t>
  </si>
  <si>
    <t xml:space="preserve">54.31.419 петля </t>
  </si>
  <si>
    <t>5ц</t>
  </si>
  <si>
    <t>лист S=1,5  Сталь15 ГОСТ16523-70</t>
  </si>
  <si>
    <t>проволока 3-О-Ч ГОСТ3282-74</t>
  </si>
  <si>
    <t>172.31.108сб  фільтр</t>
  </si>
  <si>
    <t>припій ПОС 40 ГОСТ21930-76</t>
  </si>
  <si>
    <t>кислота сірчана</t>
  </si>
  <si>
    <t>172.31.336  каркас фільтра</t>
  </si>
  <si>
    <t>172.31.337  донишко</t>
  </si>
  <si>
    <t>172.31.338  сітка</t>
  </si>
  <si>
    <t>172.31.339  кільце</t>
  </si>
  <si>
    <t>проволока d=2 ММ2 ГОСТ2112-71</t>
  </si>
  <si>
    <t>лист S=1 Л63М1 ГОСТ931-70</t>
  </si>
  <si>
    <t>сітка латунна №016 ГОСТ6613-53 Л80 ГОСТ15527-70</t>
  </si>
  <si>
    <t>м.кв</t>
  </si>
  <si>
    <t>172.32.182сб  рамка притискна</t>
  </si>
  <si>
    <t>грунт ВЛ-02</t>
  </si>
  <si>
    <t>емаль ПФ-115 темно-сіра</t>
  </si>
  <si>
    <t xml:space="preserve">сольвент </t>
  </si>
  <si>
    <t>розчинник Р-6</t>
  </si>
  <si>
    <t>172.32.613  планка прижимна задня</t>
  </si>
  <si>
    <t>172.32.615  планка прижимна задня</t>
  </si>
  <si>
    <t>172.32.638  стержень</t>
  </si>
  <si>
    <t xml:space="preserve">аргон </t>
  </si>
  <si>
    <t>лист S=1,5 ГОСТ19904-74 12Х18Н10Т ГОСТ5582-61</t>
  </si>
  <si>
    <t>труба 8х1  12Х18Н10Т ГОСТ9941-72</t>
  </si>
  <si>
    <t>дріт зварювальний d=1,2 Х18Н10Т</t>
  </si>
  <si>
    <t>172.32.183сб  рамка притискна</t>
  </si>
  <si>
    <t>172.32.179  планка прижимна задня</t>
  </si>
  <si>
    <t>172.32.616  планка прижимна задня</t>
  </si>
  <si>
    <t>172.32.628  щиток</t>
  </si>
  <si>
    <t>172.32.614  планка прижимна задня</t>
  </si>
  <si>
    <t>172.32.184сб  рамка притискна</t>
  </si>
  <si>
    <t>172.32.617  планка прижимна задня</t>
  </si>
  <si>
    <t>172.32.602  щиток лівий</t>
  </si>
  <si>
    <t>лист азбостальний ЛА-1 S=1,75 ГОСТ12856-67</t>
  </si>
  <si>
    <t>172.32.604  щиток середній</t>
  </si>
  <si>
    <t>172.32.606  щиток правий</t>
  </si>
  <si>
    <t>172.32.608  щиток лівий</t>
  </si>
  <si>
    <t>172.32.610  щиток середній</t>
  </si>
  <si>
    <t>172.32.612  щиток правий задній</t>
  </si>
  <si>
    <t>172.33.220сб  трубопровід</t>
  </si>
  <si>
    <t>припій ЛК-62-0,5</t>
  </si>
  <si>
    <t>припій ЛК62-0,5</t>
  </si>
  <si>
    <t>бура</t>
  </si>
  <si>
    <t>лак ГФ-95</t>
  </si>
  <si>
    <t>172.33.642  труба</t>
  </si>
  <si>
    <t>труба 8х1 Сатль20 ГОСТ19277-73</t>
  </si>
  <si>
    <t>l=350мм</t>
  </si>
  <si>
    <t>уайт-спірит</t>
  </si>
  <si>
    <t>емаль ПФ-115 жовта</t>
  </si>
  <si>
    <t>172.33.644  клавіша</t>
  </si>
  <si>
    <t>лист S=2 ГОСТ19904-74 Сталь10кп ГОСТ16523-70</t>
  </si>
  <si>
    <t>172.60.008сб-2  трубка</t>
  </si>
  <si>
    <t>емаль ПФ-115 голуба</t>
  </si>
  <si>
    <t>172.60.014-2  трубка (б/ч)</t>
  </si>
  <si>
    <t>труба 6х1 Сталь20 ГОСТ19277-73</t>
  </si>
  <si>
    <t>l=680мм</t>
  </si>
  <si>
    <t>172.60.129сб  трубопровід</t>
  </si>
  <si>
    <t>172.60.229  трубка</t>
  </si>
  <si>
    <t>172.60.230  трубка</t>
  </si>
  <si>
    <t>труба 12х1 Сталь20 ГОСТ19277-73</t>
  </si>
  <si>
    <t>1,3м</t>
  </si>
  <si>
    <t>1,1м</t>
  </si>
  <si>
    <t>172.83.065сб-А  кришка</t>
  </si>
  <si>
    <t>грунт АК-070</t>
  </si>
  <si>
    <t>розчинник 648</t>
  </si>
  <si>
    <t>172.83.171  кришка</t>
  </si>
  <si>
    <t>лист S=2 АМц М-2 ГОСТ21631-76</t>
  </si>
  <si>
    <t>дріт звар. СВАМг d=1,2</t>
  </si>
  <si>
    <t>аргон</t>
  </si>
  <si>
    <t>якщо не будемо варити тоді аргон і дріт не потрібні</t>
  </si>
  <si>
    <t>172.86.052сб  трубопровід</t>
  </si>
  <si>
    <t>172.86.115  трубка</t>
  </si>
  <si>
    <t>труба 8х1 М3 ГОСТ617-72</t>
  </si>
  <si>
    <t>лист S=3 ГОСТ19903-74 Сатль10кп ГОСТ16523-70</t>
  </si>
  <si>
    <t>172.86.107-1  к-йн</t>
  </si>
  <si>
    <t>172.87.071сб  хомут</t>
  </si>
  <si>
    <t>172.87.206  лента хомута</t>
  </si>
  <si>
    <t>лист S=1 Сталь10кп ГОСТ16523-70</t>
  </si>
  <si>
    <t>54.04.354  накладка</t>
  </si>
  <si>
    <t>172-2М.93.008сб  стелаж правий</t>
  </si>
  <si>
    <t xml:space="preserve"> 172-2М.93.006сб  стелаж правий</t>
  </si>
  <si>
    <t xml:space="preserve"> грунт ФЛ-03К</t>
  </si>
  <si>
    <t xml:space="preserve"> емаль ПФ-115 зелена</t>
  </si>
  <si>
    <t xml:space="preserve"> сольвент</t>
  </si>
  <si>
    <t>172-2М.93.005сб стелаж</t>
  </si>
  <si>
    <t>172-2М.93.026  ребро</t>
  </si>
  <si>
    <t>172-2М.93.027  скоба</t>
  </si>
  <si>
    <t>172-2М.93.028  дужка</t>
  </si>
  <si>
    <t>172-2М.93.029  дужка</t>
  </si>
  <si>
    <t>175.93.023  дужка</t>
  </si>
  <si>
    <t>175.93.017  дужка</t>
  </si>
  <si>
    <t>175.93.016  дужка</t>
  </si>
  <si>
    <t xml:space="preserve">172.93.225 в попередньому є </t>
  </si>
  <si>
    <t>165.27.021 вісь  5Ц</t>
  </si>
  <si>
    <t>34.27.770-1 вісь 5Ц</t>
  </si>
  <si>
    <t>м</t>
  </si>
  <si>
    <t>ГОСТ3282-74 Проволока d=4мм</t>
  </si>
  <si>
    <t>166.27.084-1  накидка  проволока D=4 ГОСТ9389 проволока пружинна</t>
  </si>
  <si>
    <t xml:space="preserve">  34.27.767  защіпка</t>
  </si>
  <si>
    <t xml:space="preserve">  лист S=4 Сталь15 ГОСТ1577-70</t>
  </si>
  <si>
    <t>1м</t>
  </si>
  <si>
    <t>172-2М.93.009сб  стелаж правий</t>
  </si>
  <si>
    <t xml:space="preserve"> 172-2М.93.007сб  стелаж правий</t>
  </si>
  <si>
    <t>172.87.089сб  патрубок</t>
  </si>
  <si>
    <t>172.87.250  екран</t>
  </si>
  <si>
    <t xml:space="preserve">Лента ЛЕС-0,2х50 ГОСТ5937-68 </t>
  </si>
  <si>
    <t>Рукав 40У8-13 ТУ0056016-87</t>
  </si>
  <si>
    <t>м.кв.</t>
  </si>
  <si>
    <t>клей БФ2 ГОСТ12172-74</t>
  </si>
  <si>
    <t>лента Л63 S=0,25</t>
  </si>
  <si>
    <t>175.01.074сб-1  лист перегородки</t>
  </si>
  <si>
    <t>дріт СВАМг d=1,2мм</t>
  </si>
  <si>
    <t>175.01.103-3  лист</t>
  </si>
  <si>
    <t>лист S=3 АМг6БМ ГОСТ21631-76</t>
  </si>
  <si>
    <t>175.01.507  скоба</t>
  </si>
  <si>
    <t>175.01.075сб  лист перегородки</t>
  </si>
  <si>
    <t>175.01.100-1  лист перегородки</t>
  </si>
  <si>
    <t>175.01.217 планка</t>
  </si>
  <si>
    <t>172-2М.93.019сб  опора ліва</t>
  </si>
  <si>
    <t>172-2М.93.018сб  опора ліва</t>
  </si>
  <si>
    <t>172-2М.93.008  кронштейн лівий</t>
  </si>
  <si>
    <t>172-2М.93.009  планка</t>
  </si>
  <si>
    <t>172-2М.93.010  ребро</t>
  </si>
  <si>
    <t>172-2М.93.011  косинка</t>
  </si>
  <si>
    <t>175.93.005  планка</t>
  </si>
  <si>
    <t>175.93.008-1  планка</t>
  </si>
  <si>
    <t>лист S=5 ГОСТ19903-74 Сталь15 ГОСТ1577-70</t>
  </si>
  <si>
    <t>лист S=5 Сталь15 ГОСТ1577-70</t>
  </si>
  <si>
    <t>172-2М.93.056сб  опора</t>
  </si>
  <si>
    <t>172-2М.93.032сб  чашка</t>
  </si>
  <si>
    <t>172-2М.93.057сб  кронштейн</t>
  </si>
  <si>
    <t>172-2М.93.021  чашка</t>
  </si>
  <si>
    <t>лист S=2 АМг6Б ГОСТ21631-76</t>
  </si>
  <si>
    <t>172-2М.93.092  планка</t>
  </si>
  <si>
    <t>172-2М.93.093  ребро</t>
  </si>
  <si>
    <t>172-2М.93.094  планка</t>
  </si>
  <si>
    <t>172-2М.93.095  ребро</t>
  </si>
  <si>
    <t>54.27.348  скоба</t>
  </si>
  <si>
    <t>172-2М.93.012сб  стелаж правий</t>
  </si>
  <si>
    <t xml:space="preserve"> 172-2М.93.011сб  стелаж правий</t>
  </si>
  <si>
    <t>172-2М.93.010сб  стелаж правий</t>
  </si>
  <si>
    <t>172-2М.93.038сб  кронштейн лівий</t>
  </si>
  <si>
    <t xml:space="preserve"> 172-2М.93.019  упор</t>
  </si>
  <si>
    <t xml:space="preserve"> лист S=3 Сталь15 ГОСТ16523-70</t>
  </si>
  <si>
    <t>172-2М.93.036сб  защіпка</t>
  </si>
  <si>
    <t xml:space="preserve"> 172-2М.93.032  кронштейн лівий</t>
  </si>
  <si>
    <t xml:space="preserve"> 172-2М.93.033  шайба</t>
  </si>
  <si>
    <t xml:space="preserve"> лист S=4 Сталь15 ГОСТ16523-70</t>
  </si>
  <si>
    <t>172-2М.93.035  скоба верхня</t>
  </si>
  <si>
    <t>172-2М.93.036  скоба нижня</t>
  </si>
  <si>
    <t>172-2М.93.037  дужка</t>
  </si>
  <si>
    <t>172-2М.93.038  дужка</t>
  </si>
  <si>
    <t>172-2М.93.039  дужка</t>
  </si>
  <si>
    <t>172-2М.93.040  дужка</t>
  </si>
  <si>
    <t>172-2М.93.041  дужка</t>
  </si>
  <si>
    <t xml:space="preserve"> лист S=4 Сталь15 ГОСТ1577-70</t>
  </si>
  <si>
    <t>172-2М.93.043  щока права</t>
  </si>
  <si>
    <t>172-2М.93.044  вушко</t>
  </si>
  <si>
    <t>172-2М.93.049  планка</t>
  </si>
  <si>
    <t>172.93.425  вушко</t>
  </si>
  <si>
    <t>лист S=4 ГОСТ19903-74 Сталь10кп ГОСТ1577-70</t>
  </si>
  <si>
    <t>172-2М.93.015сб  стелаж лівий</t>
  </si>
  <si>
    <t xml:space="preserve"> 172-2М.93.014сб  стелаж лівий</t>
  </si>
  <si>
    <t xml:space="preserve"> емаль ПФ-115 біла</t>
  </si>
  <si>
    <t>172-2М.93.013сб  стелаж лівий</t>
  </si>
  <si>
    <t>172-2М.93.037сб  кронштейн правий</t>
  </si>
  <si>
    <t>дріт d=4 ГОСТ 3282-74</t>
  </si>
  <si>
    <t xml:space="preserve"> 172-2М.93.031  кронштейн правий</t>
  </si>
  <si>
    <t>172-2М.93.042  щока ліва</t>
  </si>
  <si>
    <t>почав писати по актах 18.12.2015/2 цех4 на 14.12.2015</t>
  </si>
  <si>
    <t>172.02.007сб  сітка</t>
  </si>
  <si>
    <t>175.02.578  планка</t>
  </si>
  <si>
    <t>лист S=2 Сталь10кп ГОСТ16523-70</t>
  </si>
  <si>
    <t>175.02.579  планка</t>
  </si>
  <si>
    <t>175.02.580  планка</t>
  </si>
  <si>
    <t>лист S=1,5 Сталь10кп ГОСТ16523-70</t>
  </si>
  <si>
    <t>175.02.580-01  планка</t>
  </si>
  <si>
    <t>175.02.581  планка</t>
  </si>
  <si>
    <t>175.02.582  планка</t>
  </si>
  <si>
    <t>175.02.582-01  планка</t>
  </si>
  <si>
    <t>175.02.583  планка</t>
  </si>
  <si>
    <t>175.02.583-01  планка</t>
  </si>
  <si>
    <t>175.02.584  планка</t>
  </si>
  <si>
    <t>175.02.584-01  планка</t>
  </si>
  <si>
    <t>сітка №4,5-0,9 Сталь12х18Н9Т ГОСТ12184-66</t>
  </si>
  <si>
    <t>172.02.189сб  сітка</t>
  </si>
  <si>
    <t>172.02.712  каркас</t>
  </si>
  <si>
    <t>лист S=1,2 ГОСТ19904-74 Сталь10кп ГОСТ16523-70</t>
  </si>
  <si>
    <t>172.02.713  сітка</t>
  </si>
  <si>
    <t>172.02.719  крючок</t>
  </si>
  <si>
    <t>дріт d=5 О-Ч ГОСТ3282-74</t>
  </si>
  <si>
    <t>172.03.016сб-1  тросик</t>
  </si>
  <si>
    <t>припій ПОС-40 ГОСТ 21930-76</t>
  </si>
  <si>
    <t>кислота соляна ГОСТ 857-78</t>
  </si>
  <si>
    <t>канат d=2,5 ГОСТ2172-71</t>
  </si>
  <si>
    <t>172.03.085  скоба</t>
  </si>
  <si>
    <t>покриття лакофарбове згідно 172.ТУ2-8</t>
  </si>
  <si>
    <t>172.10.426  кліпса</t>
  </si>
  <si>
    <t>лента (лист) У7А S=0,75 ГОСТ2283-79</t>
  </si>
  <si>
    <t>172.10.427  планка</t>
  </si>
  <si>
    <t>лист S=3 ГОСТ19903-74 Сталь10кп ГОСТ16523-70</t>
  </si>
  <si>
    <t>172.10.428  крючок</t>
  </si>
  <si>
    <t>дріт d=5,0 О-Ч ГОСТ3282-74</t>
  </si>
  <si>
    <t>172.10.430  зацеп</t>
  </si>
  <si>
    <t>172.10.189  підвіска</t>
  </si>
  <si>
    <t>172.31.118сб  заправна горловина</t>
  </si>
  <si>
    <t>172.31.377  труба</t>
  </si>
  <si>
    <t>труба 50х2 Сталь12Х18Н10Т ГОСТ9941-72</t>
  </si>
  <si>
    <t>172.31.315  щиток</t>
  </si>
  <si>
    <t>172.32.145сб  щиток</t>
  </si>
  <si>
    <t>172.32.146сб  щиток</t>
  </si>
  <si>
    <t>172.32.525  прокладка</t>
  </si>
  <si>
    <t>емаль КО-813</t>
  </si>
  <si>
    <t>ксилол</t>
  </si>
  <si>
    <t>алюмінієва пудра ПАК-3</t>
  </si>
  <si>
    <t>172.32.524 щиток</t>
  </si>
  <si>
    <t>лист S=0,5 ГОСТ19904-74 СтальСТК-1 ГОСТ17715-71</t>
  </si>
  <si>
    <t xml:space="preserve">ОСТ3-408-70  лента хомута </t>
  </si>
  <si>
    <t>тканина азбестова S=3,1 АТ-4 ГОСТ6102-67</t>
  </si>
  <si>
    <t>172.32.181сб  втулка</t>
  </si>
  <si>
    <t>172.32.636  скоба</t>
  </si>
  <si>
    <t>дріт d=3 ГОСТ3282-74</t>
  </si>
  <si>
    <t>172.32.187сб  патрубок</t>
  </si>
  <si>
    <t>припій ЛК-62-05 ГОСТ16130-72</t>
  </si>
  <si>
    <t>уайт спірит</t>
  </si>
  <si>
    <t>емаль ПФ-115 коричнева</t>
  </si>
  <si>
    <t>172.32.655  трубка</t>
  </si>
  <si>
    <t>труба 20х1 ГОСТ8734-75 Сталь10 ГОСТ8733-74</t>
  </si>
  <si>
    <t>172.32.188сб  патрубок</t>
  </si>
  <si>
    <t>172.32.651  патрубок</t>
  </si>
  <si>
    <t>172.32.189сб  патрубок</t>
  </si>
  <si>
    <t>172.32.601  щиток лівий передній</t>
  </si>
  <si>
    <t>лист S=1 пароніт ПМБ-1 ГОСТ481-71</t>
  </si>
  <si>
    <t>172.32.603  щиток середній передній</t>
  </si>
  <si>
    <t>172.32.605  щиток правий передній</t>
  </si>
  <si>
    <t>172.32.607  щиток лівий задній</t>
  </si>
  <si>
    <t>172.32.609  щиток середній задній</t>
  </si>
  <si>
    <t>172.32.611  щиток правий задінй</t>
  </si>
  <si>
    <t>172.06.004-1  кутник</t>
  </si>
  <si>
    <t>172.06.005-1  кутник</t>
  </si>
  <si>
    <t>172.06.007-1  кутник</t>
  </si>
  <si>
    <t>172.06.008-1  кутник</t>
  </si>
  <si>
    <t>кутник 32х32х3,0 Ст3сп ГОСТ535-79</t>
  </si>
  <si>
    <t>Т.Р. на заміну матеріалу від 25.12.15р</t>
  </si>
  <si>
    <t>172.33.028сб-3  кронштейн</t>
  </si>
  <si>
    <t>172.33.145-2  кронштейн</t>
  </si>
  <si>
    <t>лист S=3 Сталь10кп ГОСТ13523-70</t>
  </si>
  <si>
    <t>172.33.117сб-1  кронштейн</t>
  </si>
  <si>
    <t>172.33.383-1  кронштейн</t>
  </si>
  <si>
    <t>лист S=4 Сталь10 ГОСТ1577-70</t>
  </si>
  <si>
    <t>172.33.158сб  кронштейн</t>
  </si>
  <si>
    <t>172.33.498  планка</t>
  </si>
  <si>
    <t>Лист S=4 Сталь15 ГОСТ1577-70</t>
  </si>
  <si>
    <t>172.33.161сб  кронштейн</t>
  </si>
  <si>
    <t>172.33.503  кронштейн</t>
  </si>
  <si>
    <t>Лист S=4 Сталь15 ГОСТ1577-81</t>
  </si>
  <si>
    <t>172.33.168сб  перехідник</t>
  </si>
  <si>
    <t>172.33.516  патрубок</t>
  </si>
  <si>
    <t>турба 10х1,5 ГОСТ8734-75 Сталь20 ГОСТ8733-74</t>
  </si>
  <si>
    <t>172.33.201сб  щиток</t>
  </si>
  <si>
    <t>172.33.580-1  щиток</t>
  </si>
  <si>
    <t>лист S=0,5 ГОСТ19904-74 Сталь10кп ГОСТ16523-70</t>
  </si>
  <si>
    <t>172.33.590  прокладка азбестова</t>
  </si>
  <si>
    <t>тканина азбестова S=1,6 АТ-1С ГОСТ6102-68</t>
  </si>
  <si>
    <t>172.33.214сб  стелаж</t>
  </si>
  <si>
    <t>172-2М.33.276  вушко</t>
  </si>
  <si>
    <t>172-2М.33.277  вушко</t>
  </si>
  <si>
    <t>175.91.203  основа</t>
  </si>
  <si>
    <t>лист S=2 Сталь10кп ГОСТ165223-70</t>
  </si>
  <si>
    <t>172.33.229сб  трубопровід</t>
  </si>
  <si>
    <t>172.33.681  трубопровід</t>
  </si>
  <si>
    <r>
      <t xml:space="preserve">172.33.229сб-А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трубопровід</t>
    </r>
    <r>
      <rPr>
        <sz val="11"/>
        <color theme="1"/>
        <rFont val="Calibri"/>
        <family val="2"/>
        <charset val="204"/>
        <scheme val="minor"/>
      </rPr>
      <t xml:space="preserve"> АНАЛОГІЧНО</t>
    </r>
    <r>
      <rPr>
        <b/>
        <sz val="11"/>
        <color theme="1"/>
        <rFont val="Calibri"/>
        <family val="2"/>
        <charset val="204"/>
        <scheme val="minor"/>
      </rPr>
      <t xml:space="preserve"> 172.33.229сб</t>
    </r>
  </si>
  <si>
    <t>172.33.728  прокладка</t>
  </si>
  <si>
    <t>лист S=4 Пароніт ПМБ-4 ГОСТ481-80</t>
  </si>
  <si>
    <t>172.36.056сб  трубка</t>
  </si>
  <si>
    <t>емаль ПФ-115</t>
  </si>
  <si>
    <t>172.36.147  трубка</t>
  </si>
  <si>
    <t>172.36.076сб  трос</t>
  </si>
  <si>
    <t>дріт d=0,5 О-Ч ГОСТ3282-74</t>
  </si>
  <si>
    <t>канат d=1,8 ГОСТ2172-71</t>
  </si>
  <si>
    <t>172.36.082  фільтр</t>
  </si>
  <si>
    <t>172.36.240  сітка</t>
  </si>
  <si>
    <t>сітка 01НЛ80 ГОСТ6613-86</t>
  </si>
  <si>
    <t>172.60.037  втулка</t>
  </si>
  <si>
    <t>труба 16х3 ГОСТ8734-75 Сталь20 ГОСТ8733-74</t>
  </si>
  <si>
    <r>
      <t xml:space="preserve">172.60.131сб-1 трубка </t>
    </r>
    <r>
      <rPr>
        <sz val="11"/>
        <color theme="1"/>
        <rFont val="Calibri"/>
        <family val="2"/>
        <charset val="204"/>
        <scheme val="minor"/>
      </rPr>
      <t>аналогічно</t>
    </r>
    <r>
      <rPr>
        <b/>
        <sz val="11"/>
        <color theme="1"/>
        <rFont val="Calibri"/>
        <family val="2"/>
        <charset val="204"/>
        <scheme val="minor"/>
      </rPr>
      <t xml:space="preserve"> 172.60.131сб</t>
    </r>
  </si>
  <si>
    <t>172.60.132сб  трубка</t>
  </si>
  <si>
    <t>172.60.237  трубка</t>
  </si>
  <si>
    <t>172.60.194-1  планка прижимна</t>
  </si>
  <si>
    <t>172.60.205  планка прижимна</t>
  </si>
  <si>
    <t>172.60.234  планка прижимна</t>
  </si>
  <si>
    <t>172.65.006сб-2  дужка</t>
  </si>
  <si>
    <t>172.65.119</t>
  </si>
  <si>
    <t>172.65.087  упор</t>
  </si>
  <si>
    <t>лист S=2,5 ГОСТ19903-74 Сталь10кп ГОСТ16523-70</t>
  </si>
  <si>
    <t>лист S=2,5 Сталь08кп ГОСТ16523-70</t>
  </si>
  <si>
    <t>175.65.069</t>
  </si>
  <si>
    <t>175.65.069А</t>
  </si>
  <si>
    <t>432.65.148</t>
  </si>
  <si>
    <t>432.65.150</t>
  </si>
  <si>
    <t xml:space="preserve">432.65.151 </t>
  </si>
  <si>
    <t>емаль ПФ-115 темно сіра</t>
  </si>
  <si>
    <t>175.65.005сб-2</t>
  </si>
  <si>
    <t>172.65.011-1  дужка</t>
  </si>
  <si>
    <t>труба 12х3 ГОСТ8734-75 Сталь20 ГОСТ8733-74</t>
  </si>
  <si>
    <t>172.66.157сб  трубопровід</t>
  </si>
  <si>
    <t>172.66.158  ніпель</t>
  </si>
  <si>
    <t>175.66.070  труба</t>
  </si>
  <si>
    <t>труба 10х1 Сталь20 ГОСТ19277-73</t>
  </si>
  <si>
    <t>172.70.012-1Б  панель</t>
  </si>
  <si>
    <t>лист S=5 АМг6БМ ГОСТ21631-76</t>
  </si>
  <si>
    <t>172.70.087  кронштейн</t>
  </si>
  <si>
    <t>лист S=2 Сталь15 ГОСТ16523-70</t>
  </si>
  <si>
    <t>172.70.111сб  скоба з табличкою</t>
  </si>
  <si>
    <t>172.70.212  скоба</t>
  </si>
  <si>
    <t>лист S=1,5 Сталь15 ГОСТ16523-70</t>
  </si>
  <si>
    <t>172.70.115сб  скоба</t>
  </si>
  <si>
    <t>172.70.217  планка</t>
  </si>
  <si>
    <t>172.70.218  скоба</t>
  </si>
  <si>
    <t>172.70.148-5  кронштейн</t>
  </si>
  <si>
    <t>емаль ПФ-115 чорна</t>
  </si>
  <si>
    <t>172.70.150сб-1  кришка</t>
  </si>
  <si>
    <t>172.70.169-1  кришка</t>
  </si>
  <si>
    <t>лист S=2 ГОСТ19904-70 Сталь10кп ГОСТ16523-70</t>
  </si>
  <si>
    <t>172.70.270-1  кільце</t>
  </si>
  <si>
    <t>172.70.420  втулка</t>
  </si>
  <si>
    <t>труба 10х1,5 ГОСТ8734-75 Сталь20 ГОСТ8733-74</t>
  </si>
  <si>
    <t>172.70.170сб  скоба</t>
  </si>
  <si>
    <t>`</t>
  </si>
  <si>
    <t>175.70.399  скоба</t>
  </si>
  <si>
    <t>лист S=2,5 Сталь15 ГОСТ16523-70</t>
  </si>
  <si>
    <t>175.70.400 прокладка 6ц</t>
  </si>
  <si>
    <t>172.70.172  скоба</t>
  </si>
  <si>
    <t>лист S=2 АД1М ГОСТ21631-76</t>
  </si>
  <si>
    <t>172.70.205сб  кронштейн</t>
  </si>
  <si>
    <t>172.70.394  кронштейн</t>
  </si>
  <si>
    <t>172.70.206сб  скоба</t>
  </si>
  <si>
    <t>172.70.395  скоба</t>
  </si>
  <si>
    <t>175.33.419  планка</t>
  </si>
  <si>
    <t>172.70.210  кришка</t>
  </si>
  <si>
    <t>і подав 26.12.15 року те що нижче</t>
  </si>
  <si>
    <t>172.70.211  скоба</t>
  </si>
  <si>
    <t>емаль ПФ-223 сіра</t>
  </si>
  <si>
    <t>лист S=4 ГОСТ19903-74, 09Г2-2 ГОСТ19282-73</t>
  </si>
  <si>
    <t>розчинник Р4</t>
  </si>
  <si>
    <t>172.25.062-1 прокладка</t>
  </si>
  <si>
    <t>бляха біла №36 ГГЖК S=0,036 ГОСТ17718-72</t>
  </si>
  <si>
    <t>9Г7.010.202  мембрана</t>
  </si>
  <si>
    <t>лист S=0,15 БрОФ ГОСТ1761-50</t>
  </si>
  <si>
    <t>166.31.54сб кронйштейн</t>
  </si>
  <si>
    <t>166.31.55сб  планка</t>
  </si>
  <si>
    <t>172.10.400  планка</t>
  </si>
  <si>
    <t>лист S=3 ГОСТ19903-71 Сталь10кп ГОСТ1652-70</t>
  </si>
  <si>
    <t>172.10.416  планка</t>
  </si>
  <si>
    <t>172.10.413  планка</t>
  </si>
  <si>
    <t>172.10.181сб  труба</t>
  </si>
  <si>
    <t>l=870мм</t>
  </si>
  <si>
    <t>172.10.410  труба</t>
  </si>
  <si>
    <t>труба 17х2 ГОСТ8734-75 Сталь20 ГОСТ8733-74</t>
  </si>
  <si>
    <t>172.10.183сб  труба</t>
  </si>
  <si>
    <t>172.10.408  труба</t>
  </si>
  <si>
    <t>труба 22х2 ГОСТ8734-75 Сталь20 ГОСТ8733-74</t>
  </si>
  <si>
    <t>172.04.593  полка</t>
  </si>
  <si>
    <t>лист S=1,5 ГОСТ 19904-74 Сталь15 ГОСТ16523-70</t>
  </si>
  <si>
    <t>175.04.111-2  полка</t>
  </si>
  <si>
    <t>172.10.063сб  жолобок</t>
  </si>
  <si>
    <t>172.10.164-А  жолобок нижній</t>
  </si>
  <si>
    <t>лист S=2 ГОСТ19904-74 Сталь10кп ГОСТ16523-74</t>
  </si>
  <si>
    <t>155.29.2158  скоба</t>
  </si>
  <si>
    <t>432.04.481  скоба</t>
  </si>
  <si>
    <t>лист S=4 ГОСТ19903-74 Сталь20 ГОСТ16523-70</t>
  </si>
  <si>
    <t>172.04.594  полка</t>
  </si>
  <si>
    <t>175.04.102-2  полка</t>
  </si>
  <si>
    <t>175.04.103-1 полка</t>
  </si>
  <si>
    <t>172.04.347  трубка</t>
  </si>
  <si>
    <t>труба 17х2 ГОСТ8734-75 Сталь10 ГОСТ8733-74</t>
  </si>
  <si>
    <t>172.18.187  трубка</t>
  </si>
  <si>
    <t>трубка 10х1 ГОСТ8734-75 ГОСТ8733-74</t>
  </si>
  <si>
    <t>175.86.018сб  трубка</t>
  </si>
  <si>
    <t>175.04.275-1  трубка</t>
  </si>
  <si>
    <t>труба 8х1 Сталь20 ГОСТ19277-73</t>
  </si>
  <si>
    <t>припій ЛК-62-05</t>
  </si>
  <si>
    <t>175.86.043  трубка</t>
  </si>
  <si>
    <t>l=450мм</t>
  </si>
  <si>
    <r>
      <t xml:space="preserve">дріт </t>
    </r>
    <r>
      <rPr>
        <sz val="11"/>
        <color theme="1"/>
        <rFont val="Calibri"/>
        <family val="2"/>
        <charset val="204"/>
      </rPr>
      <t xml:space="preserve">Ø1,2 мм СВ08Г2С </t>
    </r>
  </si>
  <si>
    <t>вуглекислота</t>
  </si>
  <si>
    <t>166.31.135  планка</t>
  </si>
  <si>
    <t>лист S=3 сталь 15</t>
  </si>
  <si>
    <t>дріт D=5-0-Ч ГОСТ3282-74</t>
  </si>
  <si>
    <t>емаль ПФ-910</t>
  </si>
  <si>
    <t>розчинник РС-2</t>
  </si>
  <si>
    <t>з лист отримати можна 2полки</t>
  </si>
  <si>
    <t>відхід буде  0,755*1,25=0,943 м.кв або 11,3 кг відходу з листа</t>
  </si>
  <si>
    <t>172.31.095сб  трубопровід</t>
  </si>
  <si>
    <t>шланг 2Т25-15 ТУ005 280-76</t>
  </si>
  <si>
    <t>172.31.069сб  труба</t>
  </si>
  <si>
    <t>172.31.097сб  труба</t>
  </si>
  <si>
    <t>дріт 12Х18Н10Т d=1,2</t>
  </si>
  <si>
    <t>175.31.072-2  труба</t>
  </si>
  <si>
    <t>труба 25х1 12Х18Н10Т ГОСТ9941-72</t>
  </si>
  <si>
    <t>емаль ПФ-115 зелена</t>
  </si>
  <si>
    <t>розчинник Р6</t>
  </si>
  <si>
    <t>175.31.075-2  труба</t>
  </si>
  <si>
    <t>СЛУЖБОВА ЗАПИСКА на замовлення 317 від 3.01.16р</t>
  </si>
  <si>
    <t xml:space="preserve"> (для: 1ц ,3ц і ЦКД)</t>
  </si>
  <si>
    <t>11.02.16 почав писати здав калькуляцію 12.02.16</t>
  </si>
  <si>
    <t>0,005 взяв з норми на один вогнегасник і поділив на 4 шт що входить туди</t>
  </si>
  <si>
    <t>ПИСАВ ПО №11.02.16.</t>
  </si>
  <si>
    <t>Технічне розпорядження №15 від 11.02.15р</t>
  </si>
  <si>
    <t>в норми не було включено лак ГФ-95</t>
  </si>
  <si>
    <t>ПИСАВ ПО №12.02.16.</t>
  </si>
  <si>
    <t>Почав писати 12.02.16 ( видали 11.02.16)</t>
  </si>
  <si>
    <t>175.66.009сб-2  трубопровід</t>
  </si>
  <si>
    <t>175.66.011сб-2  трубопрвід</t>
  </si>
  <si>
    <t>175.66.061сб  трубопровід</t>
  </si>
  <si>
    <t>172.66.133сб  трубопрвід</t>
  </si>
  <si>
    <t>почав робити 12.02.16Р</t>
  </si>
  <si>
    <t xml:space="preserve">Калькуляція на Тех.Розп. №15 від 11 лют 2016р  </t>
  </si>
  <si>
    <t xml:space="preserve">Відсутні норми по зам. 319 і 4266 </t>
  </si>
  <si>
    <t>ПИСАВ ПО №13.02.16.</t>
  </si>
  <si>
    <t>почав писати 13.02.16р</t>
  </si>
  <si>
    <t>Переведення полок над гусиницями з КГ в М</t>
  </si>
  <si>
    <t>В-172.06.034сб  щиток лівий перший</t>
  </si>
  <si>
    <t>В-172.06.035сб  щиток правий перший</t>
  </si>
  <si>
    <t>В-172.06.037сб щиток правий другий</t>
  </si>
  <si>
    <t>В-172.06.038сб щиток відкидний передній лівий</t>
  </si>
  <si>
    <t>В-172.06.039сб щиток відкидний передній правий</t>
  </si>
  <si>
    <t>В-172.06.048сб щиток лівий третій</t>
  </si>
  <si>
    <t>В-172.06.049сб щиток правий третій</t>
  </si>
  <si>
    <t>172.11.112 щиток</t>
  </si>
  <si>
    <t>172.04.421-1  щиток</t>
  </si>
  <si>
    <t>стрічка конвеєрна РТП</t>
  </si>
  <si>
    <t>В-172.06.036сб щиток лівий другий</t>
  </si>
  <si>
    <t>172.04.453  щиток</t>
  </si>
  <si>
    <t>однаково</t>
  </si>
  <si>
    <t>172.04.451-2  щиток</t>
  </si>
  <si>
    <t>,=1600х163</t>
  </si>
  <si>
    <t>172.04.132сб-А  щиток правий верхній другий</t>
  </si>
  <si>
    <t>172.04.131сб-А  щиток лівий верхній другий</t>
  </si>
  <si>
    <t>172.04.107сб-А  щиток верхній правий третій</t>
  </si>
  <si>
    <t>172.04.106сб-2  щиток верхній лівий третій</t>
  </si>
  <si>
    <t>172.04.444-1  щиток</t>
  </si>
  <si>
    <t>перерах з новими розмірами</t>
  </si>
  <si>
    <t>172.10.402  кутник</t>
  </si>
  <si>
    <t>172.10.414  ребро</t>
  </si>
  <si>
    <t>172.10.415  ребро</t>
  </si>
  <si>
    <t>ще не подавав на друк</t>
  </si>
  <si>
    <t>лист0,5</t>
  </si>
  <si>
    <t>*2 бо дві штуки на машину</t>
  </si>
  <si>
    <t>1шт</t>
  </si>
  <si>
    <t xml:space="preserve">172.33.178сб  обладнання для підключення бочок до паливної системи </t>
  </si>
  <si>
    <t>172.33.179сб  горловина</t>
  </si>
  <si>
    <t>шланг 40У25-13 або 40У25-7 ТУ38-005-6016-79</t>
  </si>
  <si>
    <t>172.33.180сб  горловина</t>
  </si>
  <si>
    <t>172.33.545  корпус</t>
  </si>
  <si>
    <t>труба 70х3 ГОСТ8734-75 Сталь10 ГОСТ8733-74</t>
  </si>
  <si>
    <t>172.33.546  патрубок</t>
  </si>
  <si>
    <t>труба 25х2 ГОСТ8734-75 Сталь20 ГОСТ8733-74</t>
  </si>
  <si>
    <t>172.33.547  патрубок</t>
  </si>
  <si>
    <t>172.33.548  патрубок</t>
  </si>
  <si>
    <t>білила цинкові густотерті</t>
  </si>
  <si>
    <t>172.33.188сб  шлангове зєднання</t>
  </si>
  <si>
    <t>шланг 2Т12-15</t>
  </si>
  <si>
    <t>172.33.188сб  планка</t>
  </si>
  <si>
    <t>172.33.549-1  планка</t>
  </si>
  <si>
    <t>172.33.215сб  перехідник</t>
  </si>
  <si>
    <t>сльвент</t>
  </si>
  <si>
    <t>172.33.587  патрубок</t>
  </si>
  <si>
    <t>172.33.635  патрубок</t>
  </si>
  <si>
    <t>172.33.634  патрубок</t>
  </si>
  <si>
    <t>172.33.199сб-1  фланець (ДО 1.01.81р)</t>
  </si>
  <si>
    <t>172.33.633  патрубок</t>
  </si>
  <si>
    <t>труба 12х2 ГОСТ8734-75 Сталь20 ГОСТ8733-74</t>
  </si>
  <si>
    <t>шланг 40У12-13 або 40У12-7 ТУ37-005-6016-78</t>
  </si>
  <si>
    <t>шланг 2Т25-15 ТУ005-280-76</t>
  </si>
  <si>
    <t>лента ПВХ</t>
  </si>
  <si>
    <t>прокладка алюмінієва 27х23</t>
  </si>
  <si>
    <t>лист S=2 АД1М ГОСТ21631</t>
  </si>
  <si>
    <t>лист S=0,3 М3</t>
  </si>
  <si>
    <t>шнур азбестовий D=2,5мм</t>
  </si>
  <si>
    <t>хомут D=12</t>
  </si>
  <si>
    <t>лист S=1 Сталь 10кп</t>
  </si>
  <si>
    <t>шестигранник S=8 Сталь40</t>
  </si>
  <si>
    <t>лист S=0,5 Сталь 10кп</t>
  </si>
  <si>
    <t>кільце мідно-азбестове 48х55 МН 4152-62</t>
  </si>
  <si>
    <t>СУМ</t>
  </si>
  <si>
    <t>Було покупне, а тепер будемо робити</t>
  </si>
  <si>
    <t>172.02.775  кришка</t>
  </si>
  <si>
    <t>лист S=5 ГОСТ19903-74 Сталь20 ГОСТ1577-70</t>
  </si>
  <si>
    <t>175.15.021сб-2  кронштейн</t>
  </si>
  <si>
    <t>172.15.065-1  кронштейн</t>
  </si>
  <si>
    <t>172.15.240  планка</t>
  </si>
  <si>
    <t>172.15.066-2  планка</t>
  </si>
  <si>
    <t>S=6</t>
  </si>
  <si>
    <t>172.15.024сб-1Б  щиток</t>
  </si>
  <si>
    <t>дріт СВАМг D=1,2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</si>
  <si>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</si>
  <si>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172.15.069-1Б  щиток</t>
  </si>
  <si>
    <t>лист S=2,5 АМг6БМ ГОСТ21631-76</t>
  </si>
  <si>
    <t>172.15.126  пружина</t>
  </si>
  <si>
    <t>172.15.070-В  трубка</t>
  </si>
  <si>
    <t>труба 16х3,5 АМг6М ГОСТ18475-73</t>
  </si>
  <si>
    <t>L=450мм</t>
  </si>
  <si>
    <t>лист S=1 СтальУ7А ГОСТ1435-54</t>
  </si>
  <si>
    <t>172.15.127  планка</t>
  </si>
  <si>
    <t>172.15.128-А  скоба</t>
  </si>
  <si>
    <t>172.15.129  стопор</t>
  </si>
  <si>
    <t>172.15.260  трубка</t>
  </si>
  <si>
    <t>L=340мм</t>
  </si>
  <si>
    <t>172.15.092сб  щиток</t>
  </si>
  <si>
    <t>172.15.242  щиток</t>
  </si>
  <si>
    <t>175.15.005  упор</t>
  </si>
  <si>
    <t>емаль ПФ-223 світло-сіра</t>
  </si>
  <si>
    <t>172.15.124сб  підніжка</t>
  </si>
  <si>
    <t>ЛИТОЛ</t>
  </si>
  <si>
    <t>172.15.123сб  основа</t>
  </si>
  <si>
    <t>172.15.163сб  основа</t>
  </si>
  <si>
    <t>172.15.302  корпус</t>
  </si>
  <si>
    <t>175.15.006  вушко</t>
  </si>
  <si>
    <t xml:space="preserve">  172.15.298-1  основа</t>
  </si>
  <si>
    <t xml:space="preserve">  172.15.376  вушко</t>
  </si>
  <si>
    <t xml:space="preserve">  лист S=3 ГОСТ19903-74 Сталь20 ГОСТ16523-70</t>
  </si>
  <si>
    <t>лист S=6</t>
  </si>
  <si>
    <t>175.15.009  резина</t>
  </si>
  <si>
    <t>ЛКД</t>
  </si>
  <si>
    <t>6ц</t>
  </si>
  <si>
    <t>172.15.297  стопор</t>
  </si>
  <si>
    <t>.лист 8</t>
  </si>
  <si>
    <t>175.15.005сб  щиток</t>
  </si>
  <si>
    <t>175.15.007  щиток</t>
  </si>
  <si>
    <t>175.15.012  петля</t>
  </si>
  <si>
    <t>172.15.107  ребро</t>
  </si>
  <si>
    <t xml:space="preserve"> лист S=2 Сталь10кп ГОСТ16523-70</t>
  </si>
  <si>
    <t xml:space="preserve"> дріт зварювальний d=1,2 СВ08Г2С</t>
  </si>
  <si>
    <t xml:space="preserve"> вуглекислий газ</t>
  </si>
  <si>
    <t xml:space="preserve">труба 6х1 Сталь20 </t>
  </si>
  <si>
    <t>172.60.143сб  трубка АНАЛОГІЧНО 172.60.143сб-1</t>
  </si>
  <si>
    <t>172.15.135сб  шарнір</t>
  </si>
  <si>
    <t>172.15.344  петля</t>
  </si>
  <si>
    <t>172.15.345  петля</t>
  </si>
  <si>
    <t>лист S=2 ГОСТ19904-74 Сталь20 ГОСТ16523-70</t>
  </si>
  <si>
    <t>172.18.016сб-2  защіпка</t>
  </si>
  <si>
    <t>172.18.047  ричаг</t>
  </si>
  <si>
    <t>172.18.050-1  упор</t>
  </si>
  <si>
    <t>172.18.149-1  ось</t>
  </si>
  <si>
    <t xml:space="preserve">172.18.067сб касета АНАЛОГІЧНО до 175.18.023сб </t>
  </si>
  <si>
    <t>РЕМОНТ</t>
  </si>
  <si>
    <t>21-2008</t>
  </si>
  <si>
    <t>172.22.010сб кронштейн з вловлювачем</t>
  </si>
  <si>
    <t>емаль ПФ-115 червона</t>
  </si>
  <si>
    <t>175.31.062-1  скоба</t>
  </si>
  <si>
    <t>лист S=2 АМг6БМ ГОСТ21631-76</t>
  </si>
  <si>
    <t>172.31.092сб-А  клапан зливу</t>
  </si>
  <si>
    <t>проволока КО d=1,2 ГОСТ792-67</t>
  </si>
  <si>
    <t>172.31.093сб-1  корпус клапана</t>
  </si>
  <si>
    <t>172.31.301-1  планка</t>
  </si>
  <si>
    <t>лист S=3 ГОСТ199003-74 12Х18Н9Т ГОСТ5582-75</t>
  </si>
  <si>
    <t>Додати до існуючих норм</t>
  </si>
  <si>
    <t>172.31.105  стелаж радіатора АНАЛОГІЧНО 172-2М.31.017сб</t>
  </si>
  <si>
    <t>172.31.135сб-1А  вхідний направляючий апарат</t>
  </si>
  <si>
    <t>176.31.034сб-2  патрубок</t>
  </si>
  <si>
    <t>розчинник 646</t>
  </si>
  <si>
    <t>запитати в юри</t>
  </si>
  <si>
    <t>172.33.221сб  втулка</t>
  </si>
  <si>
    <t>172.33.645  петля</t>
  </si>
  <si>
    <t>172.60.140сб  трубка АНАЛОГІЧНО 172.60.141сб</t>
  </si>
  <si>
    <t xml:space="preserve">172.35.032сб  труба вихлопна права АНАЛОГІЧНО 172.35.001сб-5 </t>
  </si>
  <si>
    <t>18-2002                                                                                       РЕМОНТ</t>
  </si>
  <si>
    <t xml:space="preserve">172.35.033сб  труба вихлопна права АНАЛОГІЧНО 172.35.001сб-5 </t>
  </si>
  <si>
    <t>172.36.052сб-А  фільтр</t>
  </si>
  <si>
    <t>176.36.053сб  фільтр</t>
  </si>
  <si>
    <t>припій ПОС-40</t>
  </si>
  <si>
    <t>кислота соляна</t>
  </si>
  <si>
    <t>432.36.175  каркас фільтра</t>
  </si>
  <si>
    <t>лист S=0,5 Л63М</t>
  </si>
  <si>
    <t>432.36.176  сітка</t>
  </si>
  <si>
    <t>сітка №01 Л63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</si>
  <si>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</si>
  <si>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172.36.055сб-А  патрубок</t>
  </si>
  <si>
    <t>172.36.145-А  патрубок</t>
  </si>
  <si>
    <t>труба 12х1,4 12Х18Н10Т ГОСТ9941-72</t>
  </si>
  <si>
    <t>172.36.072сб  головка котла</t>
  </si>
  <si>
    <t>172.36.078сб  завихрювач з фільтром</t>
  </si>
  <si>
    <t>172.36.227  фільтр</t>
  </si>
  <si>
    <t>лист S=1,2 ЛС-59 ГОСТ15527</t>
  </si>
  <si>
    <t>172.36.226  завихрювач</t>
  </si>
  <si>
    <t>172.36.081сб  перепускний клапан</t>
  </si>
  <si>
    <t>172.36.098-1</t>
  </si>
  <si>
    <t>175.36.071</t>
  </si>
  <si>
    <t>175.36.072</t>
  </si>
  <si>
    <t>172.36.236  лапка</t>
  </si>
  <si>
    <t>лист S=3 ГОСТ19903-74 20Х25Н20С2 ГОСТ5582-75</t>
  </si>
  <si>
    <t>172.60.094сб  трубопровід</t>
  </si>
  <si>
    <t>172.60.188 трубка</t>
  </si>
  <si>
    <t>172.60.190  трубка</t>
  </si>
  <si>
    <t>172.60.191  трубка</t>
  </si>
  <si>
    <t>175.60.021-1  трубка</t>
  </si>
  <si>
    <t>175.60.127  трубка</t>
  </si>
  <si>
    <t>175.60.128  трубка</t>
  </si>
  <si>
    <t>L=160мм</t>
  </si>
  <si>
    <t>L=175мм</t>
  </si>
  <si>
    <t>L=212мм</t>
  </si>
  <si>
    <t>L=80мм</t>
  </si>
  <si>
    <t>L=100мм</t>
  </si>
  <si>
    <t>L=210мм</t>
  </si>
  <si>
    <t>172.60.189  трубка</t>
  </si>
  <si>
    <t>172.60.096сб  трубка</t>
  </si>
  <si>
    <t>L=1330мм</t>
  </si>
  <si>
    <t>172.60.117сб  трубка</t>
  </si>
  <si>
    <t>L=1365мм</t>
  </si>
  <si>
    <t>172.60.132сб-1  трубка</t>
  </si>
  <si>
    <t>172.60.237-1  трубка</t>
  </si>
  <si>
    <t>172.60.133сб-1  трубка</t>
  </si>
  <si>
    <t>172.60.238  трубка</t>
  </si>
  <si>
    <t>172.65.006сб-1  дужка</t>
  </si>
  <si>
    <t>172.65.005сб-1  дужка</t>
  </si>
  <si>
    <t>172.65.009  хвостовик</t>
  </si>
  <si>
    <t>172.65.010  трубка</t>
  </si>
  <si>
    <t>трубка 4С 12х2 ГОСТ5496-78</t>
  </si>
  <si>
    <t>175.65.069  втулка</t>
  </si>
  <si>
    <t>432.65.148  зацеп</t>
  </si>
  <si>
    <t>432.65.151  кільце</t>
  </si>
  <si>
    <t>лист S=1,5 ГОСТ19904-74 Сталь10кп ГОСТ16523-70</t>
  </si>
  <si>
    <t>дріт КО d=1,2 ГОСТ792-67</t>
  </si>
  <si>
    <t>172.60.196  трубка</t>
  </si>
  <si>
    <t>172.60.009-1 трубка</t>
  </si>
  <si>
    <t>172.65.010сб-1  рукоятка зі стопором</t>
  </si>
  <si>
    <t>172.65.009сб-1А  рукоятка</t>
  </si>
  <si>
    <t>172.65.013сб  ричаг</t>
  </si>
  <si>
    <t>175.65.049  серьга</t>
  </si>
  <si>
    <t>175.65.063  фіксатор</t>
  </si>
  <si>
    <t>клей НТ-150</t>
  </si>
  <si>
    <t>172.65.015-1  рукоятка</t>
  </si>
  <si>
    <t>172.65.016  ручка</t>
  </si>
  <si>
    <t>трубка 4СТ 10х2 ГОСТ5496</t>
  </si>
  <si>
    <t>172.65.022  бонка</t>
  </si>
  <si>
    <t>172.65.021  трубка (б/ч)</t>
  </si>
  <si>
    <t>172.65.008сб-1  ричаг</t>
  </si>
  <si>
    <t xml:space="preserve">  172.65.013-1  ричаг</t>
  </si>
  <si>
    <t xml:space="preserve">  175.65.062  планка</t>
  </si>
  <si>
    <t xml:space="preserve">  лист S=3 Сталь20 ГОСТ16523-70</t>
  </si>
  <si>
    <t>мастило Ціатім</t>
  </si>
  <si>
    <t>172.65.017сб  торсіон</t>
  </si>
  <si>
    <t>мастило графтне УСс-А ГОСТ3333-55</t>
  </si>
  <si>
    <t>172.65.015сб  труба</t>
  </si>
  <si>
    <t>чи ЦЕХ 4 буде це варити???</t>
  </si>
  <si>
    <t>172.65.036  ричаг правий</t>
  </si>
  <si>
    <t>172.65.036  втулка</t>
  </si>
  <si>
    <t>172.65.038  труба</t>
  </si>
  <si>
    <t>172.65.039  ричаг лівий</t>
  </si>
  <si>
    <t>432.21.138 шайба</t>
  </si>
  <si>
    <t>172.65.040  втулка</t>
  </si>
  <si>
    <t>172.65.016сб  втулка</t>
  </si>
  <si>
    <t>172.65.020сб  каркас спинки</t>
  </si>
  <si>
    <t>172.65.019сб  каркас спинки</t>
  </si>
  <si>
    <t>172.65.050  кожух</t>
  </si>
  <si>
    <t>172.65.051  планка</t>
  </si>
  <si>
    <t xml:space="preserve">  172.65.046  планка</t>
  </si>
  <si>
    <t xml:space="preserve">  172.65.047  лист спинки</t>
  </si>
  <si>
    <t xml:space="preserve">  лист S=5 ГОСТ19903-74 Сталь15 ГОСТ1577-70</t>
  </si>
  <si>
    <t xml:space="preserve">  лист S=1,5 ГОСТ19904-74 Сталь10кп ГОСТ16523-70</t>
  </si>
  <si>
    <t>172.65.048  валик</t>
  </si>
  <si>
    <t>172.65.049  пластина (свинець- ВМТП ?)</t>
  </si>
  <si>
    <t>емаль ПФ-910 темно-сіра</t>
  </si>
  <si>
    <t>172.65.022сб  спинка сидіння</t>
  </si>
  <si>
    <t>172.01.202сб-1  сектор ущільнюючий</t>
  </si>
  <si>
    <t>172.01.583-1  каркас</t>
  </si>
  <si>
    <t>брав співвідношення із сектору 172.01.579-1</t>
  </si>
  <si>
    <t>172.60.095сб  трубопровід</t>
  </si>
  <si>
    <t>змазка АМС-3</t>
  </si>
  <si>
    <t>172.04.177сб  рамка щитка</t>
  </si>
  <si>
    <t>172.70.202сб  кронштейн</t>
  </si>
  <si>
    <t>172.04.205сб  обойма</t>
  </si>
  <si>
    <t>432.04.066сб  штепсезь із шнуром</t>
  </si>
  <si>
    <t>54.29.21сб-2Б  шклоочищувач</t>
  </si>
  <si>
    <t>54.29.25сб-1  водило шклоочищувача</t>
  </si>
  <si>
    <t>172.70.361  кришка</t>
  </si>
  <si>
    <t>172.74.342  скоба</t>
  </si>
  <si>
    <t>54.29.1401-1  пружний тримач</t>
  </si>
  <si>
    <t>54.29.1402-1  пружний трима</t>
  </si>
  <si>
    <t>172.04.549  ручка</t>
  </si>
  <si>
    <t>172.04.648  прокладка</t>
  </si>
  <si>
    <t>5ц або 9ц</t>
  </si>
  <si>
    <t>лист S=0,5 ГОСТ19904-74 ПТК-1 ОСТ14-11-196-86</t>
  </si>
  <si>
    <t>172.04.550  стійка</t>
  </si>
  <si>
    <t>172.04.585  рамка щитка</t>
  </si>
  <si>
    <t>172.04.587  упор</t>
  </si>
  <si>
    <t>432.04.356  трубка</t>
  </si>
  <si>
    <t>432.04.409-1  прокладка</t>
  </si>
  <si>
    <t>лист S=4 АМГ6БМ ГОСТ21631-76</t>
  </si>
  <si>
    <t>лист S=2,5 АМГ6БМ ГОСТ21631-76</t>
  </si>
  <si>
    <t>труба 16х3,5 АМг6 ГОСТ4784</t>
  </si>
  <si>
    <t>172.70.189сб  кронштейн</t>
  </si>
  <si>
    <t>172.70.379  пружина</t>
  </si>
  <si>
    <t>лента S=0,75 У7А ГОСТ2283-69</t>
  </si>
  <si>
    <t xml:space="preserve">  172.70.354  кронштейн</t>
  </si>
  <si>
    <t>175.70.197  запонка вход в 175.70.189сб вход в 175.70.202сб</t>
  </si>
  <si>
    <t xml:space="preserve">  лист S=2 ГОСТ19904-74 Сталь10кп ГОСТ16523</t>
  </si>
  <si>
    <t>172.04.586  обойма</t>
  </si>
  <si>
    <t>172.04.712  скоба</t>
  </si>
  <si>
    <t>лист S=5 ГОСТ19903-74 Сталь20 ГОСТ1577-81</t>
  </si>
  <si>
    <t>лист S=2  ГОС19904-73 Сталь10 ГОСТ16523-70</t>
  </si>
  <si>
    <t>лист S=0,75 СтальУ7А ГОСТ1435-74</t>
  </si>
  <si>
    <t>54.29.517  держатель</t>
  </si>
  <si>
    <t>54.29.518-1  планка</t>
  </si>
  <si>
    <t>54.29.519  держатель</t>
  </si>
  <si>
    <t>54.29.315сб-А  оправа</t>
  </si>
  <si>
    <t>54.29.188-2А  пластина</t>
  </si>
  <si>
    <t>&gt;&gt;&gt;&gt;&gt;&gt;&gt;&gt;</t>
  </si>
  <si>
    <t xml:space="preserve">  54.29.139-2  оправка</t>
  </si>
  <si>
    <t xml:space="preserve">  54.29.141-1  крючок</t>
  </si>
  <si>
    <t>лист=2 Сталь10кп ГОСТ16523</t>
  </si>
  <si>
    <t>лист S=1,5 СтальУ7А ГОСТ1435</t>
  </si>
  <si>
    <t xml:space="preserve">  проволока ОЧ d=2 ГОСТ3282-46</t>
  </si>
  <si>
    <t xml:space="preserve">  лист S=0,8 Ст3 ГОСТ1393-47</t>
  </si>
  <si>
    <t>172.04.181сб-1  щиток ковпака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</si>
  <si>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</si>
  <si>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172.31.142сб  патрубок</t>
  </si>
  <si>
    <t>лак КО-813</t>
  </si>
  <si>
    <t>пудра ПАК-3 (ПАК-4)</t>
  </si>
  <si>
    <t>лак ЛСБ-1</t>
  </si>
  <si>
    <t>175.51.037  кільце</t>
  </si>
  <si>
    <t>5ц+ЛКД</t>
  </si>
  <si>
    <t>Відсутні норми на запчастини по актах дефектації станом 10.03.16р.</t>
  </si>
  <si>
    <t>почав писати 11.03.16р</t>
  </si>
  <si>
    <t>172.02.718  скоба</t>
  </si>
  <si>
    <t>проволока d=4 ГОСТ792-67</t>
  </si>
  <si>
    <t>172.10.041  кронштейн вимикача</t>
  </si>
  <si>
    <t>лист S=3 Сталь10кп ГОСТ16523-70</t>
  </si>
  <si>
    <t>172.10.062  скоба</t>
  </si>
  <si>
    <t>172.31.278  кільце стопорне</t>
  </si>
  <si>
    <t>172.33.596-1  трубопровід</t>
  </si>
  <si>
    <t>труба 16х1 ГОСТ8734-75 Сталь10 ГОСТ8733-74</t>
  </si>
  <si>
    <t>ПФ-115 жовта</t>
  </si>
  <si>
    <t>L=1200 (1350)</t>
  </si>
  <si>
    <t>172.33.598-2  труба</t>
  </si>
  <si>
    <t>172.36.099  прокладка</t>
  </si>
  <si>
    <t>L=1350 (1500)</t>
  </si>
  <si>
    <t>лист S=1 Пароніт ПМБ ГОСТ481-80</t>
  </si>
  <si>
    <t>172.36.100  прокладка</t>
  </si>
  <si>
    <t>172.45.197-03  кільце регулювальне</t>
  </si>
  <si>
    <t>172.70.241  планка</t>
  </si>
  <si>
    <t>65.ММ12МТ25.01  тросик</t>
  </si>
  <si>
    <t>65.ММ12МТ25СБ  тросик</t>
  </si>
  <si>
    <t>65.ММ12МТ25.02  проволока</t>
  </si>
  <si>
    <t>канат d=0,5 ГОСТ3062-80</t>
  </si>
  <si>
    <t>дріт d=0,2 ГОСТ3282-74</t>
  </si>
  <si>
    <t>лист S=3 Сталь20 ГОСТ16523-70</t>
  </si>
  <si>
    <t>172.70.348  планка</t>
  </si>
  <si>
    <t>лист S=3,5 Сталь30ХГСА</t>
  </si>
  <si>
    <t>172.70.400  кожух</t>
  </si>
  <si>
    <t>172.70.449-1  обечайка</t>
  </si>
  <si>
    <t>172.70.480  планка</t>
  </si>
  <si>
    <t>лист S=1 ГОСТ19904-74 Сталь10кп ГОСТ16523-70</t>
  </si>
  <si>
    <t>емаль молоткова МЛ-165 сіра</t>
  </si>
  <si>
    <t>лист S=1,5 АМг6БМ ГОСТ21631-76</t>
  </si>
  <si>
    <t>172.70.594  планка</t>
  </si>
  <si>
    <t>172.70.669  планка</t>
  </si>
  <si>
    <t>172.71.130  кронштейн</t>
  </si>
  <si>
    <t>172.71.197  кронштейн</t>
  </si>
  <si>
    <t>лист =2 ГОСТ19904-74 Сталь10кп ГОСТ16523-70</t>
  </si>
  <si>
    <t>172.71.212-1  кришка</t>
  </si>
  <si>
    <t>172.71.213   кожух</t>
  </si>
  <si>
    <t>172.74.172-1 кожух</t>
  </si>
  <si>
    <t>172.74.403  кожух</t>
  </si>
  <si>
    <t>172.74.415  щиток</t>
  </si>
  <si>
    <t>172.77.073-1  щиток</t>
  </si>
  <si>
    <t>172.82.090  щиток</t>
  </si>
  <si>
    <t>172.82.137  кронштейн</t>
  </si>
  <si>
    <t>172.87.190  трубка</t>
  </si>
  <si>
    <t>172.91.407  скоба</t>
  </si>
  <si>
    <t>172-2М.31.044  щиток</t>
  </si>
  <si>
    <t>лист S=0,8 ГОСТ19904-74 Сталь10кп ГОСТ165203-86</t>
  </si>
  <si>
    <t>лист S=4 ГОСТ19903-74 Сталь20 ГОСТ1577-80</t>
  </si>
  <si>
    <t>труба 8х1 М3М ГОСТ617-22</t>
  </si>
  <si>
    <t>L=135 (160)</t>
  </si>
  <si>
    <t>припій ЛК-60-0,5</t>
  </si>
  <si>
    <t>лист S=4 АМг6БМ ГОСТ12592-67</t>
  </si>
  <si>
    <t>лист S=0,5 Сталь08кп ГОСТ1050-74</t>
  </si>
  <si>
    <t>емаль ПФ-223 темно-сіра</t>
  </si>
  <si>
    <t>емаль МЛ-165 сіра</t>
  </si>
  <si>
    <t>175.01.382  планка</t>
  </si>
  <si>
    <t>175.02.267  сітка</t>
  </si>
  <si>
    <t>175.04.019-А  створка петлі</t>
  </si>
  <si>
    <t>175.04.080-1  лист полиці задній лівий</t>
  </si>
  <si>
    <t>175.04.104-3  кутник правий</t>
  </si>
  <si>
    <t>175.04.109-1  кутник лівий</t>
  </si>
  <si>
    <t>175.04.113-1  кутник правий</t>
  </si>
  <si>
    <t>175.04.125-1  кутник</t>
  </si>
  <si>
    <t>175.04.245-2  кутник</t>
  </si>
  <si>
    <t>лист S=2,5 Сталь10кп ГОСТ16523-70</t>
  </si>
  <si>
    <t>сітка Р-15-2,0 ГОСТ5336-80</t>
  </si>
  <si>
    <t>кутник 45х28х4 ГОСТ8510 Сталь09Г2  ГОСТ19281</t>
  </si>
  <si>
    <t>L=2425 (2600)</t>
  </si>
  <si>
    <t>L=3310 (3400)</t>
  </si>
  <si>
    <t>L=950 (1100)</t>
  </si>
  <si>
    <t>L=2425 (2550)</t>
  </si>
  <si>
    <t>L=1640 (1740)</t>
  </si>
  <si>
    <t>175.34.051  прокладка</t>
  </si>
  <si>
    <t>175.31.227  кришка</t>
  </si>
  <si>
    <t>лист S=2 Сталь12Х18Н10Т ГОСТ5632-72</t>
  </si>
  <si>
    <t>лист S=2 Пароніт ПМБ ГОСТ481-71</t>
  </si>
  <si>
    <t>175.35.027А  щиток</t>
  </si>
  <si>
    <t>175.60.082  планка прижимна</t>
  </si>
  <si>
    <t>175.60.185  трубка</t>
  </si>
  <si>
    <t>175.70.053  планка</t>
  </si>
  <si>
    <t>175.82.066-2  кронштейн</t>
  </si>
  <si>
    <t>175.86.044  кронштейн</t>
  </si>
  <si>
    <t>176.02.042  крючок</t>
  </si>
  <si>
    <t>176.31.081  проставка</t>
  </si>
  <si>
    <t>176.32.015  щиток</t>
  </si>
  <si>
    <t>лист S=1  Сталь10кп ГОСТ16523-70</t>
  </si>
  <si>
    <t>лак КО-815</t>
  </si>
  <si>
    <t>лист =2,5 Сталь10кп ГОСТ16523-70</t>
  </si>
  <si>
    <t>проволока 5-0-4 ГОСТ 3282-74</t>
  </si>
  <si>
    <t>труба 22х3 ГОСТ8734-75 Сталь20 ГОСТ8733-74</t>
  </si>
  <si>
    <t>лист S=1 АД1М ГОСТ21631-76</t>
  </si>
  <si>
    <t>176.33.015  трубопровід</t>
  </si>
  <si>
    <t>труба 16х1 ГОСТ8734-76 Сталь10 ГОСТ8733-74</t>
  </si>
  <si>
    <t>L=1320 (1460)</t>
  </si>
  <si>
    <t>лист S=4 Сталь20 ГОСТ1577-70</t>
  </si>
  <si>
    <t>176.33.026  трубка</t>
  </si>
  <si>
    <t>176.33.027-1  трубка</t>
  </si>
  <si>
    <t>176.70.001  щиток</t>
  </si>
  <si>
    <t>176.70.014  планка</t>
  </si>
  <si>
    <t>труба 25х1 ГОСТ8734-75 Сталь10 ГОСТ8733-74</t>
  </si>
  <si>
    <t>L=640 (750)</t>
  </si>
  <si>
    <t>L=790 (900)</t>
  </si>
  <si>
    <t>труба 10х1 ГОСТ8734-75 Сталь20 ГОСТ8733-74</t>
  </si>
  <si>
    <t>34.03.061  стка фільтру</t>
  </si>
  <si>
    <t>34.03.062  донишко</t>
  </si>
  <si>
    <t>432.23.073-1  шайба відгибна</t>
  </si>
  <si>
    <t>432.31.220  сітка</t>
  </si>
  <si>
    <t>сітка №016 ГОСТ6613-53</t>
  </si>
  <si>
    <t>432.36.139-1  шайба стопорна</t>
  </si>
  <si>
    <t>лист S=0,8 ГОСТ19904-74 Сталь08кп ГОСТ16523-70</t>
  </si>
  <si>
    <t>432.36.177  донишко</t>
  </si>
  <si>
    <t>432.70.611  планка</t>
  </si>
  <si>
    <t>лист S=0,5 ДПРХМ Л63 ГОСТ931-78</t>
  </si>
  <si>
    <t>432.85.069  прокладка</t>
  </si>
  <si>
    <t>432.85.072-1  фланець</t>
  </si>
  <si>
    <t>434.04.203  кутник</t>
  </si>
  <si>
    <t>лист S=3 ДПРМН М3 ГОСТ495-77</t>
  </si>
  <si>
    <t>434.11.033-1  стрілка</t>
  </si>
  <si>
    <t>434.43.001  шайба замкова</t>
  </si>
  <si>
    <t>лист S=4 ГОСТ19903-74 08Х18Н10Т ГОСТ7350-77</t>
  </si>
  <si>
    <t>лист S=1 ГОСТ19904-74 Сталь 10кп ГОСТ16523-70</t>
  </si>
  <si>
    <t>434.65.031  прокладка</t>
  </si>
  <si>
    <t>лента 10ВН-3-НО-0,25 ГОСТ503-81</t>
  </si>
  <si>
    <t>сталь08кп</t>
  </si>
  <si>
    <t>сітка Л80 №1 ГОСТ6613-53</t>
  </si>
  <si>
    <t>припій ПОС40</t>
  </si>
  <si>
    <t>лист S=1 Л63 ГОСТ931-90</t>
  </si>
  <si>
    <t>лист S=1,5 фібра КГФ ГОСТ14613-69</t>
  </si>
  <si>
    <t>520.06.001-03  прокладка ущільнююча</t>
  </si>
  <si>
    <t>520.06.001-15  прокладка ущільнююча</t>
  </si>
  <si>
    <t>520.08.003-03  наконечник 6,5</t>
  </si>
  <si>
    <t>лист S=1 Л63М ГОСТ931-70</t>
  </si>
  <si>
    <t>608.04.427  полка</t>
  </si>
  <si>
    <t>лист S=1,5 ГОСТ19903-74 Сталь10 ГОСТ16523-70</t>
  </si>
  <si>
    <t>труба 22х3 ГОСТ8734-76 Сталь10 ГОСТ8733-87</t>
  </si>
  <si>
    <t>608.04.290  скоба</t>
  </si>
  <si>
    <t>608.04.334  скоба</t>
  </si>
  <si>
    <t>лист S=5 ГОСТ19903-74 Сталь20 ГОСТ1517-81</t>
  </si>
  <si>
    <t>608.29.563-2  щиток</t>
  </si>
  <si>
    <t>608.29.676  щиток</t>
  </si>
  <si>
    <t>608.29.769  труба</t>
  </si>
  <si>
    <t>L=480 (600)</t>
  </si>
  <si>
    <t>608.33.134-1  труба</t>
  </si>
  <si>
    <t>труба10х1,5 ГОСТ8734-75 Сталь10 ГОСТ8733-74</t>
  </si>
  <si>
    <t>L=900 брав</t>
  </si>
  <si>
    <t>608.33.137-2  труба</t>
  </si>
  <si>
    <t>труба 48х1,5 ГОСТ8734-75 Сталь10 ГОСТ8733-87</t>
  </si>
  <si>
    <t>L=1,25м брав</t>
  </si>
  <si>
    <t>емлаь ПФ-115 жовта</t>
  </si>
  <si>
    <t>655.29.675  щиток</t>
  </si>
  <si>
    <t>лист S=2 ГОСТ19903-74 Ст3 ГОСТ16523-74</t>
  </si>
  <si>
    <t>155.03.262  кільце ущільнююче</t>
  </si>
  <si>
    <t>лист S=2 М3 ГОСТ859-66</t>
  </si>
  <si>
    <t>лист S=3 М3 ГОСТ495-77</t>
  </si>
  <si>
    <t>54.08.231  прокладка</t>
  </si>
  <si>
    <t>лист S=1 СТК-1 ГОСТ17715-72</t>
  </si>
  <si>
    <t>520.07.003-04  шайба</t>
  </si>
  <si>
    <t>520.07.003-09  шайба</t>
  </si>
  <si>
    <t>лист S=1 Сталь15 ГОСТ16523-70</t>
  </si>
  <si>
    <t>329-37  проставка вхідна</t>
  </si>
  <si>
    <t>картон прокладний Б S=2,5</t>
  </si>
  <si>
    <t>АК150В-134  кільце ущільнююче</t>
  </si>
  <si>
    <t>АК150В-133  кільце ущільнююче</t>
  </si>
  <si>
    <t>труба 24х3,5 АД1М ГОСТ18475-82</t>
  </si>
  <si>
    <t>труба 20х3,5 АД1М ГОСТ18475-82</t>
  </si>
  <si>
    <t>54.16.024  шайба</t>
  </si>
  <si>
    <t>лист S=4 30ХГСА ГОСТ11269-76</t>
  </si>
  <si>
    <t>54.29.1384  шайба</t>
  </si>
  <si>
    <t>лист S=1 Сталь15</t>
  </si>
  <si>
    <t>54.38.130-01  прокладка</t>
  </si>
  <si>
    <t>лист S=1,5 АД1М ГОСТ21631</t>
  </si>
  <si>
    <t>54.39.029  перемпчка</t>
  </si>
  <si>
    <t>лист S=0,15 Л63 ГОСТ2208-70</t>
  </si>
  <si>
    <t>155.29.3135  корпус контейнера</t>
  </si>
  <si>
    <t>155.29.3137  кришка контейнера</t>
  </si>
  <si>
    <t>лист S=3 Сталь08кп ГОСТ16523-70</t>
  </si>
  <si>
    <t>155.29.3138  скоба</t>
  </si>
  <si>
    <t>155.29.3136  корпус контейнера</t>
  </si>
  <si>
    <t>155.38.284  сітка</t>
  </si>
  <si>
    <t>сітка №016 ГОСТ6613-53 Л80 ГОСТ15527-70</t>
  </si>
  <si>
    <t>чи товщини хватить???</t>
  </si>
  <si>
    <t>608.29.377  прокладка</t>
  </si>
  <si>
    <t>лист S=2 пароніт ПМБ ГОСТ481-71</t>
  </si>
  <si>
    <t>54.05.411  кільце</t>
  </si>
  <si>
    <t>сіккатив</t>
  </si>
  <si>
    <t>Розчинник Р-4</t>
  </si>
  <si>
    <t>лист S=3,5 Сталь30ХГСА ГОСТ11269-76</t>
  </si>
  <si>
    <t>520.07.006-008  шайба стопорна</t>
  </si>
  <si>
    <t>По актах дификтації що писав Міша</t>
  </si>
  <si>
    <t>172.10.114сб-1  кронштейн фари</t>
  </si>
  <si>
    <t>172.10.318  планка</t>
  </si>
  <si>
    <t>172.10.319  ребро</t>
  </si>
  <si>
    <t>лист S=5 ГОСТ19903-74  Сталь15 ГОСТ1577-70</t>
  </si>
  <si>
    <t>175.04.316  бонка</t>
  </si>
  <si>
    <t>54.05.327  скоба</t>
  </si>
  <si>
    <t>лак ЛБС-1</t>
  </si>
  <si>
    <t>шпаклівка автомобільна</t>
  </si>
  <si>
    <t>Переробка 54.05.20сб-10Г - зовнішній бак для палива до виду 175.31.073сб - бак для антифризу згідно Т.Р.-65-2015р</t>
  </si>
  <si>
    <t>172.10.412  стакан</t>
  </si>
  <si>
    <t>166.30.065  кільце</t>
  </si>
  <si>
    <t>166.30.066  основа</t>
  </si>
  <si>
    <t>ц6</t>
  </si>
  <si>
    <t>175.02.122сб-2  штанга</t>
  </si>
  <si>
    <t>лист S=1,1 Бр.Б2 ГОСТ18175-72</t>
  </si>
  <si>
    <t>54.29.1196-1  планка</t>
  </si>
  <si>
    <t>&gt;&gt;&gt;</t>
  </si>
  <si>
    <t>175.04.048сб-1 кронштейн кріплення бревна</t>
  </si>
  <si>
    <t>175.04.098сб-2  корпус правий</t>
  </si>
  <si>
    <t>175.04.269-2А  дно корпуса</t>
  </si>
  <si>
    <t>175.04.451  ребро</t>
  </si>
  <si>
    <t>175.04.502  корпус</t>
  </si>
  <si>
    <t>175.004.098сб-2 корпус правий</t>
  </si>
  <si>
    <t>175.10.058  фланець</t>
  </si>
  <si>
    <t>175.63.033сб-А</t>
  </si>
  <si>
    <t>175.04.508  кронштейнт</t>
  </si>
  <si>
    <t>175.04.158сб  кронштейн середній</t>
  </si>
  <si>
    <t>175.04.158  кронштейн середній</t>
  </si>
  <si>
    <t>175.04.509  ребро</t>
  </si>
  <si>
    <t>175.91.323  фалнець</t>
  </si>
  <si>
    <t>175.63.033сб-А  опора права</t>
  </si>
  <si>
    <t>175.63.036  кронштейн правий</t>
  </si>
  <si>
    <t>роздрукував 29.03.2016р</t>
  </si>
  <si>
    <t>175.91.071сб  стрічка кріплення колоди</t>
  </si>
  <si>
    <t>172.91.410  накладка</t>
  </si>
  <si>
    <t>175.91.166  лента</t>
  </si>
  <si>
    <t>роздрукував 02.04.2016р</t>
  </si>
  <si>
    <t>лист S=4 12Х18Н10Т  ГОСТ7350-77</t>
  </si>
  <si>
    <t>172.02.207сб  опора торсіона</t>
  </si>
  <si>
    <t>дріт d=1,2 СВ08Г2С</t>
  </si>
  <si>
    <t>суміш зварювальна</t>
  </si>
  <si>
    <t>175.02.347  скоба</t>
  </si>
  <si>
    <t>166.29.642  скоба</t>
  </si>
  <si>
    <t>172.02.193сб  рамка</t>
  </si>
  <si>
    <t>172.02.720  кутник</t>
  </si>
  <si>
    <t>175.02.274-1  кутник</t>
  </si>
  <si>
    <t>кутник 20х20х4 ГОСТ8509-72 Сталь20 ГОСТ1050</t>
  </si>
  <si>
    <t>кутник 32х20х4 ГОСТ8510-72 Сталь20 ГОСТ1050</t>
  </si>
  <si>
    <t>605мм</t>
  </si>
  <si>
    <t>1000мм</t>
  </si>
  <si>
    <t>Роздрукував 13.04.16р</t>
  </si>
  <si>
    <t>по службовій №13.04.16р</t>
  </si>
  <si>
    <t>172.04.043  ребро</t>
  </si>
  <si>
    <t>лист S=4 ГОСТ19903-74 Сталь10 ГОСТ1577-70</t>
  </si>
  <si>
    <t>172.04.012сб  опора</t>
  </si>
  <si>
    <t xml:space="preserve">172.04.040-А  опора </t>
  </si>
  <si>
    <t>155.29.2061  скоба</t>
  </si>
  <si>
    <t>54.30.461  скоба</t>
  </si>
  <si>
    <t>155.29.638сб-А  труба</t>
  </si>
  <si>
    <t>155.29.2880-А  трубка</t>
  </si>
  <si>
    <t>172.04.105сб  трубка</t>
  </si>
  <si>
    <t>175.04.437  трубка</t>
  </si>
  <si>
    <t>L=970(1,01)</t>
  </si>
  <si>
    <t>172.73.007сб-1  кронштейн</t>
  </si>
  <si>
    <t>172.73.003-1 Кронштейн</t>
  </si>
  <si>
    <t>172.73.004 Боковина</t>
  </si>
  <si>
    <t>172.73.005 Боковина</t>
  </si>
  <si>
    <t>172.73.006 Накладка</t>
  </si>
  <si>
    <t>172.73.012сб  кронштейн</t>
  </si>
  <si>
    <t>172.73.023 Скоба</t>
  </si>
  <si>
    <t>172.73.025 Кронштейн</t>
  </si>
  <si>
    <t>172.73.026 Ребро</t>
  </si>
  <si>
    <t>172.73.027 Накладка</t>
  </si>
  <si>
    <t>172.73.028 Накладка</t>
  </si>
  <si>
    <t>172.18.158 Планка</t>
  </si>
  <si>
    <t>520.08.001 Наконечник 5,4</t>
  </si>
  <si>
    <t>емал ПФ-223 світлосіроголуба</t>
  </si>
  <si>
    <t>труба 25х2 ГОСТ8734 Сталь20 ГОСТ8733</t>
  </si>
  <si>
    <t>Перелік №1</t>
  </si>
  <si>
    <t>184.06.114  піддон</t>
  </si>
  <si>
    <t>184.06.118  щиток</t>
  </si>
  <si>
    <t>184.06.056сб  екран 1-й</t>
  </si>
  <si>
    <t>нема матер в СБ</t>
  </si>
  <si>
    <t>184.06.059сб  корпус першого екрану</t>
  </si>
  <si>
    <t>184.06.063сб  екран</t>
  </si>
  <si>
    <t>184.06.058-2  корпус екрану</t>
  </si>
  <si>
    <t>184.06.059-2  перегородка</t>
  </si>
  <si>
    <t>172.06.004сб-2  трос</t>
  </si>
  <si>
    <t>канат d=5 ГОСТ2172-80</t>
  </si>
  <si>
    <t>дріт d=1 ОЧ ГОСТ3282-74</t>
  </si>
  <si>
    <t>канат 5мм. Може інший цех робить</t>
  </si>
  <si>
    <t>172.04.282сб  опора</t>
  </si>
  <si>
    <t>172.04.781  планка</t>
  </si>
  <si>
    <t>172.04.782  опора</t>
  </si>
  <si>
    <t>175.04.537  скоба</t>
  </si>
  <si>
    <t>184.04.069сб  труба</t>
  </si>
  <si>
    <t>184.04.106  труба</t>
  </si>
  <si>
    <t>ДО ТЕХ.РОЗП 70-15Р  не роздруковував бо може не треба його</t>
  </si>
  <si>
    <t>Роздрукував 18.04.16р</t>
  </si>
  <si>
    <t>175.70.044  втулка</t>
  </si>
  <si>
    <t>520.08.002  наконечник</t>
  </si>
  <si>
    <t>труба 24х1 ГОСТ8734-75 Сталь10 ГОСТ8733-74</t>
  </si>
  <si>
    <t>155.32.035  прокладка</t>
  </si>
  <si>
    <t>155.32.034  кронштейн</t>
  </si>
  <si>
    <t>лист S=0,5 Сталь10кп ГОСТ16523-70</t>
  </si>
  <si>
    <t xml:space="preserve">труба </t>
  </si>
  <si>
    <t>Розпорядження №18-16р</t>
  </si>
  <si>
    <t>Доп. №4 до дод. №44 Тех.розп. №3</t>
  </si>
  <si>
    <t>Роздрукував 26.04.16р</t>
  </si>
  <si>
    <t>155.29.746сб  контейнер</t>
  </si>
  <si>
    <t>скло рідке</t>
  </si>
  <si>
    <t>натрій їдкий (сода каустична)</t>
  </si>
  <si>
    <t>нітрит натрію</t>
  </si>
  <si>
    <t>155.29.747сб  контейнер</t>
  </si>
  <si>
    <t>65.18.01.119  кільце</t>
  </si>
  <si>
    <t>лист S=3,5 А7 ГОСТ11069-74</t>
  </si>
  <si>
    <t>в міші в калькуляції вписав</t>
  </si>
  <si>
    <t>172.70.490  кришка</t>
  </si>
  <si>
    <t>172.87.109-1  кільце</t>
  </si>
  <si>
    <t>175.04.015сб  кронштейн</t>
  </si>
  <si>
    <t>175.04.250  кутник</t>
  </si>
  <si>
    <t>54.03.262  хомутик</t>
  </si>
  <si>
    <t>лист S=4 ГОСТ19903-74 Сталь15 ГОСТ1577-81</t>
  </si>
  <si>
    <t>лист S=4 АМг6БМ ГОСТ21631-76</t>
  </si>
  <si>
    <t>кутник 32х20х3 ГОСТ8510-72 Ст3сп  ГОСТ380-71</t>
  </si>
  <si>
    <t>176.31.050  фланець нижній</t>
  </si>
  <si>
    <t>лист S=5 Сталь40 ГОСТ1050-60</t>
  </si>
  <si>
    <t>175.04.034  опора</t>
  </si>
  <si>
    <t>лист S=3 ГОСТ19903-74 Сталь15 ГОСТ16523-70</t>
  </si>
  <si>
    <t>155.32.033А  пластина</t>
  </si>
  <si>
    <t>лист S=4 Сталь30ХГСА ГОСТ4543-61</t>
  </si>
  <si>
    <t>34.30.112  шайба</t>
  </si>
  <si>
    <t>лист S=2 Сталь15 ГОСТ1051-74</t>
  </si>
  <si>
    <t>Додаток №1 до Тех. Розп. №127</t>
  </si>
  <si>
    <t>Роздрукував 06.04.16р</t>
  </si>
  <si>
    <t>172.37.016сб  трубопровід</t>
  </si>
  <si>
    <t>почав писати 13.05.16</t>
  </si>
  <si>
    <t>172.37.035  труба</t>
  </si>
  <si>
    <t>L=400(450)</t>
  </si>
  <si>
    <t>172-2М.31.005сб  Патрубок</t>
  </si>
  <si>
    <t>172.60.288 трубка</t>
  </si>
  <si>
    <t>172.60.289  трубка</t>
  </si>
  <si>
    <t>172.60.290  трубка</t>
  </si>
  <si>
    <t>труба 10х1 ГОСТ8734-75 Сталь20 ГОСТ8733-7</t>
  </si>
  <si>
    <t>L=330(380)</t>
  </si>
  <si>
    <t>L=220(300)</t>
  </si>
  <si>
    <t>L=70(100)</t>
  </si>
  <si>
    <t>172.33.567-01  прокладка</t>
  </si>
  <si>
    <t>172.60.135сб  шлангове з'єднання</t>
  </si>
  <si>
    <t>рукав IЛ-6-19,0 ГОСТ6286-73</t>
  </si>
  <si>
    <t>172.32.185сб  шланг</t>
  </si>
  <si>
    <t>175.66.029сб  шланг</t>
  </si>
  <si>
    <t>175.32.080сб  шлангове з'єднання</t>
  </si>
  <si>
    <t>175.32.068сб  труба</t>
  </si>
  <si>
    <t>175.32.218  трубка</t>
  </si>
  <si>
    <t>175.32.079сб  фланець</t>
  </si>
  <si>
    <t>175.32.219  патрубок</t>
  </si>
  <si>
    <t>шланг 2Т25-15 ТУ 005 280-76</t>
  </si>
  <si>
    <t>L=135(150)</t>
  </si>
  <si>
    <t>L=130(150)</t>
  </si>
  <si>
    <t>175.32.062сб  шлангове з'єднання</t>
  </si>
  <si>
    <t>172.32.137сб  наконечник</t>
  </si>
  <si>
    <t>175.32.072сб-1  шлангове з'днання</t>
  </si>
  <si>
    <t>шланг 2Т20-15 ТУ 005 280-76</t>
  </si>
  <si>
    <t>175.32.071сб-1  труба</t>
  </si>
  <si>
    <t>175.32.118-1  трубка</t>
  </si>
  <si>
    <t>L=163(250)</t>
  </si>
  <si>
    <t>175.32.040сб-2  шлангове з'єднання</t>
  </si>
  <si>
    <t>175.32.023сб-1  трубка</t>
  </si>
  <si>
    <t>175.32.053сб-1  трубка</t>
  </si>
  <si>
    <t xml:space="preserve">  175.32.085-1  патрубок</t>
  </si>
  <si>
    <t xml:space="preserve">  труба 25х1 ГОСТ8734-75 Сталь10 ГОСТ8733-74</t>
  </si>
  <si>
    <t xml:space="preserve">  175.32.096  патрубок</t>
  </si>
  <si>
    <t>L=75(150)</t>
  </si>
  <si>
    <t>175.32.045сб-2  трубка</t>
  </si>
  <si>
    <t>175.32.087  труба</t>
  </si>
  <si>
    <t>L=155(210)</t>
  </si>
  <si>
    <t>175.32.088-1  кронштейн</t>
  </si>
  <si>
    <t>175.31.017сб-1  шланг</t>
  </si>
  <si>
    <t>білила цинкові МА-15</t>
  </si>
  <si>
    <t>шланг 1Т48-15 ТУ005 280-76</t>
  </si>
  <si>
    <t>175.31.018сб-1  труба</t>
  </si>
  <si>
    <t>175.31.086-1  труба</t>
  </si>
  <si>
    <t>L=255(305)</t>
  </si>
  <si>
    <t>дріт d=1,2 Х18Н10Т</t>
  </si>
  <si>
    <t>175.31.068сб  патрубок</t>
  </si>
  <si>
    <t>175.31.198  патрубок</t>
  </si>
  <si>
    <t>труба 48х1,4 12Х18Н10Т ГОСТ 9941-81</t>
  </si>
  <si>
    <t>L=80(120)</t>
  </si>
  <si>
    <t>175.31.199  планка</t>
  </si>
  <si>
    <t>175.31.202  скоба</t>
  </si>
  <si>
    <t>лист S=2  Сталь15 ГОСТ16523-70</t>
  </si>
  <si>
    <t>175.31.019сб-1А  шланг</t>
  </si>
  <si>
    <t>175.31.020сб-1А  труба</t>
  </si>
  <si>
    <t>172.31.309  труба</t>
  </si>
  <si>
    <t>L=220(250)</t>
  </si>
  <si>
    <t>175.31.069сб  патрубок</t>
  </si>
  <si>
    <t>175.31.201А  патрубок</t>
  </si>
  <si>
    <t>L=100(200)</t>
  </si>
  <si>
    <t>175.31.253  планка</t>
  </si>
  <si>
    <t>175.31.055сб-1  шланг</t>
  </si>
  <si>
    <t>рукав 2Т8-85 ТУ005 280-76</t>
  </si>
  <si>
    <t>175.31.041сб-1  трубопровід</t>
  </si>
  <si>
    <t>175.31.056сб-2  трубка</t>
  </si>
  <si>
    <t>175.31.063-1  трубка</t>
  </si>
  <si>
    <t>175.31.119-1  трубка</t>
  </si>
  <si>
    <t>175.31.120-1  скоба</t>
  </si>
  <si>
    <t>труба 10х1 12Х18Н10Т ГОСТ9941-72</t>
  </si>
  <si>
    <t>L=180(200)</t>
  </si>
  <si>
    <t>L=70(80)</t>
  </si>
  <si>
    <t>175.31.146-2  трубка</t>
  </si>
  <si>
    <t>L=248(300)</t>
  </si>
  <si>
    <t>труба 10х2 12Х18Н10Т ГОСТ9941-72</t>
  </si>
  <si>
    <t>175.31.147-1  скоба</t>
  </si>
  <si>
    <t>172.34.054сб  шланг</t>
  </si>
  <si>
    <t>L=280(330)</t>
  </si>
  <si>
    <t>175.32.039сб-1  шлангове з'єднання</t>
  </si>
  <si>
    <t>рукав 2Т25-15 ТУ005 280-76</t>
  </si>
  <si>
    <t>L=630(680)</t>
  </si>
  <si>
    <t>175.32.026сб-1  трубка</t>
  </si>
  <si>
    <t>емал ПФ-115 коричнева</t>
  </si>
  <si>
    <t>175.32.084-1  трубка</t>
  </si>
  <si>
    <t>L=110(250)</t>
  </si>
  <si>
    <t>175.31.171-1  патрубок</t>
  </si>
  <si>
    <t>175.31.188-1  патрубок</t>
  </si>
  <si>
    <t>L=70(110)</t>
  </si>
  <si>
    <t>L=60(110)</t>
  </si>
  <si>
    <t>175.60.016сб-2А  трубопровід</t>
  </si>
  <si>
    <t>175.60.015-2  трубка</t>
  </si>
  <si>
    <t>175.60.016-2  трубка</t>
  </si>
  <si>
    <t>труба 8х1,4 ГОСТ8734-75 Сталь10 ГОСТ8733-74</t>
  </si>
  <si>
    <t>L=65(100)</t>
  </si>
  <si>
    <t>175.66.013сб-1  трубопровід</t>
  </si>
  <si>
    <t>175.66.048сб-1  трубопровід</t>
  </si>
  <si>
    <t>175.66.085  труба</t>
  </si>
  <si>
    <t>труба 18х1 ГОСТ8734-75 Сталь20 ГОСТ8733-74</t>
  </si>
  <si>
    <t>L=200(230)</t>
  </si>
  <si>
    <t>175.66.049сб-1  перехідник</t>
  </si>
  <si>
    <t>172.66.248  кронштейн</t>
  </si>
  <si>
    <t>172.66.106сб-А  трубопровід</t>
  </si>
  <si>
    <t>172.66.241-А  труба</t>
  </si>
  <si>
    <t>L=225(250)</t>
  </si>
  <si>
    <t>175.66.018сб-1  трубопровід</t>
  </si>
  <si>
    <t>175.66.050сб-1  труба</t>
  </si>
  <si>
    <t>175.66.102  шланг</t>
  </si>
  <si>
    <t>рукав 5М16-70 ТУ38-0051515-76</t>
  </si>
  <si>
    <t>175.66.005  труба</t>
  </si>
  <si>
    <t>труба 18х1 ГОСТ8734-75 Сталь10 ГОСТ8733-74</t>
  </si>
  <si>
    <t>L=95(200)</t>
  </si>
  <si>
    <t>172.33.207сб  трубопровід</t>
  </si>
  <si>
    <t>172.33.609  трубка</t>
  </si>
  <si>
    <t>175.33.308  патрубок</t>
  </si>
  <si>
    <t>175.33.172-трубка</t>
  </si>
  <si>
    <t>L=44(50)</t>
  </si>
  <si>
    <t>L=137(160)</t>
  </si>
  <si>
    <t>L=120(140)</t>
  </si>
  <si>
    <t>175.33.095сб-1  трубопровід</t>
  </si>
  <si>
    <t>175.33.304-1  трубка</t>
  </si>
  <si>
    <t>L=1280(1350)</t>
  </si>
  <si>
    <t>172.03.026сб  пробка з тросиком</t>
  </si>
  <si>
    <t>дріт d=0,5 ГОСТ3282-74</t>
  </si>
  <si>
    <t>172.35.037сб  монтаж трубопров. від нагнітача  до комепенсатора</t>
  </si>
  <si>
    <t>172.35.031сб  трубопровід</t>
  </si>
  <si>
    <t>172.35.087  трубка</t>
  </si>
  <si>
    <t>труба 12х1 ГОСТ8734-75 Сталь20 ГОСТ8733-74</t>
  </si>
  <si>
    <t>L=470(530)</t>
  </si>
  <si>
    <t>175.35.008сб-1  трубка</t>
  </si>
  <si>
    <t>175.35.019-1  трубка</t>
  </si>
  <si>
    <t>L=670(720)</t>
  </si>
  <si>
    <t>175.35.012сб-1  трубка</t>
  </si>
  <si>
    <t>175.35.009сб-1  трубка</t>
  </si>
  <si>
    <t>175.35.020-1  трубка</t>
  </si>
  <si>
    <t>L=700(750)</t>
  </si>
  <si>
    <t>175.35.024-1  трубка</t>
  </si>
  <si>
    <t>L=560(600)</t>
  </si>
  <si>
    <t>175.35.013сб  трубопровід</t>
  </si>
  <si>
    <t>175.35.028  трубка</t>
  </si>
  <si>
    <t>175.35.029  патрубок</t>
  </si>
  <si>
    <t>175.35.030  трубка</t>
  </si>
  <si>
    <t>L=315(330)</t>
  </si>
  <si>
    <t>L=74(80)</t>
  </si>
  <si>
    <t>L=575(600)</t>
  </si>
  <si>
    <t>дріт КО d=1,2</t>
  </si>
  <si>
    <t>шланг 40У12-13 ТУ005-6016-80</t>
  </si>
  <si>
    <t>175.35.033  шайба</t>
  </si>
  <si>
    <t>172.34сб-4  монтаж повітроочисника</t>
  </si>
  <si>
    <t>172.34.057сб-1  щиток</t>
  </si>
  <si>
    <t>172.34.226-1  прокладка</t>
  </si>
  <si>
    <t>172.34.229-1  щиток</t>
  </si>
  <si>
    <t>тканина азбестова АТ-4 1-й сорт ГОСТ6102-67</t>
  </si>
  <si>
    <t>лист S=0,5 СТК-1 ГОСТ17715-72</t>
  </si>
  <si>
    <t>172.34.059сб-1  клапан правий</t>
  </si>
  <si>
    <t>білила цинкові густотерті МА-011-1</t>
  </si>
  <si>
    <t>172.34.061сб-1  корпус клапана правого</t>
  </si>
  <si>
    <t xml:space="preserve">  172.34.231  патрубок</t>
  </si>
  <si>
    <t xml:space="preserve">  труба 48х1,5 ГОСТ8734-75 Сталь10 ГОСТ8733-74</t>
  </si>
  <si>
    <t>L=50(65)</t>
  </si>
  <si>
    <t xml:space="preserve">  172.34.245  патрубок</t>
  </si>
  <si>
    <t>L=45(60)</t>
  </si>
  <si>
    <t xml:space="preserve">  172.34.246  патрубок</t>
  </si>
  <si>
    <t xml:space="preserve">  175.34.056  обечайка</t>
  </si>
  <si>
    <t xml:space="preserve">  лист S=1,5 Сталь15 ГОСТ16523-70</t>
  </si>
  <si>
    <t xml:space="preserve">  175.34.057  донишко</t>
  </si>
  <si>
    <t xml:space="preserve">  лист S=1,5 Сталь10кп ГОСТ16523-70</t>
  </si>
  <si>
    <t xml:space="preserve">  175.34.088  донишко</t>
  </si>
  <si>
    <t>172.34.065сб  пробка</t>
  </si>
  <si>
    <t>172.34.243  трубка</t>
  </si>
  <si>
    <t>труба 8х1 М2-М ГОСТ617-72</t>
  </si>
  <si>
    <t>L=25(35)</t>
  </si>
  <si>
    <t>172.34.067сб  кронштейн</t>
  </si>
  <si>
    <t>155.29.447сб  кронштейн</t>
  </si>
  <si>
    <t xml:space="preserve">  155.29.2075  накладка</t>
  </si>
  <si>
    <t xml:space="preserve">  лист S=5 Сталь15 ГОСТ1577-70</t>
  </si>
  <si>
    <t>176.34.007сб-1  клапан лівий</t>
  </si>
  <si>
    <t>176.34.008сб-1  корпус клапана</t>
  </si>
  <si>
    <t xml:space="preserve">  176.34.010-1  патрубок</t>
  </si>
  <si>
    <t xml:space="preserve">  176.34.016  накладка</t>
  </si>
  <si>
    <t xml:space="preserve">  175.34.059  патрубок</t>
  </si>
  <si>
    <t>L=210(300)</t>
  </si>
  <si>
    <t>175.34.050  кришка</t>
  </si>
  <si>
    <t>175.34.053  заслонка</t>
  </si>
  <si>
    <t>лист S=1,5 Сталь12Х18Н10Т ГОСТ5632-72</t>
  </si>
  <si>
    <t>176.34.018сб  щиток</t>
  </si>
  <si>
    <t>175.34.110  планка</t>
  </si>
  <si>
    <t>172.34.080  накладка</t>
  </si>
  <si>
    <t>172.34.225-01  проставка</t>
  </si>
  <si>
    <t>172.34.225-02  проставка</t>
  </si>
  <si>
    <t>172.34.225-03  проставка</t>
  </si>
  <si>
    <t>172.34.225-04  проставка</t>
  </si>
  <si>
    <t>172.34.225-05  проставка</t>
  </si>
  <si>
    <t>172.34.225-06  проставка</t>
  </si>
  <si>
    <t>труба 48х1,5 ГОСТ8734-75 Сталь10 ГОСТ8733-74</t>
  </si>
  <si>
    <t>L=15(25)</t>
  </si>
  <si>
    <t>L=20(30)</t>
  </si>
  <si>
    <t>L=30(40)</t>
  </si>
  <si>
    <t>L=35(45)</t>
  </si>
  <si>
    <t>L=40(50)</t>
  </si>
  <si>
    <t>Рукав 40У48-3 ТУ0056016-80</t>
  </si>
  <si>
    <t>Рукав 40У142-1 ТУ0056016-80</t>
  </si>
  <si>
    <t>176.34.015сб  сітка</t>
  </si>
  <si>
    <t>сольвет</t>
  </si>
  <si>
    <t>176.34.029  сітка</t>
  </si>
  <si>
    <t>сітка 4,5-0,9 12Х18Н10Т ГОСТ3826-82</t>
  </si>
  <si>
    <t>176.34.016сб  сітка</t>
  </si>
  <si>
    <t>176.34.031  сітка</t>
  </si>
  <si>
    <t>172.33.011сб-4  клапан випуску повітря</t>
  </si>
  <si>
    <t>175.33.079сб-3  корпус клапана</t>
  </si>
  <si>
    <t>клей БФ-4</t>
  </si>
  <si>
    <t>175.33.236-2  патрубок</t>
  </si>
  <si>
    <t>175.33.237-1  патрубок</t>
  </si>
  <si>
    <t>L=150(200)</t>
  </si>
  <si>
    <t>175.33.187сб  клапан зворотній</t>
  </si>
  <si>
    <t>175.32.073сб  монтаж шланга і датчика манометра</t>
  </si>
  <si>
    <t>175.32.078сб  труба</t>
  </si>
  <si>
    <t>175.32.195  труба</t>
  </si>
  <si>
    <t>L=385(410)</t>
  </si>
  <si>
    <t>177.77.009сб  кабель №5</t>
  </si>
  <si>
    <t>дріт КО d=0,5 ГОСТ792-67</t>
  </si>
  <si>
    <t>172.32.148сб-1  фільтр масляний трансмісії</t>
  </si>
  <si>
    <t>172.32.149сб  клапан</t>
  </si>
  <si>
    <t>10.1</t>
  </si>
  <si>
    <t>172.32.156сб  корпус фільтра</t>
  </si>
  <si>
    <t>10.2</t>
  </si>
  <si>
    <t>172.32.191сб  клапан перепускний</t>
  </si>
  <si>
    <t>10.3</t>
  </si>
  <si>
    <t>172.32.158сб  елемент фільтруючий</t>
  </si>
  <si>
    <t>10.4</t>
  </si>
  <si>
    <t>172.32.157сб-1  кришка фільтру</t>
  </si>
  <si>
    <t xml:space="preserve">  172.32.159сб  стяжка</t>
  </si>
  <si>
    <t xml:space="preserve">  172.32.160сб  ручка</t>
  </si>
  <si>
    <t>видалити загальну норму яка є</t>
  </si>
  <si>
    <t>залишити загальну норму</t>
  </si>
  <si>
    <t>дріт КО d= 1,2 ГОСТ792-67</t>
  </si>
  <si>
    <t>немає ніяких матеріалів</t>
  </si>
  <si>
    <t>Роздрукував 18.05.16р</t>
  </si>
  <si>
    <t>175.32.154  скоба</t>
  </si>
  <si>
    <t>міша дав рахуати по актах диф. Замовлення 322</t>
  </si>
  <si>
    <t>лист S=3 Сталь15 ГОСТ016523-70</t>
  </si>
  <si>
    <t>176.02.011  планка</t>
  </si>
  <si>
    <t>Роздрукував 19.05.16р</t>
  </si>
  <si>
    <t>172.04.576  лист полки задній</t>
  </si>
  <si>
    <t>лист S=4 ГОСТ19903-74 Сталь 15 ГОСТ1577-70</t>
  </si>
  <si>
    <t>175.04.067-4  коробка ліва</t>
  </si>
  <si>
    <t>175.04.107-Б  кутник</t>
  </si>
  <si>
    <t>кутник 32х32х4 Сталь спеціальна</t>
  </si>
  <si>
    <t>5,15м</t>
  </si>
  <si>
    <t>251.20.01сб  ланцюжок</t>
  </si>
  <si>
    <t>251.20.11 звено, ланка (ланцюжок)</t>
  </si>
  <si>
    <t>65Е.П.1544.00.07  шайба</t>
  </si>
  <si>
    <t>лист S=2 ГОСТ19903-74 Ст3</t>
  </si>
  <si>
    <t>65Е.П.1544.00.06  лист</t>
  </si>
  <si>
    <t>65Е.П.1546.10.02  скоба верхня</t>
  </si>
  <si>
    <t>65Е.П.1546.10.03  скоба нижня</t>
  </si>
  <si>
    <t>лист S=4 ГОСТ19903-74 Ст3</t>
  </si>
  <si>
    <t>65Е.П.1546.11.02  вухо тяги лівої</t>
  </si>
  <si>
    <t>65Е.П.1546.12.02  вухо</t>
  </si>
  <si>
    <t>Тех. Розп. №127-16</t>
  </si>
  <si>
    <t>Роздрукував 31.05.2016р</t>
  </si>
  <si>
    <t>175.04.276-1  опора</t>
  </si>
  <si>
    <t>175.04.101сб-1  Кронштейн</t>
  </si>
  <si>
    <t>54.27.013-1  вушко</t>
  </si>
  <si>
    <t>54.29.727  планка</t>
  </si>
  <si>
    <t>мастило графітне Усс-А ГОСТ 3333-80</t>
  </si>
  <si>
    <t>Роздрукував 15.06.2016р</t>
  </si>
  <si>
    <t>172.30.005сб-1 щиток</t>
  </si>
  <si>
    <t>лак термостійкий КО-815</t>
  </si>
  <si>
    <t>пудра алюмінієва ПАП-1 або ПАК-3</t>
  </si>
  <si>
    <t>172.30.019-1  лист</t>
  </si>
  <si>
    <t>172-2М.30.003  лист</t>
  </si>
  <si>
    <t>172-2М.30.005  лист азбестовий</t>
  </si>
  <si>
    <t>картон азбестовий КАОН-1 ГОСТ2850-75</t>
  </si>
  <si>
    <t>172.30.006сб-1  кронштейн</t>
  </si>
  <si>
    <t>172.30.020-1А  кронштейн</t>
  </si>
  <si>
    <t>172.30.021  планка</t>
  </si>
  <si>
    <t>лист S=1 ГОСТ19903-74 Сталь15 ГОСТ16523-70</t>
  </si>
  <si>
    <t>172.30.007сб-1  кронштейн</t>
  </si>
  <si>
    <t>дріт D=1,2 СВ08Г2С</t>
  </si>
  <si>
    <t>172.30.022-1  кронштейн</t>
  </si>
  <si>
    <t>лист S=3 ГОСТ 19903-74 Сталь10кп ГОСТ 1652370</t>
  </si>
  <si>
    <t>172.31.109сб  труба</t>
  </si>
  <si>
    <t>172.31.352  труба (б/ч)</t>
  </si>
  <si>
    <t>труба 25х1,5 12Х18Н10Т ГОСТ9941-72</t>
  </si>
  <si>
    <t>L=820(900)</t>
  </si>
  <si>
    <t>172.34.062сб-1  труба права</t>
  </si>
  <si>
    <t>172.34.247  накладка</t>
  </si>
  <si>
    <t>172.04.285сб  кронштейн</t>
  </si>
  <si>
    <t>172.04.786  кронштейн</t>
  </si>
  <si>
    <t>лист S=4 ГОСТ 19903-74 Сталь15 ГОСТ 1577-70</t>
  </si>
  <si>
    <t>175.33.081сб  корпус штуцера</t>
  </si>
  <si>
    <t>175.33.239-1  патрубок</t>
  </si>
  <si>
    <t>L=90(110)</t>
  </si>
  <si>
    <t>175.74.005  щиток</t>
  </si>
  <si>
    <t>172.74.355  скоба</t>
  </si>
  <si>
    <t>лист S=0,8 Сталь10кп ГОСТ16523-70</t>
  </si>
  <si>
    <t>Роздрукував 21.06.2016р</t>
  </si>
  <si>
    <t>по Мішиних актах диф.</t>
  </si>
  <si>
    <t>172.34.235-1  труба права</t>
  </si>
  <si>
    <t>176.32.005сб-1  труба</t>
  </si>
  <si>
    <t>сольвлент</t>
  </si>
  <si>
    <t>176.32.006сб  патрубок</t>
  </si>
  <si>
    <t>176.32.013  трубка</t>
  </si>
  <si>
    <t>176.32.012-1  труба</t>
  </si>
  <si>
    <t>175.32.166  накладка</t>
  </si>
  <si>
    <t>труба 20х1 ГОСТ8734-75 сталь20 ГОСТ8733-74</t>
  </si>
  <si>
    <t>L=100(120)</t>
  </si>
  <si>
    <t>труба 38х1,5 ГОСТ8734-75 Сталь10 ГОСТ8733-74</t>
  </si>
  <si>
    <t>L=(500)</t>
  </si>
  <si>
    <t>176.34.003сб-1  труба ліва</t>
  </si>
  <si>
    <t>176.34.001-1  труба ліва</t>
  </si>
  <si>
    <t>176.34.005  накладка</t>
  </si>
  <si>
    <t>L=860(940)</t>
  </si>
  <si>
    <t>176.34.006сб  патрубок</t>
  </si>
  <si>
    <t>176.34.004  патрубок</t>
  </si>
  <si>
    <t>L=(120)</t>
  </si>
  <si>
    <t>176.34.009сб  патрубок</t>
  </si>
  <si>
    <t>176.34.013  патрубок</t>
  </si>
  <si>
    <t>L=160(190)</t>
  </si>
  <si>
    <t>175.31.034сб-1  шлангове з'єднання</t>
  </si>
  <si>
    <t>рукав 2У16-15 ТУ 005280-76</t>
  </si>
  <si>
    <t>175.31.035сб-1  фланець</t>
  </si>
  <si>
    <t>175.31.256  трубка</t>
  </si>
  <si>
    <t>труба 18х2 12Х18Н10Т ГОСТ9941-81</t>
  </si>
  <si>
    <t>175.31.038сб-1  патрубок</t>
  </si>
  <si>
    <t>175.31.063сб-2  трубка</t>
  </si>
  <si>
    <t>175.31.061сб-3  трубка</t>
  </si>
  <si>
    <t>175.31.125-3  трубка</t>
  </si>
  <si>
    <t>труба 14х1 12Х18Н10Т ГОСТ9941-72</t>
  </si>
  <si>
    <t>L=1320(1400)</t>
  </si>
  <si>
    <t>175.31.165-1  трубка</t>
  </si>
  <si>
    <t>труба 12х1 12Х18Н10Т ГОСТ9941-72</t>
  </si>
  <si>
    <t>L=54(70)</t>
  </si>
  <si>
    <t>175.32.028сб-2  шлангове з'єднання</t>
  </si>
  <si>
    <t>рукав 2Т12-15 або ТУ12-15 ТУ005 280-76</t>
  </si>
  <si>
    <t>L=235(250)</t>
  </si>
  <si>
    <t>175.32.030сб-3  трубка</t>
  </si>
  <si>
    <t>175.32.024-3  труба</t>
  </si>
  <si>
    <t>L=1210(1260)</t>
  </si>
  <si>
    <t>175.32.038сб  труба до двигуна</t>
  </si>
  <si>
    <t>172.32.104  патрубок</t>
  </si>
  <si>
    <t>труба 25х1 ГОСТ8434-75 Сталь10 ГОСТ8733-74</t>
  </si>
  <si>
    <t>L=?(150)</t>
  </si>
  <si>
    <t>175.32.066сб  щиток</t>
  </si>
  <si>
    <t>грнут АК-070</t>
  </si>
  <si>
    <t>175.32.108-1  щиток</t>
  </si>
  <si>
    <t>175.32.109-1  прокладка</t>
  </si>
  <si>
    <t>лист s=1 пароніт ГОСТ481-71</t>
  </si>
  <si>
    <t>175.61.004сб  кронштейн</t>
  </si>
  <si>
    <t>мастило Ціатім 201</t>
  </si>
  <si>
    <t>175.61.010сб  кронштейн</t>
  </si>
  <si>
    <t>432.32.163</t>
  </si>
  <si>
    <t>432.32.164</t>
  </si>
  <si>
    <t>432.32.160</t>
  </si>
  <si>
    <t>лист S=0,5 Л63</t>
  </si>
  <si>
    <t>432.32.164  обойма</t>
  </si>
  <si>
    <t>432.32.160  обойма</t>
  </si>
  <si>
    <t>432.32.163  каркас сеції фільтру</t>
  </si>
  <si>
    <t>175.61.038  шайба</t>
  </si>
  <si>
    <t>175.61.021-2  кронштейн</t>
  </si>
  <si>
    <t>175.61.016сб-1  кронштейн</t>
  </si>
  <si>
    <t>175.61.023  серьга</t>
  </si>
  <si>
    <t>шплінт 1,5х12-001 ГОСТ397-68</t>
  </si>
  <si>
    <t>шт</t>
  </si>
  <si>
    <t>34.07.122  шайба</t>
  </si>
  <si>
    <t>54.01.005  прокладка</t>
  </si>
  <si>
    <t>54.01.004  прокладка</t>
  </si>
  <si>
    <t>лист S=0,25 бляха біла ГГЖК №25 ГОСТ17718-72</t>
  </si>
  <si>
    <t>54.01.010  прокладка</t>
  </si>
  <si>
    <t>54.01.012  прокладка</t>
  </si>
  <si>
    <t>54.01.013  прокладка</t>
  </si>
  <si>
    <t>54.01.016  шайба</t>
  </si>
  <si>
    <t>лист S=3 Сталь40 ГОСТ1050-60</t>
  </si>
  <si>
    <t>54.01.017  прокладка</t>
  </si>
  <si>
    <t>лист S=0,15 Сталь10кп ГОСТ16523-70</t>
  </si>
  <si>
    <t>175.41.011сб  кришка</t>
  </si>
  <si>
    <t>175.41.065  труба</t>
  </si>
  <si>
    <t>труба 14х1 ГОСТ8734-75 Сталь20 ГОСТ8733-74</t>
  </si>
  <si>
    <t>L=60(70)</t>
  </si>
  <si>
    <t>166.40.053  кільце пружинне</t>
  </si>
  <si>
    <t>175.41.099  заглушка</t>
  </si>
  <si>
    <t>лист S=2 Сталь15 ГОСТ16523-89</t>
  </si>
  <si>
    <t>лист S=2 30ХГСА ГОСТ11269-76</t>
  </si>
  <si>
    <t>Доповнення №1 до Розпорядження №18-2016р</t>
  </si>
  <si>
    <t>Роздрукував 24.06.16Р</t>
  </si>
  <si>
    <t>175.02.509</t>
  </si>
  <si>
    <t>327-107-1  замок пластинчастий</t>
  </si>
  <si>
    <t xml:space="preserve">лист S=1 Сталь08кп </t>
  </si>
  <si>
    <t>305-53  прокладка</t>
  </si>
  <si>
    <t>лист S=0,5 М3</t>
  </si>
  <si>
    <t>20-01-121-3  прокладка</t>
  </si>
  <si>
    <t>лист S=1 пароніт ПОН ГОСТ481-80</t>
  </si>
  <si>
    <t>65.20-06-89  прокладка під фланець</t>
  </si>
  <si>
    <t>лист S=2 пароніт ПОН ГОСТ481-80</t>
  </si>
  <si>
    <t>лист S=2 М2 ГОСТ859-78</t>
  </si>
  <si>
    <t>65.20-27-314  кільце ущільнююче</t>
  </si>
  <si>
    <t>Замовлення №322 БРЕМ-1 (деталі з Т-72)</t>
  </si>
  <si>
    <t>175.70.124сб-1  кожух верхній</t>
  </si>
  <si>
    <t>заклепка 3х6.37.10 ГОСТ10299-80</t>
  </si>
  <si>
    <t>заклепка 3х8.37.10 ГОСТ10299-80</t>
  </si>
  <si>
    <t>заклепка 5х36.37.10 ГОСТ10299-80</t>
  </si>
  <si>
    <t>заклепка 5х10.37.10 ГОСТ10299-80</t>
  </si>
  <si>
    <t>шуруп  1-3х18 ГОСТ1144-80</t>
  </si>
  <si>
    <t>175.70.063  скоба</t>
  </si>
  <si>
    <t>лист S=3 АМГ6БМ ГОСТ21631-76</t>
  </si>
  <si>
    <t>175.70.106-1  кожух верхній</t>
  </si>
  <si>
    <t>175.70.412  кутник</t>
  </si>
  <si>
    <t>лист S=2 Сталь15 ГОСТ1623-70</t>
  </si>
  <si>
    <t>172.74.409  скоба</t>
  </si>
  <si>
    <t>172.02.621-1  планка</t>
  </si>
  <si>
    <t>175.93.155  планка</t>
  </si>
  <si>
    <t>172.70.447  наконечник</t>
  </si>
  <si>
    <t>-</t>
  </si>
  <si>
    <t>175.70.025  наконечник</t>
  </si>
  <si>
    <t>432.70.622  наконечник</t>
  </si>
  <si>
    <t>520.08.002-01  наконечник 10х8,5</t>
  </si>
  <si>
    <t>175.87.028сб  кронштейн</t>
  </si>
  <si>
    <t>175.87.054  кронштейн</t>
  </si>
  <si>
    <t>175.87.055  ребро</t>
  </si>
  <si>
    <t>лист S=3 Сталь15</t>
  </si>
  <si>
    <t>175.87.065сб  коробка</t>
  </si>
  <si>
    <t>лист S=2 фібра листова КГФ</t>
  </si>
  <si>
    <t>34.03.461 кільце</t>
  </si>
  <si>
    <t>172.18.383  планка</t>
  </si>
  <si>
    <t>172.70.336-А  кронштейн</t>
  </si>
  <si>
    <t>54.26.515  прокладка</t>
  </si>
  <si>
    <t>172.74.277-3  кожух</t>
  </si>
  <si>
    <t>175.37.046  скоба</t>
  </si>
  <si>
    <t>520.07.004-10 шайба</t>
  </si>
  <si>
    <t>лист S=1,5 Сталь15</t>
  </si>
  <si>
    <t>172.64.028сб-1  плита</t>
  </si>
  <si>
    <t>434.01.228  кришка</t>
  </si>
  <si>
    <t>лист S=3,9 Сталь20</t>
  </si>
  <si>
    <t>129-2016р</t>
  </si>
  <si>
    <t>175.70.113сб  кронштейн</t>
  </si>
  <si>
    <t>176.33.026сб-1  труба</t>
  </si>
  <si>
    <t>труба 12х1  сталь20</t>
  </si>
  <si>
    <t>172.18.048сбА  кожух</t>
  </si>
  <si>
    <t>розчининк 648</t>
  </si>
  <si>
    <t>дріт d=1,2 СВАМг6</t>
  </si>
  <si>
    <t>175.33.086сб  трубка</t>
  </si>
  <si>
    <t>труба 12х1 Сталь20</t>
  </si>
  <si>
    <t>172.04.599  ребро праве</t>
  </si>
  <si>
    <t>172.10.189сб  підвіска</t>
  </si>
  <si>
    <t>434.20.035-1  щиток</t>
  </si>
  <si>
    <t>172.71.159  кронштейн</t>
  </si>
  <si>
    <t>172.83.255  трубка</t>
  </si>
  <si>
    <t>175.82.104  скоба</t>
  </si>
  <si>
    <t>175.82.103  скоба</t>
  </si>
  <si>
    <t>лист S=3 Ст3</t>
  </si>
  <si>
    <t>172.70.461  щиток</t>
  </si>
  <si>
    <t>172.74.403-1  кожух</t>
  </si>
  <si>
    <t>лист S=0,8 Сталь08кп</t>
  </si>
  <si>
    <t>155.02.516  скоба</t>
  </si>
  <si>
    <t>лист S=0,8 СтальСТК-1</t>
  </si>
  <si>
    <t>172.70.003  прокладка</t>
  </si>
  <si>
    <t>172.70.005  прокладка</t>
  </si>
  <si>
    <t>172.70.004  прокладка</t>
  </si>
  <si>
    <t>172.70.230  прокладка</t>
  </si>
  <si>
    <t>172-2М.02.031  каркас</t>
  </si>
  <si>
    <t>лист S=1,5 сталь08кп</t>
  </si>
  <si>
    <t>172-2М.02.029  каркас</t>
  </si>
  <si>
    <t>172-2М.02.033  каркас</t>
  </si>
  <si>
    <t>33-2012</t>
  </si>
  <si>
    <t>172.31.119сб  наконечник</t>
  </si>
  <si>
    <t>172.31.379  шайба</t>
  </si>
  <si>
    <t>лист S=1,5 ГОСТ19903-74 12Х18Н10Т ГОСТ5582-75</t>
  </si>
  <si>
    <t>155.58.45сб  прокладка</t>
  </si>
  <si>
    <t>155.58.138  прокладка</t>
  </si>
  <si>
    <t>155.58.139  накладка</t>
  </si>
  <si>
    <t>155.58.140  накладка</t>
  </si>
  <si>
    <t>картон азбестовий КАОН-1 S=3 ГОСТ2850-75</t>
  </si>
  <si>
    <t>лист S=0,3 М3 ГОСТ1173-77</t>
  </si>
  <si>
    <t>поставити відмітку без норм</t>
  </si>
  <si>
    <t>175.32.157  карман</t>
  </si>
  <si>
    <t>175.31.136-1  кронштейн</t>
  </si>
  <si>
    <t>434.91.234  вушко</t>
  </si>
  <si>
    <t>20-06-77  прокладка</t>
  </si>
  <si>
    <t>лист S=1,5 пароніт ПОН ГОСТ481-80</t>
  </si>
  <si>
    <t>155.38.326  планка</t>
  </si>
  <si>
    <t>175.91.103сб  кільце</t>
  </si>
  <si>
    <t>172.91.594  накладка</t>
  </si>
  <si>
    <t>175.91.233  кільце</t>
  </si>
  <si>
    <t>дріт D=4 ГОСТ9389-75</t>
  </si>
  <si>
    <t>54.05.354  трубка</t>
  </si>
  <si>
    <t>Роздрукував 01.07.16р</t>
  </si>
  <si>
    <t>175.31.345-1  трубка</t>
  </si>
  <si>
    <t>емаль ПФ-115 сіро-голуба</t>
  </si>
  <si>
    <t>лист S=3 Л63 М3 ГОСТ931-78</t>
  </si>
  <si>
    <t>лист S=4 Л63М ГОСТ931-70</t>
  </si>
  <si>
    <t>лист S=3 Л63 ГОСТ931-78</t>
  </si>
  <si>
    <t>54.04.311  скоба</t>
  </si>
  <si>
    <t>лист S=3 Сталь15 ГОСТ15623-70</t>
  </si>
  <si>
    <t>лист S=4 Сталь15 ГОСТ15623-70</t>
  </si>
  <si>
    <t>лист S=6 Сталь15  ГОСТ15623-70</t>
  </si>
  <si>
    <t>дріт d=2-0-4 ГОСТ3282-74</t>
  </si>
  <si>
    <t>175.87.166  коробка</t>
  </si>
  <si>
    <t>лист S=1,5 ГОСТ19904-74 Сталь15 ГОСТ16523-70</t>
  </si>
  <si>
    <t>175.87.174  планка</t>
  </si>
  <si>
    <t>175.87.175  планка</t>
  </si>
  <si>
    <t>175.87.176  платик</t>
  </si>
  <si>
    <t>175.87.122-1</t>
  </si>
  <si>
    <t>175.87.167</t>
  </si>
  <si>
    <t>ЛКД / 5ц</t>
  </si>
  <si>
    <t>ЦИАТИМ-201 ГОСТ6267-74</t>
  </si>
  <si>
    <t>дріт d=0,5 ОЧ ГОСТ3282-74</t>
  </si>
  <si>
    <t>172.64.030сб-1  плита</t>
  </si>
  <si>
    <t>172.64.031сб  трос</t>
  </si>
  <si>
    <t>172.64.050  гайка</t>
  </si>
  <si>
    <t>172.64.051  гайка</t>
  </si>
  <si>
    <t>172.64.052  втулка</t>
  </si>
  <si>
    <t xml:space="preserve">172.64.072  ущільнення (ФТОРОПЛАСТ) </t>
  </si>
  <si>
    <t xml:space="preserve">172.64.073  ущільнення (ФТОРОПЛАСТ) </t>
  </si>
  <si>
    <t>172.94.035  оплетка тросу</t>
  </si>
  <si>
    <t>175.63.031  гайка</t>
  </si>
  <si>
    <t>54.19.034  втулка</t>
  </si>
  <si>
    <t>54.19.104  втулка</t>
  </si>
  <si>
    <t>172.64.036сб  трубка</t>
  </si>
  <si>
    <t>172.64.070  втулка</t>
  </si>
  <si>
    <t xml:space="preserve">  172.64.071  трубка (б-к)</t>
  </si>
  <si>
    <t xml:space="preserve">  труба 10х1 ГОСТ8734-75 Сталь20 ГОСТ8733-74</t>
  </si>
  <si>
    <t>54.19.104</t>
  </si>
  <si>
    <t>трубка Ф-4ДМ1 сорту 5х1 ГОСТ22056-76</t>
  </si>
  <si>
    <t>трубка ТВ-40-230-10 ГОСТ19034-73</t>
  </si>
  <si>
    <t>L=1,35(1,4)</t>
  </si>
  <si>
    <t>L=0,1(0,11)</t>
  </si>
  <si>
    <t>172.42.017  шайба</t>
  </si>
  <si>
    <t>172.02.203сб  чохол</t>
  </si>
  <si>
    <t>175.02.136сб  чохол</t>
  </si>
  <si>
    <t>175.02.258  труба</t>
  </si>
  <si>
    <t>175.02.259  донишко</t>
  </si>
  <si>
    <t>172.02.689  кутник</t>
  </si>
  <si>
    <t>труба 34х2 ГОСТ8734-75 Сталь20 ГОСТ8733-74</t>
  </si>
  <si>
    <t>кутник 32х20х4 ГОСТ8510-72 Ст3 ГОСТ535-79</t>
  </si>
  <si>
    <t>175.70.071  кронштейн</t>
  </si>
  <si>
    <t>лист S=2 Cталь15 ГОСТ16523-70</t>
  </si>
  <si>
    <t>176.33.030-1  труба</t>
  </si>
  <si>
    <t>L=190(205)</t>
  </si>
  <si>
    <t>172.18.279А  основа</t>
  </si>
  <si>
    <t>172.18.280  боковина</t>
  </si>
  <si>
    <t>172.18.281  боковина</t>
  </si>
  <si>
    <t>172.18.282А  боковина</t>
  </si>
  <si>
    <t>172.18.297-1  боковина</t>
  </si>
  <si>
    <t>172.18.322  боковина</t>
  </si>
  <si>
    <t>172.02.372-1  кутник</t>
  </si>
  <si>
    <t>кутник АМг6М ПР 111-9 ОСТ 190113-74</t>
  </si>
  <si>
    <t>175.33.264  трубка (б/ч)</t>
  </si>
  <si>
    <t>L=(820)</t>
  </si>
  <si>
    <t>лист S=3 ГОСТ19903-74 Сталь10кп  ГОСТ16523-70</t>
  </si>
  <si>
    <t>заклепка 5х10.37 ГОСТ10299-80</t>
  </si>
  <si>
    <t>172.10.428  планка</t>
  </si>
  <si>
    <t>172.10.429  крючок</t>
  </si>
  <si>
    <t>стрічка S=0,75 У7А-С ГОСТ2283-79</t>
  </si>
  <si>
    <t>дріт d=5-0-4  ГОСТ3282-74</t>
  </si>
  <si>
    <t>грунтовка ФЛ-03К</t>
  </si>
  <si>
    <t>лист S=2 ГОСТ19904-74 Сталь15 ГОСТ16523-70</t>
  </si>
  <si>
    <t>труба 10х2,5 ГОСТ8734-75 Сталь20 ГОСТ8733-74</t>
  </si>
  <si>
    <t>10х3.01.016 10/3 шайба ГОСТ6958-78</t>
  </si>
  <si>
    <t>175.37.063  скоба</t>
  </si>
  <si>
    <t>22х28 МН 4152-62 кільце м/а 22х28</t>
  </si>
  <si>
    <t>шнур азбестовий D=2,5 ГОСТ1779-83</t>
  </si>
  <si>
    <t>172.02.815  кутник</t>
  </si>
  <si>
    <t>кутник Пр. 111-9 АМг6 ОСТ1-92069-77</t>
  </si>
  <si>
    <t>54.12.059А  шайба</t>
  </si>
  <si>
    <t>172.18.048сб  кожух</t>
  </si>
  <si>
    <t>172.18.279  основа</t>
  </si>
  <si>
    <t>172.18.297  боковина</t>
  </si>
  <si>
    <t>172.18.282  боковина</t>
  </si>
  <si>
    <t>172.10.176сб  кронштейн для контейнерів</t>
  </si>
  <si>
    <t>172.10.403  фланець</t>
  </si>
  <si>
    <t>172.10.404  боковина права</t>
  </si>
  <si>
    <t>172.10.405  боковина ліва</t>
  </si>
  <si>
    <t>172.10.406  планка</t>
  </si>
  <si>
    <t>172.10.407  ребро</t>
  </si>
  <si>
    <t>166.36.27сб  очищувач</t>
  </si>
  <si>
    <t>166.36.032  оправа очищувача</t>
  </si>
  <si>
    <t>629.26.047  скоба</t>
  </si>
  <si>
    <t>лист S=1 Сталь08кп ГОСТ16523-70</t>
  </si>
  <si>
    <t>Вже дав плановому цей перелік</t>
  </si>
  <si>
    <t>175.34.033  щиток</t>
  </si>
  <si>
    <t xml:space="preserve">лист S=1 Сталь15 </t>
  </si>
  <si>
    <t>лист S=1,5 сталь15</t>
  </si>
  <si>
    <t>пластина 25 4313-4-1 Резина 583 ТУ005216-75</t>
  </si>
  <si>
    <t>175.70.307сб  щиток</t>
  </si>
  <si>
    <t>лист S=1,5 АМгБМ</t>
  </si>
  <si>
    <t>172.10.063сб-3  жолоб нижній</t>
  </si>
  <si>
    <t>Пластина 24 4311-2 Резина НО-68-1 ТУ005216-75</t>
  </si>
  <si>
    <t>172.10.164-3  жолоб нижній</t>
  </si>
  <si>
    <t>лист S=1 ГОСТ19904-90 Сталь10кп ГОСТ16523-79</t>
  </si>
  <si>
    <t>круг D=14 Сталь40</t>
  </si>
  <si>
    <t>круг D15 Сталь15</t>
  </si>
  <si>
    <t xml:space="preserve">шестигранник S=12 Сталь20 </t>
  </si>
  <si>
    <t xml:space="preserve">лист S=1,6 Сталь08кп </t>
  </si>
  <si>
    <t>175.34.004сб  касета нижня</t>
  </si>
  <si>
    <t>лист S=1,5 Ст3</t>
  </si>
  <si>
    <t>лист S=4 Ст3</t>
  </si>
  <si>
    <t>дріт d=4</t>
  </si>
  <si>
    <t>сітка 10-1-НУ ГОСТ3286-82</t>
  </si>
  <si>
    <t>дріт 0,25-о-с</t>
  </si>
  <si>
    <t>м.куб</t>
  </si>
  <si>
    <t>175.34.005сб  касета середня</t>
  </si>
  <si>
    <t>175.34.006сб  касета верхня</t>
  </si>
  <si>
    <t>155.26.489сб  обойма в зборі</t>
  </si>
  <si>
    <t>155.26.997  обойма</t>
  </si>
  <si>
    <t>круг d=9 Сталь15</t>
  </si>
  <si>
    <t>155.26.490  рамка в зборі</t>
  </si>
  <si>
    <t>дріт d=2 ОЧ ГОСТ3282-74</t>
  </si>
  <si>
    <t>155.26.998  накладка</t>
  </si>
  <si>
    <t>155.26.999  рамка</t>
  </si>
  <si>
    <t>155.26.1012  планка</t>
  </si>
  <si>
    <t>155.26.1013  прокладка</t>
  </si>
  <si>
    <t>2 шт</t>
  </si>
  <si>
    <t>175.01.025сб-1  перегородка</t>
  </si>
  <si>
    <t>175.01.101-1  лист перегородки</t>
  </si>
  <si>
    <t>175.01.220  планка</t>
  </si>
  <si>
    <t>155.26.490сб  рамка в зборі</t>
  </si>
  <si>
    <t>175.83.040сб  фільтр</t>
  </si>
  <si>
    <t>пластина 254311-2 резина НО-68-1 ТУ005216-75</t>
  </si>
  <si>
    <t>172.83.138  каркас фільтру</t>
  </si>
  <si>
    <t>172.83.139  кільце</t>
  </si>
  <si>
    <t>301-55  замок пластинчастий</t>
  </si>
  <si>
    <t>лист S=1 Сталь10кп</t>
  </si>
  <si>
    <t>АК150В-59  трубопровід</t>
  </si>
  <si>
    <t>АК150В-207  труба</t>
  </si>
  <si>
    <t>труба 10х1 М3 ГОСТ617-72</t>
  </si>
  <si>
    <t>L=(150)</t>
  </si>
  <si>
    <t>2А26.06-28  планка</t>
  </si>
  <si>
    <t>329-36-3А  пластина нажимна</t>
  </si>
  <si>
    <t>лист S=2 Д16АТ</t>
  </si>
  <si>
    <t>круг D=24 Сталь45</t>
  </si>
  <si>
    <t>емаль ПФ-115  жовта</t>
  </si>
  <si>
    <t>лист S=1 ГОСТ19903-74 Ст3 ГОСТ16523-74</t>
  </si>
  <si>
    <t>дріт d=0,5 КО ГОСТ792-67</t>
  </si>
  <si>
    <t>172.83.140  сітка</t>
  </si>
  <si>
    <t>сітка 3,20-1,20-1000НУ ГОСТ3826-82</t>
  </si>
  <si>
    <t>175.87.025сб-1  стелаж</t>
  </si>
  <si>
    <t>175.87.026сб-1  лента</t>
  </si>
  <si>
    <t>175.87.027сб-1  лента</t>
  </si>
  <si>
    <t>175.87.052-1  лента</t>
  </si>
  <si>
    <t>175.87.053-1  лента</t>
  </si>
  <si>
    <t>Гвинт М4-6gx12.46.016 ГОСТ 17473-72</t>
  </si>
  <si>
    <t>шестигранник S=14 Сталь15</t>
  </si>
  <si>
    <t>круг В=22 Ст40 ГОСТ1050</t>
  </si>
  <si>
    <t>круг В=14 Ст15,20 ГОСТ1050</t>
  </si>
  <si>
    <t>квадрат 15. Ст15,20 ГОСТ1050</t>
  </si>
  <si>
    <t>круг D=16 Ст15-20 ГОСТ1050</t>
  </si>
  <si>
    <t>лист S=0,25 ГГЖК№25 ТУ14-1-3470-82</t>
  </si>
  <si>
    <t>лист S=0,5 сталь СТК-1 ГОСТ17718-72</t>
  </si>
  <si>
    <t>лист S=1 сталь15 ГОСТ16523-70</t>
  </si>
  <si>
    <t>лист S=2 сталь15 ГОСТ16523-70</t>
  </si>
  <si>
    <t>4-2007 р. норма на СБ</t>
  </si>
  <si>
    <t>Зам. 4266</t>
  </si>
  <si>
    <t>Техімпекс</t>
  </si>
  <si>
    <t>Роздрукував 18.07.16р</t>
  </si>
  <si>
    <t>ТЕХІМПЕКС, загальні норми на виготовлення, детально норми вище є</t>
  </si>
  <si>
    <t>520.07.007-03  шайба 8,5х18х0,5</t>
  </si>
  <si>
    <t>520.07.003-03  шайба 10,5х18х1,5</t>
  </si>
  <si>
    <t>12х0,5.01.016  шайба ГОСТ11371-78</t>
  </si>
  <si>
    <t>12х2,5.01.016  шайба 11371-78</t>
  </si>
  <si>
    <t>лист S=0,5 Сталь15 ГОСТ16523-70</t>
  </si>
  <si>
    <t>лист S=0,5 Сталь08кп ГОСТ16523-70</t>
  </si>
  <si>
    <t>432.20.094-2  прокладка</t>
  </si>
  <si>
    <t>432.20.095-2  прокладка</t>
  </si>
  <si>
    <t>лист S=0,5 ХКБ ГОСТ3680-57 Сталь08кп ГОСТ16523-70</t>
  </si>
  <si>
    <t>лист S=1 ХКБ ГОСТ3680-57 Сталь10кп ГОСТ16523-70</t>
  </si>
  <si>
    <t>172.18.168  прокладка</t>
  </si>
  <si>
    <t>172.18.170  прокладка</t>
  </si>
  <si>
    <t>434.23.096  прокладка</t>
  </si>
  <si>
    <t>434.23.097  прокладка</t>
  </si>
  <si>
    <t>434.23.098  прокладка</t>
  </si>
  <si>
    <t>лента S=0,1 08кп-ОМ-3-НО ГОСТ503-81</t>
  </si>
  <si>
    <t>лист S=0,25 бляха біла №25 ГГЖК</t>
  </si>
  <si>
    <t>лист S=0,25 бляха біла №25 ГЖР ГОСТ13345-85</t>
  </si>
  <si>
    <t>лист S=0,5 ГОСТ19904-74 Сталь08кп ГОСТ16523-70</t>
  </si>
  <si>
    <t>432.17.073  прокладка регулювальна</t>
  </si>
  <si>
    <t>лента S=1 08кп ПН-3-НО ГОСТ503-81</t>
  </si>
  <si>
    <t>155.05.633  накладка</t>
  </si>
  <si>
    <t>175.33.350-1  скоба</t>
  </si>
  <si>
    <t>175.33.326-1  скоба</t>
  </si>
  <si>
    <t>175.82.011сб-2  трубопровід</t>
  </si>
  <si>
    <t>175.82.023-2  трубка</t>
  </si>
  <si>
    <t>520.15.002</t>
  </si>
  <si>
    <t>520.02.005 гайка</t>
  </si>
  <si>
    <t>175.82.019сб  трубка</t>
  </si>
  <si>
    <t>175.82.046  трубка</t>
  </si>
  <si>
    <t>L=910(1000)</t>
  </si>
  <si>
    <t>L=1165(1250)</t>
  </si>
  <si>
    <t>172.82.089сб  трубопровід</t>
  </si>
  <si>
    <t>L=1050(1100)</t>
  </si>
  <si>
    <t>172.82.088сб  трубка</t>
  </si>
  <si>
    <t>L=70(70)</t>
  </si>
  <si>
    <t>172.82.090сб  трубка</t>
  </si>
  <si>
    <t>172.82.205  трубка</t>
  </si>
  <si>
    <t>175.82.028сб-2  трубопровід</t>
  </si>
  <si>
    <t>175.82.071-3  трубка</t>
  </si>
  <si>
    <t>172.86.054сб  трубопровід</t>
  </si>
  <si>
    <t>155.38.314 ніпель</t>
  </si>
  <si>
    <t>432.60.056 ніпель</t>
  </si>
  <si>
    <t>175.86.017</t>
  </si>
  <si>
    <t>172.86.119  трубка</t>
  </si>
  <si>
    <t>172.86.120  трубка</t>
  </si>
  <si>
    <t>172.86.121  трубка</t>
  </si>
  <si>
    <t>труба 5х1 М3-М ГОСТ617-72</t>
  </si>
  <si>
    <t>L=240(280)</t>
  </si>
  <si>
    <t>520.07.006-04  шайба 12,5х22х1,5</t>
  </si>
  <si>
    <t>лист S=1,5 Сталь10кп ГОСТ16523-89</t>
  </si>
  <si>
    <t>20х2.01.016  шайба 11371-78</t>
  </si>
  <si>
    <t>лист S=2 Ст3 ГОСТ16523-70</t>
  </si>
  <si>
    <t>172.18.169  прокладка</t>
  </si>
  <si>
    <t>155.31.861  прокладка</t>
  </si>
  <si>
    <t>лист S=0,5 Ст3 ГОСТ380-60</t>
  </si>
  <si>
    <t>155.31.862  прокладка</t>
  </si>
  <si>
    <t>лист S=1 Ст3 ГОСТ380-60</t>
  </si>
  <si>
    <t>165.17.205  прокладка регулювальна</t>
  </si>
  <si>
    <t>165.17.204  прокладка регулювальна</t>
  </si>
  <si>
    <t>165.17.203  прокладка регулювальна</t>
  </si>
  <si>
    <t>лист S=0,25 лента10кп ОМ-НТ-3-НО ГОСТ503-71</t>
  </si>
  <si>
    <t>труба 6х1 М3-М ГОСТ617-72</t>
  </si>
  <si>
    <t>L=25(30)</t>
  </si>
  <si>
    <t>L=320(350)</t>
  </si>
  <si>
    <t>155.04.98сб  прокладка</t>
  </si>
  <si>
    <t>155.04.348  прокладка</t>
  </si>
  <si>
    <t>155.04.349  оболонка</t>
  </si>
  <si>
    <t>155.04.350  оболонка</t>
  </si>
  <si>
    <t>картон азбестовий S=3 КАОН-1 ГОСТ2850-75</t>
  </si>
  <si>
    <t>лист S=0,15 М3 ГОСТ859-66</t>
  </si>
  <si>
    <t>лист S=0,3 М3 ГОСТ859-66</t>
  </si>
  <si>
    <t>33-2000</t>
  </si>
  <si>
    <t>172-2М.32.004сб</t>
  </si>
  <si>
    <t>без норм</t>
  </si>
  <si>
    <t>рукав 2М25-15 ТУ380051515-76</t>
  </si>
  <si>
    <t>34-1998</t>
  </si>
  <si>
    <t>172-2М.32.005сб  труба</t>
  </si>
  <si>
    <t>172-2М.32.008  кронштейн</t>
  </si>
  <si>
    <t>175.32.090-2А  труба</t>
  </si>
  <si>
    <t>L=275(330)</t>
  </si>
  <si>
    <t>175.32.025сб  труба</t>
  </si>
  <si>
    <t>175.32.032сб  трубка</t>
  </si>
  <si>
    <t xml:space="preserve">  175.32.095  патрубок</t>
  </si>
  <si>
    <t xml:space="preserve">  172.32.068-3  патрубок</t>
  </si>
  <si>
    <t>L=85(110)</t>
  </si>
  <si>
    <t>155.06.16сб  прокладка</t>
  </si>
  <si>
    <t>155.06.011  прокладка</t>
  </si>
  <si>
    <t>155.06.012  оболонка</t>
  </si>
  <si>
    <t>155.06.013  оболонка</t>
  </si>
  <si>
    <t>картон азбестовий S=3,5 КАОН-1 ГОСТ2850-75</t>
  </si>
  <si>
    <t>3-2000</t>
  </si>
  <si>
    <t>172.60.151сб  клапан</t>
  </si>
  <si>
    <t>ЦИАТИМ 201 ГОСТ6267-74</t>
  </si>
  <si>
    <t>дріт КО d=1,2  ГОСТ792-67</t>
  </si>
  <si>
    <t>172.60.156сб  корпус</t>
  </si>
  <si>
    <t>176.31.034сб-А  патрубок</t>
  </si>
  <si>
    <t>172.94.111  язичок замка</t>
  </si>
  <si>
    <t>5.01 Шайба ГОСТ11371-78</t>
  </si>
  <si>
    <t>лист S=1 Сталь08кп ГОСТ1050-88</t>
  </si>
  <si>
    <t>175.31.045сб-2А  лента кріплення радіатора</t>
  </si>
  <si>
    <t>емаль ПФ-115темно-сіра</t>
  </si>
  <si>
    <t>172.31.125-1А  лента</t>
  </si>
  <si>
    <t>лист S=2 ГОСТ5582-75 Сталь12Х18Н10Т ГОСТ5632-72</t>
  </si>
  <si>
    <t>172.31.287  кільце</t>
  </si>
  <si>
    <t>дріт D=6 Сталь08Х21Н10Г6 ГОСТ2246-70</t>
  </si>
  <si>
    <t>17-2003</t>
  </si>
  <si>
    <t>4ц</t>
  </si>
  <si>
    <t>175.31.046сб-1А  стрічка кріплення радіатора</t>
  </si>
  <si>
    <t>155.05.237сб  сітка в зборі</t>
  </si>
  <si>
    <t>155.05.884  сітка</t>
  </si>
  <si>
    <t>155.05.893  шайба</t>
  </si>
  <si>
    <t>сітка Л80 №5 ГОСТ6613-73</t>
  </si>
  <si>
    <t>лист S=0,18 Л63 ГОСТ2208-70</t>
  </si>
  <si>
    <t>15-2011</t>
  </si>
  <si>
    <t>172.37.018сб  шлангове з'єднання</t>
  </si>
  <si>
    <t>шланг 2У12-15 ТУ 005280-76</t>
  </si>
  <si>
    <t>175.37.012сб-3  труба</t>
  </si>
  <si>
    <t>175.37.022-3  трубка</t>
  </si>
  <si>
    <t>L=450(500)</t>
  </si>
  <si>
    <t>25-2012</t>
  </si>
  <si>
    <t>Роздрукував 2.07.2016р</t>
  </si>
  <si>
    <t>175.34.047сб  хомутик</t>
  </si>
  <si>
    <t>пудра алюмінієва ПАП-1, ПАК-3, ПАК-4</t>
  </si>
  <si>
    <t>175.34.082  хомутик</t>
  </si>
  <si>
    <t>175.34.169  планка</t>
  </si>
  <si>
    <t>21-2010</t>
  </si>
  <si>
    <t>155.38.461  шплінт</t>
  </si>
  <si>
    <t xml:space="preserve">дріт d=2 АД1 </t>
  </si>
  <si>
    <t>172.18.028сб  трос</t>
  </si>
  <si>
    <t>дріт d=0,5-0-4 ГОСТ3282-74</t>
  </si>
  <si>
    <t>7-2003</t>
  </si>
  <si>
    <t>172.85.014сб  патрубок</t>
  </si>
  <si>
    <t>склострічка ЛЕС 02х50 ГОСТ5937-81</t>
  </si>
  <si>
    <t>172.85.017  екран</t>
  </si>
  <si>
    <t xml:space="preserve">432.85.063  шланг </t>
  </si>
  <si>
    <t>рукав 40У8-13ТУ005-6016-80</t>
  </si>
  <si>
    <t>стрічка Л63-М-Н-0,25 ГОСТ2208-70</t>
  </si>
  <si>
    <t>54-2000</t>
  </si>
  <si>
    <t>172.32.654  фланець</t>
  </si>
  <si>
    <t>лист S=8 ГОСТ19903-74 Сталь15 ГОСТ1577-70</t>
  </si>
  <si>
    <t>175.32.121-1  фланець</t>
  </si>
  <si>
    <t>лист S=8 Сталь15 ГОСТ1577-70</t>
  </si>
  <si>
    <t>175.32.065сб  трубка</t>
  </si>
  <si>
    <t>емаль ПФ-115  корчнева</t>
  </si>
  <si>
    <t>175.32.176  патрубок</t>
  </si>
  <si>
    <t>L=60(90)</t>
  </si>
  <si>
    <t>28-2000</t>
  </si>
  <si>
    <t>172-2М.01.032сб-1  прокладка</t>
  </si>
  <si>
    <t>172-2М.01.063-1  оболонка</t>
  </si>
  <si>
    <t>172-2М.01.064-1  оболонка</t>
  </si>
  <si>
    <t>172-2М.01.065-1  прокладка</t>
  </si>
  <si>
    <t>4-2002</t>
  </si>
  <si>
    <t>сітка 1,6-0,4 ГОСТ3826-82</t>
  </si>
  <si>
    <t>ізолятор тепл.зв.ізол АТИМС-15 ТУ17РСФСР15-4718-71</t>
  </si>
  <si>
    <t>0,3 кг</t>
  </si>
  <si>
    <t>172.70.203сб  кронштейн</t>
  </si>
  <si>
    <t>шплінт 2х12-016 ГОСТ397-79</t>
  </si>
  <si>
    <t>172.70.188сб  кронштейн</t>
  </si>
  <si>
    <t>172.70.352  планка</t>
  </si>
  <si>
    <t>172.70.159сб-2  кронштейн</t>
  </si>
  <si>
    <t>172.70.274-2  кронштейн</t>
  </si>
  <si>
    <t>лист S=3 ГОСТ19903-74 Сталь15 ГОСТ 16523-70</t>
  </si>
  <si>
    <t>172.33.159сб  Пробка</t>
  </si>
  <si>
    <t>дріт d=1 12Х18Н9Т ГОСТ18143-72</t>
  </si>
  <si>
    <t>18-2005</t>
  </si>
  <si>
    <t>12-1999</t>
  </si>
  <si>
    <t>172.33.160сб  пробка</t>
  </si>
  <si>
    <t>172.33.499  трубка</t>
  </si>
  <si>
    <t>труба 38х1,5 Сталь20 ГОСТ8733-74</t>
  </si>
  <si>
    <t>175.33.185сб  патрубок</t>
  </si>
  <si>
    <t>175.33.623  патрубок</t>
  </si>
  <si>
    <t>L=45(55)</t>
  </si>
  <si>
    <t>176.33.018  трубка</t>
  </si>
  <si>
    <t>L=250(280)</t>
  </si>
  <si>
    <t>175.71.013сб-2  труба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</si>
  <si>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</si>
  <si>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t>175.31.019-1  труба</t>
  </si>
  <si>
    <t>L=550(585)</t>
  </si>
  <si>
    <t>далі… … …</t>
  </si>
  <si>
    <t>175.60.003сб  трубка</t>
  </si>
  <si>
    <t>175.60.002  трубка</t>
  </si>
  <si>
    <t>L=?(?)</t>
  </si>
  <si>
    <t>172.60.169сб  трубка</t>
  </si>
  <si>
    <t>припій ПСр-45</t>
  </si>
  <si>
    <t>розчинник органічний</t>
  </si>
  <si>
    <t>каніфоль соснова</t>
  </si>
  <si>
    <t>172.60.162  труба</t>
  </si>
  <si>
    <t>L=915(950)</t>
  </si>
  <si>
    <t>труба 6х1 12Х18Н10Т ГОСТ9941-72</t>
  </si>
  <si>
    <t>172.60.164сб  трубка</t>
  </si>
  <si>
    <t>L=2960(3100)</t>
  </si>
  <si>
    <t>172.60.300  трубка</t>
  </si>
  <si>
    <t>172.60.155сб  трубка</t>
  </si>
  <si>
    <t>172.60.277  трубка</t>
  </si>
  <si>
    <t>L=315(350)</t>
  </si>
  <si>
    <t>172.60.062сб  трубка</t>
  </si>
  <si>
    <t>L=200(220)</t>
  </si>
  <si>
    <t>дріт ОЧ d=0,5 ГОСТ3282-74</t>
  </si>
  <si>
    <t>172.60.067сб  штуцер в зборі</t>
  </si>
  <si>
    <t>172.60.135  фланець</t>
  </si>
  <si>
    <t>172.60.136  трубка</t>
  </si>
  <si>
    <t>L=1021(1080)</t>
  </si>
  <si>
    <t>176.91.008сб  трос буксирний</t>
  </si>
  <si>
    <t>172.33.217сб  трубка</t>
  </si>
  <si>
    <t>172.33.639  трубка</t>
  </si>
  <si>
    <t>труба 12х1 Сталь20 ГОСТ8733-74</t>
  </si>
  <si>
    <t>L=900</t>
  </si>
  <si>
    <t>175.32.108сб  кронштейн</t>
  </si>
  <si>
    <t>172.32.128-2  кронштейн</t>
  </si>
  <si>
    <t>кутник 100х100х12 Сталь20 ГОСТ1577-93</t>
  </si>
  <si>
    <t>175.66.042сб  кронштейн</t>
  </si>
  <si>
    <t>175.66.071  кронштейн</t>
  </si>
  <si>
    <t>54.03.64сб  хомут</t>
  </si>
  <si>
    <t>54.03.260  лента хомута</t>
  </si>
  <si>
    <t>54.03.261  накладка</t>
  </si>
  <si>
    <t>54.02.117сб  хомут в зборі</t>
  </si>
  <si>
    <t>54.02.482  лента</t>
  </si>
  <si>
    <t>54.02.843  накладка</t>
  </si>
  <si>
    <t>175.66.040сб-1  трубопровід</t>
  </si>
  <si>
    <t>175.66.054сб-1  ніпель</t>
  </si>
  <si>
    <t>33-2005</t>
  </si>
  <si>
    <t>175.36.052сб-1  фільтр</t>
  </si>
  <si>
    <t>172.36.053сб  фільтр</t>
  </si>
  <si>
    <t>припій ПОС-30</t>
  </si>
  <si>
    <t>лист S=0,5 Л63М ГОСТ931-70</t>
  </si>
  <si>
    <t>сітка №01 ГОСТ6613-53</t>
  </si>
  <si>
    <t>лист S=0,5 Л63 ГОСТ931-78</t>
  </si>
  <si>
    <t>172.36.054сб-А  корпус фільтру</t>
  </si>
  <si>
    <t>172.36.143  кронштейн</t>
  </si>
  <si>
    <t>172.36.144-А  патрубок</t>
  </si>
  <si>
    <t>172.36.146-А  трубка</t>
  </si>
  <si>
    <t>лист S=4 Сталь15 ГОСТ1050-60</t>
  </si>
  <si>
    <t>L=275(300)</t>
  </si>
  <si>
    <t>L=90(130)</t>
  </si>
  <si>
    <t>Роздрукував 29.07.16р</t>
  </si>
  <si>
    <t>віддав плановому</t>
  </si>
  <si>
    <t>176.91.007сб  ящик</t>
  </si>
  <si>
    <t>172.91.215  скоба</t>
  </si>
  <si>
    <t>176.91.007  обечайка</t>
  </si>
  <si>
    <t>176.91.008  боковина</t>
  </si>
  <si>
    <t>176.91.009  обечайка</t>
  </si>
  <si>
    <t>176.91.010  вставка</t>
  </si>
  <si>
    <t>176.91.011  дно ящика</t>
  </si>
  <si>
    <t>176.91.012  боковина</t>
  </si>
  <si>
    <t>176.91.013  вставка</t>
  </si>
  <si>
    <t>дріт d=4 СВАМг6 ГОСТ7871-63</t>
  </si>
  <si>
    <t>327-86  прокладка</t>
  </si>
  <si>
    <t>329-31А  прокладка</t>
  </si>
  <si>
    <t>лист S=1 фібра КГФ</t>
  </si>
  <si>
    <t>лист S=2,5 фібра КГФ</t>
  </si>
  <si>
    <t>Роздрукував 29.07.16</t>
  </si>
  <si>
    <t>175.31.053сб-1  кронштейн</t>
  </si>
  <si>
    <t>175.31.144-1  кронштейн</t>
  </si>
  <si>
    <t>лист S=4 Сталь15 ГОСТ1577-81</t>
  </si>
  <si>
    <t>175.66.059сб  труба</t>
  </si>
  <si>
    <t>175.66.109  труба</t>
  </si>
  <si>
    <t>175.60.001сб  трубка</t>
  </si>
  <si>
    <t>175.60.001  трубка</t>
  </si>
  <si>
    <t>рукав 40У12-13 ТУ38-005-6016-72</t>
  </si>
  <si>
    <t>L=550(600)</t>
  </si>
  <si>
    <t>155.29.1945 кронштейн</t>
  </si>
  <si>
    <t>лист S=16 Сталь15 ГОСТ1050-74</t>
  </si>
  <si>
    <t>176.32.002сб  хомут</t>
  </si>
  <si>
    <t>Ремонт ТЕХІМПЕКС</t>
  </si>
  <si>
    <t>175.66.026сб-1  фільтр гідроциклон</t>
  </si>
  <si>
    <t>175.60.002сб-1  вологомасловідділювач</t>
  </si>
  <si>
    <t>175.32.087сб-2  бак масляний трансмісійний</t>
  </si>
  <si>
    <t>175.91.038сб  стрічка</t>
  </si>
  <si>
    <t>175.91.036сб  стрічка</t>
  </si>
  <si>
    <t>175.33.012сб-1А  бак зовнішній масляний</t>
  </si>
  <si>
    <t>175.33.007сб-2  бак зовнішній перший</t>
  </si>
  <si>
    <t>175.33.008сб-2  бак зовнішній другий</t>
  </si>
  <si>
    <t>175.33.009сб-2  бак зовнішній третій</t>
  </si>
  <si>
    <t>175.33.011сб-2  бак зовнішній пятий</t>
  </si>
  <si>
    <t>175.91.037сб  стрічка</t>
  </si>
  <si>
    <t>18-2002</t>
  </si>
  <si>
    <t>ремонт</t>
  </si>
  <si>
    <t>14-2013</t>
  </si>
  <si>
    <t>виготовлення</t>
  </si>
  <si>
    <t>3-2008</t>
  </si>
  <si>
    <t>ТП-6 ремонт</t>
  </si>
  <si>
    <t>100-1990</t>
  </si>
  <si>
    <t>53-1998</t>
  </si>
  <si>
    <t>100-1992</t>
  </si>
  <si>
    <t>гума НО-68-1</t>
  </si>
  <si>
    <t>гума 3825</t>
  </si>
  <si>
    <t>повсть ТФ4</t>
  </si>
  <si>
    <t>дріт d=3 АД1 ГОСТ14838-69</t>
  </si>
  <si>
    <t>сітка №05 Л80 ГОСТ6613-73</t>
  </si>
  <si>
    <t>сітка №1 Л80 ГОСТ6613-73</t>
  </si>
  <si>
    <t>сітка №16 Л80</t>
  </si>
  <si>
    <t>лист S=1 Л63М ГОСТ155-67</t>
  </si>
  <si>
    <t>лист s=2 АД1М ГОСТ4784-74</t>
  </si>
  <si>
    <t>пластина S=3 254311 НО-68-1М</t>
  </si>
  <si>
    <t>суміш гума сира товарна 3825</t>
  </si>
  <si>
    <t>пластина S=3 гума 4326-1</t>
  </si>
  <si>
    <t>175.33.010сб-2  бак зовнішній четвертий</t>
  </si>
  <si>
    <t>суміш гума сира 3825</t>
  </si>
  <si>
    <t>дріт d=1,2 СВАМг</t>
  </si>
  <si>
    <t>лист S=1,5 ПМБ ГОСТ481-80</t>
  </si>
  <si>
    <t>суміш гума сира 4326-1</t>
  </si>
  <si>
    <t>суміш гума 9831</t>
  </si>
  <si>
    <t>пластина гума 3825 S=4</t>
  </si>
  <si>
    <t>лист S=2 фібра КГФ ГОСТ14613-83</t>
  </si>
  <si>
    <t>сітка №1 латунь Л80 ГОСТ66113-73</t>
  </si>
  <si>
    <t>сітка №1-0,25 Сталь12Х18Н9Т</t>
  </si>
  <si>
    <t>лист S=0,5 Л63М ГОСТ15527-70</t>
  </si>
  <si>
    <t>канат d=1,8 ГОСТ2172-80</t>
  </si>
  <si>
    <t xml:space="preserve">Розпорядження 57-2016 </t>
  </si>
  <si>
    <t>інв. 21840</t>
  </si>
  <si>
    <t>65МС.7Ц.01  профіль</t>
  </si>
  <si>
    <t>45шт</t>
  </si>
  <si>
    <t>на цей трос не подавав калькуляції</t>
  </si>
  <si>
    <t>432.11.084  прокладка</t>
  </si>
  <si>
    <t>432.11.085  прокладка</t>
  </si>
  <si>
    <t>стрічка S=0,3 10-ВН-3-НО ГОСТ503-81</t>
  </si>
  <si>
    <t>Замовлення 327</t>
  </si>
  <si>
    <t>172.70.575  наконечник</t>
  </si>
  <si>
    <t>ПГ 1500.01</t>
  </si>
  <si>
    <t>2шт планок</t>
  </si>
  <si>
    <t>175.66.048  скоба</t>
  </si>
  <si>
    <t>175.83.057  скоба</t>
  </si>
  <si>
    <t>175.66.016  скоба</t>
  </si>
  <si>
    <t>172.10.041-1  кронштейн</t>
  </si>
  <si>
    <t>172-2М.01.033сб-1  планка</t>
  </si>
  <si>
    <t>172.18.081сб  огородження</t>
  </si>
  <si>
    <t>172.18.386  прокладка</t>
  </si>
  <si>
    <t>172.18.385  огородження</t>
  </si>
  <si>
    <t>172.15.092сб-А  щиток</t>
  </si>
  <si>
    <t>175.82.204  трубка</t>
  </si>
  <si>
    <t>175.82.200  трубка</t>
  </si>
  <si>
    <t>172.15.242А  щиток</t>
  </si>
  <si>
    <t>пластина S=3 254311-3 резина НО-68-1</t>
  </si>
  <si>
    <t>пластина S=6 254311-6 резина НО-68-1</t>
  </si>
  <si>
    <t>резина ОСТ В.380512-83</t>
  </si>
  <si>
    <t>155.58.131  скоба</t>
  </si>
  <si>
    <t>926.178  скоба</t>
  </si>
  <si>
    <t>лист S=0,8 Сталь15 ГОСТ16523-70</t>
  </si>
  <si>
    <t>520.07.003-11  шайба 25,5х45х2</t>
  </si>
  <si>
    <t>520.07.003-12  шайба 25,5х45х3</t>
  </si>
  <si>
    <t>172.10.188сб  кронштейн</t>
  </si>
  <si>
    <t>172.10.431  труба</t>
  </si>
  <si>
    <t>172.10.432  труба</t>
  </si>
  <si>
    <t>L=100(110)</t>
  </si>
  <si>
    <t>L=310(330)</t>
  </si>
  <si>
    <t>520.07.003-13  шайба 25,5х45х4</t>
  </si>
  <si>
    <t>лист S=5 Сталь15 ГОСТ16523-70</t>
  </si>
  <si>
    <t>лист S=4 Сталь15 ГОСТ16523-70</t>
  </si>
  <si>
    <t>520.07.003-14  шайба 25,5х45х5</t>
  </si>
  <si>
    <t>5.01.019 Шайба ГОСТ11371-78</t>
  </si>
  <si>
    <t>172.10.433  скоба</t>
  </si>
  <si>
    <t>дріт D=5 ГОСТ3282-74</t>
  </si>
  <si>
    <t>L=118(130)</t>
  </si>
  <si>
    <t>172.10.434  скоба</t>
  </si>
  <si>
    <t>лист S=36</t>
  </si>
  <si>
    <t>лист S=17</t>
  </si>
  <si>
    <t>шайба</t>
  </si>
  <si>
    <t>172.77.004сб</t>
  </si>
  <si>
    <t>прокладка</t>
  </si>
  <si>
    <t>172.06.004  кутник</t>
  </si>
  <si>
    <t>кутник 32х20х3 ГОСТ8510-72 Ст3сп ГОСТ535-79</t>
  </si>
  <si>
    <t>L=469(500)</t>
  </si>
  <si>
    <t>172.06.005  кутник</t>
  </si>
  <si>
    <t>L=326(350)</t>
  </si>
  <si>
    <t>172.70.524  перемичка плюсова</t>
  </si>
  <si>
    <t>172.70.579  кліпс</t>
  </si>
  <si>
    <t>лист S=3 Л63М ГОСТ931-78</t>
  </si>
  <si>
    <t>стрічка S=0,5 У7А ГОСТ2283-79</t>
  </si>
  <si>
    <t>172.93.357-1  шайба</t>
  </si>
  <si>
    <t>172-2М.93.016  шайба</t>
  </si>
  <si>
    <t>175.70.439  скоба</t>
  </si>
  <si>
    <t>в лімітку без норм</t>
  </si>
  <si>
    <t>54.15.030-А  прокладка</t>
  </si>
  <si>
    <t>520.09.001-20  скоба 30х9</t>
  </si>
  <si>
    <t>172.33.205сб-1  трубопровід</t>
  </si>
  <si>
    <t>L=1270(1350)</t>
  </si>
  <si>
    <t>172.33.595-1  трубка</t>
  </si>
  <si>
    <t>172.60.165сб  хомут</t>
  </si>
  <si>
    <t>172.60.306  скоба</t>
  </si>
  <si>
    <t>172.60.307  планка</t>
  </si>
  <si>
    <t>172.77.026  лента</t>
  </si>
  <si>
    <t>172.77.007сб  лента</t>
  </si>
  <si>
    <t>172.77.027  лента</t>
  </si>
  <si>
    <t>172.82.088сб-01  трубка</t>
  </si>
  <si>
    <t>172.85.024сб  сопло</t>
  </si>
  <si>
    <t>172.85.038  трубка</t>
  </si>
  <si>
    <t>труба 8х1 12Х18Н10Т ГОСТ99481</t>
  </si>
  <si>
    <t>L=136(160)</t>
  </si>
  <si>
    <t>172.86.165А  боковина</t>
  </si>
  <si>
    <t>лист S=1 ГОСТ19904-74 12Х18Н10Т ГОСТ5582-75</t>
  </si>
  <si>
    <t>172.85.023сб  штуцер</t>
  </si>
  <si>
    <t>172.85.037  стержень</t>
  </si>
  <si>
    <t>труба 12х1,5 12Х18Н10Т</t>
  </si>
  <si>
    <t>L=95(100)</t>
  </si>
  <si>
    <t>172.85.036  головка</t>
  </si>
  <si>
    <t>квадрат 17-5 ГОСТ8559-75 Сталь20 ГОСТ1050-74</t>
  </si>
  <si>
    <t>картон прокладочний Б S=0,5 ГОСТ9347-74</t>
  </si>
  <si>
    <t>172.86.041сб  сопло</t>
  </si>
  <si>
    <t>172.86.094  сопло</t>
  </si>
  <si>
    <t>труба 8х1 М3М ГОСТ617-72</t>
  </si>
  <si>
    <t>L=170(180)</t>
  </si>
  <si>
    <t>172.86.077сб-1  трубопровід</t>
  </si>
  <si>
    <t>172.86.113  трійник</t>
  </si>
  <si>
    <t>172.86.123-1  трубка</t>
  </si>
  <si>
    <t>172.86.124-1  трубка</t>
  </si>
  <si>
    <t>172.86.169-1  трубка</t>
  </si>
  <si>
    <t>172.86.172  трубка</t>
  </si>
  <si>
    <t>шестигранник 17-5 ГОСТ8560-67 Сталь20 ГОСТ1051-73</t>
  </si>
  <si>
    <t>L=18(26)</t>
  </si>
  <si>
    <t>труба 6х1 М3М ГОСТ617-72</t>
  </si>
  <si>
    <t>L=95(110)</t>
  </si>
  <si>
    <t>L=1050(1200)</t>
  </si>
  <si>
    <t>L=170(210)</t>
  </si>
  <si>
    <t>172.86.089сб-1  трубка</t>
  </si>
  <si>
    <t>54.04.193  гайка</t>
  </si>
  <si>
    <t>круг D=15 Сталь15 ГОСТ1050-60</t>
  </si>
  <si>
    <t>54.04.355  проставка</t>
  </si>
  <si>
    <t>172.93.200сб  опора</t>
  </si>
  <si>
    <t>172.93.402  накладка</t>
  </si>
  <si>
    <t>резина 44-3 ТУ005216-75</t>
  </si>
  <si>
    <t>175.93.097  планка</t>
  </si>
  <si>
    <t>Володя Сеньків дав калькуляцію</t>
  </si>
  <si>
    <t>175.93.098  упор</t>
  </si>
  <si>
    <t>172.93.222сб  стелаж</t>
  </si>
  <si>
    <t>шплінт 2х16-016 ГОСТ979-79</t>
  </si>
  <si>
    <t>172.93.390  вісь</t>
  </si>
  <si>
    <t>лист S=14 Сталь15 ГОСТ1577-70</t>
  </si>
  <si>
    <t>172.93.220сб  стелаж</t>
  </si>
  <si>
    <t>172.93.219сб  стелаж</t>
  </si>
  <si>
    <t>172.93.387</t>
  </si>
  <si>
    <t>172.93.387-01</t>
  </si>
  <si>
    <t>172.93.387-02</t>
  </si>
  <si>
    <t>172.93.387-03</t>
  </si>
  <si>
    <t>шплінт 2х16.016 ГОСТ797-79</t>
  </si>
  <si>
    <t xml:space="preserve">  172.93.415  скоба</t>
  </si>
  <si>
    <t xml:space="preserve">  лист S=3 ГОСТ19903-74 Сталь15 ГОСТ16523-70</t>
  </si>
  <si>
    <t xml:space="preserve">  лист S=3 ГОСТ19903-74 Сталь10кп ГОСТ16523-70</t>
  </si>
  <si>
    <t xml:space="preserve">  172.93.416  дужка</t>
  </si>
  <si>
    <t xml:space="preserve">  172.93.417  дужка</t>
  </si>
  <si>
    <t xml:space="preserve">  172.93.418  дужка</t>
  </si>
  <si>
    <t>172.93.419  втулка</t>
  </si>
  <si>
    <t xml:space="preserve">  172.93.420  планка</t>
  </si>
  <si>
    <t xml:space="preserve">  лист S=4 ГОСТ19903-74 Сталь10кп ГОСТ1577-70</t>
  </si>
  <si>
    <t xml:space="preserve">  172.93.421  дужка</t>
  </si>
  <si>
    <t>54.27.314-1  вісь</t>
  </si>
  <si>
    <t xml:space="preserve">  172-2М.93.059  дужка</t>
  </si>
  <si>
    <t xml:space="preserve">  172-2М.93.064  ребро</t>
  </si>
  <si>
    <t xml:space="preserve">  172-2М.93.085  скоба</t>
  </si>
  <si>
    <t xml:space="preserve">  лист S=4 ГОСТ19903-74 Сталь15 ГОСТ1577-70</t>
  </si>
  <si>
    <t>172.93.387  накладка</t>
  </si>
  <si>
    <t>172.93.387-01  накладка</t>
  </si>
  <si>
    <t>172.93.387-02  накладка</t>
  </si>
  <si>
    <t>172.93.387-03  накладка</t>
  </si>
  <si>
    <t>175.82.020сб-1  трубопровід</t>
  </si>
  <si>
    <t>175.82.047-1  трубка</t>
  </si>
  <si>
    <t>Роздрукував 30.08.16р</t>
  </si>
  <si>
    <t>труба 10х1 М3М ГОСТ617-72</t>
  </si>
  <si>
    <t>L=1150(1225)</t>
  </si>
  <si>
    <t>175.85.001сб-1  прубопровід</t>
  </si>
  <si>
    <t>432.86.048-2  трійник</t>
  </si>
  <si>
    <t>175.85.001-1  трубка</t>
  </si>
  <si>
    <t>175.85.002-1  трубка</t>
  </si>
  <si>
    <t>175.85.003-1  трубка</t>
  </si>
  <si>
    <t>L=828(900)</t>
  </si>
  <si>
    <t>L=60(80)</t>
  </si>
  <si>
    <t>176.33.019сб  трубка</t>
  </si>
  <si>
    <t>176.93.005сб  опора</t>
  </si>
  <si>
    <t>8.65Г.016 Шайба пружинна ГОСТ6402-70</t>
  </si>
  <si>
    <t>176.93.006сб  опора</t>
  </si>
  <si>
    <t>176.93.012сб  основа</t>
  </si>
  <si>
    <t xml:space="preserve">  176.93.018  основа</t>
  </si>
  <si>
    <t xml:space="preserve">  175.33.551  кільце</t>
  </si>
  <si>
    <t xml:space="preserve">  лист S=1 Сталь10кп ГОСТ16523-70</t>
  </si>
  <si>
    <t xml:space="preserve">  дріт d=1,2 СВ08Г2С</t>
  </si>
  <si>
    <t xml:space="preserve">  суміш зварювальна</t>
  </si>
  <si>
    <t xml:space="preserve">  лист S=2 Сталь15 ГОСТ16523-70</t>
  </si>
  <si>
    <t>176.93.017  плита</t>
  </si>
  <si>
    <t>176.93.019  ребро</t>
  </si>
  <si>
    <t>176.93.020  ребро</t>
  </si>
  <si>
    <t>175.93.070сб  донишко</t>
  </si>
  <si>
    <t>суміш гума сира 44-3 ТУ005216-75</t>
  </si>
  <si>
    <t>7-2003 норма</t>
  </si>
  <si>
    <t>175.93.124-А  донишко</t>
  </si>
  <si>
    <t>М8х1-6gх18.66.016  болт ГОСТ7808-70</t>
  </si>
  <si>
    <t>176.93.020сб  стелаж</t>
  </si>
  <si>
    <t>176.93.031  планка</t>
  </si>
  <si>
    <t>176.93.032  кутник</t>
  </si>
  <si>
    <t>175.93.145  корпус</t>
  </si>
  <si>
    <t>175.93.146  боковина</t>
  </si>
  <si>
    <t>лист S=3 АМгБМ ГОСТ21631-76</t>
  </si>
  <si>
    <t>лист S=2 АМгБМ ГОСТ21631-76</t>
  </si>
  <si>
    <t>432.70.477  штифт</t>
  </si>
  <si>
    <t>круг d=5 ЛС59-1  ГОСТ15527-2004</t>
  </si>
  <si>
    <t>172.86.190-1  трубка</t>
  </si>
  <si>
    <t>труба 8х1 М2М ГОСТ617-72</t>
  </si>
  <si>
    <t>L=750(800)</t>
  </si>
  <si>
    <t>184.04.030  планка</t>
  </si>
  <si>
    <t>184.04.035-1  щиток</t>
  </si>
  <si>
    <t>184.04.026сб-2  щиток правий</t>
  </si>
  <si>
    <t>184.04.026-2  щиток правий</t>
  </si>
  <si>
    <t>184.04.036  кронштейн</t>
  </si>
  <si>
    <t>184.04.037  кронштейн</t>
  </si>
  <si>
    <t>184.04.043  кронштейн</t>
  </si>
  <si>
    <t>172.04.467  кронштейн</t>
  </si>
  <si>
    <t>лист S=5 ГОСТ19903-74 Сталь15 ГОСТ1577-81</t>
  </si>
  <si>
    <t>лист S=8 ГОСТ19903-74 Сталь15 ГОСТ1577-81</t>
  </si>
  <si>
    <t>184.04.028сб-2  щиток відкидний передній правий</t>
  </si>
  <si>
    <t>Болт М8-6gх25.46.016 ГОСТ7796-70</t>
  </si>
  <si>
    <t>62-1992</t>
  </si>
  <si>
    <t>184.04.029сб-2  щиток відкидний передній лівий</t>
  </si>
  <si>
    <t>184.04.034-1  планка</t>
  </si>
  <si>
    <t>184.04.027сб-2  щиток лівий</t>
  </si>
  <si>
    <t>184.04.029-2  щиток лівий</t>
  </si>
  <si>
    <t>184.04.042  кронштейн</t>
  </si>
  <si>
    <t>172.04.461  кронштейн</t>
  </si>
  <si>
    <r>
      <t xml:space="preserve">гума </t>
    </r>
    <r>
      <rPr>
        <b/>
        <sz val="11"/>
        <color theme="1"/>
        <rFont val="Calibri"/>
        <family val="2"/>
        <charset val="204"/>
        <scheme val="minor"/>
      </rPr>
      <t>16,3кг</t>
    </r>
    <r>
      <rPr>
        <sz val="11"/>
        <color theme="1"/>
        <rFont val="Calibri"/>
        <family val="2"/>
        <charset val="204"/>
        <scheme val="minor"/>
      </rPr>
      <t xml:space="preserve"> Володя порахував</t>
    </r>
  </si>
  <si>
    <t>Роздрукував 02.09.16</t>
  </si>
  <si>
    <r>
      <t>Замовлення 326</t>
    </r>
    <r>
      <rPr>
        <b/>
        <sz val="14"/>
        <color theme="1"/>
        <rFont val="Calibri"/>
        <family val="2"/>
        <charset val="204"/>
        <scheme val="minor"/>
      </rPr>
      <t/>
    </r>
  </si>
  <si>
    <t>176.33.040-1  труба</t>
  </si>
  <si>
    <t>176.33.030сб-1  труба</t>
  </si>
  <si>
    <t>УТД-20</t>
  </si>
  <si>
    <t>емаль хакі ПФ-115</t>
  </si>
  <si>
    <t>пудра ПАК3 або ПАК4</t>
  </si>
  <si>
    <t>сода каустична</t>
  </si>
  <si>
    <t>дріт зварювальний d=3 алюмінієвий АК-5</t>
  </si>
  <si>
    <t>172.31.085сб  тарілка</t>
  </si>
  <si>
    <t>172.31.276  сітка</t>
  </si>
  <si>
    <t>сітка №016 Латунь Л80 ГОСТ15527-70</t>
  </si>
  <si>
    <r>
      <t>м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2</t>
    </r>
  </si>
  <si>
    <t>L=1190(1300)</t>
  </si>
  <si>
    <t>175.33.345  скоба</t>
  </si>
  <si>
    <t>175.37.060  шайба</t>
  </si>
  <si>
    <t>172.18.067А  хомут</t>
  </si>
  <si>
    <t>лист S=1 ГОСТ19904-74 Сталь15 ГОСТ16523-70</t>
  </si>
  <si>
    <t>175.18.028сб  планка</t>
  </si>
  <si>
    <t>175.18.113  планка</t>
  </si>
  <si>
    <t>176.91.006  хомут</t>
  </si>
  <si>
    <t>емаль ПФ-115біла</t>
  </si>
  <si>
    <t>176.91.005сб  хомут</t>
  </si>
  <si>
    <t>176.91.006  скоба</t>
  </si>
  <si>
    <t>172.91.257сб  защіпка</t>
  </si>
  <si>
    <t xml:space="preserve">  172.91.575  накидка</t>
  </si>
  <si>
    <t xml:space="preserve">  дріт d=4 ГОСТ9389-75</t>
  </si>
  <si>
    <t>172.70.167сб-1  кронштейн</t>
  </si>
  <si>
    <t>172.70.277  планка</t>
  </si>
  <si>
    <t>172.70.166сб-1  кронштейн</t>
  </si>
  <si>
    <t>177.93.005сб-1  стелаж</t>
  </si>
  <si>
    <t>177.93.001  корпус</t>
  </si>
  <si>
    <t>177.93.002  боковина</t>
  </si>
  <si>
    <t>177.93.003  планка</t>
  </si>
  <si>
    <t>177.93.004-1  ребро</t>
  </si>
  <si>
    <t>рукав 2Т25-15 ТУ 005.280-87</t>
  </si>
  <si>
    <t>рукав 40У48-7 ТУ 005.6016-87</t>
  </si>
  <si>
    <t>рукав 40У142-1 ТУ 005.6016-87</t>
  </si>
  <si>
    <t>рукав ШГ-16 ТУ 25.02.110-461-85</t>
  </si>
  <si>
    <t>Роздрукував 09.09.16</t>
  </si>
  <si>
    <t>Двинуг В-46-6 (В-84)</t>
  </si>
  <si>
    <t>рідке скло</t>
  </si>
  <si>
    <r>
      <t xml:space="preserve">Додати матеріали до норми 9-2015р для </t>
    </r>
    <r>
      <rPr>
        <b/>
        <sz val="11"/>
        <color theme="1"/>
        <rFont val="Calibri"/>
        <family val="2"/>
        <charset val="204"/>
        <scheme val="minor"/>
      </rPr>
      <t>цеху №4</t>
    </r>
  </si>
  <si>
    <t>Роздрукував 09.09.2016р</t>
  </si>
  <si>
    <t>155.06.14сб-А  гофропатрубок</t>
  </si>
  <si>
    <t>пудра ПАК-4 або ПАК-3</t>
  </si>
  <si>
    <t>172.15.137сб  огорожа</t>
  </si>
  <si>
    <t>білила цинкові густотерті МА-011-1 ГОСТ482-77</t>
  </si>
  <si>
    <t>мастило Літол-24</t>
  </si>
  <si>
    <t>175.15.021сб  щиток верхній</t>
  </si>
  <si>
    <t>175.15.026  щиток</t>
  </si>
  <si>
    <t>175.15.027  каркас</t>
  </si>
  <si>
    <t>172.15.224  півколо</t>
  </si>
  <si>
    <t>труба 20х1,5 ГОСТ8734-75 Сталь20 ГОСТ8733-74</t>
  </si>
  <si>
    <t>L=720(750)</t>
  </si>
  <si>
    <t>172.15.247-1  трубка</t>
  </si>
  <si>
    <t>L=282(300)</t>
  </si>
  <si>
    <t>L=325(350)</t>
  </si>
  <si>
    <t>172.15.248-1  трубка</t>
  </si>
  <si>
    <t>172.15.249-1  трубка</t>
  </si>
  <si>
    <t>172.15.250-1  трубка</t>
  </si>
  <si>
    <t>L=238(280)</t>
  </si>
  <si>
    <t>заклепка 6х26.00 ГОСТ10299-80</t>
  </si>
  <si>
    <t>177.15.010сб-1  огородження з підкладками</t>
  </si>
  <si>
    <t>177.15.008сб  огородження</t>
  </si>
  <si>
    <t>172.15.154сб  щиток з підкладками</t>
  </si>
  <si>
    <t>172.15.048сб-А  планка</t>
  </si>
  <si>
    <t xml:space="preserve">  172.15.130-А планка</t>
  </si>
  <si>
    <t xml:space="preserve">  172.15.131-А  планка</t>
  </si>
  <si>
    <t xml:space="preserve">  лист S=4 АМг6БМ ГОСТ21631-76</t>
  </si>
  <si>
    <t xml:space="preserve">  172.15.133-А  планка</t>
  </si>
  <si>
    <t xml:space="preserve">  172.15.132-А планка</t>
  </si>
  <si>
    <t>172.15.049сб-А  планка</t>
  </si>
  <si>
    <t>177.15.006  огородження</t>
  </si>
  <si>
    <t>172.15.115-А  поручень</t>
  </si>
  <si>
    <t>труба 16х3,5 АМг6М</t>
  </si>
  <si>
    <t>L=210(250)</t>
  </si>
  <si>
    <t>Розпорядження №78</t>
  </si>
  <si>
    <t>172.85.026сб  трубка</t>
  </si>
  <si>
    <t>172.85.043  трубка</t>
  </si>
  <si>
    <t>труба 8х1 12Х18Н10Т ГОСТ9941-72</t>
  </si>
  <si>
    <t>L=186(200)</t>
  </si>
  <si>
    <t>172.85.045  планка</t>
  </si>
  <si>
    <t>172.04.836  планка</t>
  </si>
  <si>
    <t>175.33.330-1  планка</t>
  </si>
  <si>
    <t>172.85.020сб  шланг</t>
  </si>
  <si>
    <t>L=150(165)</t>
  </si>
  <si>
    <t>172.85.029  трубка</t>
  </si>
  <si>
    <t>рукав 40У8-13 ТУ 005-6016-80</t>
  </si>
  <si>
    <t>175.60.166  скоба</t>
  </si>
  <si>
    <t>172.60.282  скоба</t>
  </si>
  <si>
    <t>172.86.042сб  трубка</t>
  </si>
  <si>
    <t>172.86.095  трубка</t>
  </si>
  <si>
    <t>L=195(210)</t>
  </si>
  <si>
    <t>176.60.027сб  трубка</t>
  </si>
  <si>
    <t>176.60.014  трубка</t>
  </si>
  <si>
    <t>175.85.002сб-1  трубка від клапану до дозатора</t>
  </si>
  <si>
    <t>L=630(660)</t>
  </si>
  <si>
    <t>175.85.004-1  трубка</t>
  </si>
  <si>
    <t>труба 8х1 ГОСТ8734-75 Сталь10 ГОСТ8733-74</t>
  </si>
  <si>
    <t>штуцер</t>
  </si>
  <si>
    <t>175.82.012сб-5А  трубопрвід</t>
  </si>
  <si>
    <t>175.82.024-2  трубка</t>
  </si>
  <si>
    <t>175.82.025-3  трубка</t>
  </si>
  <si>
    <t>175.82.026-1  трубка</t>
  </si>
  <si>
    <t>175.82.027-1  трубка</t>
  </si>
  <si>
    <t>175.82.028  трубка</t>
  </si>
  <si>
    <t>175.82.029  трубка</t>
  </si>
  <si>
    <t>175.82.030  трубка</t>
  </si>
  <si>
    <t>175.82.031-1  трубка</t>
  </si>
  <si>
    <t>175.82.032-1  трубка</t>
  </si>
  <si>
    <t>175.82.033-1  трубка</t>
  </si>
  <si>
    <t>L=245(255)</t>
  </si>
  <si>
    <t>L=190(200)</t>
  </si>
  <si>
    <t>L=104(120)</t>
  </si>
  <si>
    <t>L=300(310)</t>
  </si>
  <si>
    <t>L=183(200)</t>
  </si>
  <si>
    <t>L=126(140)</t>
  </si>
  <si>
    <t>L=210(220)</t>
  </si>
  <si>
    <t>172.18.084  трос</t>
  </si>
  <si>
    <t>172.82.087сб  трубопровід</t>
  </si>
  <si>
    <t>L=430(450)</t>
  </si>
  <si>
    <t>труба 10х1  М3М ГОСТ617-72</t>
  </si>
  <si>
    <t>172.82.199  трубка</t>
  </si>
  <si>
    <t xml:space="preserve">520.09.001  скоба </t>
  </si>
  <si>
    <t>лист S=0,5 ГОСТ19904-74 ПТК-1 ОСТ 14-11-196-86</t>
  </si>
  <si>
    <t>172.86.078сб  трубка до манометру</t>
  </si>
  <si>
    <t>L=640(660)</t>
  </si>
  <si>
    <t>труба 5х1 М3М ГОСТ617-72</t>
  </si>
  <si>
    <t>172.86.173  трубка</t>
  </si>
  <si>
    <t>172.86.087сб-1  трубка</t>
  </si>
  <si>
    <t>L=830(880)</t>
  </si>
  <si>
    <t>172.87.186-1  трубка</t>
  </si>
  <si>
    <t>172.86.088сб-1  трубопровід</t>
  </si>
  <si>
    <t>172.86.187-1  трубка</t>
  </si>
  <si>
    <t>172.86.188-1  трубка</t>
  </si>
  <si>
    <t>172.86.189  трубка</t>
  </si>
  <si>
    <t>L=70(90)</t>
  </si>
  <si>
    <t>L=80(100)</t>
  </si>
  <si>
    <t>L=850(880)</t>
  </si>
  <si>
    <t>Роздрукував 21.09.16</t>
  </si>
  <si>
    <t>184.30.003сб  кронштейн</t>
  </si>
  <si>
    <t>184.30.007  кронштейн</t>
  </si>
  <si>
    <t>184.30.008  планка</t>
  </si>
  <si>
    <t>лист S=1 ГОСТ19903-74 Сталь10кп ГОСТ16523-70</t>
  </si>
  <si>
    <t>пудра ПАК-3 або ПАК-4</t>
  </si>
  <si>
    <t>172.37.015сб-А  форсунка права</t>
  </si>
  <si>
    <t>172.37.036  трубка</t>
  </si>
  <si>
    <t>L=600(650)</t>
  </si>
  <si>
    <t>175.37.003сб-А  форсунка ліва</t>
  </si>
  <si>
    <t>175.37.005  труба</t>
  </si>
  <si>
    <t>L=725(760)</t>
  </si>
  <si>
    <t>175.37.007сб-1  електроперемикач ТДА</t>
  </si>
  <si>
    <t>мастило Ціатім-201</t>
  </si>
  <si>
    <t>дріт КО D=1,2</t>
  </si>
  <si>
    <t>175.37.016сб-1  кронштейн</t>
  </si>
  <si>
    <t>175.37.010сб-2  кронштейн</t>
  </si>
  <si>
    <t>175.37.016-2  кронштейн</t>
  </si>
  <si>
    <t>175.37.036-1  лапа</t>
  </si>
  <si>
    <t>175.37.037-1  лапа</t>
  </si>
  <si>
    <t>175.37.057  скоба</t>
  </si>
  <si>
    <t xml:space="preserve">  175.37.010-2  кронштейн</t>
  </si>
  <si>
    <t xml:space="preserve">  лист S=3 Сталь15 ГОСТ16523-70</t>
  </si>
  <si>
    <t>175.37.009  корпус</t>
  </si>
  <si>
    <t>175.37.019сб  шлангове з'єднання</t>
  </si>
  <si>
    <t>рукав 2Т12-15  ТУ 005 280-76</t>
  </si>
  <si>
    <t>L=565(600)</t>
  </si>
  <si>
    <t>175.37.045  скоба</t>
  </si>
  <si>
    <t>175.37.061  скоба</t>
  </si>
  <si>
    <t>Роздрукував 22.09.16</t>
  </si>
  <si>
    <t>434.86.022сб-2  трубка</t>
  </si>
  <si>
    <t>Замовлення 328</t>
  </si>
  <si>
    <t>434.86.088-2  трубка</t>
  </si>
  <si>
    <t>L=1000(1100)</t>
  </si>
  <si>
    <t>2А26.06-9  секція кожуха</t>
  </si>
  <si>
    <t>2А26.06-10  секція кожуха</t>
  </si>
  <si>
    <t>2А26.06-11  секція кожуха</t>
  </si>
  <si>
    <t>2А26.06-12  секція кожуха</t>
  </si>
  <si>
    <t>Було</t>
  </si>
  <si>
    <t>Стало</t>
  </si>
  <si>
    <t>Службова записка 22.09.16р</t>
  </si>
  <si>
    <t>кронштейн</t>
  </si>
  <si>
    <t>Труба</t>
  </si>
  <si>
    <t>фланець</t>
  </si>
  <si>
    <t>172.70.381  скоба</t>
  </si>
  <si>
    <t>лист S=0,8 ГОСТ19904-74 СТК-1 ГОСТ17715-72</t>
  </si>
  <si>
    <t>172.77.076  скоба</t>
  </si>
  <si>
    <t>лист S=0,8 ГОСТ19904-74 ПТК-1 ОСТ14-11-196-86</t>
  </si>
  <si>
    <t>лист S=4 Сталь15  ГОСТ1577-70</t>
  </si>
  <si>
    <t>172.83.251  трубка</t>
  </si>
  <si>
    <t>175.83.047-1  фланець</t>
  </si>
  <si>
    <t>175.82.008сб-2  трубопровід</t>
  </si>
  <si>
    <t>175.82.016-1  трубка</t>
  </si>
  <si>
    <t>175.82.017-2  трубка</t>
  </si>
  <si>
    <t>175.82.018-2  трубка</t>
  </si>
  <si>
    <t>175.82.019-2  трубка</t>
  </si>
  <si>
    <t>L=290(300)</t>
  </si>
  <si>
    <t>L=206(220)</t>
  </si>
  <si>
    <t>L=440(460)</t>
  </si>
  <si>
    <t>176.70.019сб  щиток</t>
  </si>
  <si>
    <t>172.70.504  щиток</t>
  </si>
  <si>
    <t>175.93.056сб  опора</t>
  </si>
  <si>
    <t>172.93.174сб  стелаж</t>
  </si>
  <si>
    <t>дріт ОЧ d=6</t>
  </si>
  <si>
    <t>172-2М.93.085  скоба</t>
  </si>
  <si>
    <t>172-2М.93.088  ребро</t>
  </si>
  <si>
    <t>172-2М.93.089  ребро</t>
  </si>
  <si>
    <t>172-2М.93.091  накидка</t>
  </si>
  <si>
    <t>172-2М.93.098  дужка</t>
  </si>
  <si>
    <t>54.28.1842  защіпка</t>
  </si>
  <si>
    <t>172-2М.93.086  дужка</t>
  </si>
  <si>
    <t>5Ц</t>
  </si>
  <si>
    <t>дріт d=3 ГОСТ9389-75</t>
  </si>
  <si>
    <t>лист S=2,5 ГОСТ19903-74 сталь15 ГОСТ1623-70</t>
  </si>
  <si>
    <t>172-2М.93.059сб  стелаж</t>
  </si>
  <si>
    <t>Роздрукував 23.09.16</t>
  </si>
  <si>
    <t>520.07.004-03  шайба 12,5х18х2</t>
  </si>
  <si>
    <t>520.07.004-05  шайба 12,5х25х0,5</t>
  </si>
  <si>
    <t>172.82.158  кронштейн</t>
  </si>
  <si>
    <t>65.184.81.10сб  кронштейн для монітора</t>
  </si>
  <si>
    <t>65.184.81.11  кронштейн</t>
  </si>
  <si>
    <t>лист S=3 ГОСТ19903-74 Ст3 ГОСТ16523-70</t>
  </si>
  <si>
    <t>65.184.81.12  стінка</t>
  </si>
  <si>
    <t>Розпорядження 21.12.15р</t>
  </si>
  <si>
    <t>Роздрук Вересень 2016р</t>
  </si>
  <si>
    <t>БЛ8.637.308  обкладка</t>
  </si>
  <si>
    <t>АДШ8.636.001  обкладка</t>
  </si>
  <si>
    <t>лист S=1,5 сталь15 ГОСТ1050-74</t>
  </si>
  <si>
    <t>лист S=0,8 Л63 ГОСТ931-90</t>
  </si>
  <si>
    <t>Калькуляція зроблена по кресленню 65.БЛ4.885.106.01</t>
  </si>
  <si>
    <t>Калькуляція зроблена по кресленню 65.БЛ4.885.106.02</t>
  </si>
  <si>
    <t>Марія дала номери для 6ц зробити</t>
  </si>
  <si>
    <t>65МС.7Ц.93СБ  Профіль для перекриття лінії потоку цеху №7</t>
  </si>
  <si>
    <r>
      <t xml:space="preserve">лист S=1,5 </t>
    </r>
    <r>
      <rPr>
        <sz val="10"/>
        <color theme="1"/>
        <rFont val="Calibri"/>
        <family val="2"/>
        <charset val="204"/>
        <scheme val="minor"/>
      </rPr>
      <t>ДСТУ 8540:2015</t>
    </r>
    <r>
      <rPr>
        <sz val="11"/>
        <color theme="1"/>
        <rFont val="Calibri"/>
        <family val="2"/>
        <charset val="204"/>
        <scheme val="minor"/>
      </rPr>
      <t xml:space="preserve"> Ст3 </t>
    </r>
    <r>
      <rPr>
        <sz val="10"/>
        <color theme="1"/>
        <rFont val="Calibri"/>
        <family val="2"/>
        <charset val="204"/>
        <scheme val="minor"/>
      </rPr>
      <t>ДСТУ 2834-94</t>
    </r>
  </si>
  <si>
    <t>172-2М.93.021сб</t>
  </si>
  <si>
    <t>172-2М.93.020сб</t>
  </si>
  <si>
    <t>10.32.Н6  шайба ГОСТ11371</t>
  </si>
  <si>
    <t>лист S=2 Л63 ГОСТ15527-2004</t>
  </si>
  <si>
    <t>10х0,5.01.016  шайба ГОСТ10450-78</t>
  </si>
  <si>
    <t>172.02.712-1  каркас</t>
  </si>
  <si>
    <t>16х2,5.01.016  шайба ГОСТ11371</t>
  </si>
  <si>
    <t>172.04.486А  планка</t>
  </si>
  <si>
    <t>лист S=3 ГОСТ19904-74 Сталь10кп ГОСТ16523-70</t>
  </si>
  <si>
    <t>172.12.004  прокладка</t>
  </si>
  <si>
    <t>лист S=1 ГОСТ19904-90 Сталь10кп ГОСТ16523-70</t>
  </si>
  <si>
    <t>172.12.005  прокладка</t>
  </si>
  <si>
    <t>лист S=0,5 ГОСТ19904-74 ПТК-1</t>
  </si>
  <si>
    <t>172.70.057-1  скоба</t>
  </si>
  <si>
    <t>172.71.019-4  кронштейн</t>
  </si>
  <si>
    <t>172.74.356  скоба</t>
  </si>
  <si>
    <t>172.74.402  скоба</t>
  </si>
  <si>
    <r>
      <rPr>
        <b/>
        <sz val="11"/>
        <color theme="1"/>
        <rFont val="Calibri"/>
        <family val="2"/>
        <charset val="204"/>
        <scheme val="minor"/>
      </rPr>
      <t>ЗАМІНА</t>
    </r>
    <r>
      <rPr>
        <sz val="11"/>
        <color theme="1"/>
        <rFont val="Calibri"/>
        <family val="2"/>
        <charset val="204"/>
        <scheme val="minor"/>
      </rPr>
      <t xml:space="preserve"> лист S=2 АМг6 ГОСТ4784-74</t>
    </r>
  </si>
  <si>
    <t>432.32.234  донишко</t>
  </si>
  <si>
    <t>432.32.235  обичайка</t>
  </si>
  <si>
    <t>175.25.003  шайба</t>
  </si>
  <si>
    <t>8.01.016 шайба ГОСТ10450-78</t>
  </si>
  <si>
    <t>лист S=1,6 Сталь08кп ГОСТ16523</t>
  </si>
  <si>
    <t>520.06.002-11  прокладка 36х42х2</t>
  </si>
  <si>
    <t>520.07.001-03  шайба 8,5х16х1,5</t>
  </si>
  <si>
    <t>лист S=1,5 Л63М ГОСТ931-70</t>
  </si>
  <si>
    <t>520.07.003-15  Шайба 10.5х22х4</t>
  </si>
  <si>
    <t>520.07.003-05  Шайба 10.5х18х4</t>
  </si>
  <si>
    <t>520.07.004-08  Шайба 14,5х25х0,5</t>
  </si>
  <si>
    <t>лист S=2 Сталь15 ГОСТ1577-70</t>
  </si>
  <si>
    <t>лист S=0,5 Сталь кровельна ГОСТ17715-72</t>
  </si>
  <si>
    <t>54.05.409  дно</t>
  </si>
  <si>
    <t>54.05.410  обечайка</t>
  </si>
  <si>
    <t>Розпорядження №88</t>
  </si>
  <si>
    <t>Роздрукував 01.10.16р</t>
  </si>
  <si>
    <t>520.07.006-06 шайба 18</t>
  </si>
  <si>
    <t>520.07.006-04  шайба 12</t>
  </si>
  <si>
    <t>175.82.002сб-3  трубопровід</t>
  </si>
  <si>
    <t>175.82.004-2  трубка</t>
  </si>
  <si>
    <t>175.82.005-3  трубка</t>
  </si>
  <si>
    <t>дріт КО D=1,2 ГОСТ792-67</t>
  </si>
  <si>
    <t>L=150 (200)</t>
  </si>
  <si>
    <t>L=340(360)</t>
  </si>
  <si>
    <t>175.86.019сб  трубопровід</t>
  </si>
  <si>
    <t>175.86.046  трубка</t>
  </si>
  <si>
    <t>175.86.047  трубка</t>
  </si>
  <si>
    <t>175.86.048  трубка</t>
  </si>
  <si>
    <t>L=1350(1450)</t>
  </si>
  <si>
    <t>L=150(160)</t>
  </si>
  <si>
    <t>L=220(230)</t>
  </si>
  <si>
    <t>труба 8х1 М3 ГОСТ617-64</t>
  </si>
  <si>
    <t>172.60.117сб-1  трубопровід</t>
  </si>
  <si>
    <t>172.60.240  трубка</t>
  </si>
  <si>
    <t>172.60.241  трубка</t>
  </si>
  <si>
    <t>L=65(70)</t>
  </si>
  <si>
    <t>L=1078(1150)</t>
  </si>
  <si>
    <t>172.82.062сб  трубка</t>
  </si>
  <si>
    <t>172.82.147  трубка</t>
  </si>
  <si>
    <t>176.31.086  сітка</t>
  </si>
  <si>
    <t>172.82.063сб  трубопровід</t>
  </si>
  <si>
    <t>172.82.148  трубка</t>
  </si>
  <si>
    <t>172.82.149  трубка</t>
  </si>
  <si>
    <t>175.82.036  трубка</t>
  </si>
  <si>
    <t>175.82.050-1  трубка</t>
  </si>
  <si>
    <t>175.82.051-1  трубка</t>
  </si>
  <si>
    <t>175.82.052-1  трубка</t>
  </si>
  <si>
    <t>65.БК2.957.079.504  планка</t>
  </si>
  <si>
    <t>лист S=10 ДСТУ:8540-2015 Ст3 ГОСТ14637-89</t>
  </si>
  <si>
    <t>Доповнення 1 до Розпорядження №84</t>
  </si>
  <si>
    <t>L=507(550)</t>
  </si>
  <si>
    <t>L=160(180)</t>
  </si>
  <si>
    <t>L=110(130)</t>
  </si>
  <si>
    <t>L=270(300)</t>
  </si>
  <si>
    <t>172.82.082сб  трубопровід</t>
  </si>
  <si>
    <t>172.82.191  трубка</t>
  </si>
  <si>
    <t>L=1780(1850)</t>
  </si>
  <si>
    <t>172.86.051сб  трубка</t>
  </si>
  <si>
    <t>172.86.114  труба</t>
  </si>
  <si>
    <t>175.93.092сб  стелаж</t>
  </si>
  <si>
    <t>L=520(560)</t>
  </si>
  <si>
    <t>60.07.035  шайба</t>
  </si>
  <si>
    <t>бляха біла ГГЖК №25</t>
  </si>
  <si>
    <t>175.93.058сб-1  зачеп</t>
  </si>
  <si>
    <t>175.93.104-1  планка</t>
  </si>
  <si>
    <t>172.93.385  крючок</t>
  </si>
  <si>
    <t>172-2М.93.022сб  кронштейн лівий</t>
  </si>
  <si>
    <t>172-2М.93.007  вушко</t>
  </si>
  <si>
    <t>172-2М.93.080  планка</t>
  </si>
  <si>
    <t>лист S=6 Сталь15 ГОСТ1577-70</t>
  </si>
  <si>
    <t>Роздрукував 07.10.16р</t>
  </si>
  <si>
    <t>Розпорядження №92</t>
  </si>
  <si>
    <t>175.33.053-3  обечайка</t>
  </si>
  <si>
    <t>175.33.054-2  боковина</t>
  </si>
  <si>
    <t>175.33.055-1  дно переднє</t>
  </si>
  <si>
    <t>175.33.056-2  дно задне</t>
  </si>
  <si>
    <t>175.33.057-2  перегородка</t>
  </si>
  <si>
    <t>175.33.094-2А  трубка</t>
  </si>
  <si>
    <t>175.33.346  перегородка</t>
  </si>
  <si>
    <t>175.33.347  перегородка</t>
  </si>
  <si>
    <t>175.33.353  скоба</t>
  </si>
  <si>
    <t>172.33.536  труба забірна</t>
  </si>
  <si>
    <t>172.33.674  планка</t>
  </si>
  <si>
    <t>432.33.111  скоба</t>
  </si>
  <si>
    <t>(розчинник*0,177)</t>
  </si>
  <si>
    <t>(ЛАК*0,4{40%від лаку}*0,85{85% а решта 15% буде спирт}) в сумі розчинник + спирт дадуть =30% від лаку</t>
  </si>
  <si>
    <t>труба 25х1,5 Сталь20 ГОСТ8733-74</t>
  </si>
  <si>
    <t>L=102(140)</t>
  </si>
  <si>
    <t>340-12  шайба</t>
  </si>
  <si>
    <t>лист S=3 Ст3 ГОСТ380-50</t>
  </si>
  <si>
    <t>L=950(1110)</t>
  </si>
  <si>
    <t>лист S=1,5 Сталь08кп ГОСТ16523-70</t>
  </si>
  <si>
    <t>175.33.058-2  обечайка</t>
  </si>
  <si>
    <t>175.33.059-2  боковина</t>
  </si>
  <si>
    <t>175.33.060-2  дно переднє</t>
  </si>
  <si>
    <t>175.33.061-2  дно заднє</t>
  </si>
  <si>
    <t>175.33.062-2  перегородка</t>
  </si>
  <si>
    <t>175.33.063-2  перегородка</t>
  </si>
  <si>
    <t>175.33.360  перегородка</t>
  </si>
  <si>
    <t>172.33.535  труба забірна</t>
  </si>
  <si>
    <t>432.33.660  скоба</t>
  </si>
  <si>
    <t>L=1327(1550)</t>
  </si>
  <si>
    <t>175.33.064-2  обечайка</t>
  </si>
  <si>
    <t>175.33.065-2  боковина</t>
  </si>
  <si>
    <t>175.33.066-2  дно переднє</t>
  </si>
  <si>
    <t>175.33.067-2  дно заднє</t>
  </si>
  <si>
    <t>175.33.068-2  перегородка</t>
  </si>
  <si>
    <t>175.33.069-2  перегородка</t>
  </si>
  <si>
    <t>175.33.070-2  перегородка</t>
  </si>
  <si>
    <t>172.33.538  труба забірна</t>
  </si>
  <si>
    <t>L=1300(1500)</t>
  </si>
  <si>
    <t>175.33.011сб-2  бак зовнішній п'ятий</t>
  </si>
  <si>
    <t>175.33.071-2  обечайка</t>
  </si>
  <si>
    <t>175.33.072-2  дно переднє</t>
  </si>
  <si>
    <t>175.33.073-2  боковина</t>
  </si>
  <si>
    <t>175.33.074-2  дно заднє</t>
  </si>
  <si>
    <t>175.33.075-2  перегородка</t>
  </si>
  <si>
    <t>175.33.076-2  перегородка</t>
  </si>
  <si>
    <t>175.33.368  перегородка</t>
  </si>
  <si>
    <t>172.33.537  труба забірна</t>
  </si>
  <si>
    <t>L=1120(1270)</t>
  </si>
  <si>
    <t>172.33.175сб  труба повітряна</t>
  </si>
  <si>
    <t>172.33.539  труба</t>
  </si>
  <si>
    <t>L=870(1000)</t>
  </si>
  <si>
    <t>175.33.077-2  перегородка</t>
  </si>
  <si>
    <t>175.33.078-2  обечайка</t>
  </si>
  <si>
    <t>175.33.079-2  дно</t>
  </si>
  <si>
    <t>175.33.080-2  боковина</t>
  </si>
  <si>
    <t>175.33.082-2  перегородка</t>
  </si>
  <si>
    <t>175.33.081-2  дно</t>
  </si>
  <si>
    <t>175.33.356  перегородка</t>
  </si>
  <si>
    <t>175.91.312  скоба</t>
  </si>
  <si>
    <t>172.33.534  труба забірна</t>
  </si>
  <si>
    <t>172.33.562  накладка</t>
  </si>
  <si>
    <t>лист S=4 Сталь20 ГОСТ1577</t>
  </si>
  <si>
    <t>L=1335(1500)</t>
  </si>
  <si>
    <t>175.33.085-1  боковина</t>
  </si>
  <si>
    <t>175.33.086-1  кришка передня</t>
  </si>
  <si>
    <t>175.33.088-1  кришка задня</t>
  </si>
  <si>
    <t>175.33.089-1  перегородка</t>
  </si>
  <si>
    <t>175.33.090-2  перегородка</t>
  </si>
  <si>
    <t>172.33.683  обечайка</t>
  </si>
  <si>
    <t>172.91.126сб-А  ящик для ЗІП зовнішній перший</t>
  </si>
  <si>
    <t>172.91.148сб  корпус ящика</t>
  </si>
  <si>
    <t>172.91.311  обечайка</t>
  </si>
  <si>
    <t>172.91.312  горловина</t>
  </si>
  <si>
    <t>172.91.313  накладка</t>
  </si>
  <si>
    <t>175.91.031  дно переднє</t>
  </si>
  <si>
    <t>175.91.032  дно заднє</t>
  </si>
  <si>
    <t>175.91.033  ручка</t>
  </si>
  <si>
    <t>175.91.034  скоба</t>
  </si>
  <si>
    <t>175.91.056  планка</t>
  </si>
  <si>
    <t>175.91.144  планка</t>
  </si>
  <si>
    <t>172.91.457  кришка</t>
  </si>
  <si>
    <t>172.91.439  планка верхня</t>
  </si>
  <si>
    <t>172.91.449  планка</t>
  </si>
  <si>
    <t>175.91.061сб  кришка</t>
  </si>
  <si>
    <t>лист S=3 Сталь08кп ГОСТ16523-97</t>
  </si>
  <si>
    <t>175.91.019сб  ящик для ЗІП зовнішній другий</t>
  </si>
  <si>
    <t>175.91.062сб  кришка</t>
  </si>
  <si>
    <t>175.91.148  кришка</t>
  </si>
  <si>
    <t>175.91.149  планка</t>
  </si>
  <si>
    <t>175.91.150  планка</t>
  </si>
  <si>
    <t>175.91.151  планка</t>
  </si>
  <si>
    <t>175.91.023сб  корпус ящика</t>
  </si>
  <si>
    <t>175.91.023  обечайка</t>
  </si>
  <si>
    <t>175.91.024-1  боковина</t>
  </si>
  <si>
    <t>175.91.026 донишко переднє</t>
  </si>
  <si>
    <t>175.91.027  донишко заднє</t>
  </si>
  <si>
    <t>175.91.028-1  горловина</t>
  </si>
  <si>
    <t>175.91.141  накладка</t>
  </si>
  <si>
    <t>дріб ДЧК d=1,2</t>
  </si>
  <si>
    <t>лист S=2 Сталь08кп ГОСТ16523-97</t>
  </si>
  <si>
    <t>лист S=2 Сталь08кп ГОСТ16523-70</t>
  </si>
  <si>
    <t>труба 12х1,5 Сталь20</t>
  </si>
  <si>
    <t>434.04.778  упор</t>
  </si>
  <si>
    <t>434.04.354-1  рамка щитка</t>
  </si>
  <si>
    <t>дріт СВ08Г2С d=1,2мм</t>
  </si>
  <si>
    <t>434.04.060сб-3  рамка щитка</t>
  </si>
  <si>
    <t>Розпорядження №94</t>
  </si>
  <si>
    <t>(перерахунок алюмінієвого сортаменту на стальний)</t>
  </si>
  <si>
    <t>роздрукував 11.10.16р</t>
  </si>
  <si>
    <t xml:space="preserve">  дріт ОЧ d=2 ГОСТ3282-46</t>
  </si>
  <si>
    <t>4.01.019 шайба ГОСТ11371-78</t>
  </si>
  <si>
    <t>175.91.020сб  Ящик для ЗІП зовнішній третій</t>
  </si>
  <si>
    <t>175.91.026сб  корпус ящика третього</t>
  </si>
  <si>
    <t>175.91.037  донишко заднє</t>
  </si>
  <si>
    <t>175.91.036  корпус</t>
  </si>
  <si>
    <t>175.91.038  донишко переднє</t>
  </si>
  <si>
    <t>175.91.039  горловина</t>
  </si>
  <si>
    <t>175.91.040-1  боковина</t>
  </si>
  <si>
    <t>172.91.444  скоба</t>
  </si>
  <si>
    <t>172.91.484  накладка</t>
  </si>
  <si>
    <t>172.91.485  накладка</t>
  </si>
  <si>
    <t>175.91.027сб  кришка</t>
  </si>
  <si>
    <t>175.91.028сб  щиток пили</t>
  </si>
  <si>
    <t>175.91.041  кришка</t>
  </si>
  <si>
    <t>175.91.043  планка</t>
  </si>
  <si>
    <t xml:space="preserve">   175.91.044  щиток</t>
  </si>
  <si>
    <t xml:space="preserve">3х8.00.016 заклепка ГОСТ10300-80 </t>
  </si>
  <si>
    <t>175.91.021сб-1  Ящик для ЗІП зовнішній четвертий</t>
  </si>
  <si>
    <t>175.91.030сб  кришка</t>
  </si>
  <si>
    <t>175.91.052  кришка</t>
  </si>
  <si>
    <t>175.91.053  планка</t>
  </si>
  <si>
    <t>175.91.054  планка</t>
  </si>
  <si>
    <t>175.91.029сб-1  корпус ящика</t>
  </si>
  <si>
    <t>175.91.031сб  кронштейн</t>
  </si>
  <si>
    <t>175.91.046-1  обечайка</t>
  </si>
  <si>
    <t>175.91.047-1  боковина</t>
  </si>
  <si>
    <t>175.91.048  дно передннє</t>
  </si>
  <si>
    <t>175.91.050  горловина</t>
  </si>
  <si>
    <t>175.91.049-1  дно заднє</t>
  </si>
  <si>
    <t xml:space="preserve">   175.91.057  накладка</t>
  </si>
  <si>
    <t xml:space="preserve">   лист S=3 Сталь08кп ГОСТ16523-97</t>
  </si>
  <si>
    <t>Роздрукував 12.10.16</t>
  </si>
  <si>
    <t>!!! Перерахунок алюмінієвого сортаменту на стальний</t>
  </si>
  <si>
    <t>2А46М.106-1  секція кожуха</t>
  </si>
  <si>
    <t>2А46М.106-2  секція кожуха</t>
  </si>
  <si>
    <t>2А46М.106-3  секція кожуха</t>
  </si>
  <si>
    <t>2А46М.106-4  секція кожуха</t>
  </si>
  <si>
    <t>лист S=0,5 Д16АТ ГОСТ21631-76</t>
  </si>
  <si>
    <t>уайтспірит</t>
  </si>
  <si>
    <t>2А46М.106-5  стрічка</t>
  </si>
  <si>
    <t>2А46М.106-6  стрічка</t>
  </si>
  <si>
    <t>2А46М.106-7  стрічка</t>
  </si>
  <si>
    <t>2А46М.106-8  стрічка</t>
  </si>
  <si>
    <t>2А46М.106-9  стрічка</t>
  </si>
  <si>
    <t>2А46М.106-10  стрічка</t>
  </si>
  <si>
    <t>лист S=1 ГОСТ19903-74 Ст3сп ГОСТ16523-70</t>
  </si>
  <si>
    <t>Розпорядження №91</t>
  </si>
  <si>
    <t>Розпорядження №81</t>
  </si>
  <si>
    <t xml:space="preserve"> (дописані поз. згідно замовлення)</t>
  </si>
  <si>
    <t xml:space="preserve">Розпорядження №18    </t>
  </si>
  <si>
    <t>(уточнення одиниць виміру)</t>
  </si>
  <si>
    <t>434.86.020сб-2  трубка (до лівого сопла)</t>
  </si>
  <si>
    <t>434.86.080-2  трубка</t>
  </si>
  <si>
    <t>труба 8х1 Сталь20</t>
  </si>
  <si>
    <t>175.34.019сб-1  кронштейн</t>
  </si>
  <si>
    <t>емаль ПФ-223  темно-сіра</t>
  </si>
  <si>
    <t>175.34.047-1  планка</t>
  </si>
  <si>
    <t>175.34.049-1  ребро</t>
  </si>
  <si>
    <t>Розпорядження №95</t>
  </si>
  <si>
    <t>54.28.688сб  завіси шарнірні</t>
  </si>
  <si>
    <t>54.28.687сб  замок накладки</t>
  </si>
  <si>
    <t>54.28.689сб  накладка шарніра</t>
  </si>
  <si>
    <t>30х16х2 ГОСТ11371-78 Шайба</t>
  </si>
  <si>
    <t>54.28.1572  петля нерухома</t>
  </si>
  <si>
    <t>54.28.1573  петля накладна</t>
  </si>
  <si>
    <t>54.28.1873  вісь</t>
  </si>
  <si>
    <t>дріт D=5 ОЧ ГОСТ3282-74</t>
  </si>
  <si>
    <t>54.28.1571  планка замка</t>
  </si>
  <si>
    <t>54.28.390-1  створка замка</t>
  </si>
  <si>
    <t>заклепка 8х22.00 ГОСТ10299-80</t>
  </si>
  <si>
    <t>заклепка 5х45.00 ГОСТ10299-80</t>
  </si>
  <si>
    <t>лист S=2 Сталь08кп</t>
  </si>
  <si>
    <t>лист S=3 Сталь3</t>
  </si>
  <si>
    <t>Роздрукував 18.10.16</t>
  </si>
  <si>
    <t>ДРІТ КО D=1,2</t>
  </si>
  <si>
    <t>56-П-542М6-86  тримач ленти</t>
  </si>
  <si>
    <t>лист S=2,5 Сталь30ХГСА</t>
  </si>
  <si>
    <t>56-П-542М5-12  тримач ленти</t>
  </si>
  <si>
    <t>лист S=1,5 Сталь08кп</t>
  </si>
  <si>
    <t>або</t>
  </si>
  <si>
    <t>лист S=3 Сталь30ХГСА</t>
  </si>
  <si>
    <t>54.19.20сб-А</t>
  </si>
  <si>
    <t>припій ПОССу 30-2</t>
  </si>
  <si>
    <t>54.19.035-1А  трос</t>
  </si>
  <si>
    <t>канат D=2,5 ГОСТ2172-77</t>
  </si>
  <si>
    <t>дріт D=0,5-О-Ч</t>
  </si>
  <si>
    <t>Роздрукував початок Листопада</t>
  </si>
  <si>
    <t>не друкував ще</t>
  </si>
  <si>
    <t>155.01.008  прокладка</t>
  </si>
  <si>
    <t>155.01.009  прокладка</t>
  </si>
  <si>
    <t>155.01.010  прокладка</t>
  </si>
  <si>
    <t>бляха біла ГГЖК №25 ГОСТ17718-72</t>
  </si>
  <si>
    <t>стрічка S=0,15 10кп-ОМ-НТ-3-НО-0,15 ГОСТ 503-67</t>
  </si>
  <si>
    <t>лист S=0,5 СТК-1 ГОСТ17715-75</t>
  </si>
  <si>
    <t>155.01.011  прокладка</t>
  </si>
  <si>
    <t>155.01.012  прокладка</t>
  </si>
  <si>
    <t>155.01.013  прокладка</t>
  </si>
  <si>
    <t>стрічка S=0,25 10кп-ОМ-НТ-3-НО-0,15 ГОСТ 503-67</t>
  </si>
  <si>
    <t>54.01.002  прокладка</t>
  </si>
  <si>
    <t>54.01.003  прокладка</t>
  </si>
  <si>
    <t>54.01.009  прокладка</t>
  </si>
  <si>
    <t>54.01.011  прокладка</t>
  </si>
  <si>
    <t>54.01.014  прокладка</t>
  </si>
  <si>
    <t>54.01.018  прокладка</t>
  </si>
  <si>
    <t>54.29.625  шайба</t>
  </si>
  <si>
    <t>лист S=1 Ст3сп ГОСТ380-60</t>
  </si>
  <si>
    <t>Розпорядження №115-16 на ГПМ-54</t>
  </si>
  <si>
    <t>172.33.665  трубка</t>
  </si>
  <si>
    <t>172.33.694  планка</t>
  </si>
  <si>
    <t>172.70.543  перемичка</t>
  </si>
  <si>
    <t>стрічка НМ 0,2 М3 ГОСТ1173-77</t>
  </si>
  <si>
    <t>172.70.307сб  щиток</t>
  </si>
  <si>
    <t>175.70.006  щиток</t>
  </si>
  <si>
    <t>l=</t>
  </si>
  <si>
    <t>дуга=</t>
  </si>
  <si>
    <t>33-43-1с  стрічка хомута</t>
  </si>
  <si>
    <t>26-33-1с  стрічка хомута</t>
  </si>
  <si>
    <t>43-57-1с  стрічка хомута</t>
  </si>
  <si>
    <t>лист S=0,5 10кп ГОСТ16523-97</t>
  </si>
  <si>
    <t>172.33.013сб-5  кронштейн з паливними приборами</t>
  </si>
  <si>
    <t>рукав 40У16-13 або 40У16-7</t>
  </si>
  <si>
    <t>рукав 40У8-13 або 70У8-7</t>
  </si>
  <si>
    <t>мастило бензиностійке ГОСТ 7171-63</t>
  </si>
  <si>
    <t>175.33.029сб-3  кронштейн</t>
  </si>
  <si>
    <t>175.33.220-3  стінка</t>
  </si>
  <si>
    <t>175.33.221-3  кришка</t>
  </si>
  <si>
    <t>172.33.502  кронштейн</t>
  </si>
  <si>
    <t>175.33.226-1  кронштейн</t>
  </si>
  <si>
    <t>175.33.543  планка</t>
  </si>
  <si>
    <t>лист S=3 ГОСТ16523-70</t>
  </si>
  <si>
    <t>лист S=2 ГОСТ16523-70</t>
  </si>
  <si>
    <t>Роздрукував 05.12.16р</t>
  </si>
  <si>
    <t>Роздрукував 18.11.16р</t>
  </si>
  <si>
    <t xml:space="preserve">Випробування </t>
  </si>
  <si>
    <t>172.36.001сб  підігрівач</t>
  </si>
  <si>
    <t>дизпаливо</t>
  </si>
  <si>
    <t>л</t>
  </si>
  <si>
    <t>Роздрукував 03.01.17р</t>
  </si>
  <si>
    <t>лист S=4 АМг6 ГОСТ4784-74</t>
  </si>
  <si>
    <t>труба 25х1,5 АМг6М Кр ОСТ192096-83</t>
  </si>
  <si>
    <t>Роздрукував 04.01.17р</t>
  </si>
  <si>
    <t>172.82.055сб-1  корпус головки з трубкою</t>
  </si>
  <si>
    <t>155.59.481  трубка</t>
  </si>
  <si>
    <t>L=288(300)</t>
  </si>
  <si>
    <t>Доповнення №1 до тех. розп №111</t>
  </si>
  <si>
    <t>Роздрукував 30.01.17р</t>
  </si>
  <si>
    <t>Виготовлення запчастин для модернізації Т-72 (М-84)</t>
  </si>
  <si>
    <t>172.91.295сб  кронштейн</t>
  </si>
  <si>
    <t xml:space="preserve">172.91.645  косинка </t>
  </si>
  <si>
    <t>172.91.644  стійка</t>
  </si>
  <si>
    <t>172.91.643  основа</t>
  </si>
  <si>
    <t>176.01.029-1  кутник</t>
  </si>
  <si>
    <t>кутник 45х28х4 ГОСТ8510-72 Ст3кп ГОСТ535-79</t>
  </si>
  <si>
    <t>L=75(80)</t>
  </si>
  <si>
    <t>55.176.01.023-1  накладка</t>
  </si>
  <si>
    <t>176.82.001сб  трубопровід</t>
  </si>
  <si>
    <t>176.82.001  трубка (б.ч.)</t>
  </si>
  <si>
    <t xml:space="preserve">176.82.013  планка </t>
  </si>
  <si>
    <t>лист S=4 ТУ14-1-1830-75 30ХГСА ГОСТ11269-76</t>
  </si>
  <si>
    <t xml:space="preserve">172.31.313  щиток </t>
  </si>
  <si>
    <t xml:space="preserve">172.31.314  прокладка  </t>
  </si>
  <si>
    <t xml:space="preserve">172.31.330-1  планка </t>
  </si>
  <si>
    <t>лист S=1,5  ГОСТ19904-74 Сталь10кп ГОСТ16523-70</t>
  </si>
  <si>
    <t>172.31.331 скоба</t>
  </si>
  <si>
    <t>172.21.088  шайба</t>
  </si>
  <si>
    <t>лист S=3 ГОСТ19903-74 Сталь65Г ГОСТ1542-71</t>
  </si>
  <si>
    <t xml:space="preserve">172.21.029  прокладка </t>
  </si>
  <si>
    <t>172.19.079  кліпса</t>
  </si>
  <si>
    <t>176.34.021сб  кронштейн</t>
  </si>
  <si>
    <t>емаль ПФ-223 світло-сіроголуба</t>
  </si>
  <si>
    <t xml:space="preserve">176.34.036  планка </t>
  </si>
  <si>
    <t>175.34.048-1  планка</t>
  </si>
  <si>
    <t>176.31.034сб-1  патрубок</t>
  </si>
  <si>
    <t>172.21.021сб  тяга</t>
  </si>
  <si>
    <t xml:space="preserve">грунт ФЛ-03К коричнева </t>
  </si>
  <si>
    <t>172.21.072  труба (б.к.)</t>
  </si>
  <si>
    <t>труба 17х3 ГОСТ8734-75 Сталь10 ГОСТ8733-74</t>
  </si>
  <si>
    <t>L=192(210)</t>
  </si>
  <si>
    <t>54.31.971  дашок</t>
  </si>
  <si>
    <t>лист S=3 ГОСТ19904-74 Сталь15 ГОСТ16523</t>
  </si>
  <si>
    <t>60.07.098  шайба</t>
  </si>
  <si>
    <t>лист S=0,5 ГОСТ19904 Сталь08кп ГОСТ16523</t>
  </si>
  <si>
    <t>175.32.172  скоба</t>
  </si>
  <si>
    <t>432.21.104  прокладка</t>
  </si>
  <si>
    <t>лента 08кп ОМ-МТ-3-НО-0,15 ГОСТ503-71</t>
  </si>
  <si>
    <t>172.01.267сб  планка</t>
  </si>
  <si>
    <t>172.01.723  планка</t>
  </si>
  <si>
    <t>лист S=2 ГОСТ19904-74  Сталь10кп ГОСТ16523-70</t>
  </si>
  <si>
    <t>172-2М.31.018сб  полка</t>
  </si>
  <si>
    <t>172-2М.31.042  полка</t>
  </si>
  <si>
    <t>172.71.083сб  кронштейн</t>
  </si>
  <si>
    <t>172.71.160  планка</t>
  </si>
  <si>
    <t>172.71.161  основа</t>
  </si>
  <si>
    <t>176.31.003сб  бачок</t>
  </si>
  <si>
    <t>дріт d=1,2 СВ08Х20Н9Г7Т ГОСТ2246-76</t>
  </si>
  <si>
    <t>176.31.007сб-1 трубка</t>
  </si>
  <si>
    <t>труба 12х1 12Х18Н10Т ГОСТ9941-81</t>
  </si>
  <si>
    <t>L=35(50)</t>
  </si>
  <si>
    <t>176.31.022сб  патрубок</t>
  </si>
  <si>
    <t>176.31.020  трубка б.к.</t>
  </si>
  <si>
    <t>176.31.033-1  трубка б.к.</t>
  </si>
  <si>
    <t>труба 30х1,5 12Х18Н10Т ГОСТ9941-81</t>
  </si>
  <si>
    <t>L=31(45)</t>
  </si>
  <si>
    <t>176.31.026сб-2  трубка</t>
  </si>
  <si>
    <t>176.31.065-2  трубка</t>
  </si>
  <si>
    <t>L=55(70)</t>
  </si>
  <si>
    <t>172.31.081сб-1  клапан пароповітряний</t>
  </si>
  <si>
    <t>КД</t>
  </si>
  <si>
    <t>176.31.024  лапа</t>
  </si>
  <si>
    <t>176.31.025  накладка</t>
  </si>
  <si>
    <t>176.31.003  боковина</t>
  </si>
  <si>
    <t>176.31.004  боковина</t>
  </si>
  <si>
    <t>176.31.007  перегородка</t>
  </si>
  <si>
    <t>176.31.009  накладка</t>
  </si>
  <si>
    <t>176.31.010-1  накладка</t>
  </si>
  <si>
    <t>176.31.006  перегородка</t>
  </si>
  <si>
    <t>176.31.011-1  кутник</t>
  </si>
  <si>
    <t>Роздрукував 07.02.17р</t>
  </si>
  <si>
    <t>не друкува ще, можливо треба буде тоді і допишу</t>
  </si>
  <si>
    <t>54.02.021  прокладка</t>
  </si>
  <si>
    <t>54.02.073  прокладка</t>
  </si>
  <si>
    <t>пароніт S=2 ПОН ГОСТ481-71</t>
  </si>
  <si>
    <t>155.02.1сб-В  радіатор</t>
  </si>
  <si>
    <t>емаль ПФ-115 світло-сіра</t>
  </si>
  <si>
    <t>БІЛА ПФ-115 !!!</t>
  </si>
  <si>
    <t>65.НБЛ.2.967.028-01  сітка</t>
  </si>
  <si>
    <t>сітка полутомпакова 0,5 ГОСТ6613-73</t>
  </si>
  <si>
    <t>65.М28.29.463.04  сітка</t>
  </si>
  <si>
    <t>1465.01.00.300-03  сітка</t>
  </si>
  <si>
    <t>сітка полутомпакова 016 ГОСТ6613-73</t>
  </si>
  <si>
    <t>Роздрукував 18.03.2017</t>
  </si>
  <si>
    <t>S = 17,5х17,5</t>
  </si>
  <si>
    <t>S = 27х27</t>
  </si>
  <si>
    <t>S = 12х12</t>
  </si>
  <si>
    <t>172-2М.93.006  вушко</t>
  </si>
  <si>
    <t>лист S=5 Сталь15 (Сталь20) ГОСТ1577-70</t>
  </si>
  <si>
    <t>172.33.203сб-2  трубопровід</t>
  </si>
  <si>
    <t>172.33.593-2  трубопровід</t>
  </si>
  <si>
    <t>L=1500(1600)</t>
  </si>
  <si>
    <t>Замовлення №327</t>
  </si>
  <si>
    <t>дріт d=1,2 КО ГОСТ 792-67</t>
  </si>
  <si>
    <t>L=180</t>
  </si>
  <si>
    <t>білила цинкові густотерті МО-011-1</t>
  </si>
  <si>
    <t>дріт d=1,2 СВ08Х20Н9Г7Т</t>
  </si>
  <si>
    <t>172.85.029  трубка (б.к.)</t>
  </si>
  <si>
    <t>труба 8х1 12Х18Н10Т ГОСТ 9941-81</t>
  </si>
  <si>
    <t>L=148(170)</t>
  </si>
  <si>
    <t>175.02.449  тяга</t>
  </si>
  <si>
    <t>труба 16х3 ГОСТ8734-75 В20 ГОСТ8733-74</t>
  </si>
  <si>
    <t>L=1317(1400)</t>
  </si>
  <si>
    <t>172-2М.91.013сб  кожух прибору</t>
  </si>
  <si>
    <t>клей 88НП ТУ38-105-540-73</t>
  </si>
  <si>
    <t>172.91.468  боковина</t>
  </si>
  <si>
    <t>лист S=1,5 АМг6БМ ГОСТ21631-76 або АМг6М</t>
  </si>
  <si>
    <t>172.91.469  боковина</t>
  </si>
  <si>
    <t>172.91.470  обечайка</t>
  </si>
  <si>
    <t>гайка М8х1.6Н.45ЛI.016 ГОСТ3032-76</t>
  </si>
  <si>
    <t>шплінт 2х16-001 ГОСТ397-66</t>
  </si>
  <si>
    <t>кільце</t>
  </si>
  <si>
    <t>172.04.738  накладка</t>
  </si>
  <si>
    <t>лист S=4 ГОСТ19903-74 Сталь20 ГОСТ1577-81</t>
  </si>
  <si>
    <t>172.10.435  косинка</t>
  </si>
  <si>
    <t>лист S=2,5 ГОСТ19903-74, 10кп або 15 ГОСТ16523-70</t>
  </si>
  <si>
    <t>172.27.026А  кільце</t>
  </si>
  <si>
    <t>172.27.027А  кільце</t>
  </si>
  <si>
    <t>172.27.093  кільце</t>
  </si>
  <si>
    <t>лист S=0,3 У7А ГОСТ2283-69</t>
  </si>
  <si>
    <t>лист S=0,5 У7А ГОСТ2283-69</t>
  </si>
  <si>
    <t>лист S=1,5 У7А ГОСТ2283-69</t>
  </si>
  <si>
    <t>172.29.047  прокладка</t>
  </si>
  <si>
    <t>лист S=0,25 лента 10кп ОМ-НТ-3-НО-0,25 ГОСТ503-71</t>
  </si>
  <si>
    <t>лист S=0,5 ГОСТ19904-74, 10кп ГОСТ16523-70</t>
  </si>
  <si>
    <t>172.29.047-01  прокладка</t>
  </si>
  <si>
    <t>172.29.047-02  прокладка</t>
  </si>
  <si>
    <t>лист S=2 ГОСТ19904-74, 10кп або 15 ГОСТ16523-70</t>
  </si>
  <si>
    <t>172.29.047-03  прокладка</t>
  </si>
  <si>
    <t>лист S=4 ГОСТ19904-74, 30ХГСА ГОСТ11269-65</t>
  </si>
  <si>
    <t>172.70.605  кронштейн</t>
  </si>
  <si>
    <t>172.70.606  щиток</t>
  </si>
  <si>
    <t>520.07.002-09  шайба</t>
  </si>
  <si>
    <t>лист S=2 Сталь 15 або 20 ГОСТ16523-70</t>
  </si>
  <si>
    <t>172.86.034сб-1  трубка</t>
  </si>
  <si>
    <t>L=800(850)</t>
  </si>
  <si>
    <t>172.86.088-1  трубка</t>
  </si>
  <si>
    <t>труба М2-М 8х1 ГОСТ617-72</t>
  </si>
  <si>
    <t>172.93.137сб  захват</t>
  </si>
  <si>
    <t>172.93.351  планка</t>
  </si>
  <si>
    <t>лист S=3 ГОСТ19903-74, 10кп або 15 ГОСТ16523-70</t>
  </si>
  <si>
    <t>172.93.353  ребро</t>
  </si>
  <si>
    <t>172.93.356  ребро</t>
  </si>
  <si>
    <t>175.93.149  планка</t>
  </si>
  <si>
    <t>лист S=3  15 або 20 ГОСТ16523-70</t>
  </si>
  <si>
    <t>34.28.141  скоба</t>
  </si>
  <si>
    <t>дріт 4-0-1 ГОСТ3282-74</t>
  </si>
  <si>
    <t>L=66(70)</t>
  </si>
  <si>
    <t>172.93.138сб  захват</t>
  </si>
  <si>
    <t>172.93.352  планка</t>
  </si>
  <si>
    <t>172.93.354  ребро</t>
  </si>
  <si>
    <t>176.93.026  планка</t>
  </si>
  <si>
    <t>лист S=4 ГОСТ19903-74 Сталь15 або 20 ГОСТ1577-70</t>
  </si>
  <si>
    <t>176.93.016сб  опора</t>
  </si>
  <si>
    <t>22.01.016 шайба ГОСТ11371-78</t>
  </si>
  <si>
    <t>лист S=3 08кп ГОСТ16523-70</t>
  </si>
  <si>
    <t>520.07.006-1 Шайба</t>
  </si>
  <si>
    <t>лист S=1 ГОСТ16523-70</t>
  </si>
  <si>
    <t>150.31.2103  шайба регулювальна</t>
  </si>
  <si>
    <t>150.31.792  шайба регулювальна</t>
  </si>
  <si>
    <t>150.31.793  шайба регулювальна</t>
  </si>
  <si>
    <t>166.31.146-02  прокладка</t>
  </si>
  <si>
    <t>лист S=0,25 Сталь10кп ГОСТ16523-70</t>
  </si>
  <si>
    <t>лист S=0,5 ГОСТ19904-90 08кп або 10кп ГОСТ16523-70</t>
  </si>
  <si>
    <t>54.29.1218  шайба</t>
  </si>
  <si>
    <t>54.30.1320-1  шайба</t>
  </si>
  <si>
    <t>лист S=1,5; 15 ГОСТ1050-60</t>
  </si>
  <si>
    <t>лист S=0,5; 10кп ГОСТ16523-70</t>
  </si>
  <si>
    <t>8.01.016 Шайба ГОСТ 10450-78</t>
  </si>
  <si>
    <t>лист S=1,6 08кп ГОСТ16523-70</t>
  </si>
  <si>
    <t>165.26.148</t>
  </si>
  <si>
    <t>172.04.215сб-1  щиток грязевий передній правий</t>
  </si>
  <si>
    <t>172.04.607-1  щиток грязевий передній правий</t>
  </si>
  <si>
    <t>172.04.608  кутник правий</t>
  </si>
  <si>
    <t>лист S=3 ГОСТ19903-74; 10кп або 15 ГОСТ16523-70</t>
  </si>
  <si>
    <t>кутник 32х20х4 ГОСТ8510-72</t>
  </si>
  <si>
    <t>L=425(450) 1,52кг/м</t>
  </si>
  <si>
    <t>дріб ДЧК d=1,4</t>
  </si>
  <si>
    <t>155.25.147А  шайба</t>
  </si>
  <si>
    <t>лента S=0,5 У7А-С-0,5 ГОСТ2283-79</t>
  </si>
  <si>
    <t>172.06.007  кутник</t>
  </si>
  <si>
    <t>кутник 32х20х4 ГОСТ8510-72 09Г2-2 ГОСТ19281-73</t>
  </si>
  <si>
    <t>L=360(390) 1,17кг/м</t>
  </si>
  <si>
    <t>L=360(390) 1,52кг/м</t>
  </si>
  <si>
    <t>172.06.008  кутник</t>
  </si>
  <si>
    <t>172.70.525  наконечник</t>
  </si>
  <si>
    <t>лист S=1,5 Л63 ГОСТ931-78</t>
  </si>
  <si>
    <t>лента НМ S=0,2 М3 ГОСТ1173-77</t>
  </si>
  <si>
    <t>175.70.005  кронштейн</t>
  </si>
  <si>
    <t>лист S=3 Сталь15 або 20 ГОСТ16523-70</t>
  </si>
  <si>
    <t>172.70.066сб  шланг</t>
  </si>
  <si>
    <t>рукав 40У12-13 ТУ38-005-6016-79</t>
  </si>
  <si>
    <t>172.70.245сб-1  перемичка АКБ-РСГ</t>
  </si>
  <si>
    <t>заклепка 3х12.38.М3 ГОСТ10302-80</t>
  </si>
  <si>
    <t>172.70.500-1  перемичка</t>
  </si>
  <si>
    <t>172.70.501-1  перемичка</t>
  </si>
  <si>
    <t>172.70.502  перемичка</t>
  </si>
  <si>
    <t>лист НМ 4,0-М1 ГОСТ495-77</t>
  </si>
  <si>
    <t>лента НМ або НТ 0,2 М3 ГОСТ1173-77</t>
  </si>
  <si>
    <t>172.70.251сб  перемичка</t>
  </si>
  <si>
    <t>заклепка 3х14.38.М3 ГОСТ10302-80</t>
  </si>
  <si>
    <t>172.70.532  перемичка (б.ч.)</t>
  </si>
  <si>
    <t>172.70.252сб  перемичка</t>
  </si>
  <si>
    <t>заклепка 3х10.38.М3 ГОСТ10299-80</t>
  </si>
  <si>
    <t>172.70.530  перемичка</t>
  </si>
  <si>
    <t>172.70.520  перемичка</t>
  </si>
  <si>
    <t>лист ДМ М1 S=3 ГОСТ495-77</t>
  </si>
  <si>
    <t>172.87.118сб  трос з колпачком</t>
  </si>
  <si>
    <t>L=440()</t>
  </si>
  <si>
    <t>172.87.309  шайба</t>
  </si>
  <si>
    <t>лист S=1,5 ГОСТ19904-74 Ст15 або20 ГОСТ16523-70</t>
  </si>
  <si>
    <t>434.87.160</t>
  </si>
  <si>
    <t>172.93.213сб  стелаж</t>
  </si>
  <si>
    <t>172.91.214  кутник</t>
  </si>
  <si>
    <t>172.91.218  скоба</t>
  </si>
  <si>
    <t>лист S=3 АМГ6БМ або АМг6УМ ГОСТ21631-76</t>
  </si>
  <si>
    <t>172.93.212сб  стелаж</t>
  </si>
  <si>
    <t>172.93.105-А  стінка</t>
  </si>
  <si>
    <t>172.93.414  планка</t>
  </si>
  <si>
    <t>лист S=2 АМГ6БМ або АМг6М ГОСТ21631-76</t>
  </si>
  <si>
    <t>172.04.170сб  щиток</t>
  </si>
  <si>
    <t>172.04.481  щиток</t>
  </si>
  <si>
    <t>172.04.482 ребро</t>
  </si>
  <si>
    <t>175.66.072-1</t>
  </si>
  <si>
    <t>175.66.075</t>
  </si>
  <si>
    <t>кутник</t>
  </si>
  <si>
    <t>муфта</t>
  </si>
  <si>
    <t>172.86.110</t>
  </si>
  <si>
    <t>172.86.049сб  кронштейн</t>
  </si>
  <si>
    <t>172.93.395</t>
  </si>
  <si>
    <t>вісь</t>
  </si>
  <si>
    <t>172.93.194сб  хомут</t>
  </si>
  <si>
    <t>шплінт 2х16-016 ГОСТ397-79</t>
  </si>
  <si>
    <t>172.93.195сб  хомут</t>
  </si>
  <si>
    <t>клей 88НТ ГУ38-105-540-73</t>
  </si>
  <si>
    <t>емаль Пф-115</t>
  </si>
  <si>
    <t>172.93.197сб  хомут</t>
  </si>
  <si>
    <t>шплінт  2х16-016 ГОСТ397-79</t>
  </si>
  <si>
    <t xml:space="preserve">   172-2М.93.049сб  кронштейн</t>
  </si>
  <si>
    <t xml:space="preserve">     дріт СВ08Г2С d=1,2мм</t>
  </si>
  <si>
    <t xml:space="preserve">     суміш зварювальна</t>
  </si>
  <si>
    <t xml:space="preserve">        172-2М.93.072  кронштейн</t>
  </si>
  <si>
    <t xml:space="preserve">        172-2М.93.073  дужка</t>
  </si>
  <si>
    <t xml:space="preserve">        лист S=3 Сталь15 або 20 ГОСТ16523-70</t>
  </si>
  <si>
    <t xml:space="preserve">   172.93.003-1  дужка</t>
  </si>
  <si>
    <t xml:space="preserve">   172.93.225  планка</t>
  </si>
  <si>
    <t xml:space="preserve">   172-2М.93.074  дужка</t>
  </si>
  <si>
    <t xml:space="preserve">   172-2М.93.075  дужка</t>
  </si>
  <si>
    <t xml:space="preserve">   лист S=3 Сталь15 або 20 ГОСТ16523-70</t>
  </si>
  <si>
    <t xml:space="preserve">172.93.395  </t>
  </si>
  <si>
    <t>172.70.254сб  перемичка</t>
  </si>
  <si>
    <t>172.70.522  перемичка</t>
  </si>
  <si>
    <t>172.70.529  перемичка</t>
  </si>
  <si>
    <t>лист ДМ М1-3 ГОСТ495-77</t>
  </si>
  <si>
    <t>лист  S=1,5 ГОСТ19904-74 Сталь15 ГОСТ16523-70</t>
  </si>
  <si>
    <t>175.87.083сб  трубка</t>
  </si>
  <si>
    <t>175.87.197  трубка</t>
  </si>
  <si>
    <t>труба 8х1 Сталь20 ТУ14-3-138-73</t>
  </si>
  <si>
    <t>L=580(600)</t>
  </si>
  <si>
    <t>175.66.128  сітка</t>
  </si>
  <si>
    <t>сітка латунь Л80 ГОСТ15527-70</t>
  </si>
  <si>
    <t>172.04.387  труба</t>
  </si>
  <si>
    <t>труба 22х2 ГОСТ8734-75 Сталь20 ГОСТ8733</t>
  </si>
  <si>
    <t>L=350(390)</t>
  </si>
  <si>
    <t>175.93.060  планка</t>
  </si>
  <si>
    <t>лист S=3 ГОСТ 19903-74 Сталь15 ГОСТ16523-70</t>
  </si>
  <si>
    <t>172-2М.93.096  планка</t>
  </si>
  <si>
    <t>172.87.090сб  щиток</t>
  </si>
  <si>
    <t>172.87.252-1  щиток</t>
  </si>
  <si>
    <t>лист S=2 ГОСТ1990474 10кп або 15 ГОСТ16523-70</t>
  </si>
  <si>
    <t>172.87.253</t>
  </si>
  <si>
    <t>валик</t>
  </si>
  <si>
    <t>172.87.126сб  трубка</t>
  </si>
  <si>
    <t>172.87.325  трубка (б.к.)</t>
  </si>
  <si>
    <t>втулка</t>
  </si>
  <si>
    <t>L=425(450)</t>
  </si>
  <si>
    <t>176.60.022сб-1  трубка</t>
  </si>
  <si>
    <t>172-2М.60.027</t>
  </si>
  <si>
    <t>L=1942(2000)</t>
  </si>
  <si>
    <t>176.60.004-1  трубка</t>
  </si>
  <si>
    <t>175.04.171сб-А  опора</t>
  </si>
  <si>
    <t>175.04.536-А  планка</t>
  </si>
  <si>
    <t>175.70.112  кутник</t>
  </si>
  <si>
    <t>лист S=5 Сталь15 або 20 ГОСТ1577-70</t>
  </si>
  <si>
    <t>172-2М.31.012  трубка</t>
  </si>
  <si>
    <t>труба 14х1 Х18Н10Т ГОСТ9941-62</t>
  </si>
  <si>
    <t>L=103(120)</t>
  </si>
  <si>
    <t>172.19.012сб  кришка</t>
  </si>
  <si>
    <t>172.19.048  кришка</t>
  </si>
  <si>
    <t>172.19.049  ободок</t>
  </si>
  <si>
    <t>лист S=2 ГОСТ19904-90 10кп або 15 ГОСТ16523-89</t>
  </si>
  <si>
    <t>172.86.081сб  кронштейн</t>
  </si>
  <si>
    <t>172.86.167  кронштейн</t>
  </si>
  <si>
    <t>175.91.049сб  замок</t>
  </si>
  <si>
    <t>172.91.453  скоба</t>
  </si>
  <si>
    <t>172.91.609-1  накидка</t>
  </si>
  <si>
    <t>дріт II-3,0 ГОСТ9389-75</t>
  </si>
  <si>
    <t>дріт d=6 Д18 ГОСТ14838-78</t>
  </si>
  <si>
    <t>L=32(35)</t>
  </si>
  <si>
    <t>176.82.006сб</t>
  </si>
  <si>
    <t>175.38.010сб  стрічка</t>
  </si>
  <si>
    <t>175.38.021  петля</t>
  </si>
  <si>
    <t>дріт d=4 ОЧ ГОСТ3282-74</t>
  </si>
  <si>
    <t>175.38.022</t>
  </si>
  <si>
    <t>шпилька</t>
  </si>
  <si>
    <t>175.38.023  лента (б.к.)</t>
  </si>
  <si>
    <t>лист S=2 Сталь15 або 20 ГОСТ16523-70</t>
  </si>
  <si>
    <t>L=260х12</t>
  </si>
  <si>
    <t>175.37.010-2  кронштейн</t>
  </si>
  <si>
    <t>175.01.024сб-2  лист перегородки</t>
  </si>
  <si>
    <t>172.01.081сб</t>
  </si>
  <si>
    <t>бонка</t>
  </si>
  <si>
    <t>175.01.099-2  лист перегородки</t>
  </si>
  <si>
    <t>172.01.345  кармар</t>
  </si>
  <si>
    <t>лист S=3 АМг6БМ ГОСТ21631</t>
  </si>
  <si>
    <t>дріт СВАМг6 d=1,2мм</t>
  </si>
  <si>
    <t>176.93.010сб  опора</t>
  </si>
  <si>
    <t>болт М8х1-6gх12.66.016</t>
  </si>
  <si>
    <t>176.93.011сб  кронштейн</t>
  </si>
  <si>
    <t>емаль ПФ-115  біла</t>
  </si>
  <si>
    <t>176.93.002  кронштейн</t>
  </si>
  <si>
    <t>176.93.003  бонка</t>
  </si>
  <si>
    <t>176.33.020сб-1  клапан поплавковий</t>
  </si>
  <si>
    <t>шплінт  2х25-016 ГОСТ397-79</t>
  </si>
  <si>
    <t>176.33.021сб  корпус</t>
  </si>
  <si>
    <t>176.33.019  кронштейн</t>
  </si>
  <si>
    <t>176.33.034  планка</t>
  </si>
  <si>
    <t>172-2М.33.185  патрубок</t>
  </si>
  <si>
    <t>172.33.501  трубка</t>
  </si>
  <si>
    <t>труба 48х1,5 ГОСТ8734-75 10 ГОСТ8733-74</t>
  </si>
  <si>
    <t>труба 10х1 ГОСТ8734-75 20 ГОСТ8733-74</t>
  </si>
  <si>
    <t>лист S=4 Сталь10кп або 15 ГОСТ1577-81</t>
  </si>
  <si>
    <t>лист S=3 Сталь10кп або 15 ГОСТ 16523-70</t>
  </si>
  <si>
    <t>175.33.572</t>
  </si>
  <si>
    <t>175.33.597  донишко</t>
  </si>
  <si>
    <t>176.33.035  косинка</t>
  </si>
  <si>
    <t>органічний розчинник</t>
  </si>
  <si>
    <t>175.85.012-1</t>
  </si>
  <si>
    <t>4.32.029 Шайба ГОСТ11371-78</t>
  </si>
  <si>
    <t>лист S=0,8  Л63 ГОСТ15527-04</t>
  </si>
  <si>
    <t>175.02.524  планка</t>
  </si>
  <si>
    <t>175.02.524-02  планка</t>
  </si>
  <si>
    <t>175.02.566  кутник</t>
  </si>
  <si>
    <t>175.02.311-2  кришка</t>
  </si>
  <si>
    <t>172.70.295-1  кронштейн</t>
  </si>
  <si>
    <t>лист S=2 ГОСТ19904-70 Сталь10кп або 15 ГОСТ16523-70</t>
  </si>
  <si>
    <t>емал Пф-115 темно-сіра</t>
  </si>
  <si>
    <t>172.06.015  ребро</t>
  </si>
  <si>
    <t>172.06.014  планка</t>
  </si>
  <si>
    <t>лист S=3 ГОСТ19903-74 Сталь 15 або 10кп ГОСТ16523-70</t>
  </si>
  <si>
    <t>Роздрукував 30.03.2017</t>
  </si>
  <si>
    <t>Роздрукував 01.04.17р</t>
  </si>
  <si>
    <t>172.06.012-1  щиток</t>
  </si>
  <si>
    <t>172.06.011  ребро</t>
  </si>
  <si>
    <t>лист S=3 ГОСТ19903-74; 15 або 10кп ГОСТ16523-70</t>
  </si>
  <si>
    <t>172.06.009  планка</t>
  </si>
  <si>
    <t>172.04.500  шайба</t>
  </si>
  <si>
    <t>лист S=3 АМг6БМ або АМгУМ ГОСТ21631-76</t>
  </si>
  <si>
    <t>РТП S=10  ТУ105-1044-76</t>
  </si>
  <si>
    <t>172.93.386-01</t>
  </si>
  <si>
    <t>172.93.386-02</t>
  </si>
  <si>
    <t>172.93.386-04</t>
  </si>
  <si>
    <t>172.93.386-05</t>
  </si>
  <si>
    <t>165.27.021</t>
  </si>
  <si>
    <t>172-2М.93.035сб</t>
  </si>
  <si>
    <t>172.93.178сб</t>
  </si>
  <si>
    <t>172-2М.93.047</t>
  </si>
  <si>
    <t>172-2М.93.050</t>
  </si>
  <si>
    <t>172-2М.93.022</t>
  </si>
  <si>
    <t>172-2М.93.024</t>
  </si>
  <si>
    <t>172-2М.93.048</t>
  </si>
  <si>
    <t>172-2М.93.033сб</t>
  </si>
  <si>
    <t>172.93.175сб</t>
  </si>
  <si>
    <t>172-2М.93.067</t>
  </si>
  <si>
    <t>172-2М.93.030</t>
  </si>
  <si>
    <t>172.04.422-1  планка</t>
  </si>
  <si>
    <t>лист S=3 ГОСТ19903-74; 15 або 20 ГОСТ16523-70</t>
  </si>
  <si>
    <t>172.04.475-1  планка</t>
  </si>
  <si>
    <t>172.04.757  планка</t>
  </si>
  <si>
    <t>лист S=4 ГОСТ19904-74 Сталь15 ГОСТ1577-70</t>
  </si>
  <si>
    <t>172.04.857  скоба</t>
  </si>
  <si>
    <t>172.74.354  скоба</t>
  </si>
  <si>
    <t>175.04.402  скоба</t>
  </si>
  <si>
    <t>177.74.001  скоба</t>
  </si>
  <si>
    <t>177.74.001-01  скоба</t>
  </si>
  <si>
    <t>176.02.020  планка</t>
  </si>
  <si>
    <t>лист S=3 Сталь15 або20 ГОСТ16523-70</t>
  </si>
  <si>
    <t>176.02.020-01  планка</t>
  </si>
  <si>
    <t>175.15.039  каркас</t>
  </si>
  <si>
    <r>
      <t>гр/см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</si>
  <si>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Бакеліт для заповнення ванни</t>
  </si>
  <si>
    <t>РАЗОМ</t>
  </si>
  <si>
    <t>172.93.139сб  хомут</t>
  </si>
  <si>
    <t>172.93.359  ребро</t>
  </si>
  <si>
    <t>172.93.360  защіпка</t>
  </si>
  <si>
    <t>155.30.1662  скоба</t>
  </si>
  <si>
    <t>155.30.1663  дужка</t>
  </si>
  <si>
    <t>155.30.1664  дужка</t>
  </si>
  <si>
    <t>155.30.1665  дужка</t>
  </si>
  <si>
    <t>155.30.1666  накидка</t>
  </si>
  <si>
    <t>155.30.1667  планка</t>
  </si>
  <si>
    <t>лист S=3 ГОСТ19903-74 Сталь15 або 20ГОСТ16523-70</t>
  </si>
  <si>
    <t>лист S=5 Сталь15 або 20ГОСТ16523-70</t>
  </si>
  <si>
    <t>172.04.277сб  скоба</t>
  </si>
  <si>
    <t>172.04.758  скоба</t>
  </si>
  <si>
    <t>172.04.759  скоба</t>
  </si>
  <si>
    <t>лист S=4 ГОСТ19903-74 Сталь10кп або 15 ГОСТ1577-70</t>
  </si>
  <si>
    <t>175.85.013сб-3  труба</t>
  </si>
  <si>
    <t>175.85.015-4  труба заливна</t>
  </si>
  <si>
    <t>175.85.016-4  трубка</t>
  </si>
  <si>
    <t>труба 16х1 М3-М ГОСТ617-72</t>
  </si>
  <si>
    <t>L=1030(1120)</t>
  </si>
  <si>
    <t>176.02.013  кришка</t>
  </si>
  <si>
    <t>лист S=2 10кп ГОСТ16523-70</t>
  </si>
  <si>
    <t>172.65.060  пістон</t>
  </si>
  <si>
    <t>труба 8х1 М3-М ГОСТ617-72</t>
  </si>
  <si>
    <t>L=53(60)</t>
  </si>
  <si>
    <t>172.70.295  кронштейн</t>
  </si>
  <si>
    <t>172.87.167  фланець</t>
  </si>
  <si>
    <t>172.93.155  вушко</t>
  </si>
  <si>
    <t>лист S=5 Сталь 15 або 20 ГОСТ1577-70</t>
  </si>
  <si>
    <t>175.70.115  кронштейн</t>
  </si>
  <si>
    <t>лисит S=3 Сталь15 або 20 ГОСТ16523-70</t>
  </si>
  <si>
    <t>176.31.063  трубка</t>
  </si>
  <si>
    <t>труба 12х1 Х18Н10Т ГОСТ9941-72</t>
  </si>
  <si>
    <t>176.32.007  лента</t>
  </si>
  <si>
    <t>лист S=1,5 Сталь10кп або 15 ГОСТ16523-70</t>
  </si>
  <si>
    <t>54.34.379 шайба</t>
  </si>
  <si>
    <t>176.70.080сб  кронштейн</t>
  </si>
  <si>
    <t>176.60.049  кронштейн</t>
  </si>
  <si>
    <t>175.82.005сб  трубка</t>
  </si>
  <si>
    <t>155.59.485  ніпель</t>
  </si>
  <si>
    <t>172.82.065сб  трубопровід</t>
  </si>
  <si>
    <t>L=300(330)</t>
  </si>
  <si>
    <t>L=605(650)</t>
  </si>
  <si>
    <t>L=94(100)</t>
  </si>
  <si>
    <t>труба 10х1 М3-М ГОСТ617-72</t>
  </si>
  <si>
    <t>175.82.010сб-2  трубопровід</t>
  </si>
  <si>
    <t>175.82.133  трубка (б.к.)</t>
  </si>
  <si>
    <t>175.82.134  трубка (б.к.)</t>
  </si>
  <si>
    <t>172.82.151  трубка (б.к.)</t>
  </si>
  <si>
    <t>172.82.152  трубка (б.к.)</t>
  </si>
  <si>
    <t>172.82.153  трубка (б.к.)</t>
  </si>
  <si>
    <t>175.82.106  трубка (б.к.)</t>
  </si>
  <si>
    <t>175.82.012  трубка (б.к.)</t>
  </si>
  <si>
    <t>175.82.013  трубка (б.к.)</t>
  </si>
  <si>
    <t>L=795(800)</t>
  </si>
  <si>
    <t>Розпорядження №62</t>
  </si>
  <si>
    <t>434.80.045  планка</t>
  </si>
  <si>
    <t>Роздрукував 12.04.17р</t>
  </si>
  <si>
    <t>172.82.202  турбка</t>
  </si>
  <si>
    <t>L=280(310)</t>
  </si>
  <si>
    <t>Розпорядження №59</t>
  </si>
  <si>
    <t>184.04.035  щиток</t>
  </si>
  <si>
    <t>Роздрукував 13.04.2017р</t>
  </si>
  <si>
    <t>Розпорядження №58</t>
  </si>
  <si>
    <t>54.02.484  стрічка</t>
  </si>
  <si>
    <t>54.02.485  накладка</t>
  </si>
  <si>
    <t>L=50(60)</t>
  </si>
  <si>
    <t>Роздрукував 19.04.16р (Марії)</t>
  </si>
  <si>
    <t>172.33.187сб  стрічка</t>
  </si>
  <si>
    <t>172.33.561  стрічка</t>
  </si>
  <si>
    <t>лист S=1,5 Сталь15 або 20 ГОСТ16523-70</t>
  </si>
  <si>
    <t>175.33.102-1А</t>
  </si>
  <si>
    <t>65.172.91.261сб  корпус ящика</t>
  </si>
  <si>
    <t>65.175.91.030сб  кришка</t>
  </si>
  <si>
    <t>Розпорядження №77</t>
  </si>
  <si>
    <t>65.172.91.264сб  корпус ящика</t>
  </si>
  <si>
    <t>65.175.91.102сб-А  кришка мала</t>
  </si>
  <si>
    <t>65.172.91.253сб-1  кришка</t>
  </si>
  <si>
    <t>65.172.91.266сб-2А  корпус ящика</t>
  </si>
  <si>
    <t>65.175.91.033сб-2А  кришка</t>
  </si>
  <si>
    <t>Роздрукував 26.04.17р (Іванна вносила)</t>
  </si>
  <si>
    <t>175.32.043сб-1  шлангове з'єднання</t>
  </si>
  <si>
    <t>рукав 2М25-15 ТУ38 0051515-76</t>
  </si>
  <si>
    <t>175.32.024сб  труба</t>
  </si>
  <si>
    <t>175.32.084  труба</t>
  </si>
  <si>
    <t>L=108(130)</t>
  </si>
  <si>
    <t>175.32.050сб-1  труба</t>
  </si>
  <si>
    <t>175.32.093-1  трубка</t>
  </si>
  <si>
    <t>L=340(400)</t>
  </si>
  <si>
    <t>Розпорядження 327</t>
  </si>
  <si>
    <t>Роздрукував 27.04.17р</t>
  </si>
  <si>
    <t>175.32.170-А  кронштейн</t>
  </si>
  <si>
    <t>лист S=4 Сталь15 або 20 ГОСТ1577-70</t>
  </si>
  <si>
    <t>БАКЕЛІТ ФОРМУЛА</t>
  </si>
  <si>
    <t>дріт зварювальний d=1,2 СВ08Х20Н9Г7Т</t>
  </si>
  <si>
    <t>175.51.039  каркас манжети</t>
  </si>
  <si>
    <t>434.21.096  оправа очищувача</t>
  </si>
  <si>
    <t>172.02.853  каркас</t>
  </si>
  <si>
    <t>лист S=1,5 ГОСТ19904-74 Сталь10кп або 15 ГОСТ16523-70</t>
  </si>
  <si>
    <t>172.26.030  втулка</t>
  </si>
  <si>
    <t>L=10(15)</t>
  </si>
  <si>
    <t>54.02.404-1  шайба</t>
  </si>
  <si>
    <t>лист S=1 Сталь15 або 20 ГОСТ16523-70</t>
  </si>
  <si>
    <t>175.04.265  планка</t>
  </si>
  <si>
    <t>лист S=3  Сталь15 або 20 ГОСТ16523-70</t>
  </si>
  <si>
    <t>Роздрукував 28.04.2017р</t>
  </si>
  <si>
    <t>54.06.083-1  прокладка</t>
  </si>
  <si>
    <t>54.28.1135  бірка</t>
  </si>
  <si>
    <t>картон прокладний Б S=1 ГОСТ9347-74</t>
  </si>
  <si>
    <t>картон азбестовий КАОН-1 S=3,5 ГОСТ2850-75</t>
  </si>
  <si>
    <t>172.02.790  прокладка</t>
  </si>
  <si>
    <t>172.02.208сб  прокладка</t>
  </si>
  <si>
    <t>172.02.789  оболонка</t>
  </si>
  <si>
    <t>картон азбестовий КАОН-1 S=4 ГОСТ2850-75</t>
  </si>
  <si>
    <t>лист S=0,3 М3 ГОСТ859-78</t>
  </si>
  <si>
    <t>172.35.003сб-2  прокладка</t>
  </si>
  <si>
    <t>172.35.077  оболонка прокладки</t>
  </si>
  <si>
    <t>172.35.078  прокладка</t>
  </si>
  <si>
    <t>172.35.079  оболонк прокладки</t>
  </si>
  <si>
    <t>Стрічка НМ S=0,15 М3 ГОСТ1173-77</t>
  </si>
  <si>
    <t>432.36.018сб  прокладка</t>
  </si>
  <si>
    <t>432.36.014  оболонка прокладки</t>
  </si>
  <si>
    <t>432.36.013  оболонка прокладки</t>
  </si>
  <si>
    <t>432.36.015  прокладка</t>
  </si>
  <si>
    <t>стрічка S=0,15 08кп ГОСТ503-81</t>
  </si>
  <si>
    <t>175.04.174-1  прокладка</t>
  </si>
  <si>
    <t>175.04.210-1  оболонка</t>
  </si>
  <si>
    <t>175.04.211-1  оболонка</t>
  </si>
  <si>
    <t>пароніт ПОН S=4 ГОСТ481-71</t>
  </si>
  <si>
    <t>54.09.058  кільце ущільнююче</t>
  </si>
  <si>
    <t>лист фібра КГФ S=1,5 ГОСТ14613-83</t>
  </si>
  <si>
    <t>Роздрукував 04.05.2017р</t>
  </si>
  <si>
    <t>Перелік деталей що підлягають обов'язковій заміні</t>
  </si>
  <si>
    <t>150.29.673  петля</t>
  </si>
  <si>
    <t>150.29.672  петля</t>
  </si>
  <si>
    <t>150.29.292сб  шарнір</t>
  </si>
  <si>
    <t>Роздрукував 06.05.2017р</t>
  </si>
  <si>
    <t>175.33.233  патрубок</t>
  </si>
  <si>
    <t>труба 16х1 ГОСТ8734-75 Сталь10 або 20 ГОСТ8733-74</t>
  </si>
  <si>
    <t>L=130(180)</t>
  </si>
  <si>
    <t>175.33.234  патрубок</t>
  </si>
  <si>
    <t>труба 25х1 ГОСТ8734-75 Сталь10 або 20 ГОСТ8733-74</t>
  </si>
  <si>
    <t>L=42(55)</t>
  </si>
  <si>
    <t>175.33.235-1  патрубок</t>
  </si>
  <si>
    <t>L=115(150)</t>
  </si>
  <si>
    <t>172.70.253сб  перемичка</t>
  </si>
  <si>
    <t>172.70.635  перемичка</t>
  </si>
  <si>
    <t>172.70.636  перемичка</t>
  </si>
  <si>
    <t>стрічка НМ0,2М3 ГОСТ1173-77</t>
  </si>
  <si>
    <t>172.70.310сб  перемичка</t>
  </si>
  <si>
    <t>заклепка  3х12.38.М3 ГОСТ10302-80</t>
  </si>
  <si>
    <t>заклепка  3х12.38.М3 ГОСТ10299-80</t>
  </si>
  <si>
    <t>172.70.528  перемичка</t>
  </si>
  <si>
    <t>172.70.521  перемичка</t>
  </si>
  <si>
    <t>лист S=3 ДМ М1 ГОСТ495-77</t>
  </si>
  <si>
    <t>стрічка НМ  S=0,2 М3 ГОСТ1173-77</t>
  </si>
  <si>
    <t>172.15.197-А  планка</t>
  </si>
  <si>
    <t>165.05.089  патрубок</t>
  </si>
  <si>
    <t>лист S=2 Сталь40 або 35 ГОСТ1050-60</t>
  </si>
  <si>
    <t>175.32.015  планка</t>
  </si>
  <si>
    <t>172.65.061  пластина торсіону</t>
  </si>
  <si>
    <t>стрічка 60С2А-Т-С-Н-2х20 ГОСТ2283-69</t>
  </si>
  <si>
    <t>432.02.719  скоба</t>
  </si>
  <si>
    <t>L=51(65)</t>
  </si>
  <si>
    <t>175.32.096сб-1  трубка</t>
  </si>
  <si>
    <t>175.32.058-1  трубка</t>
  </si>
  <si>
    <t>L=470(550)</t>
  </si>
  <si>
    <t>труба 20х1,5 АМг6М ОСТ1 92096-83</t>
  </si>
  <si>
    <t>172.32.372  скоба</t>
  </si>
  <si>
    <t>432.31.047сб  фільтр</t>
  </si>
  <si>
    <t>припій ПОССу 30-2 ГОСТ1499-70</t>
  </si>
  <si>
    <t>432.31.218  каркас фільтру</t>
  </si>
  <si>
    <t>лист S=1 М ГОСТ931-52 латунь Л62 ГОСТ1019-47</t>
  </si>
  <si>
    <t>432.31.219  денце</t>
  </si>
  <si>
    <t>432.31.225  кільце</t>
  </si>
  <si>
    <t>дріт d=2 ММ ГОСТ 2112-62</t>
  </si>
  <si>
    <t>L=105(110)</t>
  </si>
  <si>
    <t>припій ПОС 30 ГОСТ1499-70</t>
  </si>
  <si>
    <t>172.65.079  шайба</t>
  </si>
  <si>
    <t>лист S=4 ТУ14-1-1830-75 30ХГСА-3 ГОСТ11269-76</t>
  </si>
  <si>
    <t>175.91.046сб-1  ящик для ТВН</t>
  </si>
  <si>
    <t xml:space="preserve">175.91.495  планка </t>
  </si>
  <si>
    <t>175.91.047сб-1  корпус ящика</t>
  </si>
  <si>
    <t>175.91.098  зацеп</t>
  </si>
  <si>
    <t>172.91.286  обечайка ліва</t>
  </si>
  <si>
    <t>172.91.287  денце</t>
  </si>
  <si>
    <t>172.91.288  боковина</t>
  </si>
  <si>
    <t>172.91.491  зацеп</t>
  </si>
  <si>
    <t>172.91.314  обечайка права</t>
  </si>
  <si>
    <t>172.91.317  кутник</t>
  </si>
  <si>
    <t>175.91.048сб-1  кришка</t>
  </si>
  <si>
    <t>клей 88НП ТУ38-105-540-75</t>
  </si>
  <si>
    <t>175.91.314  кришка</t>
  </si>
  <si>
    <t>172.91.496  вушко</t>
  </si>
  <si>
    <t>172.91.253  упор</t>
  </si>
  <si>
    <t>172.04.490  планка</t>
  </si>
  <si>
    <t>лист S=5 АМг6БМ ГОСТ21631-75</t>
  </si>
  <si>
    <t>175.31.012сб-1  патрубок</t>
  </si>
  <si>
    <t>175.31.011-1  патрубок</t>
  </si>
  <si>
    <t>труба 12х1 М2-М ГОСТ617-72</t>
  </si>
  <si>
    <t>Роздрукував 11.05.2017р</t>
  </si>
  <si>
    <t>172.04.818  кронштейн</t>
  </si>
  <si>
    <t>172.04.762  кронштейн</t>
  </si>
  <si>
    <t>172.04.764  кронштейн</t>
  </si>
  <si>
    <t>155.29.2746  планка</t>
  </si>
  <si>
    <t>172.73.067-1  упор</t>
  </si>
  <si>
    <t>172.73.077-1  зачіп</t>
  </si>
  <si>
    <t>172.73.078-1  стійка</t>
  </si>
  <si>
    <t>172.73.081  боковина</t>
  </si>
  <si>
    <t>лист S=3 ГОСТ19903-74 10кп ГОСТ16523-70</t>
  </si>
  <si>
    <t>лист S=4 ГОСТ19903-74 10кп ГОСТ157-70</t>
  </si>
  <si>
    <t>Додаток №1 до розп. №93</t>
  </si>
  <si>
    <t>Роздрукува 19.05.17р</t>
  </si>
  <si>
    <t>172.18.388  трубка</t>
  </si>
  <si>
    <t>172.18.388-01  трубка</t>
  </si>
  <si>
    <t>труба 22х2 ГОСТ8734-75 20 ГОСТ8733-74</t>
  </si>
  <si>
    <t>175.60.051сб-А  кран</t>
  </si>
  <si>
    <t>канат 1,8 ГОСТ2172-71</t>
  </si>
  <si>
    <t>дріт 0,5-О-Ч ГОСТ3282-74</t>
  </si>
  <si>
    <t>172.91.006сб  стелаж</t>
  </si>
  <si>
    <t>172.91.004  стінка</t>
  </si>
  <si>
    <t>лист S=1,5 Ст3кп ГОСТ380-60</t>
  </si>
  <si>
    <t>172.91.003  боковина</t>
  </si>
  <si>
    <t>172.04.483Б  щиток задній</t>
  </si>
  <si>
    <t>стрічка РТП S=10</t>
  </si>
  <si>
    <t>2А26.09-32  кільце упорне</t>
  </si>
  <si>
    <t>лист S=3 ЛМцА57 ГОСТ15527-70</t>
  </si>
  <si>
    <t>172.70.229сб  перемичка</t>
  </si>
  <si>
    <t>172.70.459  перемичка</t>
  </si>
  <si>
    <t>172.70.460  перемичка</t>
  </si>
  <si>
    <t>лист S=3 НМ М3 ГОСТ495-77</t>
  </si>
  <si>
    <t>172.83.104сб  важіль</t>
  </si>
  <si>
    <t>172.83.096СБ-А  важіль</t>
  </si>
  <si>
    <t>дріт 0,5-О-Ч ГОСТ2382-74</t>
  </si>
  <si>
    <t>канат 2,5 ГОСТ2172-71</t>
  </si>
  <si>
    <t>L=1090(1150)</t>
  </si>
  <si>
    <t>ДРІТ КО D=0,5</t>
  </si>
  <si>
    <t>172.83.095сб  кришка з важелем</t>
  </si>
  <si>
    <t xml:space="preserve">   176.83.001  планка</t>
  </si>
  <si>
    <t xml:space="preserve">   176.83.004  важіль</t>
  </si>
  <si>
    <t xml:space="preserve">   лист S=3 АМг6БМ ГОСТ21631-76</t>
  </si>
  <si>
    <t>шайба 865Г.016 ГОСТ6402-70</t>
  </si>
  <si>
    <t>заклепка 3х12.38.М3 ГОС10302-80</t>
  </si>
  <si>
    <t>432.71.155  прокладка</t>
  </si>
  <si>
    <t>432.71.189  прокладка</t>
  </si>
  <si>
    <t>стрічка ДПРНП S=0,18 Л63 ГОСТ2208-75</t>
  </si>
  <si>
    <t>175.60.047сб-1  кран</t>
  </si>
  <si>
    <t xml:space="preserve">лист S=1 СТК-1 </t>
  </si>
  <si>
    <t>54.83.012-1  прокладка</t>
  </si>
  <si>
    <t>54.83.011-1  прокладка</t>
  </si>
  <si>
    <t>54.83.013  прокладка</t>
  </si>
  <si>
    <t xml:space="preserve">лист S=0,5 СТК-1 </t>
  </si>
  <si>
    <t>54.83.014  прокладка</t>
  </si>
  <si>
    <t>54.83.295  прокладка</t>
  </si>
  <si>
    <t>54.83.294  прокладка</t>
  </si>
  <si>
    <t>Замовлення 327/11</t>
  </si>
  <si>
    <t>Вніс сам 20.05.2017р</t>
  </si>
  <si>
    <t>172.77.072  скоба</t>
  </si>
  <si>
    <t>175.01.172  труба</t>
  </si>
  <si>
    <t>труба 18х1 ГОСТ8734-75 20 ГОСТ8733-74</t>
  </si>
  <si>
    <t>175.01.171  труба</t>
  </si>
  <si>
    <t>L=250(270)</t>
  </si>
  <si>
    <t>54.12.059  шайба</t>
  </si>
  <si>
    <t>лист S=2 Сталь10кп  ГОСТ16523-70</t>
  </si>
  <si>
    <t xml:space="preserve">172.31.081сб-1  клапан </t>
  </si>
  <si>
    <t>дріт D=1 12Х18Н9Т ГОСТ 5632-72</t>
  </si>
  <si>
    <t>L=10мм</t>
  </si>
  <si>
    <t>520.04.009-006  шпилька</t>
  </si>
  <si>
    <t>круг d=14 Сталь 15 ГОСТ1051-73</t>
  </si>
  <si>
    <t>Роздрукував 22.05.17р</t>
  </si>
  <si>
    <t>172.70.523  наконечник</t>
  </si>
  <si>
    <t>стрічка S=1 НМ Л63 ГОСТ2208-75</t>
  </si>
  <si>
    <t>172.91.313сб-1  огородження ВТ</t>
  </si>
  <si>
    <t>172.91.310сб-1  огородження ВТ</t>
  </si>
  <si>
    <t>172.91.667-1  планка</t>
  </si>
  <si>
    <t>лист S=6 АМг6БМ ГОСТ21631-76</t>
  </si>
  <si>
    <t>172.91.668-1  планка</t>
  </si>
  <si>
    <t>дріт d=5 свАМг6Н ГОСТ7871-75</t>
  </si>
  <si>
    <t>172.91.312сб-1  підставка</t>
  </si>
  <si>
    <t xml:space="preserve">  172.91.675-1  планка</t>
  </si>
  <si>
    <t xml:space="preserve">  лист S=6 АМг6БМ ГОСТ21631-76</t>
  </si>
  <si>
    <t>172.91.670-1 опора</t>
  </si>
  <si>
    <t>шплінт 25х28.016 ГОСТ397-79</t>
  </si>
  <si>
    <t>гайка М10-6Н.04.40.016 ГОСТ5933-73</t>
  </si>
  <si>
    <t>Роздрукував 24.05.2017р</t>
  </si>
  <si>
    <t>ОГОРОДЖЕННЯ ВТ</t>
  </si>
  <si>
    <t>65.184.73.015-Асб кронштейн під встановлення виробу "Либідь К-2РБ"</t>
  </si>
  <si>
    <t>Розпорядження №97</t>
  </si>
  <si>
    <t>грунт ФЛ-04К</t>
  </si>
  <si>
    <t>65.172.73.073-А  кронштейн</t>
  </si>
  <si>
    <t>65.172.73.074-А  кронштейн</t>
  </si>
  <si>
    <t>65.172.73.081-А  кронштейн</t>
  </si>
  <si>
    <t>65.172.73.082-А  кронштейн</t>
  </si>
  <si>
    <t>65.172.73.083-А  кронштейн</t>
  </si>
  <si>
    <t>65.184.73.019-А-01  кронштейн виробу "Либідь К-2РБ"</t>
  </si>
  <si>
    <t>65.184.73.019-А-01  кронштейн</t>
  </si>
  <si>
    <t>лист S=3,0 ДСТУ8540:2015 Сталь10 ДСТУ2834-94</t>
  </si>
  <si>
    <t>лист S=4 ДСТУ8540:2015 20 ГОСТ14637-89</t>
  </si>
  <si>
    <t>лист S=3 ДСТУ8540:2015 Сталь10 ДСТУ2834-94</t>
  </si>
  <si>
    <t>шплінт 2х12.016</t>
  </si>
  <si>
    <t>172.91.503  завертка</t>
  </si>
  <si>
    <t>лист S=2 ГОСТ19904-74 10кп або 15 ГОСТ16523-70</t>
  </si>
  <si>
    <t>65.184.73.019-Б  кронштейн виробу "Либідь К-2РБ для Т72-Б"</t>
  </si>
  <si>
    <t>лист S=3 ДСТУ 8540:2015 Сталь10 ДСТУ2834-94</t>
  </si>
  <si>
    <t>175.34.033сб  щиток</t>
  </si>
  <si>
    <t>заклепка 4х12-37.10 ГОСТ10299-68</t>
  </si>
  <si>
    <t>Розпорядження №101</t>
  </si>
  <si>
    <t>175.34.109</t>
  </si>
  <si>
    <t>432.65.105  шайба</t>
  </si>
  <si>
    <t>лист S=2 АМг6БМ ГОСТ21631</t>
  </si>
  <si>
    <t>172.87.083сб-1  стакан</t>
  </si>
  <si>
    <t>172.87.085сб-1  стакан</t>
  </si>
  <si>
    <t>172.87.244-1  заглушка</t>
  </si>
  <si>
    <t>лист S=2 АМцМ-3 ГОСТ21631-76</t>
  </si>
  <si>
    <t>172.87.243-1</t>
  </si>
  <si>
    <t>лкд</t>
  </si>
  <si>
    <t>172.35.082</t>
  </si>
  <si>
    <t>175.32.027-2  трубка</t>
  </si>
  <si>
    <t>L=480(520)</t>
  </si>
  <si>
    <t>172.02.663  прокладка</t>
  </si>
  <si>
    <t>лист S=0,5 Л63-М ГОСТ931-70</t>
  </si>
  <si>
    <t>172.70.228-1  кронштейн</t>
  </si>
  <si>
    <t>176.31.035-1  трубка</t>
  </si>
  <si>
    <t>труба 30х1 12Х18Н10Т ГОСТ9941-72</t>
  </si>
  <si>
    <t>L=300(350)</t>
  </si>
  <si>
    <t>176.31.036  трубка</t>
  </si>
  <si>
    <t>L=207(250)</t>
  </si>
  <si>
    <t>176.31.037-2  труба</t>
  </si>
  <si>
    <t>L=245(250)</t>
  </si>
  <si>
    <t>172.82.024сб  хомут</t>
  </si>
  <si>
    <t>172.82.053  лента</t>
  </si>
  <si>
    <t>лист S=1,5 Сталь20 або 15 ГОСТ16523-70</t>
  </si>
  <si>
    <t>34.28.011  вушко</t>
  </si>
  <si>
    <t>172.31.087сб  трубка</t>
  </si>
  <si>
    <t>175.31.122-1  трубка</t>
  </si>
  <si>
    <t>L=120(150)</t>
  </si>
  <si>
    <t>172.52.019</t>
  </si>
  <si>
    <t>175.82.027сб  хомут</t>
  </si>
  <si>
    <t>172.82.215  вушко</t>
  </si>
  <si>
    <t>дріт d=4 О-Ч ГОСТ3282-74</t>
  </si>
  <si>
    <t>175.82.069  стрічка</t>
  </si>
  <si>
    <t>175.66.016сб-2  трубопровід</t>
  </si>
  <si>
    <t>175.66.012-2  труба</t>
  </si>
  <si>
    <t>емал ПФ-115 темно-сіра</t>
  </si>
  <si>
    <t>L=600(680)</t>
  </si>
  <si>
    <t>L=195(220)</t>
  </si>
  <si>
    <t>Замовлення 327 (акти диф.)</t>
  </si>
  <si>
    <t>175.31.145-2  скоба (б.ч.)</t>
  </si>
  <si>
    <t>Роздрукував 01.06.2017</t>
  </si>
  <si>
    <t>172.04.433-3  планка</t>
  </si>
  <si>
    <t>172.33.681-А  трубопровід</t>
  </si>
  <si>
    <t>L=1125(1250)</t>
  </si>
  <si>
    <t>172.82.214  стрічка</t>
  </si>
  <si>
    <t>172.82.098сб  хомут</t>
  </si>
  <si>
    <t>172.36.117  трубка</t>
  </si>
  <si>
    <t>172.60.196-1  трубка</t>
  </si>
  <si>
    <t>труба 6х1 20 ГОСТ19277-73</t>
  </si>
  <si>
    <t>172.60.096сб-1  трубка</t>
  </si>
  <si>
    <t>172.60.303-1  трубка</t>
  </si>
  <si>
    <t>L=500(530)</t>
  </si>
  <si>
    <t>172.63.031сб-2  скоба</t>
  </si>
  <si>
    <t>172.63.042-2  скоба</t>
  </si>
  <si>
    <t>штифт 6U8х16 ОСТ3-2234-80</t>
  </si>
  <si>
    <t>5ц????</t>
  </si>
  <si>
    <t>172.63.093  скоба права</t>
  </si>
  <si>
    <t>172.65.114  шайба</t>
  </si>
  <si>
    <t>лист S=1,5 ГОСТ19904-74 15 ГОСТ16523-70</t>
  </si>
  <si>
    <t>172.70.230сб  щиток</t>
  </si>
  <si>
    <t>172.70.462  щиток</t>
  </si>
  <si>
    <t>175.32.107сб  трубка</t>
  </si>
  <si>
    <t>175.32.277  трубка</t>
  </si>
  <si>
    <t>труба 25х1 ГОСТ8733-74 Сталь20 ГОСТ8733-74</t>
  </si>
  <si>
    <t>L=180(215)</t>
  </si>
  <si>
    <t>175.33.058сб-1  трубопровід</t>
  </si>
  <si>
    <t>175.33.178-1  труба</t>
  </si>
  <si>
    <t>труба 8х1 20 ГОСТ19277-73</t>
  </si>
  <si>
    <t>L=350(380)</t>
  </si>
  <si>
    <t>172.70.455  кронштейн</t>
  </si>
  <si>
    <t>лист S=5 ГОСТ19903-74 15 ГОСТ1577-70</t>
  </si>
  <si>
    <t>172.70.456  планка</t>
  </si>
  <si>
    <t>172.70.572  шайба</t>
  </si>
  <si>
    <t>лист S=0,5 ГОСТ19904-74 15 ГОСТ16523-70</t>
  </si>
  <si>
    <t>172.77.086-1  планка</t>
  </si>
  <si>
    <t>лист S=2 ГОСТ19904-74 10кп ГОСТ16523-70</t>
  </si>
  <si>
    <t>172.86.147  трубка</t>
  </si>
  <si>
    <t>L=60(65)</t>
  </si>
  <si>
    <t>175.33.077сб-1  корпус крана</t>
  </si>
  <si>
    <t>175.33.311-1  трубка</t>
  </si>
  <si>
    <t>L=1290(1350)</t>
  </si>
  <si>
    <t>175.60.003  трубка</t>
  </si>
  <si>
    <t>L=920(1000)</t>
  </si>
  <si>
    <t>175.60.018-3  трубка</t>
  </si>
  <si>
    <t>труба 8х1,4 ГОСТ8734-75 20 ГОСТ8733-74</t>
  </si>
  <si>
    <t>L=500(550)</t>
  </si>
  <si>
    <t>175.60.025-3  трубка</t>
  </si>
  <si>
    <t>труба 12х1 ГОСТ19277-73</t>
  </si>
  <si>
    <t>175.60.053-4  стрічка</t>
  </si>
  <si>
    <t>лист S=2 15 ГОСТ16523-70</t>
  </si>
  <si>
    <t>175.60.056-3  стрічка</t>
  </si>
  <si>
    <t>175.60.057-1  лента</t>
  </si>
  <si>
    <t>175.60.036сб-2  накладка</t>
  </si>
  <si>
    <t>175.66.118  скоба</t>
  </si>
  <si>
    <t>лист S=2 15 або 20 ГОСТ16523-89</t>
  </si>
  <si>
    <t>175.91.078  стрічка</t>
  </si>
  <si>
    <t>175.91.079  стрічка</t>
  </si>
  <si>
    <t>175.91.080  стрічка</t>
  </si>
  <si>
    <t>лист S=2,5 Сталь15 або 20 ГОСТ16523-70</t>
  </si>
  <si>
    <t>176.31.036сб  трубка</t>
  </si>
  <si>
    <t>176.31.093  трубка</t>
  </si>
  <si>
    <t>176.31.094  патрубок</t>
  </si>
  <si>
    <t>L=82(90)</t>
  </si>
  <si>
    <t>176.60.010-1  трубка</t>
  </si>
  <si>
    <t>труба 6х1 20 ГОСТ 19277-73</t>
  </si>
  <si>
    <t>L=182(200)</t>
  </si>
  <si>
    <t>434.70.258  шайба</t>
  </si>
  <si>
    <t>лист S=1,5 10кп ГОСТ16523-70</t>
  </si>
  <si>
    <t>520.07.008  шайба</t>
  </si>
  <si>
    <t>лист S=1,5 ГОСТ19904-90 10кп ГОСТ16523-89</t>
  </si>
  <si>
    <t>175.70.166  перемичка</t>
  </si>
  <si>
    <t>стрічка S=0,5 М3-М-НТ ГОСТ ГОСТ1173-70</t>
  </si>
  <si>
    <t>175.70.074  перемичка</t>
  </si>
  <si>
    <t>стрічка S=0,25 10кп ОМ-НТ-З-НО ГОСТ503-71</t>
  </si>
  <si>
    <t>або   ГГЖК №25 ТУ.14-1-3470-82</t>
  </si>
  <si>
    <t>або   лист S=0,5 Л63М ГОСТ931-70</t>
  </si>
  <si>
    <t xml:space="preserve">клей 88НП </t>
  </si>
  <si>
    <t>172.15.151сб  килимок лівий</t>
  </si>
  <si>
    <t>172.15.357  килимок лівий</t>
  </si>
  <si>
    <t>172.15.152сб  килимок правий</t>
  </si>
  <si>
    <t>172.15.358  килимок правий</t>
  </si>
  <si>
    <t>176.31.038сб  патрубок</t>
  </si>
  <si>
    <t>176.31.099  труба</t>
  </si>
  <si>
    <t>труба 18х1 12Х18Н10Т ГОСТ9941-72</t>
  </si>
  <si>
    <t>176.33.031  труба</t>
  </si>
  <si>
    <t>труба 12х1 20 ГОСТ19277-73</t>
  </si>
  <si>
    <t>L=540(590)</t>
  </si>
  <si>
    <t>34.27.837  шайба</t>
  </si>
  <si>
    <t>лист S=1,5 15 або 20 ГОСТ16523-89</t>
  </si>
  <si>
    <t>520.07.005-04  шайба</t>
  </si>
  <si>
    <t>лист S=1,5 10кп ГОСТ16523-89</t>
  </si>
  <si>
    <t>172.04.486  планка</t>
  </si>
  <si>
    <t>лист S=2 10кп або 15 ГОСТ16523-70</t>
  </si>
  <si>
    <t>172.15.150сб  щиток</t>
  </si>
  <si>
    <t>176.93.035сб  хомут</t>
  </si>
  <si>
    <t>шплінт 2х16.016 ГОСТ397-79</t>
  </si>
  <si>
    <t>176.93.034сб  хомут</t>
  </si>
  <si>
    <t>172.93.395  вісь 5ц</t>
  </si>
  <si>
    <t>176.93.033сб  хомут</t>
  </si>
  <si>
    <t>176.93.048  кутник</t>
  </si>
  <si>
    <t>лист S=4 ГОСТ19903-74 10кп ГОСТ1577-70</t>
  </si>
  <si>
    <t>176.93.049  дужка</t>
  </si>
  <si>
    <t>лист S=3 ГОСТ19903-74 10кп або 15 ГОСТ1577-70</t>
  </si>
  <si>
    <t>172-2М.93.061  дужка</t>
  </si>
  <si>
    <t>Гайка</t>
  </si>
  <si>
    <t>175.31.276</t>
  </si>
  <si>
    <t>Print 20.06.17р</t>
  </si>
  <si>
    <t>175.45.019сб  ребро</t>
  </si>
  <si>
    <t>заклепка збірна 3СП-25 ОСТ17-600-81</t>
  </si>
  <si>
    <t>білила цинкова МА-15</t>
  </si>
  <si>
    <t>175.45.057-1  ребро</t>
  </si>
  <si>
    <t>175.45.060</t>
  </si>
  <si>
    <t>175.45.064-1</t>
  </si>
  <si>
    <t>175.45.080</t>
  </si>
  <si>
    <t>манжета</t>
  </si>
  <si>
    <t>65.184.73.020-2Бсб  кронштейн</t>
  </si>
  <si>
    <t>65.184.73.019-2Б  кронштейн</t>
  </si>
  <si>
    <t>Розпорядження №111 від 14.06.17р.</t>
  </si>
  <si>
    <t>175.45.061-1  накладка</t>
  </si>
  <si>
    <t>172.74.148сб  кожух</t>
  </si>
  <si>
    <t>172.74.479  кожух</t>
  </si>
  <si>
    <t>172.74.480  кутник</t>
  </si>
  <si>
    <t>лист S=1 ГОСТ19904-74 10кп ГОСТ16523-70</t>
  </si>
  <si>
    <t>54.38.130-02  шайба</t>
  </si>
  <si>
    <t>лист S=1 АДМ ГОСТ21631</t>
  </si>
  <si>
    <t>176.33.025сб  трубопровід</t>
  </si>
  <si>
    <t>176.33.024  трубка</t>
  </si>
  <si>
    <t>172.33.566  патрубок</t>
  </si>
  <si>
    <t>труба 10х1 ГОСТ8734.75 20 ГОСТ8733-74</t>
  </si>
  <si>
    <t>L=50(68)</t>
  </si>
  <si>
    <t>L=410(475)</t>
  </si>
  <si>
    <t>172.33.238сб-3  трійник</t>
  </si>
  <si>
    <t>лк ГФ-95</t>
  </si>
  <si>
    <t>172.33.712-1  патрубок</t>
  </si>
  <si>
    <t>172.33.714-1  планка</t>
  </si>
  <si>
    <t>172.33.720  патрубок</t>
  </si>
  <si>
    <t>172.33.732-1  патрубок</t>
  </si>
  <si>
    <t>труба 10х1,5 ГОСТ8734-75 20 ГОСТ8733-74</t>
  </si>
  <si>
    <t>L=68(80)</t>
  </si>
  <si>
    <t>L=78(100)</t>
  </si>
  <si>
    <t>172.60.044сб  кронштейн</t>
  </si>
  <si>
    <t>172.60.069  накладка</t>
  </si>
  <si>
    <t>172.70.169сб  панель</t>
  </si>
  <si>
    <t>2х6.37.10 заклепка ГОСТ10299-80</t>
  </si>
  <si>
    <t>2х8.37.10 заклепка ГОСТ10299-80</t>
  </si>
  <si>
    <t>175.70.013-2  панель</t>
  </si>
  <si>
    <t>175.70.430  скоба</t>
  </si>
  <si>
    <t>172.70.228сб  кронштейн</t>
  </si>
  <si>
    <t>172.60.056сб  трубка</t>
  </si>
  <si>
    <t xml:space="preserve">лак ГФ-95 </t>
  </si>
  <si>
    <t>L=575(620)</t>
  </si>
  <si>
    <t>172.60.094  трубка</t>
  </si>
  <si>
    <t>труба 8х1,4 20 ГОСТ19277-73</t>
  </si>
  <si>
    <t>172.60.095сб-1  трубка</t>
  </si>
  <si>
    <t>172.60.189-1  трубка</t>
  </si>
  <si>
    <t>L=1710(1800)</t>
  </si>
  <si>
    <t>172.60.197сб  трубка</t>
  </si>
  <si>
    <t>172.60.197  трубка</t>
  </si>
  <si>
    <t>L=900(1000)</t>
  </si>
  <si>
    <t>172.60.099сб  трубка</t>
  </si>
  <si>
    <t>172.60.199  трубка</t>
  </si>
  <si>
    <t>L=45(50)</t>
  </si>
  <si>
    <t>172.60.106сб  трубка</t>
  </si>
  <si>
    <t>L=320(365)</t>
  </si>
  <si>
    <t>172.60.208  трубка</t>
  </si>
  <si>
    <t>172.60.130сб-1  трубка</t>
  </si>
  <si>
    <t>172.60.231-1  трубка</t>
  </si>
  <si>
    <t>L=1226(1310)</t>
  </si>
  <si>
    <t>Print 22.06.17р</t>
  </si>
  <si>
    <t>172.60.131сб-2  трубка</t>
  </si>
  <si>
    <t>172.60.232-2  трубка</t>
  </si>
  <si>
    <t>L=1300(1400)</t>
  </si>
  <si>
    <t>V</t>
  </si>
  <si>
    <t>172.60.138сб  трубка</t>
  </si>
  <si>
    <t>172.60.246  трубка</t>
  </si>
  <si>
    <t>172.60.154сб  трубка</t>
  </si>
  <si>
    <t>172.60.276  трубка</t>
  </si>
  <si>
    <t>L=1135(1220)</t>
  </si>
  <si>
    <t>175.31.037сб-4  трубопровід</t>
  </si>
  <si>
    <t>175.31.109-4  труба</t>
  </si>
  <si>
    <t>L=405(450)</t>
  </si>
  <si>
    <t>175.31.057сб-5  труба</t>
  </si>
  <si>
    <t>175.31.154-5  труба</t>
  </si>
  <si>
    <t>175.31.175-1  патрубок</t>
  </si>
  <si>
    <t>L=685(720)</t>
  </si>
  <si>
    <t>175.31.059сб-1  патрубок</t>
  </si>
  <si>
    <t>L=73(100)</t>
  </si>
  <si>
    <t>175.31.158-1  трубка</t>
  </si>
  <si>
    <t>172-2М.32.006сб  патрубок</t>
  </si>
  <si>
    <t>172-2М.32.009  патрубок</t>
  </si>
  <si>
    <t>труба 25х1 20 ГОСТ8734-58</t>
  </si>
  <si>
    <t>L=140(180)</t>
  </si>
  <si>
    <t>172.32.190сб  трубка</t>
  </si>
  <si>
    <t>172.32.652  трубка</t>
  </si>
  <si>
    <t>труба 20х1 ГОСТ8734-75 10 ГОСТ8733-74</t>
  </si>
  <si>
    <t>L=240(265)</t>
  </si>
  <si>
    <t>175.33.050сб-1А  труба</t>
  </si>
  <si>
    <t>175.33.156-3  труба</t>
  </si>
  <si>
    <t>175.33.314-1  трубка</t>
  </si>
  <si>
    <t>труба 25х1 ГОСТ8734-75 20 ГОСТ8733-73</t>
  </si>
  <si>
    <t>L=1480(1560)</t>
  </si>
  <si>
    <t>172.60.177  кутник поворотний</t>
  </si>
  <si>
    <t>175.60.061сб  трубопровід</t>
  </si>
  <si>
    <t>175.60.125  трубка</t>
  </si>
  <si>
    <t>175.60.126  трубка</t>
  </si>
  <si>
    <t>L=1130(1230)</t>
  </si>
  <si>
    <t>175.66.034сб  трубопровід</t>
  </si>
  <si>
    <t>175.66.053  труба</t>
  </si>
  <si>
    <t>труба 8х1 ГОСТ8734-75 20 ГОСТ8733-74</t>
  </si>
  <si>
    <t>L=425(470)</t>
  </si>
  <si>
    <t>176.31.035сб  труба</t>
  </si>
  <si>
    <t>175.31.062сб-2  патрубок</t>
  </si>
  <si>
    <t>176.31.091  труба</t>
  </si>
  <si>
    <t>176.31.092  труба</t>
  </si>
  <si>
    <t>175.31.124-3  патрубок (б.ч.)</t>
  </si>
  <si>
    <t>176.31.037сб-2  трубка</t>
  </si>
  <si>
    <t>176.31.096-2  труба</t>
  </si>
  <si>
    <t>L=375(420)</t>
  </si>
  <si>
    <t>труба 16х1 12Х18Н10Т ГОСТ9941-72</t>
  </si>
  <si>
    <t>Print 23.06.17р</t>
  </si>
  <si>
    <t>175.33.059сб-1  трубка</t>
  </si>
  <si>
    <t>175.33.179-1  трубка</t>
  </si>
  <si>
    <t>L=530(580)</t>
  </si>
  <si>
    <t>172.18.167  шайба</t>
  </si>
  <si>
    <t>520.09.002-04  скоба 16х32</t>
  </si>
  <si>
    <t>лист S=0,8 ГОСТ19904-74 сталь10 або 15 ГОСТ16523-70</t>
  </si>
  <si>
    <t>175.83.028сб-А  труба повітроживлюча</t>
  </si>
  <si>
    <t>мастило УС-2 ГОСТ1033-73</t>
  </si>
  <si>
    <t>172.83.056сб-А  труба нижня</t>
  </si>
  <si>
    <t>клей 88нп</t>
  </si>
  <si>
    <t>175.83.059  дужка</t>
  </si>
  <si>
    <t>лист S=5 Сталь 15 ГОСТ1577-70</t>
  </si>
  <si>
    <t>54.83.447-А  труба нижня</t>
  </si>
  <si>
    <t>лист S=2 АМц М ГОСТ21631-76  або АД1М</t>
  </si>
  <si>
    <t>172.83.089сб  упор</t>
  </si>
  <si>
    <t>лист S=2 ГОСТ19904-74 Сталь15 ГОСТ16523</t>
  </si>
  <si>
    <t>54.83.128сб  труба верхня</t>
  </si>
  <si>
    <t>54.83.438  кронштейн</t>
  </si>
  <si>
    <t>54.83.439  труба верхня</t>
  </si>
  <si>
    <t>54.83.136сб  труба середня</t>
  </si>
  <si>
    <t>54.83.465  труба середня</t>
  </si>
  <si>
    <t>лист S=2,5 АМг6БМ ГОСТ21631</t>
  </si>
  <si>
    <t>54.83.454  кришка</t>
  </si>
  <si>
    <t>Print 24.06.17р</t>
  </si>
  <si>
    <t>172.33.250сб  скоба</t>
  </si>
  <si>
    <t>172.33.251сб  скоба</t>
  </si>
  <si>
    <t>172.33.749  скоба</t>
  </si>
  <si>
    <t>12х1.01.016  шайба ГОСТ11371-78</t>
  </si>
  <si>
    <t>лист S=1 08кп ГОСТ16523-97</t>
  </si>
  <si>
    <t>176.31.110  скобка</t>
  </si>
  <si>
    <t>дріт КО-1,2 ГОСТ792-67</t>
  </si>
  <si>
    <t>175.33.312  трубка</t>
  </si>
  <si>
    <t>L=249(300)</t>
  </si>
  <si>
    <t>175.02.446  шайба</t>
  </si>
  <si>
    <t>176.60.021сб  трубка</t>
  </si>
  <si>
    <t>176.60.003  трубка</t>
  </si>
  <si>
    <t>L=915(1000)</t>
  </si>
  <si>
    <t>172.60.272  трубка</t>
  </si>
  <si>
    <t>L=478(1000)</t>
  </si>
  <si>
    <t>175.66.029-А  кронштейн</t>
  </si>
  <si>
    <t>лист S=4 ГОСТ19903-74 15або20 ГОСТ1577-70</t>
  </si>
  <si>
    <t>434.11.056  кронштейн вимикача</t>
  </si>
  <si>
    <t>лист S=3 ГОСТ3680-57 Сталь20 ГОСТ16523-70</t>
  </si>
  <si>
    <t>172.70.110  кронштейн вимикача</t>
  </si>
  <si>
    <t>АК150-089  прокладка</t>
  </si>
  <si>
    <t>АК150-091  прокладка</t>
  </si>
  <si>
    <t>лист ПМБ S=0,4 ГОСТ481-80</t>
  </si>
  <si>
    <t>фольга S=0,1 АДМ ГОСТ618-73</t>
  </si>
  <si>
    <t>лист S=0,1 А6М ГОСТ21631-76</t>
  </si>
  <si>
    <t>лист S=0,8 Сталь10кп або 15 ГОСТ16523-70</t>
  </si>
  <si>
    <t>172-2М.93.067  шайба</t>
  </si>
  <si>
    <t>Print 17.07.17р</t>
  </si>
  <si>
    <t>Розпорядження № 120</t>
  </si>
  <si>
    <t>176.23.142  прокладка</t>
  </si>
  <si>
    <t>лист S=1 ГОСТ19904-70 10кп або 15 ГОСТ16523-70</t>
  </si>
  <si>
    <t>176.23.142-01  прокладка</t>
  </si>
  <si>
    <t>176.23.142-02  прокладка</t>
  </si>
  <si>
    <t>176.23.142-03  прокладка</t>
  </si>
  <si>
    <t>лист S=0,5 ГОСТ19904-70 ПТК-1 ОСТ 14-11-196-86</t>
  </si>
  <si>
    <t>лист S=0,25 бляха біла №25 ГГЖК-1 ТУ14-1-3470-82</t>
  </si>
  <si>
    <t>лист S=0,15 стрічка 08кп-ОМ-НТ-3-НО-0,15 ГОСТ503-71</t>
  </si>
  <si>
    <t>175.32.075-1  патрубок</t>
  </si>
  <si>
    <t>54.26.070  кільце</t>
  </si>
  <si>
    <t>172.60.200  трубка</t>
  </si>
  <si>
    <t>L=517(550)</t>
  </si>
  <si>
    <t>172.31.313  щиток</t>
  </si>
  <si>
    <t>лист S=1 ГОСТ19904-74 10кп або 15 ГОСТ16523-70</t>
  </si>
  <si>
    <t>176.31.030сб-1</t>
  </si>
  <si>
    <t>176.31.071  труба</t>
  </si>
  <si>
    <t>L=1410(1520)</t>
  </si>
  <si>
    <t>Розпорядження №134 від 02.08.17</t>
  </si>
  <si>
    <t>05.Д5.004.03.220сб  кронштейн</t>
  </si>
  <si>
    <t>05.Д5.004.03.221  кронштейн</t>
  </si>
  <si>
    <t>05.Д5.004.03.223  платик</t>
  </si>
  <si>
    <t>05.Д5.004.03.222  перемичка</t>
  </si>
  <si>
    <t>лист S=4 ГОСТ19903-74 Ст3сп ГОСТ16523-97</t>
  </si>
  <si>
    <t>лист S=3 ГОСТ19903-74 Ст3сп ГОСТ16523-74</t>
  </si>
  <si>
    <t>05.Д5.004.03.201  пластина</t>
  </si>
  <si>
    <t>Розпорядження №145 від 30.08.17р</t>
  </si>
  <si>
    <t>172.18.352  кутник</t>
  </si>
  <si>
    <t>172.18.072сб  кроншетйн</t>
  </si>
  <si>
    <t>177.18.013  кронштейн</t>
  </si>
  <si>
    <t>177.18.014  косинка</t>
  </si>
  <si>
    <t>172.18.359  планка</t>
  </si>
  <si>
    <t>Print 02.09.17р</t>
  </si>
  <si>
    <t>432.32.078сб  хомут</t>
  </si>
  <si>
    <t>432.32.444  лента</t>
  </si>
  <si>
    <t>432.32.445  накладка</t>
  </si>
  <si>
    <t>лист S=1,5 ГОСТ3680-57 10кп ГОСТ16523</t>
  </si>
  <si>
    <t>лист S=1 ГОСТ19904-74 10кп ГОСТ523-70</t>
  </si>
  <si>
    <t>155.29.3038А  скоба</t>
  </si>
  <si>
    <t>Print 11.09.17р</t>
  </si>
  <si>
    <t>155.29.3039  скоба</t>
  </si>
  <si>
    <t>172.27.180  скоба</t>
  </si>
  <si>
    <t>лист S=4 ГОСТ19904-74 09Г2С ГОСТ19282-73</t>
  </si>
  <si>
    <t>172.74.296  скоба</t>
  </si>
  <si>
    <t>175.32.042сб-2  шлангове з'єднання</t>
  </si>
  <si>
    <t>175.32.047сб  труба</t>
  </si>
  <si>
    <t>175.32.091  трубка</t>
  </si>
  <si>
    <t>l=185(210)</t>
  </si>
  <si>
    <t>175.32.111сб  трубка</t>
  </si>
  <si>
    <t>175.32.301  трубка</t>
  </si>
  <si>
    <t>l=110(120)</t>
  </si>
  <si>
    <t>172.66.007</t>
  </si>
  <si>
    <t>172.32.526А</t>
  </si>
  <si>
    <t>175.32.044сб  шлангове з'єднання</t>
  </si>
  <si>
    <t>L=210(230)</t>
  </si>
  <si>
    <t>175.32.052сб-1  трубка</t>
  </si>
  <si>
    <t>175.32.097  трубка</t>
  </si>
  <si>
    <t>L=356(400)</t>
  </si>
  <si>
    <t>175.32.129  скоба</t>
  </si>
  <si>
    <t>175.66.044сб-1  трубопровід</t>
  </si>
  <si>
    <t>175.66.087  труба</t>
  </si>
  <si>
    <t>труба 18х1 ГОСТ 8734-75 Сталь20 ГОСТ8733-74</t>
  </si>
  <si>
    <t>L=434(500)</t>
  </si>
  <si>
    <t>172.66.134-1  труба</t>
  </si>
  <si>
    <t>L=386(322)</t>
  </si>
  <si>
    <t>172.66.134сб  труба</t>
  </si>
  <si>
    <t>172.66.292  труба</t>
  </si>
  <si>
    <t>175.66.083-1</t>
  </si>
  <si>
    <t>Print 12.09.17р</t>
  </si>
  <si>
    <t>Калькуляція на деталі для ціни для інозамовника</t>
  </si>
  <si>
    <t>176.32.004сб  трубка</t>
  </si>
  <si>
    <t>176.32.011  трубка</t>
  </si>
  <si>
    <t>труба 20х1 ГОСТ8734-58 20 ГОСТ8733</t>
  </si>
  <si>
    <t>L=180(213)</t>
  </si>
  <si>
    <t>184.73.025сб  кронштейн</t>
  </si>
  <si>
    <t>184.73.017  кронштейн</t>
  </si>
  <si>
    <t>176.31.039сб  сітка</t>
  </si>
  <si>
    <t>176.31.060  сітка</t>
  </si>
  <si>
    <t>176.31.106  обечайка</t>
  </si>
  <si>
    <t>176.31.105-А  обечайка</t>
  </si>
  <si>
    <t>сітка 2-0,5 12х18Н10Т ГОСТ3826-82</t>
  </si>
  <si>
    <t>лист S=0,5 ГОСТ19904-74 10кп ГОСТ16523-70</t>
  </si>
  <si>
    <t>галочка "в ліміту без норм"</t>
  </si>
  <si>
    <t>176.93.013сб  кронштейн</t>
  </si>
  <si>
    <t>176.93.013  планка</t>
  </si>
  <si>
    <t>176.93.022  планка</t>
  </si>
  <si>
    <t>176.93.024  планка</t>
  </si>
  <si>
    <t>лист S=3 ГОСТ 19903-74 Сталь10кп ГОСТ16523-70</t>
  </si>
  <si>
    <t>176.93.014сб  кронштейн</t>
  </si>
  <si>
    <t>176.93.021  планка</t>
  </si>
  <si>
    <t>176.93.023  ребро</t>
  </si>
  <si>
    <t>лист S=1 ГОСТ19904-70 10кп ГОСТ16523-70</t>
  </si>
  <si>
    <t>лист S=0,5 ГОСТ19904-74 ПТК-10СТ 14-11-196-86</t>
  </si>
  <si>
    <t>лист S=0,25 бляха біла 25 ГГЖК ТУ14-1-3470-82</t>
  </si>
  <si>
    <t>стрічка 08кп-ОМ-НТ-З-НО-0,15 ГОСТ503-71</t>
  </si>
  <si>
    <t>175.93.003сб-1  планка</t>
  </si>
  <si>
    <t>172.93.048-3  планка</t>
  </si>
  <si>
    <t>175.93.001-1</t>
  </si>
  <si>
    <t>175.83.022сб-1  стелаж двигуна</t>
  </si>
  <si>
    <t>175.83.045-2  дужка</t>
  </si>
  <si>
    <t>175.83.046  планка</t>
  </si>
  <si>
    <t>175.83.044-1</t>
  </si>
  <si>
    <t>172.91.194сб  дашок</t>
  </si>
  <si>
    <t>172.01.566  дашок</t>
  </si>
  <si>
    <t>172.01.567  боковина</t>
  </si>
  <si>
    <t>172.01.590</t>
  </si>
  <si>
    <t>5 цех</t>
  </si>
  <si>
    <t>172.66.089сб  трубопровід</t>
  </si>
  <si>
    <t>172.66.138  труба</t>
  </si>
  <si>
    <t>труба 10х1 20 ГОСТ19277-73</t>
  </si>
  <si>
    <t>172.66.128сб  трубопровід</t>
  </si>
  <si>
    <t>172.66.284  труба</t>
  </si>
  <si>
    <t>175.66.079  труба</t>
  </si>
  <si>
    <t>L=330(370)</t>
  </si>
  <si>
    <t>L=242(270)</t>
  </si>
  <si>
    <t>54.26.542  кронштейн</t>
  </si>
  <si>
    <t>54.26.539  кронштейн лівий</t>
  </si>
  <si>
    <t>432.12.049  шайба</t>
  </si>
  <si>
    <t>лист S=3 ГОСТ19903-74 сталь20 ГОСТ16523-70</t>
  </si>
  <si>
    <t>176.82.012  планка</t>
  </si>
  <si>
    <t>лист S=4 ТУ14-1-1830-75 30ХГСА  ГОСТ11269-76</t>
  </si>
  <si>
    <t>175.93.160  шайба</t>
  </si>
  <si>
    <t>лист S=3 ГОСТ19903-74 сталь15 ГОСТ16523-70</t>
  </si>
  <si>
    <t>175.83.049  планка</t>
  </si>
  <si>
    <t>Print 13.09.17р</t>
  </si>
  <si>
    <t>акти диф на зам. 327</t>
  </si>
  <si>
    <t>Розпорядження №150 від 08.09.17р</t>
  </si>
  <si>
    <t>05.Д.004.02.110сб  кронштейн демпферний</t>
  </si>
  <si>
    <t>05.Д.004.02.120сб  кронштейн</t>
  </si>
  <si>
    <t>05.Д.004.02.121  кронштейн</t>
  </si>
  <si>
    <t>05.Д.004.02.112  шайба</t>
  </si>
  <si>
    <t>05.Д.004.02.113  пластина</t>
  </si>
  <si>
    <t>лист S=2 ДСТУ 8540:2015 10 ДСТУ2834-94</t>
  </si>
  <si>
    <t xml:space="preserve"> кг</t>
  </si>
  <si>
    <t>лист S=3 ГОСТ19903-74 Ст3сп ГОСТ16523-97</t>
  </si>
  <si>
    <t>Print 02.10.2017</t>
  </si>
  <si>
    <t>172.33.238сб  трійник</t>
  </si>
  <si>
    <t>L=68(75)</t>
  </si>
  <si>
    <t>L=70(75)</t>
  </si>
  <si>
    <t>L=78(85)</t>
  </si>
  <si>
    <t>172.36.212  шайба</t>
  </si>
  <si>
    <t>172.70.516  кронштейн</t>
  </si>
  <si>
    <t>172.74.423  скоба</t>
  </si>
  <si>
    <t>175.70.170сб  планка</t>
  </si>
  <si>
    <t>175.70.441  планка</t>
  </si>
  <si>
    <t>172.18.232  кронштейн</t>
  </si>
  <si>
    <t>лист S=5 Сталь 15 ГОСТ1577-81</t>
  </si>
  <si>
    <t>172.21.058  оправа очищувача</t>
  </si>
  <si>
    <t>лист S=1 ГОСТ19904-80 10кп ГОСТ16523-70</t>
  </si>
  <si>
    <t>172.32.174сб  патрубок</t>
  </si>
  <si>
    <t>175.32.332 ніпель</t>
  </si>
  <si>
    <t>172.32.621 фланець</t>
  </si>
  <si>
    <t>175.32.063сб  патрубок</t>
  </si>
  <si>
    <t>172.10.120сб  фланець</t>
  </si>
  <si>
    <t>172.10.348  трубка</t>
  </si>
  <si>
    <t>172.10.349  трубка</t>
  </si>
  <si>
    <t>труба М2-М-12х1 ГОСТ617-72</t>
  </si>
  <si>
    <t>труба М2-М-5х1 ГОСТ617-72</t>
  </si>
  <si>
    <t>172.32.175сб  патрубок</t>
  </si>
  <si>
    <t>172.32.622 фланець</t>
  </si>
  <si>
    <t>155.26.467сб  тримач з кліпсами</t>
  </si>
  <si>
    <t>заклепка 3х8 ГОСТ10299-68</t>
  </si>
  <si>
    <t>155.26.012  кліпс</t>
  </si>
  <si>
    <t>155.26.932  державка</t>
  </si>
  <si>
    <t>172.93.061сб-3  щиток</t>
  </si>
  <si>
    <t>лист S=0,75 або Сталь У7А або 65Г ГОСТ1050-60</t>
  </si>
  <si>
    <t>лист S=1,5 Сталь 15 ГОСТ16523-70</t>
  </si>
  <si>
    <t>172.93.159-3  оболонка</t>
  </si>
  <si>
    <t>172.93.160-2  прокладка</t>
  </si>
  <si>
    <t>лист S=0,5 СТК-1 ГОСТ17716-72</t>
  </si>
  <si>
    <t>емаль КО-815</t>
  </si>
  <si>
    <t>тканина азбестова S=3,5 АТ-4 ГОСТ6102-78</t>
  </si>
  <si>
    <t>в лімітку без норма</t>
  </si>
  <si>
    <t>172.91.333сб  кліпса</t>
  </si>
  <si>
    <t>заклепка 4х10.37.10 ГОСТ10299-80</t>
  </si>
  <si>
    <t>172.91.380  кронштейн</t>
  </si>
  <si>
    <t>172.91.725  кліпса</t>
  </si>
  <si>
    <t>лист S=1 стрічка У7А-С-1 ГОСТ2283-79</t>
  </si>
  <si>
    <t>172.93.177сб  стелаж правий</t>
  </si>
  <si>
    <t>клей №88НП</t>
  </si>
  <si>
    <t>175.33.325-2</t>
  </si>
  <si>
    <t>172.31.099сб</t>
  </si>
  <si>
    <t>Стелаж з радіаторами і щитками</t>
  </si>
  <si>
    <t>172.33.290А  планка прижимна</t>
  </si>
  <si>
    <t>172.70.549  скоба</t>
  </si>
  <si>
    <t>лист S=1,5 ГОСТ19904-74 10кп ГОСТ16523-70</t>
  </si>
  <si>
    <t>172.71.194  кронштейн</t>
  </si>
  <si>
    <t>172.70.434-3  кронштейн</t>
  </si>
  <si>
    <t>заклепка 2х6.37.10 ГОСТ 10299-80</t>
  </si>
  <si>
    <t>172.85.008  шланг</t>
  </si>
  <si>
    <t>рукав 40У8-13 ТУ005-6016</t>
  </si>
  <si>
    <t>Print 04.10.17</t>
  </si>
  <si>
    <t>434.03.223  прокладка</t>
  </si>
  <si>
    <t>176.70.009  планка</t>
  </si>
  <si>
    <t>лист S=3 Сталь15 ГОСТ 16523-70</t>
  </si>
  <si>
    <t>176.33.024сб  корпус крана з патрубками</t>
  </si>
  <si>
    <t>емал ПФ-115 жовта</t>
  </si>
  <si>
    <t>176.33.023  патрубок</t>
  </si>
  <si>
    <t>172-2М.33.176  патрубок</t>
  </si>
  <si>
    <t>176.33.041-1  патрубок</t>
  </si>
  <si>
    <t>труба 25х2 ГОСТ8734-75 Сталь20 ГОСТ 8733-74</t>
  </si>
  <si>
    <t>L=61(70)</t>
  </si>
  <si>
    <t>L=155(180)</t>
  </si>
  <si>
    <t>175.01.026сб-2  перегородка права</t>
  </si>
  <si>
    <t>175.01.102-2  лист</t>
  </si>
  <si>
    <t>лист S=3 АМг6БМ-3 ГОСТ21631-76</t>
  </si>
  <si>
    <t>172.93.209сб  стелаж</t>
  </si>
  <si>
    <t>172.93.412  кронштейн</t>
  </si>
  <si>
    <t>дріт 6-О-Ч ГОСТ3282-74</t>
  </si>
  <si>
    <t>175.93.084  дужка</t>
  </si>
  <si>
    <t>175.93.085  дужка</t>
  </si>
  <si>
    <t>175.93.086  дужка</t>
  </si>
  <si>
    <t>175.93.087  дужка</t>
  </si>
  <si>
    <t>лист S=4 ДСТУ 8540:2015 10 ДСТУ2834-94</t>
  </si>
  <si>
    <t>БАКИ</t>
  </si>
  <si>
    <t>65.175.33.007сб-3  бак зовнішній перший</t>
  </si>
  <si>
    <t>65.175.33.057-2сб  перегородка</t>
  </si>
  <si>
    <t>65.175.33.347сб  перегородка</t>
  </si>
  <si>
    <t>65.175.33.346сб  перегородка</t>
  </si>
  <si>
    <t>65.175.33.057-2.01  перегородка</t>
  </si>
  <si>
    <t>65.175.33.057-2.02  ребро</t>
  </si>
  <si>
    <t>лист S=1,5 ДСТУ 8540:2015 08кп ДСТУ 2834-94</t>
  </si>
  <si>
    <t>лист S=1,5 ДСТУ 8540:2015  08кп ДСТУ 2834-94</t>
  </si>
  <si>
    <t>65.175.33.346.01  перегородка</t>
  </si>
  <si>
    <t>65.175.33.346.02  ребро</t>
  </si>
  <si>
    <t>65.175.33.346.03  ребро</t>
  </si>
  <si>
    <t>65.175.33.347.01  перегородка</t>
  </si>
  <si>
    <t>65.175.33.347.02  ребро</t>
  </si>
  <si>
    <t>65.175.33.347.03  ребро</t>
  </si>
  <si>
    <t>65.172.33.536  труба забірна</t>
  </si>
  <si>
    <t>труба 25х1,5 ГОСТ 8734-75 20 ГОСТ 8733-87</t>
  </si>
  <si>
    <t>L=950(1000)</t>
  </si>
  <si>
    <t>65.172.33.674  планка</t>
  </si>
  <si>
    <t>65.172.33.053-4  дно</t>
  </si>
  <si>
    <t>65.172.33.053-3  обичайка</t>
  </si>
  <si>
    <t>65.175.33.054-2  боковина</t>
  </si>
  <si>
    <t>65.175.33.055-1  денце переднє</t>
  </si>
  <si>
    <t>65.175.33.056-2  денце заднє</t>
  </si>
  <si>
    <t>65.175.33.094-3А  трубка</t>
  </si>
  <si>
    <t>L=123(150)</t>
  </si>
  <si>
    <t>65.175.33.353-1  скоба</t>
  </si>
  <si>
    <t>65.432.33.111-1  скоба</t>
  </si>
  <si>
    <t>65.175.33.008сб-3  бак зовнішній другий</t>
  </si>
  <si>
    <t>65.175.33.062сб-2  перегородка</t>
  </si>
  <si>
    <t>65.175.33.063сб-2  перегородка</t>
  </si>
  <si>
    <t>65.175.33.062-2.01  перегородка</t>
  </si>
  <si>
    <t>65.175.33.062-2.02  ребро</t>
  </si>
  <si>
    <t>65.175.33.062-2.03  ребро</t>
  </si>
  <si>
    <t>65.175.33.063-2.01  перегородка</t>
  </si>
  <si>
    <t>65.175.33.063-2.03  ребро</t>
  </si>
  <si>
    <t>65.175.33.063-2.02  ребро</t>
  </si>
  <si>
    <t>65.175.33.360сб  перегородка</t>
  </si>
  <si>
    <t>65.175.33.360.01  перегородка</t>
  </si>
  <si>
    <t>65.175.33.360.02  ребро</t>
  </si>
  <si>
    <t>L=1340(1500)</t>
  </si>
  <si>
    <t>65.175.33.059-2  боковина</t>
  </si>
  <si>
    <t>65.175.33.058-2  обичайка</t>
  </si>
  <si>
    <t>65.172.33.535  труба забірна</t>
  </si>
  <si>
    <t>65.175.33.060-2  денце переднє</t>
  </si>
  <si>
    <t>65.175.33.061-2  денце заднє</t>
  </si>
  <si>
    <t>65.175.33.111  дно</t>
  </si>
  <si>
    <t>65.432.33.660-1  скоба</t>
  </si>
  <si>
    <t>65.175.33.068-3сб  перегородка</t>
  </si>
  <si>
    <t>65.175.33.069-3сб  перегородка</t>
  </si>
  <si>
    <t>65.175.33.070-3сб  перегородка</t>
  </si>
  <si>
    <t>65.175.33.070-3.01  перегородка</t>
  </si>
  <si>
    <t>65.175.33.070-3.02  ребро</t>
  </si>
  <si>
    <t>65.175.33.069-3.01  перегородка</t>
  </si>
  <si>
    <t>65.175.33.069-3.02  ребро</t>
  </si>
  <si>
    <t>65.175.33.069-3.03  ребро</t>
  </si>
  <si>
    <t>65.175.33.068-3.01  перегородка</t>
  </si>
  <si>
    <t>65.175.33.068-3.02  ребро</t>
  </si>
  <si>
    <t>65.175.33.068-3.03  ребро</t>
  </si>
  <si>
    <t>65.172.33.538-1  труба забірна</t>
  </si>
  <si>
    <t>L=1300(1450)</t>
  </si>
  <si>
    <t>65.175.33.064-3  обичайка</t>
  </si>
  <si>
    <t>65.175.33.064-3.01  дно</t>
  </si>
  <si>
    <t>65.175.33.065-3  боковина</t>
  </si>
  <si>
    <t>65.175.33.066-3  денце переднє</t>
  </si>
  <si>
    <t>65.175.33.067-3  денце заднє</t>
  </si>
  <si>
    <t>65.175.33.010сб-3  бак зовнішній четвертий</t>
  </si>
  <si>
    <t>65.175.33.009сб-3  бак зовнішній третій</t>
  </si>
  <si>
    <t>Print 18.10.17о</t>
  </si>
  <si>
    <t>65.175.33.073-3сб  боковина</t>
  </si>
  <si>
    <t>65.175.33.073-3.01  боковина</t>
  </si>
  <si>
    <t>65.175.33.073-3.02  вставка</t>
  </si>
  <si>
    <t>65.175.33.075-3сб  перегородка</t>
  </si>
  <si>
    <t>65.175.33.075-3.01  перегородка</t>
  </si>
  <si>
    <t>65.175.33.075-3.02  ребро</t>
  </si>
  <si>
    <t>65.175.33.075-3.03  ребро</t>
  </si>
  <si>
    <t>65.175.33.076-3сб  перегородка</t>
  </si>
  <si>
    <t>65.175.33.076-3.01  перегородка</t>
  </si>
  <si>
    <t>65.175.33.076-3.02  ребро</t>
  </si>
  <si>
    <t>65.175.33.076-3.03  ребро</t>
  </si>
  <si>
    <t>65.175.33.368-1сб  перегородка</t>
  </si>
  <si>
    <t>65.175.33.368-1.01  перегородка</t>
  </si>
  <si>
    <t>65.175.33.368-1.02  ребро</t>
  </si>
  <si>
    <t>65.175.33.071.02-1  обичайка</t>
  </si>
  <si>
    <t>65.175.33.071.03  дно</t>
  </si>
  <si>
    <t>65.175.33.072-3  денце переднє</t>
  </si>
  <si>
    <t>65.175.33.074-3  денце заднє</t>
  </si>
  <si>
    <t>65.172.33.537-3  труба забірна</t>
  </si>
  <si>
    <t>L=1134(1250)</t>
  </si>
  <si>
    <t>65.175.33.011сб-3  бак зовнішній п'ятий</t>
  </si>
  <si>
    <t>65.175.33.175сб-1  труба повітряна</t>
  </si>
  <si>
    <t>65.172.33.539  труба</t>
  </si>
  <si>
    <t>L=870(950)</t>
  </si>
  <si>
    <t>65.175.33.077-3сб  перегородка</t>
  </si>
  <si>
    <t>65.175.33.077-3.01  перегородка</t>
  </si>
  <si>
    <t>65.175.33.077-3.02  ребро</t>
  </si>
  <si>
    <t>65.175.33.077-3.03  ребро</t>
  </si>
  <si>
    <t>65.175.33.082-3сб  перегородка</t>
  </si>
  <si>
    <t>65.175.33.088-3.01  перегородка</t>
  </si>
  <si>
    <t>65.175.33.356сб-1  перегородка</t>
  </si>
  <si>
    <t>65.175.33.356-1.01  перегородка</t>
  </si>
  <si>
    <t>65.175.33.356-1.02  ребро</t>
  </si>
  <si>
    <t>65.172.33.534-1  труба забірна</t>
  </si>
  <si>
    <t>65.175.33.562-1  накладка</t>
  </si>
  <si>
    <t>65.175.33.078-3  обичайка</t>
  </si>
  <si>
    <t>65.175.33.079-3  денце переднє</t>
  </si>
  <si>
    <t>65.175.33.080-3  боковина</t>
  </si>
  <si>
    <t>65.175.33.081-3  денце заднє</t>
  </si>
  <si>
    <t>65.175.33.083  дно</t>
  </si>
  <si>
    <t>65.175.33.312-1  скоба</t>
  </si>
  <si>
    <t>65.175.33.012сб-1А  бак зовнішній масляний</t>
  </si>
  <si>
    <t>65.175.33.089сб-2  перегородка</t>
  </si>
  <si>
    <t>65.175.33.089.01  перегородка</t>
  </si>
  <si>
    <t>65.175.33.089.02  ребро</t>
  </si>
  <si>
    <t>65.175.33.090сб-2  перегородка</t>
  </si>
  <si>
    <t>65.175.33.090.01  перегородка</t>
  </si>
  <si>
    <t>65.172.33.683  обичайка</t>
  </si>
  <si>
    <t>65.175.33.086-1  кришка передня</t>
  </si>
  <si>
    <t>65.175.33.085-1  боковина</t>
  </si>
  <si>
    <t>65.175.33.088-1  кришка задня</t>
  </si>
  <si>
    <t>175.66.006  труба</t>
  </si>
  <si>
    <t>труба 25х1 ГОСТ8734-58 Сталь10 ГОСТ8733-66</t>
  </si>
  <si>
    <t>L=167(203)</t>
  </si>
  <si>
    <t>Розпорядження №164</t>
  </si>
  <si>
    <t>Print 18.10.17р</t>
  </si>
  <si>
    <t>Акти дефектування</t>
  </si>
  <si>
    <t>175.70.164  перемичка</t>
  </si>
  <si>
    <t>лист S=4 ДПРМ4М1 ГОСТ495-77</t>
  </si>
  <si>
    <t>172.70.547  планка</t>
  </si>
  <si>
    <t>лист S=0,8 ГОСТ19904-74 Сталь10кп ГОСТ 16523-70</t>
  </si>
  <si>
    <t>172.65.041  пластинка торсіона</t>
  </si>
  <si>
    <t>лента 60С2А-Т-С-Н-1,5х28 ГОСТ2283-69</t>
  </si>
  <si>
    <t>175.71.013  скоба захисна</t>
  </si>
  <si>
    <t>175.33.099-1  стрічка</t>
  </si>
  <si>
    <t>лист  S=1,5 Сталь15 ГОСТ16523-70</t>
  </si>
  <si>
    <t>175.33.109-1  стрічка</t>
  </si>
  <si>
    <t>175.31.095-3  трубка</t>
  </si>
  <si>
    <t>176.31.061-1  трубка</t>
  </si>
  <si>
    <t>труба 12х1 12Х18Н10Т ГОС9941-72</t>
  </si>
  <si>
    <t>l=510(550)</t>
  </si>
  <si>
    <t>l=104(110)</t>
  </si>
  <si>
    <t>172.04.148сб-1  планка</t>
  </si>
  <si>
    <t>172.04.418-1  планка</t>
  </si>
  <si>
    <t>175.70.153сб  планка</t>
  </si>
  <si>
    <t>175.70.385  планка</t>
  </si>
  <si>
    <t>лиcт S=4 Сталь15 ГОСТ1577-70</t>
  </si>
  <si>
    <t>175.70.387  кронштейн</t>
  </si>
  <si>
    <t>175.01.394-1  кронштейн</t>
  </si>
  <si>
    <t>184.71.055  кронштейн</t>
  </si>
  <si>
    <t>L=90(122)</t>
  </si>
  <si>
    <t>172.60.198  трубка</t>
  </si>
  <si>
    <t>172.60.247  трубка</t>
  </si>
  <si>
    <t>L=270(285)</t>
  </si>
  <si>
    <t>L=218(240)</t>
  </si>
  <si>
    <t>172.60.237-2  трубка</t>
  </si>
  <si>
    <t>L=650(700)</t>
  </si>
  <si>
    <t>гайка М6-6Н.45Л.016 ГОСТ 3032-76</t>
  </si>
  <si>
    <t>434.20.011сб-1  дашок</t>
  </si>
  <si>
    <t>434.20.062-1  дашок</t>
  </si>
  <si>
    <t>434.20.063-1  щиток</t>
  </si>
  <si>
    <t>лист б=1,5 АМг6БМ ГОСТ21631-76</t>
  </si>
  <si>
    <t>172.04.480-1  планка</t>
  </si>
  <si>
    <t>лист б=3 ГОСТ19903-74 Сталь20 ГОСТ16523-70</t>
  </si>
  <si>
    <t>172.04.454-1  планка</t>
  </si>
  <si>
    <t xml:space="preserve"> </t>
  </si>
  <si>
    <t>172.04.163сб  планка права четверта</t>
  </si>
  <si>
    <t>172.04.437-1  планка права четверта</t>
  </si>
  <si>
    <t>лист б=6 АМг6БМ ГОСТ21631</t>
  </si>
  <si>
    <t>172.04.199сб-1  щиток задній лівий</t>
  </si>
  <si>
    <t>172.04.571  щиток задній лівий</t>
  </si>
  <si>
    <t>лист б=2,5 ГОСТ19903-74 Сталь15 ГОСТ 16523-70</t>
  </si>
  <si>
    <t>172.04.574  ребро</t>
  </si>
  <si>
    <t>лист б=4 ГОСТ19903-74 Сталь15 ГОСТ 1577-70</t>
  </si>
  <si>
    <t>172.04.201сб  щиток задній правий</t>
  </si>
  <si>
    <t>172.04.573  щиток задній правий</t>
  </si>
  <si>
    <t>172.04.133сб-3  щиток лівий третій</t>
  </si>
  <si>
    <t>172.04.446-1А  планка щитка третя</t>
  </si>
  <si>
    <t>лист б=5 АМг6БМ ГОСТ21631-76</t>
  </si>
  <si>
    <t>172.04.421-2  щиток</t>
  </si>
  <si>
    <t>стрічка б=10 РТП ТУ-105-1044-76</t>
  </si>
  <si>
    <t>172.04.415-1  щиток верхній перший</t>
  </si>
  <si>
    <t>172.04.442-1  щиток лівий 4-й</t>
  </si>
  <si>
    <t>172.04.443-1  щиток правий 4-й</t>
  </si>
  <si>
    <t>172.04.479-1  щиток четвертий правий</t>
  </si>
  <si>
    <t>175.60.076сб  клапан</t>
  </si>
  <si>
    <t>L=150(220)</t>
  </si>
  <si>
    <t xml:space="preserve">ЕТУ 500 кулька Б 10-100 Н </t>
  </si>
  <si>
    <t>172.70.039сб-14  панель права з табличками</t>
  </si>
  <si>
    <t>172.70.188  вісь</t>
  </si>
  <si>
    <t>L=161(170)</t>
  </si>
  <si>
    <t>дріт d=3 ОЧ ГОСТ3282-74</t>
  </si>
  <si>
    <t>172.70.452-1  вісь</t>
  </si>
  <si>
    <t>L=48(55)</t>
  </si>
  <si>
    <t>172.70.099сб-14</t>
  </si>
  <si>
    <t>заклепка 2х6.37.10 ГОСТ10299-80</t>
  </si>
  <si>
    <t>172.70.213  щиток</t>
  </si>
  <si>
    <t>лист б=1 АМг6БМ ГОСТ21631-76</t>
  </si>
  <si>
    <t>"галочку'' в лімітку без норма</t>
  </si>
  <si>
    <t>172.70.112сб  кришка з табличкою</t>
  </si>
  <si>
    <t>172.70.224сб-1  кришка з табличкою</t>
  </si>
  <si>
    <t>172.70.451-1  кришка</t>
  </si>
  <si>
    <t>175.70.098сб  панель передня права</t>
  </si>
  <si>
    <t>172.70.156-3  панель передня права</t>
  </si>
  <si>
    <t>емаль ПФ-115  темно-сіра</t>
  </si>
  <si>
    <t>172.70.209  боковина кришки</t>
  </si>
  <si>
    <t>лист б=2 АМг6БМ ГОСТ21631-76</t>
  </si>
  <si>
    <t>Print28.10.17р</t>
  </si>
  <si>
    <t>176.86.007сб  козирьок</t>
  </si>
  <si>
    <t>М6-6Н45ЛІ016 Гайка ГОСТ3032-76</t>
  </si>
  <si>
    <t>176.86.018  планка</t>
  </si>
  <si>
    <t>176.86.019  скоба</t>
  </si>
  <si>
    <t>434.86.090  планка</t>
  </si>
  <si>
    <t>лист б=3 АМг6БМ ГОСТ21631-76</t>
  </si>
  <si>
    <t>лист б=6 АМг6БМ ГОСТ21631-76</t>
  </si>
  <si>
    <t>172.70.134сб-1  кришка</t>
  </si>
  <si>
    <t>172.70.302-1  кришка</t>
  </si>
  <si>
    <t>лист б=3 ГОСТ19903-74 Сталь10кп ГОСТ 16523</t>
  </si>
  <si>
    <t>520.08.002-02* (заготовка)</t>
  </si>
  <si>
    <t>172.02.663-01</t>
  </si>
  <si>
    <t>172.02.016-1  труба</t>
  </si>
  <si>
    <t>труба 16х3 ГОСТ8734-75 20 ГОСТ8733-74</t>
  </si>
  <si>
    <t>L=755(810)</t>
  </si>
  <si>
    <t>172.02.017  ребро</t>
  </si>
  <si>
    <t>172.02.008сб-1  тяга</t>
  </si>
  <si>
    <t>емаль Пф-115 темно-сіра</t>
  </si>
  <si>
    <t>172.02.178сб-1  кронштейн</t>
  </si>
  <si>
    <t>172.02.680  планка</t>
  </si>
  <si>
    <t>172.02.681  скоба</t>
  </si>
  <si>
    <t>лист б=4 Сталь15 ГОСТ 1577-70</t>
  </si>
  <si>
    <t>стрічка S=0,3 НМ0,3 М3 ГОСТ1173-77</t>
  </si>
  <si>
    <t>172.04.472  планка щитка</t>
  </si>
  <si>
    <t>лист б=5 АМг6БМ ГОСТ21631</t>
  </si>
  <si>
    <t>172.04.476  планка</t>
  </si>
  <si>
    <t>лист б=3 ГОСТ19903-74 Сталь15 ГОСТ16523-70</t>
  </si>
  <si>
    <t>172.04.477  планка</t>
  </si>
  <si>
    <t>Print 30.10.17р</t>
  </si>
  <si>
    <t>172.33.176А  планка прижимна</t>
  </si>
  <si>
    <t>лист б=4 Сталь15 ГОСТ1577-70</t>
  </si>
  <si>
    <t>172.33.579-1  щиток</t>
  </si>
  <si>
    <t>лист б=0,5 ГОСТ19904-74 10кп ГОСТ16523-70</t>
  </si>
  <si>
    <t>172.33.589  прокладка азбестова</t>
  </si>
  <si>
    <t>тканина азбестова АТ-1С ГОСТ6102-78</t>
  </si>
  <si>
    <t>175.02.071  прокладка регулювальна</t>
  </si>
  <si>
    <t>175.02.071-02  прокладка регулювальна</t>
  </si>
  <si>
    <t>175.02.071-01  прокладка регулювальна</t>
  </si>
  <si>
    <t>лист б=1,5 Д1АТ ГОСТ4784-74</t>
  </si>
  <si>
    <t>стрічка НМ0,15М3 ГОСТ1173-77</t>
  </si>
  <si>
    <t>стрічка Л63-ПТ-Н-0,18 ГОСТ2208-49</t>
  </si>
  <si>
    <t>155.29.2558  шайба</t>
  </si>
  <si>
    <t>лист б=1,5 Сталь15 ГОСТ16523-70</t>
  </si>
  <si>
    <t>172.04.498  накладка</t>
  </si>
  <si>
    <t>172.04.499  накладка</t>
  </si>
  <si>
    <t>172.87.247  шайба</t>
  </si>
  <si>
    <t>бляха біла 25 ГГЖК</t>
  </si>
  <si>
    <t>Print 31.10.17р</t>
  </si>
  <si>
    <t>175.02.185  тяга</t>
  </si>
  <si>
    <t>l=1060(1150)</t>
  </si>
  <si>
    <t>175.02.207  косинка</t>
  </si>
  <si>
    <t>лист б=4 Сталь 15 ГОСТ1577-81</t>
  </si>
  <si>
    <t>175.02.208  косинка</t>
  </si>
  <si>
    <t>175.02.359  тяга</t>
  </si>
  <si>
    <t>L=1300(1350)</t>
  </si>
  <si>
    <t>175.02.357  тяга</t>
  </si>
  <si>
    <t>L=116(130)</t>
  </si>
  <si>
    <t>175.02.527-1  труба</t>
  </si>
  <si>
    <t>175.04.475  скоба</t>
  </si>
  <si>
    <t>дріт 5-О-Ч ГОСТ3282-74</t>
  </si>
  <si>
    <t>L=360(380)</t>
  </si>
  <si>
    <t>172-2М.32.003  труба</t>
  </si>
  <si>
    <t>труба 35х1,5 12Х18Н10Т ГОСТ9941-81</t>
  </si>
  <si>
    <t>L=826(887)</t>
  </si>
  <si>
    <t>172-2М.32.004  труба</t>
  </si>
  <si>
    <t>труба 25х1,5 12Х18Н10Т ГОСТ9941-81</t>
  </si>
  <si>
    <t>L=926(978)</t>
  </si>
  <si>
    <t>175.33.098-1  стрічка</t>
  </si>
  <si>
    <t>175.33.101-1  стрічка</t>
  </si>
  <si>
    <t>65.Д5.004.03.520сб  кронштейн</t>
  </si>
  <si>
    <t>65.Д5.004.03.510сб  кронштейн</t>
  </si>
  <si>
    <t>65.Д5.004.03.521  основа</t>
  </si>
  <si>
    <t>65.Д5.004.03.522  платик</t>
  </si>
  <si>
    <t>65.Д5.004.03.530сб  кронштейн</t>
  </si>
  <si>
    <t>Розпорядження №166</t>
  </si>
  <si>
    <t>172.27.183  ребро</t>
  </si>
  <si>
    <t>172.27.038сб  скоба</t>
  </si>
  <si>
    <t>172.27.184-1  планка</t>
  </si>
  <si>
    <t>176.82.013  планка</t>
  </si>
  <si>
    <t>лист б=4 ТУ14-1-1830-75 30ХГСА-3 ГОСТ11269-76</t>
  </si>
  <si>
    <t>шайба 8 ГОСТ6402-70</t>
  </si>
  <si>
    <t>65.Д5.004.03.531  кронштейн</t>
  </si>
  <si>
    <t>65.Д5.004.03.532  пластина</t>
  </si>
  <si>
    <t>лист б=4 АМг5М ГОСТ21631-76</t>
  </si>
  <si>
    <t>лист б=3 ДСТУ8540:2015 Сталь10 ДСТУ2834-94</t>
  </si>
  <si>
    <t>65.Д5.004.03.535  пластина</t>
  </si>
  <si>
    <t>лист б=4 ДСТУ8540:2015 Сталь10 ДСТУ2834-94</t>
  </si>
  <si>
    <t>172.04.473-1  планка щитка четверта права</t>
  </si>
  <si>
    <t>лист б=5 АМГ6БМ ГОСТ 21631-76</t>
  </si>
  <si>
    <t>172.04.489  скоба</t>
  </si>
  <si>
    <t>Print 02.11.17р</t>
  </si>
  <si>
    <t>172.04.471  планка щитка</t>
  </si>
  <si>
    <t>172.04.470-1  планка щитка</t>
  </si>
  <si>
    <t>172.91.514  постель</t>
  </si>
  <si>
    <t>лист б=5 ГОСТ19903-74 Сталь15 ГОСТ1577-70</t>
  </si>
  <si>
    <t>175.02.507  накладка</t>
  </si>
  <si>
    <t>лист б=4 Сталь 15 ГОСТ1577-70</t>
  </si>
  <si>
    <t>Print 03.11.17</t>
  </si>
  <si>
    <t>175.20.026-А  щиток</t>
  </si>
  <si>
    <t>172.04.151сб-2  щиток лівий перший</t>
  </si>
  <si>
    <t>172.63.126  тяга</t>
  </si>
  <si>
    <t>Акти дефектування. Замовлення 327</t>
  </si>
  <si>
    <t>труба 18х5 ГОСТ8734-75 Сталь20 ГОСТ8733-74</t>
  </si>
  <si>
    <t>L=1106(1200)</t>
  </si>
  <si>
    <t>172.63.022  платик</t>
  </si>
  <si>
    <t>172.63.125  тяга</t>
  </si>
  <si>
    <t>L=2094(2250)</t>
  </si>
  <si>
    <t>175.63.001-2  тяга</t>
  </si>
  <si>
    <t>L=630(711)</t>
  </si>
  <si>
    <t>175.63.004-2  тяга</t>
  </si>
  <si>
    <t>L=700(800)</t>
  </si>
  <si>
    <t>175.63.005  тяга</t>
  </si>
  <si>
    <t>L=530(600)</t>
  </si>
  <si>
    <t>175.63.007-1  тяга</t>
  </si>
  <si>
    <t>L=2195(2347)</t>
  </si>
  <si>
    <t>175.63.009-2  тяга</t>
  </si>
  <si>
    <t>L=2190(2347)</t>
  </si>
  <si>
    <t>172.63.100-1  тяга</t>
  </si>
  <si>
    <t>175.63.021-1  тяга</t>
  </si>
  <si>
    <t>L=1093(1200)</t>
  </si>
  <si>
    <t>175.63.047  тяга</t>
  </si>
  <si>
    <t>172.63.117  тяга</t>
  </si>
  <si>
    <t>L=1138(1250)</t>
  </si>
  <si>
    <t>176.64.031  тяга</t>
  </si>
  <si>
    <t>L=435(500)</t>
  </si>
  <si>
    <t>175.04.359  кожух</t>
  </si>
  <si>
    <t>лист б=2 Сталь 10кп ГОСТ 16523-70</t>
  </si>
  <si>
    <t>емаль ПФ-910  темно-сіра</t>
  </si>
  <si>
    <t>175.02.055сб-2  тяга</t>
  </si>
  <si>
    <t>176.64.015сб  тяга</t>
  </si>
  <si>
    <t>172.62.107-01  кільце</t>
  </si>
  <si>
    <t>стрічка У7А-С б=1 ГОСТ2283-69</t>
  </si>
  <si>
    <t>172.62.107-02  кільце</t>
  </si>
  <si>
    <t>стрічка У7А-С б=1,5 ГОСТ2283-69</t>
  </si>
  <si>
    <t>175.63.027  планка</t>
  </si>
  <si>
    <t>лист б=5 Сталь15 ГОСТ1577-70</t>
  </si>
  <si>
    <t>54.20.122  скоба</t>
  </si>
  <si>
    <t>432.63.074-1  планка</t>
  </si>
  <si>
    <t>лист б=5 ГОСТ19903-74 Сталь20 ГОСТ1577-81</t>
  </si>
  <si>
    <t>175.02.187-1  труба</t>
  </si>
  <si>
    <t>L=570(620)</t>
  </si>
  <si>
    <t>54.02.93сб-2  лента хомута</t>
  </si>
  <si>
    <t>лист 0,8 ГОСТ19904-74 ПТК-1 ОСТ14-11-196-86</t>
  </si>
  <si>
    <t>54.02.469  лента хомута</t>
  </si>
  <si>
    <t>54.02.400-2  лента хомута</t>
  </si>
  <si>
    <t>стрічка 10-М-ПН-НТ-3-0-0,5х9 ГОСТ503-71</t>
  </si>
  <si>
    <t>172.71.047сб  ковпачок з тросом</t>
  </si>
  <si>
    <t>клен НТ-150</t>
  </si>
  <si>
    <t>172.70.243сб  кронштейн правий</t>
  </si>
  <si>
    <t>172.70.176сб  перемичка плюсова</t>
  </si>
  <si>
    <t>172.70.159сб-3  кронштейн</t>
  </si>
  <si>
    <t>L=560(610)</t>
  </si>
  <si>
    <t>175.36.021  прокладка</t>
  </si>
  <si>
    <t>лист б=2 Сталь 15 ГОСТ1577-70</t>
  </si>
  <si>
    <t>175.33.282-1  стрічка</t>
  </si>
  <si>
    <t>лист б=1,5 Сталь15 ГОСТ16529-70</t>
  </si>
  <si>
    <t>175.33.283-1  зацеп</t>
  </si>
  <si>
    <t>175.31.258  планка</t>
  </si>
  <si>
    <t>лист б=4 Сталь15 ГОСТ1577-81</t>
  </si>
  <si>
    <t>труба 25х1 12Х18Н10Т  ГОСТ9941-72</t>
  </si>
  <si>
    <t>L=685(760)</t>
  </si>
  <si>
    <t xml:space="preserve">175.33.323-1  труба </t>
  </si>
  <si>
    <t>L=218(250)</t>
  </si>
  <si>
    <t>L=226(250)</t>
  </si>
  <si>
    <t>172.60.025  трубка</t>
  </si>
  <si>
    <t>172.60.026  планка</t>
  </si>
  <si>
    <t>172.33.611  трубопровід</t>
  </si>
  <si>
    <t>L=310(325)</t>
  </si>
  <si>
    <t>172.33.638  труба</t>
  </si>
  <si>
    <t>труба 25х1 ГОТС8733-74 Сталь10 8733-74</t>
  </si>
  <si>
    <t>L=510(550)</t>
  </si>
  <si>
    <t>Print 08.11.17</t>
  </si>
  <si>
    <t>172.15.156  заглушка</t>
  </si>
  <si>
    <t>лист б=1,5 Сталь15 ГОСТ 16523-70</t>
  </si>
  <si>
    <t>155.29.2928  шайба</t>
  </si>
  <si>
    <t>лист б=2 Сталь15 ГОСТ 16523-70</t>
  </si>
  <si>
    <t>172.71.066  перемичка</t>
  </si>
  <si>
    <t>лист б=1 М3 ГОСТ 859-66</t>
  </si>
  <si>
    <t>434.11.006сб  кільце з вивідним стержнем</t>
  </si>
  <si>
    <t>172.70.213сб  штуцер</t>
  </si>
  <si>
    <t>172.70.122сб  каркас щитка з армотизаторами</t>
  </si>
  <si>
    <t>4х10.00.016 Заклепка ГОСТ10299-80</t>
  </si>
  <si>
    <t>172.70.120сб  каркас щитка</t>
  </si>
  <si>
    <t>172.70.527  кронштейн</t>
  </si>
  <si>
    <t>лист б=1,5 ГОСТ19904-74 Сталь10кп ГОСТ16523</t>
  </si>
  <si>
    <t>172.70.601  кронштейн</t>
  </si>
  <si>
    <t>лист б=3 ГОСТ19903-74 Сталь10кп ГОСТ16523</t>
  </si>
  <si>
    <t>172.70.602  планка</t>
  </si>
  <si>
    <t>175.70.089-1  основа щитка</t>
  </si>
  <si>
    <t>лист б=2 Сталь10кп ГОСТ16523</t>
  </si>
  <si>
    <t>175.70.090  стійка</t>
  </si>
  <si>
    <t>лист б=2 Сталь15 ГОСТ16523</t>
  </si>
  <si>
    <t>175.70.091  ребро</t>
  </si>
  <si>
    <t>175.70.092-1  скоба</t>
  </si>
  <si>
    <t>175.70.100  скоба</t>
  </si>
  <si>
    <t>175.70.195  кронштейн</t>
  </si>
  <si>
    <t>175.70.374  скоба</t>
  </si>
  <si>
    <t>155.32.10сб-2  петля</t>
  </si>
  <si>
    <t>Print 09.11.17</t>
  </si>
  <si>
    <t>лист б=1,5 Л63М ГОСТ931-70</t>
  </si>
  <si>
    <t>960.235  прокладка</t>
  </si>
  <si>
    <t>лист б=0,5 Сталь СТК-1</t>
  </si>
  <si>
    <t>лист б=1 Ст3сп ГОСТ380-60</t>
  </si>
  <si>
    <t>лист б=1,5 Ст3сп ГОСТ380-60</t>
  </si>
  <si>
    <t>лист б=2 Ст3сп ГОСТ380-60</t>
  </si>
  <si>
    <t>172.02.709  чашка</t>
  </si>
  <si>
    <t>лист б=2 Сталь10кп ГОСТ16523-70</t>
  </si>
  <si>
    <t>175.70.420  пермичка</t>
  </si>
  <si>
    <t>лента б=0,2 НМ0,2М3 ГОСТ1173-77</t>
  </si>
  <si>
    <t>припій ГОР ПОС-40 ГОСТ1499-77</t>
  </si>
  <si>
    <t>176.61.016  прокладка</t>
  </si>
  <si>
    <t>лист б=2 ГОСТ19904-74 Сталь10кп ГОСТ16523-70</t>
  </si>
  <si>
    <t>175.87.179  платик</t>
  </si>
  <si>
    <t>172.87.087сб  кронштейн</t>
  </si>
  <si>
    <t>172.87.217  кронштейн</t>
  </si>
  <si>
    <t>лист б=3 ГОСТ 19903-74 Сталь15 ГОСТ16523-70</t>
  </si>
  <si>
    <t>175.87.181  щока</t>
  </si>
  <si>
    <t>лист б=1,5 Сталь15ГОСТ16523-70</t>
  </si>
  <si>
    <t>4.65Г.016 ГОСТ 6402-70 /4-FSt</t>
  </si>
  <si>
    <t>175.85.033  шланг</t>
  </si>
  <si>
    <t>трубка 4С 4,5х1,3</t>
  </si>
  <si>
    <t>175.70.172сб  панель з амортизатором</t>
  </si>
  <si>
    <t>4х12.36.106 заклепка ГОСТ10299-80</t>
  </si>
  <si>
    <t>175.70.456  панель</t>
  </si>
  <si>
    <t>лист б=4 АМг6БМ ГОСТ21631-76</t>
  </si>
  <si>
    <t>520.08.002-02  наконечник закритий</t>
  </si>
  <si>
    <t>175.70.115сб  кронштейн</t>
  </si>
  <si>
    <t>3х8.37.10  заклепка ГОСТ10299-80</t>
  </si>
  <si>
    <t>175.70.075сб-1  кронштейн</t>
  </si>
  <si>
    <t>175.70.010  косинка</t>
  </si>
  <si>
    <t>175.70.011  планка</t>
  </si>
  <si>
    <t>лист б=3 Сталь15 ГОСТ1577-70</t>
  </si>
  <si>
    <t>175.70.093-1  кутник нижній лівий</t>
  </si>
  <si>
    <t>175.70.094-1  кутник нижній правий</t>
  </si>
  <si>
    <t>175.70.378  кутник верхній</t>
  </si>
  <si>
    <t>175.70.396  кутник верхній лівий</t>
  </si>
  <si>
    <t>L=544(575)</t>
  </si>
  <si>
    <t>175.70.395  кутник верхній правий</t>
  </si>
  <si>
    <t>175.70.440  планка бокова</t>
  </si>
  <si>
    <t>лист б=3 Сталь15 ГОСТ16523-70</t>
  </si>
  <si>
    <t>труба 8х1 М2 або М3 ГОСТ617-72</t>
  </si>
  <si>
    <t>L=110(150)</t>
  </si>
  <si>
    <t>Print 20.11.17</t>
  </si>
  <si>
    <t>172.60.062сб-А  трубка</t>
  </si>
  <si>
    <t>172.60.136-1  трубка</t>
  </si>
  <si>
    <t>канат 1,8 ГОСТ 2172-80</t>
  </si>
  <si>
    <t>176.31.029  труба</t>
  </si>
  <si>
    <t>6Ц</t>
  </si>
  <si>
    <t>175.01.112сб-1  лист перегородки лівий</t>
  </si>
  <si>
    <t>175.01.108-1  лист перегородки лівий</t>
  </si>
  <si>
    <t>172.01.506  планка</t>
  </si>
  <si>
    <t>172.32.178сб  змієвик</t>
  </si>
  <si>
    <t>175.32.088сб-3  кронштейн</t>
  </si>
  <si>
    <t>175.32.126-3  кронштейн</t>
  </si>
  <si>
    <t>175.32.366  ребро</t>
  </si>
  <si>
    <t>лист б=2 15 ГОСТ 16523-70</t>
  </si>
  <si>
    <t>175.32.114сб-2  корпус фільтру</t>
  </si>
  <si>
    <t>175.32.113сб  патрубок</t>
  </si>
  <si>
    <t xml:space="preserve">  175.32.313  патрубок</t>
  </si>
  <si>
    <t xml:space="preserve">  труба 16х1 ГОСТ8734-75 Сталь10 ГОСТ8733-74</t>
  </si>
  <si>
    <t xml:space="preserve">  175.32.314  патрубок</t>
  </si>
  <si>
    <t>L=59(75)</t>
  </si>
  <si>
    <t>175.32.325-1А  кожух фільтру</t>
  </si>
  <si>
    <t>труба 42х1 ГОСТ8734-75 Сталь10 ГОСТ8733-74</t>
  </si>
  <si>
    <t>L=93(110)</t>
  </si>
  <si>
    <t>175.32.125сб  трубка</t>
  </si>
  <si>
    <t>175.32.388  трубка</t>
  </si>
  <si>
    <t>труба 30х1,5 М3 ГОСТ 617-72</t>
  </si>
  <si>
    <t>L=102(110)</t>
  </si>
  <si>
    <t>175.32.389  стійка нижня</t>
  </si>
  <si>
    <t>лист б=1 М3М ГОСТ495-70</t>
  </si>
  <si>
    <t>175.32.390-1  шайба</t>
  </si>
  <si>
    <t>лист б=2 М3М ГОСТ495-70</t>
  </si>
  <si>
    <t>172.32.046-2  скоба</t>
  </si>
  <si>
    <t>лист б=2 Сталь15 ГОСТ16523-70</t>
  </si>
  <si>
    <t>172.32.271-1  накладка</t>
  </si>
  <si>
    <t>172.32.273  накладка</t>
  </si>
  <si>
    <t>172.32.581  скоба</t>
  </si>
  <si>
    <t>172.90.013  ручка</t>
  </si>
  <si>
    <t>172.32.627  змієвик</t>
  </si>
  <si>
    <t>труба 30х1 М2 ГОСТ617-72</t>
  </si>
  <si>
    <t>L=40(49)</t>
  </si>
  <si>
    <t>175.32.073  накладка</t>
  </si>
  <si>
    <t>лист б=2 М3М ГОСТ859-66</t>
  </si>
  <si>
    <t>175.32.113-1  циліндр направляючий</t>
  </si>
  <si>
    <t>175.32.338-01  стяжка</t>
  </si>
  <si>
    <t>175.32.338-02  стяжка</t>
  </si>
  <si>
    <t>175.32.350  стяжка</t>
  </si>
  <si>
    <t>лист б=2 М2М ГОСТ495-70</t>
  </si>
  <si>
    <t>175.32.354  стяжка</t>
  </si>
  <si>
    <t>175.32.363  скоба</t>
  </si>
  <si>
    <t>175.32.360-02  стяжка</t>
  </si>
  <si>
    <t>175.32.364  скоба</t>
  </si>
  <si>
    <t>175.32.391  стійка верхня</t>
  </si>
  <si>
    <t>175.32.392  стяжка</t>
  </si>
  <si>
    <t>175.32.393  стяжка</t>
  </si>
  <si>
    <t>175.32.395  трубка</t>
  </si>
  <si>
    <t>труба 26х1 М3М ГОСТ617-72</t>
  </si>
  <si>
    <t>L=5800(6100)</t>
  </si>
  <si>
    <t>175.32.394  стяжка</t>
  </si>
  <si>
    <t>175.87.030сб  патрубок</t>
  </si>
  <si>
    <t>175.87.061  половина патрубка</t>
  </si>
  <si>
    <t>175.87.062  половина патрубка</t>
  </si>
  <si>
    <t>177.93.013сб  стелаж</t>
  </si>
  <si>
    <t>змазка ЦИАТИМ-201 ГОСТ 6267-74</t>
  </si>
  <si>
    <t>177.93.010сб  стелаж</t>
  </si>
  <si>
    <t>172.93.211сб  кронштейн</t>
  </si>
  <si>
    <t>175.93.002сб-1  опора</t>
  </si>
  <si>
    <t>8.65Г.016 Шайба ГОСТ6402-70</t>
  </si>
  <si>
    <t>54.28.1015  вушко</t>
  </si>
  <si>
    <t>лист б=0,8 08кп ГОСТ16523-97</t>
  </si>
  <si>
    <t>Тех. розпор на заміну матеріалу №127 від 04.12.2017р</t>
  </si>
  <si>
    <t>було 0,004 кг б=0,7</t>
  </si>
  <si>
    <t>219-93-192  пластина</t>
  </si>
  <si>
    <t>Розпорядження №187</t>
  </si>
  <si>
    <t>175.60.073сб  кожух</t>
  </si>
  <si>
    <t>155.38.192-1  стінка ліва</t>
  </si>
  <si>
    <t>155.38.193-1  стінка права</t>
  </si>
  <si>
    <t>лист б=1 Сталь10кп ГОСТ16523-70</t>
  </si>
  <si>
    <t>дріт зв. d=1,2 СВ08Х20Н9Г7Т</t>
  </si>
  <si>
    <t>155.38.198  трубка</t>
  </si>
  <si>
    <t>труба 25х1 ГОСТ8734-75 Сатль10 ГОСТ8733-74</t>
  </si>
  <si>
    <t>L=12(25)</t>
  </si>
  <si>
    <t>Акти дефектування Т-72</t>
  </si>
  <si>
    <t>172.65.006сб  дужка</t>
  </si>
  <si>
    <t>дріт d=1,2 КО ГОСТ792-67</t>
  </si>
  <si>
    <t>L=22х2(60)</t>
  </si>
  <si>
    <t>172.65.005сб  дужка</t>
  </si>
  <si>
    <t>клей НТ-150 ТУ 38-005-274-67</t>
  </si>
  <si>
    <t>172.65.011  дужка</t>
  </si>
  <si>
    <t>L=1235(1306)</t>
  </si>
  <si>
    <t>166.36.24сб  дашок захисний</t>
  </si>
  <si>
    <t>166.36.25сб-А  дашок захисний</t>
  </si>
  <si>
    <t>дріб ДЧК d-1,4</t>
  </si>
  <si>
    <t>166.36.26сб  кришка</t>
  </si>
  <si>
    <t>166.36.030  кришка</t>
  </si>
  <si>
    <t>166.36.031  кришка</t>
  </si>
  <si>
    <t>лист б=2 ГОСТ19904-74 10кп ГОСТ16523-70</t>
  </si>
  <si>
    <t>166.36.027-А  дашок захисний</t>
  </si>
  <si>
    <t>166.36.028  опора</t>
  </si>
  <si>
    <t>166.36.029-А  кутник</t>
  </si>
  <si>
    <t>Print 13.12.17</t>
  </si>
  <si>
    <t>Print 04.12.17р</t>
  </si>
  <si>
    <t>Print 05.12.17р</t>
  </si>
  <si>
    <t>ПЛОМБИ</t>
  </si>
  <si>
    <t>175.33.002сб-1</t>
  </si>
  <si>
    <t>175.33.003сб-2</t>
  </si>
  <si>
    <t>175.33.006сб-4</t>
  </si>
  <si>
    <t>172.33.243сб</t>
  </si>
  <si>
    <t>172.33.225сб</t>
  </si>
  <si>
    <t>172.31.092сб-А</t>
  </si>
  <si>
    <t>176.31.003сб-А</t>
  </si>
  <si>
    <t>175.32.003сб-5</t>
  </si>
  <si>
    <t>175.32.087сб-2</t>
  </si>
  <si>
    <t>172.32.191сб</t>
  </si>
  <si>
    <t>Бак стелаж передній</t>
  </si>
  <si>
    <t>Клапан зливу</t>
  </si>
  <si>
    <t>Клапан перепускний</t>
  </si>
  <si>
    <t>Бак носовий лівий</t>
  </si>
  <si>
    <t>Бак носовий правий</t>
  </si>
  <si>
    <t>Бачок розширювальний</t>
  </si>
  <si>
    <t>Бак стелаж середній</t>
  </si>
  <si>
    <t>Бак масляний основний</t>
  </si>
  <si>
    <t>Бак масляний трансмісійний</t>
  </si>
  <si>
    <t>10/6,5</t>
  </si>
  <si>
    <t>100.10.024</t>
  </si>
  <si>
    <t>СУМА:</t>
  </si>
  <si>
    <t>пломба 10/6,5 ОСТ 32.68-84</t>
  </si>
  <si>
    <t>пломба 100.10.024-0 або 1-6х8-АД1М ГОСТ18677-73</t>
  </si>
  <si>
    <t xml:space="preserve">Калькуляція згідно службової записки  заступника начальника виробництва Корпана В.М., </t>
  </si>
  <si>
    <t>щодо включення пломб в загальну норму на капітальний ремонт Т-72А, Т-72Б.</t>
  </si>
  <si>
    <t>Print 15.12.2017р</t>
  </si>
  <si>
    <t>175.53.008-2  кільце регулювальне</t>
  </si>
  <si>
    <t>лист б=3,5 30ХГСА ГОСТ4543-71</t>
  </si>
  <si>
    <t>54.05.708  клапан</t>
  </si>
  <si>
    <t>лист б=0,8 Л63 ГОСТ931-78</t>
  </si>
  <si>
    <t>додати до норми :</t>
  </si>
  <si>
    <t>дріт СВАМг6 d=1,2</t>
  </si>
  <si>
    <t>забрати з норми:</t>
  </si>
  <si>
    <t>дріт СВ08Г2С d=1,2</t>
  </si>
  <si>
    <t xml:space="preserve">У звязку з відсутністю в нормі для цеху №4 на виготовлення труби </t>
  </si>
  <si>
    <t>повітроживлючої 175.83.028сб-А  дроту зварювального СВАМг6 d=1,2, необхідно:</t>
  </si>
  <si>
    <t>Print 19.12.2017р</t>
  </si>
  <si>
    <t>Тех. розпор на заміну матеріалу №145 від 19.12.2017р</t>
  </si>
  <si>
    <t>лист б=0,8 ГОСТ7118-78</t>
  </si>
  <si>
    <t>лист б=0,55 ГОСТ7118-78</t>
  </si>
  <si>
    <t>Print 19.12.17</t>
  </si>
  <si>
    <t>175.70.111сб  кришка в зборі</t>
  </si>
  <si>
    <t>175.70.064  кришка</t>
  </si>
  <si>
    <t>176.93.008сб  стелаж</t>
  </si>
  <si>
    <t>176.93.009сб  стелаж</t>
  </si>
  <si>
    <t>172.93.104сб  защіпка</t>
  </si>
  <si>
    <t>176.93.004  дужка</t>
  </si>
  <si>
    <t>175.93.077  дужка</t>
  </si>
  <si>
    <t>176.93.005  дужка</t>
  </si>
  <si>
    <t>176.93.006  дужка</t>
  </si>
  <si>
    <t>176.93.007  дужка</t>
  </si>
  <si>
    <t>176.93.008  дужка</t>
  </si>
  <si>
    <t>176.93.009  дужка</t>
  </si>
  <si>
    <t>176.93.010  дужка</t>
  </si>
  <si>
    <t>176.93.011  ребро</t>
  </si>
  <si>
    <t>176.93.012  ребро</t>
  </si>
  <si>
    <t>176.93.014  кронштейн</t>
  </si>
  <si>
    <t>176.93.015  кронштейн</t>
  </si>
  <si>
    <t>емль ПФ-115 червона</t>
  </si>
  <si>
    <t>176.82.001  трубка (б.к.)</t>
  </si>
  <si>
    <t>175.87.117-1  сітка</t>
  </si>
  <si>
    <t>полотно 1а-30х0,8 ГОСТ214-77</t>
  </si>
  <si>
    <t>172.36.081сб  клапан</t>
  </si>
  <si>
    <t>кулька Б 7,938-200 ГОСТ 3722-81</t>
  </si>
  <si>
    <t>бензин А-92</t>
  </si>
  <si>
    <t>172-2М.33.033сб-2  клапан поплавковий</t>
  </si>
  <si>
    <t>172-2М.33.355  втулка</t>
  </si>
  <si>
    <t>труба 30х1 ГОСТ 8734-75 Сталь 10 ГОСТ8733-74</t>
  </si>
  <si>
    <t>L=18(25)</t>
  </si>
  <si>
    <t>172-2М.33.356  шайба</t>
  </si>
  <si>
    <t>лист б=1 Сталь 10кп ГОСТ16523-70</t>
  </si>
  <si>
    <t>172-2М.33.095сб  ковпачок</t>
  </si>
  <si>
    <t>65.9Д6.443.001сб  заглушка</t>
  </si>
  <si>
    <t>L=122(150)</t>
  </si>
  <si>
    <t>0,5-2-5  шайба ОСТ1-34512-80</t>
  </si>
  <si>
    <t>лист б=0,5 Л63</t>
  </si>
  <si>
    <t>9Д8.669.002  ушко</t>
  </si>
  <si>
    <t>лист б=0,5 Сталь20 ГОСТ 16523-70</t>
  </si>
  <si>
    <t>Print 27.12.17</t>
  </si>
  <si>
    <t>172.83.098сб  трос</t>
  </si>
  <si>
    <t>L=635(660)</t>
  </si>
  <si>
    <t>L=2х1050(2х1100=2200)</t>
  </si>
  <si>
    <t>172.83.082сб-1  стяжки з тросом</t>
  </si>
  <si>
    <t>канат 2,5 Ж ГОСТ2172-71</t>
  </si>
  <si>
    <t>L=3055(3100)</t>
  </si>
  <si>
    <t>L=2х1030(2х1100=2200)</t>
  </si>
  <si>
    <t>Print 02.01.18</t>
  </si>
  <si>
    <t>175.04.400  кронштейн</t>
  </si>
  <si>
    <t>ОСТ 1 10808-72 вушка для ланцюжків</t>
  </si>
  <si>
    <t>172.71.073  перемичка</t>
  </si>
  <si>
    <t>лист б=1 М3 ГОСТ 931-70</t>
  </si>
  <si>
    <t>175.71.014  перемичка</t>
  </si>
  <si>
    <t>лист б=1 М3М ГОСТ 931-70</t>
  </si>
  <si>
    <t>176.70.008  кришка</t>
  </si>
  <si>
    <t>175.04.127сб  щиток 4-й лівий</t>
  </si>
  <si>
    <t>М6-6gх18.46.016 Гвинт ГОСТ17475-72</t>
  </si>
  <si>
    <t>М6.2.8.016 Гайка ГОСТ5915-70</t>
  </si>
  <si>
    <t>175.04.382  кутник 4-й лівий</t>
  </si>
  <si>
    <t>175.04.397  планка 4-та ліва</t>
  </si>
  <si>
    <t>150.91.970  скоба</t>
  </si>
  <si>
    <t>лист б=0,5 ГОСТ19904-74 ПТК-10СТ14-11-196-86</t>
  </si>
  <si>
    <t>05.Д5.004.03.320сб  кронштейн</t>
  </si>
  <si>
    <t>8.65Г.019 ГОСТ6402-70</t>
  </si>
  <si>
    <t>05.Д5.004.03.330сб  кронштейн</t>
  </si>
  <si>
    <t>05.Д5.004.03.350СБ  перехідник</t>
  </si>
  <si>
    <t>05.Д5.004.03.331  основа</t>
  </si>
  <si>
    <t>05.Д5.004.03.332  платик</t>
  </si>
  <si>
    <t>05.Д5.004.03.352  труба</t>
  </si>
  <si>
    <t>54.59.107-1  хомут</t>
  </si>
  <si>
    <t>лист б=3 ДСТУ 8540:2015 Сталь10 ДСТУ2834-94</t>
  </si>
  <si>
    <t>лист б=36 ГОСТ19904-74 Ст3 ГОСТ1623-97</t>
  </si>
  <si>
    <t>труба 12х1 ГОСТ8734-75 Сталь10 ГОСТ8733-74</t>
  </si>
  <si>
    <t>05.Д5.004.03.353  основа</t>
  </si>
  <si>
    <t>лист б=3 ГОСТ19903-74 Ст3сп ГОСТ 14637-97</t>
  </si>
  <si>
    <t>емлаь ХВ-518</t>
  </si>
  <si>
    <t>дріб ДЧК D=1,4</t>
  </si>
  <si>
    <t>Розпорядження №7 від 16.01.18р</t>
  </si>
  <si>
    <t>бляха біла ГГЖК №35 ТУ14-1-3470-82</t>
  </si>
  <si>
    <t>Print 17.01.18</t>
  </si>
  <si>
    <t>172.87.117сб  трубка</t>
  </si>
  <si>
    <t>172.87.308  трубка</t>
  </si>
  <si>
    <t>175.29.006сб  кришка верхня</t>
  </si>
  <si>
    <t>4х6.37.10 Заклепка ГОСТ10299-80</t>
  </si>
  <si>
    <t>175.29.024-1  кришка</t>
  </si>
  <si>
    <t>лист б=1 Сталь15 ГОСТ16523-70</t>
  </si>
  <si>
    <t>175.29.043-1  прижим</t>
  </si>
  <si>
    <t>стрічка У7А-С-0,5 ГОСТ2283-69</t>
  </si>
  <si>
    <t>172.36.031сб-1  кран</t>
  </si>
  <si>
    <t>ЦИАТИМ-201</t>
  </si>
  <si>
    <t>Print 02.02.18</t>
  </si>
  <si>
    <t>172.15.125сб  каркас</t>
  </si>
  <si>
    <t>175.15.042  ребро</t>
  </si>
  <si>
    <t>175.15.082  каркас</t>
  </si>
  <si>
    <t>лист б=3 Сталь 15 ГОСТ16523-70</t>
  </si>
  <si>
    <t>лист б=3 Сталь10кп ГОСТ16523-70</t>
  </si>
  <si>
    <t>432.70.636  скоба</t>
  </si>
  <si>
    <t>176.91.002  кутник</t>
  </si>
  <si>
    <t>АП-1-2,25-1 амортизатор ГОСТ 11679.1-76</t>
  </si>
  <si>
    <t>АП-2-5,4-2 амортизатор ГОСТ 11679.1-76</t>
  </si>
  <si>
    <t>А = 32</t>
  </si>
  <si>
    <t>А = 45</t>
  </si>
  <si>
    <t>лист б=0,8 Сталь20 ГОСТ16523-89</t>
  </si>
  <si>
    <t>лист б=1,2 Сталь20 ГОСТ16523-89</t>
  </si>
  <si>
    <t>круг d=6 Сталь20 ГОСТ 1053-71</t>
  </si>
  <si>
    <t>круг d=10 Сталь20 ГОСТ 1053-71</t>
  </si>
  <si>
    <t>&lt;&lt; 5 цех</t>
  </si>
  <si>
    <t>Print 09.02.18</t>
  </si>
  <si>
    <t>54.02.424А</t>
  </si>
  <si>
    <t>сальник</t>
  </si>
  <si>
    <t>520.15.001-02</t>
  </si>
  <si>
    <t>Сольвент</t>
  </si>
  <si>
    <t>Грунт ФЛ-03К</t>
  </si>
  <si>
    <t>дріт d=0,5 ОЧ ГОСТ 3282-74</t>
  </si>
  <si>
    <t>канат 1,8 ГОСТ 2172-71</t>
  </si>
  <si>
    <t xml:space="preserve">кислота соляна </t>
  </si>
  <si>
    <t>лист б=2 АД1М ГОСТ 21631</t>
  </si>
  <si>
    <t>520.06.002-06</t>
  </si>
  <si>
    <t>сітка латунь Л80 №01 ГОСТ 6613-80</t>
  </si>
  <si>
    <t>дизпаливо З-0,2 мінус 35 ГОСТ 305-82</t>
  </si>
  <si>
    <t>пудра ПАК-3, ПАК-4</t>
  </si>
  <si>
    <t>лист б=1,75 азбосталевий</t>
  </si>
  <si>
    <t>172.36.060сб</t>
  </si>
  <si>
    <t>6ц+4ц</t>
  </si>
  <si>
    <t>172.36.221</t>
  </si>
  <si>
    <t>лист б=1 08кп ГОСТ 16523-97</t>
  </si>
  <si>
    <t>175.38.014</t>
  </si>
  <si>
    <t xml:space="preserve">пластина </t>
  </si>
  <si>
    <t>175.38.018</t>
  </si>
  <si>
    <t>лист б=1 пароніт ПМБ ГОСТ 481-80</t>
  </si>
  <si>
    <t>175.36.013</t>
  </si>
  <si>
    <t>175.36.014</t>
  </si>
  <si>
    <t>2шт</t>
  </si>
  <si>
    <t>лист б=2 пароніт ПОН ГОСТ 481-80</t>
  </si>
  <si>
    <t>шплінт 1,6х12-0,16 ГОСТ 397-79</t>
  </si>
  <si>
    <t xml:space="preserve">рукав 40У12-13 </t>
  </si>
  <si>
    <t>рукав 40У48-3</t>
  </si>
  <si>
    <t>шплінт 1,6х8-0,16 ГОСТ 397-79</t>
  </si>
  <si>
    <t>лист фібра  б=2 КГФ</t>
  </si>
  <si>
    <t>лист б=0,5 латунь Л63 ГОСТ 931-90</t>
  </si>
  <si>
    <t>лист б=0,5 Сталь10 ГОСТ 16523-97</t>
  </si>
  <si>
    <r>
      <t xml:space="preserve">РЕМОНТ </t>
    </r>
    <r>
      <rPr>
        <b/>
        <u/>
        <sz val="12"/>
        <color theme="1"/>
        <rFont val="Calibri"/>
        <family val="2"/>
        <charset val="204"/>
        <scheme val="minor"/>
      </rPr>
      <t>4 цех</t>
    </r>
  </si>
  <si>
    <t>Print 13.02.18</t>
  </si>
  <si>
    <t>632.66сб  трубопроводи і вузли гідроуправління</t>
  </si>
  <si>
    <t>632.66.001сб-1  трубопровід</t>
  </si>
  <si>
    <t>Ремонт</t>
  </si>
  <si>
    <t xml:space="preserve">грунт ФЛ-03К </t>
  </si>
  <si>
    <t>рукав 2Т-8-85</t>
  </si>
  <si>
    <t>172.66.133сб  трубопровід</t>
  </si>
  <si>
    <t>175.66.005сб-2  трубопровід</t>
  </si>
  <si>
    <t>175.66.011сб-2  трубопровід</t>
  </si>
  <si>
    <t>175.66.017сб  трубопровід</t>
  </si>
  <si>
    <t>рукав 1Л-6-19.0 ГОСТ 6286-73</t>
  </si>
  <si>
    <t>175.66.039сб-1  труба</t>
  </si>
  <si>
    <t>175.66.043сб  трубопровід</t>
  </si>
  <si>
    <t>175.66.056сб  трубопровід</t>
  </si>
  <si>
    <t>172-2М.66.006сб  трубопровід</t>
  </si>
  <si>
    <t xml:space="preserve">дріт КО d=1,2 ГОСТ792-67 </t>
  </si>
  <si>
    <t>172-2М.66.007сб  труба</t>
  </si>
  <si>
    <t xml:space="preserve">грунт ВЛ-02 </t>
  </si>
  <si>
    <t>172-2М.66.023  труба</t>
  </si>
  <si>
    <t>труба 25х1,5 12Х18Н10Т ГОСТ 9941-72</t>
  </si>
  <si>
    <t>L=164(210)</t>
  </si>
  <si>
    <t>172-2М.66.008сб  труба</t>
  </si>
  <si>
    <t>172-2М.66.019  труба</t>
  </si>
  <si>
    <t>L=158(200)</t>
  </si>
  <si>
    <t>172-2М.66.009сб  штуцер</t>
  </si>
  <si>
    <t>Print 14.02.18</t>
  </si>
  <si>
    <t>Не друкував</t>
  </si>
  <si>
    <t>175.70.084сб-1  перемичка</t>
  </si>
  <si>
    <t>175.70.165-1  перемичка</t>
  </si>
  <si>
    <t>лист S=4 М3 ГОСТ 495-70</t>
  </si>
  <si>
    <t>лист S=4 Л63М ГОСТ 931-70</t>
  </si>
  <si>
    <t>172.70.312сб  кронштейн БЗА</t>
  </si>
  <si>
    <t>2х6.38.10 Заклепка ГОСТ 10299-80</t>
  </si>
  <si>
    <t>2х8.38.10 Заклепка ГОСТ 10299-80</t>
  </si>
  <si>
    <t>2х12.38.10 Заклепка ГОСТ 10299-80</t>
  </si>
  <si>
    <t>172.70.630  планка</t>
  </si>
  <si>
    <t>172.70.641  защіпка</t>
  </si>
  <si>
    <t>172.70.168сб-1  кронштейн</t>
  </si>
  <si>
    <t>172.70.629  обечайка</t>
  </si>
  <si>
    <t>175.70.202-1  кронштейн</t>
  </si>
  <si>
    <t>лист б=2 ГОСТ 21631-76</t>
  </si>
  <si>
    <t>лист б=4 ГОСТ 21631-76</t>
  </si>
  <si>
    <t>лист б=1 ГОСТ 19904-74 10кп ГОСТ 16523-70</t>
  </si>
  <si>
    <t>стрічка б=0,75 У7А-С-0,75 ГОСТ 2283-79</t>
  </si>
  <si>
    <t>Print 19.02.18</t>
  </si>
  <si>
    <t>608.36.001сб  підігрівач</t>
  </si>
  <si>
    <t>Стрічка конвеєрна РТП б=10,0</t>
  </si>
  <si>
    <t>92-105-1с  стрічка хомута</t>
  </si>
  <si>
    <t>лист б=0,5 Сталь10 ГОСТ 16523-70</t>
  </si>
  <si>
    <t>73-92-1с  стрічка хомута</t>
  </si>
  <si>
    <t>172.04.101сб-2</t>
  </si>
  <si>
    <t>172.04.149сб-2</t>
  </si>
  <si>
    <t>172.04.150сб-1</t>
  </si>
  <si>
    <t>172.04.153сб-2</t>
  </si>
  <si>
    <t>172.04.154сб-2</t>
  </si>
  <si>
    <t>172.04.102сб-2</t>
  </si>
  <si>
    <t>172.04.132сб-2</t>
  </si>
  <si>
    <t>Щиток 2-й верх. правий</t>
  </si>
  <si>
    <t>172.04.131сб-2</t>
  </si>
  <si>
    <t>172.04.144сб-А</t>
  </si>
  <si>
    <t>172.04.145сб-А</t>
  </si>
  <si>
    <t>172.04.106сб-3</t>
  </si>
  <si>
    <t>172.04.107сб-2</t>
  </si>
  <si>
    <t>172.04.160сб-А</t>
  </si>
  <si>
    <t>172.04.161сб-А</t>
  </si>
  <si>
    <t>172.04.138сб-1</t>
  </si>
  <si>
    <t>172.04.167сб-2</t>
  </si>
  <si>
    <t>Щиток 3-й нижн. лівй</t>
  </si>
  <si>
    <t>Щиток 1-й нижн. лівий</t>
  </si>
  <si>
    <t>Щиток 1-й нижн. правий</t>
  </si>
  <si>
    <t>Щиток 2-й нижн. лівий</t>
  </si>
  <si>
    <t>Щиток 2-й нижн. правий</t>
  </si>
  <si>
    <t>Щиток 1-й верх. лівий</t>
  </si>
  <si>
    <t>Щиток 1-й верх. правий</t>
  </si>
  <si>
    <t>Щиток 4-й верх. лівий</t>
  </si>
  <si>
    <t>Щиток 4-й верх. правий</t>
  </si>
  <si>
    <t>Щиток 4-й нижн. правий</t>
  </si>
  <si>
    <t>Щиток 4-й нижн. лівий</t>
  </si>
  <si>
    <t>Щиток 3-й нижн. правий</t>
  </si>
  <si>
    <t>Щиток 2-й верх. лівий</t>
  </si>
  <si>
    <t>Щиток 3-й верх. лівий</t>
  </si>
  <si>
    <t>Щиток 3-й верх. правий</t>
  </si>
  <si>
    <t>Сітка 4,5-0,9 12Х18Н10Т ГОСТ 3826-82</t>
  </si>
  <si>
    <t>172.02.713 сітка</t>
  </si>
  <si>
    <t>175.02.581 сітка</t>
  </si>
  <si>
    <t>176.31.086 сітка</t>
  </si>
  <si>
    <t>176.34.031 сітка</t>
  </si>
  <si>
    <t>176.34.029 сітка</t>
  </si>
  <si>
    <t>175.85.004сб-1  трубка</t>
  </si>
  <si>
    <t>труба 8х1 М3 ГОСТ 617-72</t>
  </si>
  <si>
    <t>175.85.006-1  трубка (б.к.)</t>
  </si>
  <si>
    <t>175.70.116  кронштейн</t>
  </si>
  <si>
    <t>лист б=3 Сталь15 ГОСТ 16523-70</t>
  </si>
  <si>
    <t>172.82.066сб  трубка</t>
  </si>
  <si>
    <t>172.82.154  трубка</t>
  </si>
  <si>
    <t>труба 10х1 М3-М ГОСТ 617-72</t>
  </si>
  <si>
    <t>L=930(1000)</t>
  </si>
  <si>
    <t>175.82.023сб-1  трубопровід</t>
  </si>
  <si>
    <t>175.82.055-1  трубка</t>
  </si>
  <si>
    <t>175.82.056-1  трубка</t>
  </si>
  <si>
    <t>175.82.057  трубка</t>
  </si>
  <si>
    <t>L=720(770)</t>
  </si>
  <si>
    <t>L=330(358)</t>
  </si>
  <si>
    <t>L=365(395)</t>
  </si>
  <si>
    <t>Print 02.03.18</t>
  </si>
  <si>
    <t>65.МС.2М.631.00сб  пристосування для опресування повітряної системи Т-64</t>
  </si>
  <si>
    <t>65.МС.2М.631.02  трубка</t>
  </si>
  <si>
    <t xml:space="preserve">труб 8х1 ГОСТ 21729-76 </t>
  </si>
  <si>
    <t>L=377(420)</t>
  </si>
  <si>
    <t>Print 02.04.18</t>
  </si>
  <si>
    <t>Перелік запасних частин до БТТ</t>
  </si>
  <si>
    <t>434.31.017сб  шланг</t>
  </si>
  <si>
    <t>434.31.101  рукав</t>
  </si>
  <si>
    <t>рукав 2Т25-50 50ТУ-005280-76</t>
  </si>
  <si>
    <t>434.31.022сб-2  труба</t>
  </si>
  <si>
    <t>стрічка ПВХ 15х0,2 2с ГОСТ 16214-70</t>
  </si>
  <si>
    <t>стрічка азбестова електроіз. ЛАЄ-1 0,4х20 ГОСТ14256-78</t>
  </si>
  <si>
    <t>434.31.106-2  труба</t>
  </si>
  <si>
    <t>труба 10х1 Сталь20 ГОСТ 19277-73</t>
  </si>
  <si>
    <t>L=1655(1720)</t>
  </si>
  <si>
    <t>434.31.023сб  шланг</t>
  </si>
  <si>
    <t>434.31.111  рукав</t>
  </si>
  <si>
    <t>L=295(320)</t>
  </si>
  <si>
    <t>434.31.024сб-1</t>
  </si>
  <si>
    <t>434.31.108-1  труба</t>
  </si>
  <si>
    <t>труба 25х1,6 ГОСТ 8734-75 10 ГОСТ 8733-74</t>
  </si>
  <si>
    <t>434.31.029сб-1  шланг</t>
  </si>
  <si>
    <t>434.31.030сб-1  труба</t>
  </si>
  <si>
    <t>434.31.121  рукав</t>
  </si>
  <si>
    <t>рукав 40У8-13</t>
  </si>
  <si>
    <t>434.31.033сб-2  шланг</t>
  </si>
  <si>
    <t>434.31.130  рукав</t>
  </si>
  <si>
    <t>434.31.034сб-1  трубка</t>
  </si>
  <si>
    <t>434.31.117  трубка</t>
  </si>
  <si>
    <t>труба 10х1 20 ГОСТ 21729-76</t>
  </si>
  <si>
    <t>L=40(70)</t>
  </si>
  <si>
    <t>434.31.129-1  трубка (б.к.)</t>
  </si>
  <si>
    <t>434.31.038сб  трубка</t>
  </si>
  <si>
    <t>434.31.136-1  трубка</t>
  </si>
  <si>
    <t>труба М3М 8х1 ГОСТ 617-72</t>
  </si>
  <si>
    <t>L=175(205)</t>
  </si>
  <si>
    <t>434.31.044сб-1  шланг</t>
  </si>
  <si>
    <t>434.31.158  рукав</t>
  </si>
  <si>
    <t xml:space="preserve">рукав 40У8-13 </t>
  </si>
  <si>
    <t>L=365(400)</t>
  </si>
  <si>
    <t>434.31.012сб-1  труба</t>
  </si>
  <si>
    <t>434.31.079-1  труба</t>
  </si>
  <si>
    <t>L=410(420)</t>
  </si>
  <si>
    <t>434.31.047сб  трубка</t>
  </si>
  <si>
    <t>434.31.162  трубка</t>
  </si>
  <si>
    <t>L=1105(1060)</t>
  </si>
  <si>
    <t>434.32.011сб-3  труба від МЗН-2 до двигуна</t>
  </si>
  <si>
    <t>434.32.149-3  трубка</t>
  </si>
  <si>
    <t>труба 12х1 20 ГОСТ 21729-76</t>
  </si>
  <si>
    <t>L=206(240)</t>
  </si>
  <si>
    <t>434.32.020сб  шланг</t>
  </si>
  <si>
    <t>432.32.464  рукав</t>
  </si>
  <si>
    <t>L=590(620)</t>
  </si>
  <si>
    <t>434.32.021сб  труба</t>
  </si>
  <si>
    <t>432.32.083сб-2  патрубок</t>
  </si>
  <si>
    <t>434.32.173  трубка</t>
  </si>
  <si>
    <t>труба 30х1 20 ГОСТ 21729-76</t>
  </si>
  <si>
    <t>L=133(150)</t>
  </si>
  <si>
    <t>434.32.174  половина патрубка</t>
  </si>
  <si>
    <t>434.32.175  половина патрубка</t>
  </si>
  <si>
    <t>лист б=1 ГОСТ 19904 08кп ГОСТ 9045-80</t>
  </si>
  <si>
    <t>432.32.454-1  труба</t>
  </si>
  <si>
    <t>L=116(150)</t>
  </si>
  <si>
    <t>432.32.452  фланець</t>
  </si>
  <si>
    <t>лист б=5 ГОСТ 19903-74 20 ГОСТ 1577-81</t>
  </si>
  <si>
    <t>432.32.058сб-5  труба від МЗН-2 до двигуна</t>
  </si>
  <si>
    <t>432.32.313-5  трубка (б.к.)</t>
  </si>
  <si>
    <t>432.32.481-2  трубка (б.к.)</t>
  </si>
  <si>
    <t>L=155(185)</t>
  </si>
  <si>
    <t>432.32.064сб-2  труба від бака до МЗН-2</t>
  </si>
  <si>
    <t>432.32.490-1  труба</t>
  </si>
  <si>
    <t>труба 20х1 20 ГОСТ 21729-76</t>
  </si>
  <si>
    <t>L=75(100)</t>
  </si>
  <si>
    <t>60.48.015  труба</t>
  </si>
  <si>
    <t>432.32.077сб  труба від бака до МЗН-2</t>
  </si>
  <si>
    <t>труба 16х1 ГОСТ 8734-75 10 ГОСТ 8733-74</t>
  </si>
  <si>
    <t>L=52(65)</t>
  </si>
  <si>
    <t>432.32.080сб шланг</t>
  </si>
  <si>
    <t>432.32.085сб  патрубок</t>
  </si>
  <si>
    <t>432.32.086сб  патрубок</t>
  </si>
  <si>
    <t>432.32.465  рукав</t>
  </si>
  <si>
    <t>432.32.456  фланець</t>
  </si>
  <si>
    <t>432.32.457  патрубок</t>
  </si>
  <si>
    <t>труба 32х2,5 ГОСТ 8734-75 20 ГОСТ 8733-74</t>
  </si>
  <si>
    <t xml:space="preserve">L=85(120) </t>
  </si>
  <si>
    <t>432.32.459  патрубок</t>
  </si>
  <si>
    <t xml:space="preserve">L=126(170) </t>
  </si>
  <si>
    <t>432.32.081сб  шланг</t>
  </si>
  <si>
    <t>432.32.466  рукав (б.к.)</t>
  </si>
  <si>
    <t>432.32.087сб  патрубок</t>
  </si>
  <si>
    <t>432.32.088сб  патрубок</t>
  </si>
  <si>
    <t>432.32.460  патрубок</t>
  </si>
  <si>
    <t xml:space="preserve">L=158(205) </t>
  </si>
  <si>
    <t>432.32.451  труба</t>
  </si>
  <si>
    <t>труба 25х1 20 ГОСТ 21729-76</t>
  </si>
  <si>
    <t>L=212(254)</t>
  </si>
  <si>
    <t>432.32.067сб-2  труба</t>
  </si>
  <si>
    <t>432.33.420-2  труба</t>
  </si>
  <si>
    <t>труба 16х1 ГОСТ 8734-75 20 ГОСТ 8733-74</t>
  </si>
  <si>
    <t>L=245(300)</t>
  </si>
  <si>
    <t>432.33.418-1  труба</t>
  </si>
  <si>
    <t>L=245(290)</t>
  </si>
  <si>
    <t>432.33.419-1  труба</t>
  </si>
  <si>
    <t>труба 12х1,5 Амг6М ОСТ1 92096-83</t>
  </si>
  <si>
    <t>L=1295(1450)</t>
  </si>
  <si>
    <t>432.32.691  трубка</t>
  </si>
  <si>
    <t>труба 16х1 Амг6М ОСТ1 92096-83</t>
  </si>
  <si>
    <t>L=172(200)</t>
  </si>
  <si>
    <t>434.66.001сб  трубка</t>
  </si>
  <si>
    <t>434.66.020  трубка</t>
  </si>
  <si>
    <t xml:space="preserve">L=970(1025) </t>
  </si>
  <si>
    <t>434.66.004сб-1  трубка</t>
  </si>
  <si>
    <t>434.66.023  трубка</t>
  </si>
  <si>
    <t>L=140(203)</t>
  </si>
  <si>
    <t>432.66.005сб-3  трубка</t>
  </si>
  <si>
    <t>432.66.063-4  трубка</t>
  </si>
  <si>
    <t>L=1370(1500)</t>
  </si>
  <si>
    <t>432.66.006сб-1  трубка</t>
  </si>
  <si>
    <t>432.66.064-1  трубка</t>
  </si>
  <si>
    <t>L=(довжину шукав віднявши вагу гайок і ніпелів від ваги зборки = вага трубки + відсоток =180мм±)</t>
  </si>
  <si>
    <t>432.66.023сб-1  трубка</t>
  </si>
  <si>
    <t>432.66.097-3  трубка</t>
  </si>
  <si>
    <t>L=1200(1352)</t>
  </si>
  <si>
    <t>765-08-сб551  труба</t>
  </si>
  <si>
    <t>емаль ПФ-223 світло-зелена</t>
  </si>
  <si>
    <t>765-08-707  труба</t>
  </si>
  <si>
    <t>765-08-702  патрубок</t>
  </si>
  <si>
    <t>765-08-1006  труба</t>
  </si>
  <si>
    <t>труба 25х1 ГОСТ 8734-75 20 ГОСТ 8733-74</t>
  </si>
  <si>
    <t>труба 18х1 ГОСТ 8734-75 20 ГОСТ 8733-74</t>
  </si>
  <si>
    <t>L=1560(1700)</t>
  </si>
  <si>
    <t>765-08-сб552  труба</t>
  </si>
  <si>
    <t>765-08-1007  труба</t>
  </si>
  <si>
    <t>L=1065(1150)</t>
  </si>
  <si>
    <t xml:space="preserve">лак ЛБС-1 </t>
  </si>
  <si>
    <t>Print 18.04.18</t>
  </si>
  <si>
    <t>Розпорядження №58 - 2018р</t>
  </si>
  <si>
    <t>65.3320-398-10сб  трубопровід</t>
  </si>
  <si>
    <t>65.3320-398-10-01  трубка</t>
  </si>
  <si>
    <t>L=1250(1407)</t>
  </si>
  <si>
    <t>65.сб.3335-70-05А  шланг</t>
  </si>
  <si>
    <t>рукав 3У10-15</t>
  </si>
  <si>
    <t xml:space="preserve">L=940(1000) </t>
  </si>
  <si>
    <t>Розпорядження №47 - 2018р</t>
  </si>
  <si>
    <t>ГПМ-72</t>
  </si>
  <si>
    <t>65.С.03.10.040сб  зрошувач цистерни</t>
  </si>
  <si>
    <t>65.С.03.10.041  труба</t>
  </si>
  <si>
    <t>труба 25х3,5 ГОСТ 3262-75</t>
  </si>
  <si>
    <t>L=5000(4565)</t>
  </si>
  <si>
    <t>65.С.03.10.071  конус</t>
  </si>
  <si>
    <t>лист б=3 ГОСТ 19903-74 Ст3 ГОСТ 16523-89</t>
  </si>
  <si>
    <t>65.С.03.10.072  патрубок</t>
  </si>
  <si>
    <t>65.С.03.10.240сб  трубопровід лафета</t>
  </si>
  <si>
    <t>65.С.03.10.250сб  трубопровід лафета</t>
  </si>
  <si>
    <t>65.С.03.10.260сб  трубопровід лафета</t>
  </si>
  <si>
    <t>65.С.03.10.263  кільце</t>
  </si>
  <si>
    <t>637.23.003сб трос</t>
  </si>
  <si>
    <t>Припій ПОССу40-2 ГОСТ 1499-70</t>
  </si>
  <si>
    <t>Канат 2,5 ГОСТ 2172-71</t>
  </si>
  <si>
    <t>65.ИМР-2.35.956-1  трубка</t>
  </si>
  <si>
    <t>труба 16*1 12Х18Н10Т ГОСТ 9941-72</t>
  </si>
  <si>
    <t>65.ИМР-2.35.957-1  трубка</t>
  </si>
  <si>
    <t>труба 22*1,5 12Х18Н10Т ГОСТ 9941-72</t>
  </si>
  <si>
    <t>є норма в папках</t>
  </si>
  <si>
    <t>Додаток №2 до Т.Р. №63-2016р</t>
  </si>
  <si>
    <t>2</t>
  </si>
  <si>
    <t>155.28.713сб  лента кріплення колоди</t>
  </si>
  <si>
    <t>2.1</t>
  </si>
  <si>
    <t>155.28.1624  стрічка</t>
  </si>
  <si>
    <t>лист S=2 Сталь20 ГОСТ16523-70</t>
  </si>
  <si>
    <t>9</t>
  </si>
  <si>
    <t>155.28.102  шланг</t>
  </si>
  <si>
    <t>шланг 40У-25-7</t>
  </si>
  <si>
    <t>10</t>
  </si>
  <si>
    <t>54.28.87сб  стержень в зборі</t>
  </si>
  <si>
    <t>54.28.324  планка</t>
  </si>
  <si>
    <t>лист S=5 Сталь10 ГОСТ1577-70</t>
  </si>
  <si>
    <t>20</t>
  </si>
  <si>
    <t>05.С.028.28.150  ящик для ЗІП</t>
  </si>
  <si>
    <t>грунт ГФ-032</t>
  </si>
  <si>
    <t>розчнник Р-4</t>
  </si>
  <si>
    <t>20.1</t>
  </si>
  <si>
    <t>05.С.028.28.160сб  ящик</t>
  </si>
  <si>
    <t>20.1.1</t>
  </si>
  <si>
    <t>05.С.028.28.161  корпус</t>
  </si>
  <si>
    <t>лист =2 ГОСТ19903-74 Сталь10 ГОСТ 16523-70</t>
  </si>
  <si>
    <t>20.1.2</t>
  </si>
  <si>
    <t>05.С.028.28.162  боковина</t>
  </si>
  <si>
    <t>20.1.3</t>
  </si>
  <si>
    <t>05.С.028.28.163  накладка</t>
  </si>
  <si>
    <t>20.2</t>
  </si>
  <si>
    <t>05.С.028.28.151  кутник</t>
  </si>
  <si>
    <t>кутник 20х20х3 ГОСТ8509-72 Ст3 ГОСТ535-58</t>
  </si>
  <si>
    <t>20.3</t>
  </si>
  <si>
    <t>05.С.028.28.152  кутник</t>
  </si>
  <si>
    <t>20.4</t>
  </si>
  <si>
    <t>05.С.028.28.153  корпус</t>
  </si>
  <si>
    <t>20.5</t>
  </si>
  <si>
    <t>05.С.028.28.154  боковина</t>
  </si>
  <si>
    <t>20.6</t>
  </si>
  <si>
    <t>05.С.028.28.155  кришка</t>
  </si>
  <si>
    <t>20.8</t>
  </si>
  <si>
    <t>05.С.028.28.157  обечайка</t>
  </si>
  <si>
    <t>20.11</t>
  </si>
  <si>
    <t>54.28.667  створка</t>
  </si>
  <si>
    <t>20.12</t>
  </si>
  <si>
    <t>54.28.668  створка петлі</t>
  </si>
  <si>
    <t>20.13</t>
  </si>
  <si>
    <t>54.28.674  накладка</t>
  </si>
  <si>
    <t>20.14</t>
  </si>
  <si>
    <t>137.28.1433  планка</t>
  </si>
  <si>
    <t>лист S=6 Сталь10 ГОСТ1577-70</t>
  </si>
  <si>
    <t>20.15</t>
  </si>
  <si>
    <t>137.28.1438  вушко</t>
  </si>
  <si>
    <t>21</t>
  </si>
  <si>
    <t>05.44.28.6030  стержень</t>
  </si>
  <si>
    <t>21.2</t>
  </si>
  <si>
    <t>05.44.28.6032  ручка</t>
  </si>
  <si>
    <t>лист S=1,5 ГОСТ1903-74 Ст3 ГОСТ16523-70</t>
  </si>
  <si>
    <t>23</t>
  </si>
  <si>
    <t>05.С.028.28.070  щуп</t>
  </si>
  <si>
    <t>23.3</t>
  </si>
  <si>
    <t>05.С.028.28.073  кільце</t>
  </si>
  <si>
    <t>лист S=1 М3 ГОСТ 495-70</t>
  </si>
  <si>
    <t>23.4</t>
  </si>
  <si>
    <t>05.С.028.28.074  трос</t>
  </si>
  <si>
    <t>канат d=3,7 ГОСТ3069-66</t>
  </si>
  <si>
    <t>25</t>
  </si>
  <si>
    <t>155.28.674сб  стержень</t>
  </si>
  <si>
    <t>25.2</t>
  </si>
  <si>
    <t>155.28.1537  труба</t>
  </si>
  <si>
    <t>26</t>
  </si>
  <si>
    <t>54.28.67сб1  шланг</t>
  </si>
  <si>
    <t>шланг 8Д8-50 ТУ38-105-481-72</t>
  </si>
  <si>
    <t>28</t>
  </si>
  <si>
    <t>05.С.028.85.300-01  шланг циліндрів кузова</t>
  </si>
  <si>
    <t>28.5</t>
  </si>
  <si>
    <t>05.С.028.85.307  рукав</t>
  </si>
  <si>
    <t>рукав Аll-В-190/115-С</t>
  </si>
  <si>
    <t>30</t>
  </si>
  <si>
    <t>54.28.227сб  наконечник</t>
  </si>
  <si>
    <t>54.28.716  труба</t>
  </si>
  <si>
    <t>32</t>
  </si>
  <si>
    <t>54.28.1сб-4  відро</t>
  </si>
  <si>
    <t>дріт d=3 ГОСТ3282-78</t>
  </si>
  <si>
    <t>54.28.001-4  корпус відра</t>
  </si>
  <si>
    <t>лист S=0,8  ГОСТ14918-80</t>
  </si>
  <si>
    <t>80.7</t>
  </si>
  <si>
    <t>54.28.1815 шайба</t>
  </si>
  <si>
    <t>лента S=1 У7А ГОСТ2283-69</t>
  </si>
  <si>
    <t>83</t>
  </si>
  <si>
    <t>05.С.028.85.300  шланг</t>
  </si>
  <si>
    <t>83.5</t>
  </si>
  <si>
    <t>05.С.028.85.306  рукав</t>
  </si>
  <si>
    <t>85</t>
  </si>
  <si>
    <t>рукав 1Т48-15 ТУ005.280-76</t>
  </si>
  <si>
    <t>108</t>
  </si>
  <si>
    <t>928.22сб2  стелаж вогнегасника</t>
  </si>
  <si>
    <t>108.1</t>
  </si>
  <si>
    <t>54.28.278сб  хомутик</t>
  </si>
  <si>
    <t>180.1.1</t>
  </si>
  <si>
    <t>54.28.072  дужка</t>
  </si>
  <si>
    <t>108.2</t>
  </si>
  <si>
    <t>54.28.279сб  хомутик</t>
  </si>
  <si>
    <t>108.2.1</t>
  </si>
  <si>
    <t>54.28.070  дужка</t>
  </si>
  <si>
    <t>108.3</t>
  </si>
  <si>
    <t>54.28.071-1  відкидна дужка</t>
  </si>
  <si>
    <t>108.6</t>
  </si>
  <si>
    <t>54.28.077-2  підставка</t>
  </si>
  <si>
    <t>108.7</t>
  </si>
  <si>
    <t>54.28.308-2  корпус</t>
  </si>
  <si>
    <t>108.8</t>
  </si>
  <si>
    <t>54.28.309-1  планка</t>
  </si>
  <si>
    <t>108.9</t>
  </si>
  <si>
    <t>54.28.566  кутник</t>
  </si>
  <si>
    <t>115</t>
  </si>
  <si>
    <t>155.28.737сб  пенал</t>
  </si>
  <si>
    <t>115.1</t>
  </si>
  <si>
    <t>155.28.735сб  ящик</t>
  </si>
  <si>
    <t>115.1.1</t>
  </si>
  <si>
    <t>155.28.736сб  кришка</t>
  </si>
  <si>
    <t>115.1.6</t>
  </si>
  <si>
    <t>155.28.1691А  перегородка</t>
  </si>
  <si>
    <t>лист S=1 Сталь20 ГОСТ16523-70</t>
  </si>
  <si>
    <t>116</t>
  </si>
  <si>
    <t>54.28.32сб-3Б  ящик</t>
  </si>
  <si>
    <t>116.1</t>
  </si>
  <si>
    <t>54.28.33сб-5  кришка</t>
  </si>
  <si>
    <t>116.1.2</t>
  </si>
  <si>
    <t>54.28.133-5  кришка</t>
  </si>
  <si>
    <t>116.1.3</t>
  </si>
  <si>
    <t>54.28.1719  планка</t>
  </si>
  <si>
    <t>116.1.6</t>
  </si>
  <si>
    <t>34.05.722  скоба</t>
  </si>
  <si>
    <t>116.2</t>
  </si>
  <si>
    <t>54.28.127-3  корпус</t>
  </si>
  <si>
    <t>116.3</t>
  </si>
  <si>
    <t>54.28.250  кутник</t>
  </si>
  <si>
    <t>143</t>
  </si>
  <si>
    <t>рукав 40У30-7 ТУ-005-6016-80</t>
  </si>
  <si>
    <t>165</t>
  </si>
  <si>
    <t>05.С.028.95.310 рукав</t>
  </si>
  <si>
    <t>дріт КО d=1,6  ГОСТ792-67</t>
  </si>
  <si>
    <t>05.С.028.95.314  рукав</t>
  </si>
  <si>
    <t>рукав Б/1-10-31,5 ГОСТ18698-73</t>
  </si>
  <si>
    <t>170</t>
  </si>
  <si>
    <t>05.С.028.95.070-01  пенал для рукавів d=150мм</t>
  </si>
  <si>
    <t>солідол</t>
  </si>
  <si>
    <t>170.2</t>
  </si>
  <si>
    <t>05.С.028.95.071  кронштейн</t>
  </si>
  <si>
    <t>лист S=2 ГОСТ19903-74 Ст3 ГОСТ16523-70</t>
  </si>
  <si>
    <t>170.3</t>
  </si>
  <si>
    <t>05.С.028.95.072  тримач</t>
  </si>
  <si>
    <t>170.6</t>
  </si>
  <si>
    <t>ГОСТ 10450-68 Шайба20</t>
  </si>
  <si>
    <t>лист S=3 ГОСТ19903-74 Сталь08кп ГОСТ16523-70</t>
  </si>
  <si>
    <t>170.8</t>
  </si>
  <si>
    <t>05.С.028.95.090-01  кришка</t>
  </si>
  <si>
    <t>170.8.1</t>
  </si>
  <si>
    <t>05.С.028.95.093-01  кришка</t>
  </si>
  <si>
    <t>170.8.2</t>
  </si>
  <si>
    <t>05.С.028.95.091  скоба</t>
  </si>
  <si>
    <t>170.8.3</t>
  </si>
  <si>
    <t>05.С.028.95.092-01  петля</t>
  </si>
  <si>
    <t>170.9</t>
  </si>
  <si>
    <t>05.С.028.95.100-01  труба</t>
  </si>
  <si>
    <t>170.9.1</t>
  </si>
  <si>
    <t>05.С.028.95.101-01  труба передня</t>
  </si>
  <si>
    <t>дріт d=6 ГОСТ3282</t>
  </si>
  <si>
    <t>170.9.2</t>
  </si>
  <si>
    <t>05.С.028.95.102-01  труба задня</t>
  </si>
  <si>
    <t>170.10</t>
  </si>
  <si>
    <t>05.С.028.95.078-01  донишко</t>
  </si>
  <si>
    <t>171</t>
  </si>
  <si>
    <t>05.С.028.95.200  хомут</t>
  </si>
  <si>
    <t>171.2</t>
  </si>
  <si>
    <t>05.С.028.95.203  стрічка</t>
  </si>
  <si>
    <t>172</t>
  </si>
  <si>
    <t>05.С.028.95.200-01  хомут</t>
  </si>
  <si>
    <t>172.2</t>
  </si>
  <si>
    <t>05.С.028.95.203-01  стрічка</t>
  </si>
  <si>
    <t>176</t>
  </si>
  <si>
    <t>05.С.028.95.070  пенал</t>
  </si>
  <si>
    <t>176.8</t>
  </si>
  <si>
    <t>05.С.028.95.090  кришка</t>
  </si>
  <si>
    <t>176.8.2</t>
  </si>
  <si>
    <t xml:space="preserve">05.С.028.95.092  петля </t>
  </si>
  <si>
    <t>176.8.3</t>
  </si>
  <si>
    <t>05.С.028.95.093  кришка</t>
  </si>
  <si>
    <t>176.9</t>
  </si>
  <si>
    <t>05.С.028.95.100  труба</t>
  </si>
  <si>
    <t>176.9.1</t>
  </si>
  <si>
    <t>05.С.028.95.101  труба передня</t>
  </si>
  <si>
    <t>176.9.2</t>
  </si>
  <si>
    <t>05.С.028.95.102  труба задня</t>
  </si>
  <si>
    <t>176.1</t>
  </si>
  <si>
    <t>05.С.028.95.078  донишко</t>
  </si>
  <si>
    <t>181</t>
  </si>
  <si>
    <t>05.С.028.95.210  упор</t>
  </si>
  <si>
    <t>181.2</t>
  </si>
  <si>
    <t>05.С.028.95.212  стрічка</t>
  </si>
  <si>
    <t>стрічка ЛРЛ20 ГОСТ16996-71</t>
  </si>
  <si>
    <t>181.3</t>
  </si>
  <si>
    <t>05.С.028.95.213  тросик</t>
  </si>
  <si>
    <t>канат d=4,6-Г-1-СС-Н-180 ГОСТ3066-66</t>
  </si>
  <si>
    <t>181.4</t>
  </si>
  <si>
    <t>05.С.028.95.214  накладка</t>
  </si>
  <si>
    <t>181.5</t>
  </si>
  <si>
    <t>05.С.028.95.215  зацеп</t>
  </si>
  <si>
    <t>181.6</t>
  </si>
  <si>
    <t>05.С.028.95.216  планка</t>
  </si>
  <si>
    <t>190</t>
  </si>
  <si>
    <t>54.28.483сб-4  ящик для ТВН-2</t>
  </si>
  <si>
    <t>190.1</t>
  </si>
  <si>
    <t>54.28.484сб-4  ящик</t>
  </si>
  <si>
    <t>190.1.1</t>
  </si>
  <si>
    <t>54.28.488сб-1  прокладка в зборі</t>
  </si>
  <si>
    <t>190.1.1.1</t>
  </si>
  <si>
    <t>190.1.3</t>
  </si>
  <si>
    <t>54.28.1213-2  корпус</t>
  </si>
  <si>
    <t>190.1.4</t>
  </si>
  <si>
    <t>54.28.1215-2  дно</t>
  </si>
  <si>
    <t>190.1.5</t>
  </si>
  <si>
    <t>54.28.1216  вушко</t>
  </si>
  <si>
    <t>190.1.6</t>
  </si>
  <si>
    <t>54.28.1217-1  перегородка</t>
  </si>
  <si>
    <t>190.1.8</t>
  </si>
  <si>
    <t>54.28.1293  кронштейн</t>
  </si>
  <si>
    <t>лист S=5 Сталь20 ГОСТ16523-70</t>
  </si>
  <si>
    <t>190.1.9</t>
  </si>
  <si>
    <t>54.28.1409  скоба</t>
  </si>
  <si>
    <t>190.2</t>
  </si>
  <si>
    <t>54.28.485сб-2  кришка</t>
  </si>
  <si>
    <t>190.2.1</t>
  </si>
  <si>
    <t>54.28.589сб  упор</t>
  </si>
  <si>
    <t>190.2.1.1</t>
  </si>
  <si>
    <t>54.28.1223-1  дуга</t>
  </si>
  <si>
    <t>лист S=3 ГОСТ19903-74 Сталь20 ГОСТ16523-70</t>
  </si>
  <si>
    <t>190.2.1.2</t>
  </si>
  <si>
    <t>54.28.1315  планка</t>
  </si>
  <si>
    <t>190.2.2</t>
  </si>
  <si>
    <t>54.28.590сб  упор</t>
  </si>
  <si>
    <t>190.2.2.1</t>
  </si>
  <si>
    <t>54.28.1316  планка</t>
  </si>
  <si>
    <t>190.2.2.2</t>
  </si>
  <si>
    <t>54.28.1317  дуга</t>
  </si>
  <si>
    <t>190.2.5</t>
  </si>
  <si>
    <t>54.28.1226-1  скоба</t>
  </si>
  <si>
    <t>190.2.6</t>
  </si>
  <si>
    <t>54.28.1266-1  кришка</t>
  </si>
  <si>
    <t>190.2.7</t>
  </si>
  <si>
    <t>54.28.1267  обечайка</t>
  </si>
  <si>
    <t>192</t>
  </si>
  <si>
    <t>05.С.028.36.250  гніздо для ТВН-2</t>
  </si>
  <si>
    <t>05.С.028.36.253  вікно</t>
  </si>
  <si>
    <t>05.С.028.36.256  рамка</t>
  </si>
  <si>
    <t>05.С.028.36.257  планка</t>
  </si>
  <si>
    <t>199</t>
  </si>
  <si>
    <t>201</t>
  </si>
  <si>
    <t>928.31сбА  шланг для заправки паливом</t>
  </si>
  <si>
    <t>дріт КО d=1,2 ГОСТ792-41</t>
  </si>
  <si>
    <t>шланг 40У30-7</t>
  </si>
  <si>
    <t>70</t>
  </si>
  <si>
    <t>166.42.090А  прокладка</t>
  </si>
  <si>
    <t>лист S=2 М3 ГОСТ495-77</t>
  </si>
  <si>
    <t>77</t>
  </si>
  <si>
    <t>54.02.066-1  пружина</t>
  </si>
  <si>
    <t>лист S=1 СтальУ7А ГОСТ 1435-54</t>
  </si>
  <si>
    <t>78</t>
  </si>
  <si>
    <t>166.42.089  прокладка</t>
  </si>
  <si>
    <t>155.16.133  шайба</t>
  </si>
  <si>
    <t>34.29.846  скоба</t>
  </si>
  <si>
    <t>дріт D=6 ГОСТ3282-46</t>
  </si>
  <si>
    <t>L=82(100)</t>
  </si>
  <si>
    <t>54.28.759сб</t>
  </si>
  <si>
    <t>54.28.420сб  петля</t>
  </si>
  <si>
    <t>L=36(40)</t>
  </si>
  <si>
    <t>54.28.1093  створка петлі</t>
  </si>
  <si>
    <t>лист S=0,7 СТК-1 ГОСТ17715-72</t>
  </si>
  <si>
    <t>54.28.760сб  корпус</t>
  </si>
  <si>
    <t>заклепка 2х4-700 ГОСТ10299-68</t>
  </si>
  <si>
    <t>припій ПОССу30-2</t>
  </si>
  <si>
    <t>бура технічка</t>
  </si>
  <si>
    <t>54.28.1008  скоба</t>
  </si>
  <si>
    <t>лист S=1,5 Ст3 ГОСТ380-60</t>
  </si>
  <si>
    <t>54.28.1803  корпус</t>
  </si>
  <si>
    <t>54.28.1804  рамка</t>
  </si>
  <si>
    <t>54.28.1805  перегородка</t>
  </si>
  <si>
    <t>54.28.761сб  кришка</t>
  </si>
  <si>
    <t>заклепка 3х6 ГОСТ10299-62</t>
  </si>
  <si>
    <t>54.28.762сб  коробка</t>
  </si>
  <si>
    <t xml:space="preserve">54.28.1807  коробка </t>
  </si>
  <si>
    <t>54.28.1808  скоба</t>
  </si>
  <si>
    <t>54.28.1817  боковина</t>
  </si>
  <si>
    <t>54.28.1810  кришка</t>
  </si>
  <si>
    <t>54.28.1811  перегородка</t>
  </si>
  <si>
    <t>54.28.1016  зацеп</t>
  </si>
  <si>
    <t>лист S=1 У7А-С-1 ГОСТ2283-69</t>
  </si>
  <si>
    <t>Ш-НП М-НО-05х9 стрічка (3мотка по 3м)</t>
  </si>
  <si>
    <t>353-95  шайба 10</t>
  </si>
  <si>
    <t>Роздрукував 16.06.16р</t>
  </si>
  <si>
    <t>лист S=1 Сталь08кп ГОСТ16523</t>
  </si>
  <si>
    <t xml:space="preserve">   54.28.1230-1  планка</t>
  </si>
  <si>
    <t xml:space="preserve">   лист s=0,8 ГОСТ19904-74 СТК-1 ГОСТ17715-72</t>
  </si>
  <si>
    <t>Додаток №3 ГПМ-54</t>
  </si>
  <si>
    <t>05.С.028.02.000  Система охолодження</t>
  </si>
  <si>
    <t>05.С.028.02.010  трубопровід</t>
  </si>
  <si>
    <t>емаль ПФ-223 зелена</t>
  </si>
  <si>
    <r>
      <t>м</t>
    </r>
    <r>
      <rPr>
        <b/>
        <vertAlign val="superscript"/>
        <sz val="11"/>
        <color theme="1"/>
        <rFont val="Times New Roman"/>
        <family val="1"/>
        <charset val="204"/>
      </rPr>
      <t>3</t>
    </r>
  </si>
  <si>
    <t>05.С.028.02.011  трубка</t>
  </si>
  <si>
    <t>труба 30х1 ГОСТ8734-75 Сталь20 ГОСТ8735-87</t>
  </si>
  <si>
    <t>L=1,15(1,26)</t>
  </si>
  <si>
    <t>05.С.028.02.020  трубопровід</t>
  </si>
  <si>
    <t>L=1,71(1,9)</t>
  </si>
  <si>
    <t>05.с.028.02.022  ніпель</t>
  </si>
  <si>
    <t>труба 12х1 ГОСТ8734-75 Сталь20 ГОСТ8735-87</t>
  </si>
  <si>
    <t>05.С.028.02.040  трубопровід</t>
  </si>
  <si>
    <t>05.С.028.02.041  трубка</t>
  </si>
  <si>
    <t>L=1,2(1,4)</t>
  </si>
  <si>
    <t>54.03.221  патрубок</t>
  </si>
  <si>
    <t>L=0,045(0,055)</t>
  </si>
  <si>
    <t>05.С.028.02.050  трубопровід</t>
  </si>
  <si>
    <t>05.С.028.02.051  трубка</t>
  </si>
  <si>
    <t>L=0,85(0,95)</t>
  </si>
  <si>
    <t>05.С.028.02.060  трос</t>
  </si>
  <si>
    <t>05.С.028.02.061  трос</t>
  </si>
  <si>
    <t>канат d=2,5Ж  ГОСТ2172-80</t>
  </si>
  <si>
    <t>05.С.028.02.060-01  трос</t>
  </si>
  <si>
    <t>05.С.028.02.062  трос</t>
  </si>
  <si>
    <t>05.С.028.02.080  оплітка троса в зборі</t>
  </si>
  <si>
    <t>05.С.028.02.080-01  оплітка троса в зборі</t>
  </si>
  <si>
    <t>54.02.45сб-7  труба від вхідного насоса</t>
  </si>
  <si>
    <t>54.02.045-8  труба</t>
  </si>
  <si>
    <t>труба 48х1,5 Сталь10 ГОСТ8734-58</t>
  </si>
  <si>
    <t>L=0,345(0,5)</t>
  </si>
  <si>
    <t>54.02.208-1  патрубок</t>
  </si>
  <si>
    <t>54.02.88сб-4  щиток</t>
  </si>
  <si>
    <t>54.02.99сб-1  щиток</t>
  </si>
  <si>
    <t>54.02.372-3  оболонка</t>
  </si>
  <si>
    <t>лист S=0,5 Сталь покрівельна СТК-1 ГОСТ17715-72</t>
  </si>
  <si>
    <t>54.02.417  планка</t>
  </si>
  <si>
    <t>лист S=1 Сталь У7А ГОСТ1435-54</t>
  </si>
  <si>
    <t xml:space="preserve">ксилол </t>
  </si>
  <si>
    <t>54.02.418  планка</t>
  </si>
  <si>
    <t>лист S=0,5 Сталь У7А ГОСТ1435-54</t>
  </si>
  <si>
    <t>54.02.447  планка</t>
  </si>
  <si>
    <t>54.02.91сб  труба від насоса</t>
  </si>
  <si>
    <t>54.02.390 трубка</t>
  </si>
  <si>
    <t>труба 16х1 ГОСТ8734-75 Сталь10 ГОСТ8735-87</t>
  </si>
  <si>
    <t>L=0,150(0,200)</t>
  </si>
  <si>
    <t>54.02.397  труба</t>
  </si>
  <si>
    <t>L=0,350(0,450)</t>
  </si>
  <si>
    <t>54.02.92сб-2  хомут</t>
  </si>
  <si>
    <t>ПРОВІРИТИ ЩЕ РАЗ БО ДУЖЕ ЗАПУТАНО ЩОСЬ</t>
  </si>
  <si>
    <t>54.08.108сб  хомут в зборі</t>
  </si>
  <si>
    <t>54.02.456А  лента</t>
  </si>
  <si>
    <t>54.02.478  накладка</t>
  </si>
  <si>
    <t>лист S=1 Сталь 10кп ГОСТ16523-70</t>
  </si>
  <si>
    <t>54.02.109сб  хомут в зборі</t>
  </si>
  <si>
    <t>54.02.457  лента</t>
  </si>
  <si>
    <t>54.02.459  накладка</t>
  </si>
  <si>
    <t>54.02.118сб  хомут</t>
  </si>
  <si>
    <t>54.02.484  лента</t>
  </si>
  <si>
    <t>54.02.130сб-А  трубка відвідна</t>
  </si>
  <si>
    <t>емаль МС-17 чорна</t>
  </si>
  <si>
    <t>54.02.093-6  труба</t>
  </si>
  <si>
    <t>L=0,255(0,400)</t>
  </si>
  <si>
    <t>54.02.136сб  патрубок</t>
  </si>
  <si>
    <t>54.02.455А  патрубок</t>
  </si>
  <si>
    <t>труба 10х1 ГОСТ8734-75 Сталь10 ГОСТ8735-87</t>
  </si>
  <si>
    <t>L=0,1(0,12)</t>
  </si>
  <si>
    <t>155.02.115сб-1Б  трубка від двигуна до змійовика</t>
  </si>
  <si>
    <t>54.02.121сб  патрубок</t>
  </si>
  <si>
    <t>54.02.490  патрубок</t>
  </si>
  <si>
    <t>труба 12х1 ГОСТ8734-75 Сталь10 ГОСТ8735-87</t>
  </si>
  <si>
    <t>L=0,055(0, 65)</t>
  </si>
  <si>
    <t>155.02.097-4  труба</t>
  </si>
  <si>
    <t>труба 25х1 ГОСТ8734-75 Сталь10 ГОСТ8735-87</t>
  </si>
  <si>
    <t>L=1,97(2,115)</t>
  </si>
  <si>
    <t>труба 30х2 ГОСТ8734-75 Сталь10 ГОСТ8735-87</t>
  </si>
  <si>
    <t>902.4сб-2  кран зливу води</t>
  </si>
  <si>
    <t>902.3сб-2  корпус клапана</t>
  </si>
  <si>
    <t>грнунт ФЛ-03К</t>
  </si>
  <si>
    <t>902.007-1  труба</t>
  </si>
  <si>
    <t>труба 30х1 Сталь10 ГОСТ8734-54</t>
  </si>
  <si>
    <t>L=325(500)</t>
  </si>
  <si>
    <t>54.02.449  патрубок</t>
  </si>
  <si>
    <t>труба 10х1  ГОСТ8734-75 Сталь20 ГОСТ8733-74</t>
  </si>
  <si>
    <t>L=60(100)</t>
  </si>
  <si>
    <t>44.02.547  упор торсіону правий</t>
  </si>
  <si>
    <t>лист S=5 Ст3 ГОСТ3850-57</t>
  </si>
  <si>
    <t>44.02.548  упор торсіону лівий</t>
  </si>
  <si>
    <t>54.02.094-1  скоба</t>
  </si>
  <si>
    <t>лист S=1,5 Сталь20 ГОСТ1050-60</t>
  </si>
  <si>
    <t>54.02.378  планка</t>
  </si>
  <si>
    <t>лист S=5 Ст3 ГОСТ380-60</t>
  </si>
  <si>
    <t>ТУ 38-0056.016-72  Рукав 40У8-13  L = 70</t>
  </si>
  <si>
    <t>ТУ 38-0056.016-72  Рукав 40У8-13  L = 85</t>
  </si>
  <si>
    <t>6шт</t>
  </si>
  <si>
    <t>ТУ 38-0056.016-72  Рукав 40У8-13  L = 115</t>
  </si>
  <si>
    <t>4шт</t>
  </si>
  <si>
    <t>ТУ 38-0056.016-72  Рукав 40У30-7L = 120</t>
  </si>
  <si>
    <t>8шт</t>
  </si>
  <si>
    <t>ТУ 38-0056.016-72  Рукав 40У38-7L = 120</t>
  </si>
  <si>
    <t>ТУ 38-0056.016-72  Рукав 40У48-7L = 275</t>
  </si>
  <si>
    <t>ТУ 38-0056.016-72  Рукав 40У48-7L = 360</t>
  </si>
  <si>
    <t>ТУ 38-0056.016-72  Рукав 40У70-7L = 110</t>
  </si>
  <si>
    <t>05.С.028.05.000  Паливна система</t>
  </si>
  <si>
    <t>05.С.028.05.020  трубка</t>
  </si>
  <si>
    <t>емаль ПФ-223 жовта</t>
  </si>
  <si>
    <t>05.С.028.05.021  трубка</t>
  </si>
  <si>
    <t>труба 16х1 ГОСТ8734-75 Сталь20 ГОСТ8733-87</t>
  </si>
  <si>
    <t>L=1,635(1,7)</t>
  </si>
  <si>
    <t>05.С.028.05.030  трубка</t>
  </si>
  <si>
    <t>05.С.028.05.031  патрубок</t>
  </si>
  <si>
    <t>05.С.028.05.032  трубка</t>
  </si>
  <si>
    <t>труба 10х1 ГОСТ8734-75 Сталь20 ГОСТ8733-87</t>
  </si>
  <si>
    <t>05.С.028.05.060  трубка</t>
  </si>
  <si>
    <t>05.С.028.05.061  трубка</t>
  </si>
  <si>
    <t>труба 8х1,4 ГОСТ8734-75 Сталь20 ГОСТ8733-87</t>
  </si>
  <si>
    <t>L=2330(2500)</t>
  </si>
  <si>
    <t>05.С.028.05.100  бак</t>
  </si>
  <si>
    <t>1.1</t>
  </si>
  <si>
    <t>05.С.028.05.120  кронштейн</t>
  </si>
  <si>
    <t>05.С.028.05.121  кронштейн</t>
  </si>
  <si>
    <t>лист S=4 ГОСТ199023-74 Ст3 ГОСТ14637-79</t>
  </si>
  <si>
    <t>1.2</t>
  </si>
  <si>
    <t>54.05.42сб-3А  пробка</t>
  </si>
  <si>
    <t>дріт d=1,2 О-1Ц ГОСТ3282-74</t>
  </si>
  <si>
    <t>1.2.1</t>
  </si>
  <si>
    <t>54.05.67сб-2  пробка</t>
  </si>
  <si>
    <t>1.2.1.1</t>
  </si>
  <si>
    <t>54.05.228-1  трубка</t>
  </si>
  <si>
    <t>труба 38х1,5 Сталь20 ГОСТ8734-58</t>
  </si>
  <si>
    <t>1.2.2</t>
  </si>
  <si>
    <t>54.05.68сб  поплавок</t>
  </si>
  <si>
    <t>1.2.2.1</t>
  </si>
  <si>
    <t>54.05.229  обечайка</t>
  </si>
  <si>
    <t xml:space="preserve">лист S=0,18 Л-63 ГОСТ2208-70 </t>
  </si>
  <si>
    <t>1.2.2.2</t>
  </si>
  <si>
    <t>54.05.230  донишко</t>
  </si>
  <si>
    <t>1.2.2.3</t>
  </si>
  <si>
    <t>54.05.231  донишко</t>
  </si>
  <si>
    <t>1.3</t>
  </si>
  <si>
    <t>54.05.086сб  корпус клапана</t>
  </si>
  <si>
    <t>1.4</t>
  </si>
  <si>
    <t>54.16.6сб6  сапун</t>
  </si>
  <si>
    <t>1.5</t>
  </si>
  <si>
    <t>905.56сб  сітка в зборі</t>
  </si>
  <si>
    <t>905.152  верхнє кільце</t>
  </si>
  <si>
    <t>905.153  нижнє кільце</t>
  </si>
  <si>
    <t>905.154  планка</t>
  </si>
  <si>
    <t>905.155  сітка</t>
  </si>
  <si>
    <t>сітка латунна №028 ГОСТ6613-53</t>
  </si>
  <si>
    <t>905.156  сітка</t>
  </si>
  <si>
    <t>1.6</t>
  </si>
  <si>
    <t>05.С.028.05.114  лист</t>
  </si>
  <si>
    <t>1.7</t>
  </si>
  <si>
    <t>05.С.028.05.101  корпус</t>
  </si>
  <si>
    <t>1.8</t>
  </si>
  <si>
    <t>05.С.028.05.102  кришка</t>
  </si>
  <si>
    <t>1.9</t>
  </si>
  <si>
    <t>05.С.028.05.103  дно</t>
  </si>
  <si>
    <t>1.10</t>
  </si>
  <si>
    <t>05.С.028.05.104  перегородка</t>
  </si>
  <si>
    <t>1.11</t>
  </si>
  <si>
    <t>05.С.028.05.105  перегородка</t>
  </si>
  <si>
    <t>1.12</t>
  </si>
  <si>
    <t>05.С.028.05.106  прокладка</t>
  </si>
  <si>
    <t>1.13</t>
  </si>
  <si>
    <t>05.С.028.05.107  кронштейн</t>
  </si>
  <si>
    <t>1.14</t>
  </si>
  <si>
    <t>05.С.028.05.107-01  кронштейн</t>
  </si>
  <si>
    <t>1.15</t>
  </si>
  <si>
    <t>05.С.028.05.108  кронштейн</t>
  </si>
  <si>
    <t>лист S=5 ГОСТ19903-74 Ст3 ГОСТ14637-69</t>
  </si>
  <si>
    <t>1.16</t>
  </si>
  <si>
    <t>05.С.028.05.109  косинка</t>
  </si>
  <si>
    <t>1.17</t>
  </si>
  <si>
    <t>05.С.028.05.111  фланець</t>
  </si>
  <si>
    <t>1.18</t>
  </si>
  <si>
    <t>05.С.028.05.112  подкладка</t>
  </si>
  <si>
    <t>1.19</t>
  </si>
  <si>
    <t>05.С.028.05.113  лист</t>
  </si>
  <si>
    <t>1.20</t>
  </si>
  <si>
    <t>05.44.05.6121А  трубка</t>
  </si>
  <si>
    <t>L=620(650)</t>
  </si>
  <si>
    <t>1.26</t>
  </si>
  <si>
    <t>155.05.715  скоба бака</t>
  </si>
  <si>
    <t>1.27</t>
  </si>
  <si>
    <t>905.158-1  труба</t>
  </si>
  <si>
    <t>05.С.028.05.150  кронштейн з арматурою</t>
  </si>
  <si>
    <t>05.44.05.6070А паливорозподільчий кран</t>
  </si>
  <si>
    <t xml:space="preserve">провірити чи фарбується ця зборка </t>
  </si>
  <si>
    <t>05.С.028.05.180  горловина заливна</t>
  </si>
  <si>
    <t>05.С.028.05.190  горловина заливна</t>
  </si>
  <si>
    <t>емаль ПФ-223 сіро-голуба</t>
  </si>
  <si>
    <t>905.50сб  патрубок</t>
  </si>
  <si>
    <t>905.125  патрубок</t>
  </si>
  <si>
    <t>труба 12х1 Сталь20 ГОСТ 8734-58-А</t>
  </si>
  <si>
    <t>L=68(100)</t>
  </si>
  <si>
    <t>05.44.05.6041А  трубка</t>
  </si>
  <si>
    <t>труба 30х1 ГОСТ8734-75 Сталь10 ГОСТ8733-87</t>
  </si>
  <si>
    <t>L=272(300)</t>
  </si>
  <si>
    <t>05.44.05.6044  донишко</t>
  </si>
  <si>
    <t>лист S=1 ГОСТ19903-74 Сталь15 ГОСТ1050-74</t>
  </si>
  <si>
    <t>905.126  фланець</t>
  </si>
  <si>
    <t>труба 48х1,5 Сталь10 ГОСТ8734-58-А</t>
  </si>
  <si>
    <t>05.44.05.6043А  трубка</t>
  </si>
  <si>
    <t>54.05.9сб  фільтр</t>
  </si>
  <si>
    <t>54.05.049-А  каркас фільтра</t>
  </si>
  <si>
    <t>54.05.050  сітка фільтра</t>
  </si>
  <si>
    <t>сітка №028 Л80 ГОСТ15527-70</t>
  </si>
  <si>
    <t>34.03.067  сітка дна фільтру</t>
  </si>
  <si>
    <t>34.03.068А  дно фільтру</t>
  </si>
  <si>
    <t>лист S=1 Л63М ГОСТ2208-70</t>
  </si>
  <si>
    <t>05.54.05.13сб-6  паливний фільтр грубої очистки</t>
  </si>
  <si>
    <t>корпус фільтра</t>
  </si>
  <si>
    <t>05.54.05.6100  бак носовий</t>
  </si>
  <si>
    <t>або 05.54.05.600А бак носовий</t>
  </si>
  <si>
    <t>05.44.05.6020  трубка</t>
  </si>
  <si>
    <t>ТУ на фарбу</t>
  </si>
  <si>
    <t>05.44.05.6021  трубка</t>
  </si>
  <si>
    <t>труба 12х1 Сталь20 ГОСт 8734-68</t>
  </si>
  <si>
    <t>L=690(850)</t>
  </si>
  <si>
    <t>54.05.26сб  патрубок</t>
  </si>
  <si>
    <t>54.05.115  наконечник</t>
  </si>
  <si>
    <t>труба 20х1 ГОСТ8734-75 Сталь10 ГОСТ8733-66</t>
  </si>
  <si>
    <t>L=50(75)</t>
  </si>
  <si>
    <t>155.05.126сб  клапан випускний</t>
  </si>
  <si>
    <t>155.05.178сб  корпус клапана</t>
  </si>
  <si>
    <t>клей БФ</t>
  </si>
  <si>
    <t>155.05.644  патрубок</t>
  </si>
  <si>
    <t>труба 8х1,5 ГОСТ8734-75 Сталь10 ГОСТ8733-74</t>
  </si>
  <si>
    <t>155.05.645  патрубок</t>
  </si>
  <si>
    <t>L=56(100)</t>
  </si>
  <si>
    <t>520.06.001-05  прокладка 24х32</t>
  </si>
  <si>
    <t>лист S=2 фібра КГФ ГОСТ14613-69</t>
  </si>
  <si>
    <t>155.05.182сб  планка з болтами</t>
  </si>
  <si>
    <t>155.05.651  планка</t>
  </si>
  <si>
    <t>905.35сб-2  трубка</t>
  </si>
  <si>
    <t>905.36сб-2  трубка</t>
  </si>
  <si>
    <t>труба 8х1,5 Сталь20 ГОСТ8734-58-А</t>
  </si>
  <si>
    <t>L=525(650)</t>
  </si>
  <si>
    <t>905.42сб-1А  трубка для зливу палива</t>
  </si>
  <si>
    <t>905.39сб-1  трубка</t>
  </si>
  <si>
    <t>905.112-1  трубка</t>
  </si>
  <si>
    <t>905.40сб-1  трубка</t>
  </si>
  <si>
    <t>905.113-1  трубка</t>
  </si>
  <si>
    <t>L=240(300)</t>
  </si>
  <si>
    <t>905.41сб-1  патрубок</t>
  </si>
  <si>
    <t>905.118  труба</t>
  </si>
  <si>
    <t>труба 20х1 Сталь10 ГОСТ8734-58-А</t>
  </si>
  <si>
    <t>L=110(120)</t>
  </si>
  <si>
    <t>905.119-1  труба</t>
  </si>
  <si>
    <t>труба 25х2 Сталь10 ГОСТ8734-58-А</t>
  </si>
  <si>
    <t>54.05.373  сітка</t>
  </si>
  <si>
    <t>сітка №1 Л80 ГОСТ155-27</t>
  </si>
  <si>
    <r>
      <t>м</t>
    </r>
    <r>
      <rPr>
        <b/>
        <vertAlign val="superscript"/>
        <sz val="11"/>
        <color theme="1"/>
        <rFont val="Times New Roman"/>
        <family val="1"/>
        <charset val="204"/>
      </rPr>
      <t>2</t>
    </r>
  </si>
  <si>
    <t>520.06.001-03  прокладка 20х26х1,5</t>
  </si>
  <si>
    <t>905.43сб  трубка</t>
  </si>
  <si>
    <t>905.115  трубка</t>
  </si>
  <si>
    <t>L=230(300)</t>
  </si>
  <si>
    <t>05.С.028.05.160  паливорозподільний кран</t>
  </si>
  <si>
    <t>05.С.028.05.170  корпус крана</t>
  </si>
  <si>
    <t>05.С.028.05.171  заглушка</t>
  </si>
  <si>
    <t>лист S=1 Л63 ГОСТ931-78</t>
  </si>
  <si>
    <t>155.05.162сб  корпус крану (заготовка для 05.С.028.05.170)</t>
  </si>
  <si>
    <t>155.05.625  патрубок</t>
  </si>
  <si>
    <t>L=79(120)</t>
  </si>
  <si>
    <t>155.05.626  патрубок</t>
  </si>
  <si>
    <t>L=64(120)</t>
  </si>
  <si>
    <t>155.05.627  патрубок</t>
  </si>
  <si>
    <t>L=120(200)</t>
  </si>
  <si>
    <t>155.05.628  патрубок</t>
  </si>
  <si>
    <t>L=34(40)</t>
  </si>
  <si>
    <t>якщо є наше то порахувати</t>
  </si>
  <si>
    <t>905.44сб  трубка</t>
  </si>
  <si>
    <t>905.116  трубка</t>
  </si>
  <si>
    <t>L=500(600)</t>
  </si>
  <si>
    <t>05.С.028.05.001  трубка</t>
  </si>
  <si>
    <t>L=2,3(2,5)</t>
  </si>
  <si>
    <t>емлаь ПФ-223 сіро-голуба</t>
  </si>
  <si>
    <t>05.С.028.05.002  трубка</t>
  </si>
  <si>
    <t>L=850(1000)</t>
  </si>
  <si>
    <t>05.С.028.05.003  трубка</t>
  </si>
  <si>
    <t>труба 12х1 ГОСТ8734-75 Сталь20 ГОСТ8733-87</t>
  </si>
  <si>
    <t>L=390(500)</t>
  </si>
  <si>
    <t>05.С.028.05.004  трубка</t>
  </si>
  <si>
    <t>L=1(1,15)</t>
  </si>
  <si>
    <t>05.С.028.05.007  трубка</t>
  </si>
  <si>
    <t>L=1,9(2,1)</t>
  </si>
  <si>
    <t>05.С.028.05.008  трубка</t>
  </si>
  <si>
    <t>L=1,05(1,115)</t>
  </si>
  <si>
    <t>05.С.028.05.009  трубка</t>
  </si>
  <si>
    <t>05.54.05.6001  трубка</t>
  </si>
  <si>
    <t>труба 48х1,5ГОСТ8734-75 Сталь20 ГОСТ8733-74</t>
  </si>
  <si>
    <t>L=515(600)</t>
  </si>
  <si>
    <t>05.С.028.05.011  трубка</t>
  </si>
  <si>
    <t>труба 48х1 ГОСТ8734-75 Сталь20 ГОСТ8733-87</t>
  </si>
  <si>
    <t>L=280(300)</t>
  </si>
  <si>
    <t>05.С.028.05.012  трубка</t>
  </si>
  <si>
    <t>L=2000(2200)</t>
  </si>
  <si>
    <t>05.44.05.6023 А  трубка</t>
  </si>
  <si>
    <t>труба 8х1,4 ГОСТ8734-75 Сталь10 ГОСТ8733-87</t>
  </si>
  <si>
    <t>L=640(800)</t>
  </si>
  <si>
    <t>54.05.175  скоба</t>
  </si>
  <si>
    <t>не можу знайти КД</t>
  </si>
  <si>
    <t>54.39.017-1  скоба</t>
  </si>
  <si>
    <t xml:space="preserve">лист S=0,8 Сталь покрівельна СТК-1 ГОСТ17715-72 </t>
  </si>
  <si>
    <t>54.06.089  шайба</t>
  </si>
  <si>
    <t>лист S=2,5 Ст3сп ГОСТ380-60</t>
  </si>
  <si>
    <t>155.05.655  проставка</t>
  </si>
  <si>
    <t>05.С.028.05.051 трубка</t>
  </si>
  <si>
    <t>труба 16х1  ГОСТ8734-75 Сталь20 ГОСТ8733-87</t>
  </si>
  <si>
    <t>L=470(500)</t>
  </si>
  <si>
    <t>СК.054-84  шайба 12</t>
  </si>
  <si>
    <t>загально</t>
  </si>
  <si>
    <t>Рукав 40У8-7  L = 70  ТУ 38-00560-16-72</t>
  </si>
  <si>
    <t>Рукав 40У12-7  L = 100  ТУ 38-00560-16-72</t>
  </si>
  <si>
    <t>Рукав 40У16-7  L = 100  ТУ 38-00560-16-72</t>
  </si>
  <si>
    <t>Рукав 40У30-7  L = 120  ТУ 38-00560-16-72</t>
  </si>
  <si>
    <t>Рукав 40У48-7  L = 170  ТУ 38-00560-16-72</t>
  </si>
  <si>
    <t>4</t>
  </si>
  <si>
    <t>65.155.12.1сбА  Підвіска з гальмами</t>
  </si>
  <si>
    <t>54.20.18сб-1  педаль гальма</t>
  </si>
  <si>
    <t>54.21.013  обмежувач</t>
  </si>
  <si>
    <t>лист S=3 Сталь15 ГОСТ1050-60</t>
  </si>
  <si>
    <t>5</t>
  </si>
  <si>
    <t>65.ГПМ-54.36.000сб  установка оглядових приладів</t>
  </si>
  <si>
    <t>05.С.028.36.100сб  установка приладів денного бачення</t>
  </si>
  <si>
    <t>05.С.028.36.110  проставка</t>
  </si>
  <si>
    <t>05.С.028.36.111  рамка</t>
  </si>
  <si>
    <t>лист S=4 АМг5М ГОСТ21631-76</t>
  </si>
  <si>
    <t>дріт d=1,2 СвАМг6</t>
  </si>
  <si>
    <t>05.С.028.36.120  заслонка</t>
  </si>
  <si>
    <t>05.С.028.36.121  планка</t>
  </si>
  <si>
    <t>лист S=2 ГОСТ19903-74 Ст3сп ГОСТ16523-70</t>
  </si>
  <si>
    <t>05.С.028.36.130  зажим</t>
  </si>
  <si>
    <t>05.С.028.36.134  ручка</t>
  </si>
  <si>
    <t>лист S=5 ГОСТ19903-74 Ст3сп ГОСТ14736-79</t>
  </si>
  <si>
    <t>05.С.028.36.135  рукав</t>
  </si>
  <si>
    <t>рукав 40У8-13 ТУ38-005616-72</t>
  </si>
  <si>
    <t>6</t>
  </si>
  <si>
    <t>05.С.028.36.300сб  очищення оглядового скла</t>
  </si>
  <si>
    <t>05.С.028.36.310  кран з ежектором</t>
  </si>
  <si>
    <t>155.36.20сб  сопло</t>
  </si>
  <si>
    <t>припій ПСР-25</t>
  </si>
  <si>
    <t>155.36.070  трубка</t>
  </si>
  <si>
    <t>труба 5х1 М3 ГОСТ617-64</t>
  </si>
  <si>
    <t>05.С.028.36.311  трубка</t>
  </si>
  <si>
    <t>05.С.028.36.312  трубка</t>
  </si>
  <si>
    <t>труба 10х1 ГОСТ8734-75 Сталь10 ГОСТ8733-74</t>
  </si>
  <si>
    <t>L=650(800)</t>
  </si>
  <si>
    <t>05.С.028.36.313  трубка</t>
  </si>
  <si>
    <t>L=700(850)</t>
  </si>
  <si>
    <t>05.С.028.36.330</t>
  </si>
  <si>
    <t>155.36.11сб-1А  бак</t>
  </si>
  <si>
    <t>05.С.028.36.340  трубопровід</t>
  </si>
  <si>
    <t>05.С.028.36.350  трубка</t>
  </si>
  <si>
    <t>емаль ПФ-223 голуба</t>
  </si>
  <si>
    <t>05.С.028.36.351  трубка</t>
  </si>
  <si>
    <t>труба 8х1 ГОСТ8734-75 Сталь20 ГОСТ8733-74</t>
  </si>
  <si>
    <t>L=570(650)</t>
  </si>
  <si>
    <t>05.С.028.36.360  трубка</t>
  </si>
  <si>
    <t>05.С.028.36.380  трубка</t>
  </si>
  <si>
    <t>155.36.23сб-1  сопло</t>
  </si>
  <si>
    <t>155.36.076  трубка</t>
  </si>
  <si>
    <t>труба 10х1 М3 ГОСТ617-64</t>
  </si>
  <si>
    <t>05.С.028.36.381  скоба</t>
  </si>
  <si>
    <t>лист =1,5 ГОСТ19903-74 Ст3 ГОСТ16523-70</t>
  </si>
  <si>
    <t>05.С.028.36.301  трубка</t>
  </si>
  <si>
    <t>L=875(1000)</t>
  </si>
  <si>
    <t>05.С.028.36.302 (БК)</t>
  </si>
  <si>
    <t>рукав 40У8-13 ТУ38-0056016-72</t>
  </si>
  <si>
    <t>155.36.078  кришка</t>
  </si>
  <si>
    <t>8</t>
  </si>
  <si>
    <t>05.С.028.38.050сб  установка балонів</t>
  </si>
  <si>
    <t>05.С.028.38.070  трубопровід</t>
  </si>
  <si>
    <t>05.С.028.38.071  трубка</t>
  </si>
  <si>
    <t>труба 8х1,4 ГОСТ8734-75 Сталь20 ГОСТ8733-74</t>
  </si>
  <si>
    <t>L=540(650)</t>
  </si>
  <si>
    <t>05.С.028.38.072  трубка</t>
  </si>
  <si>
    <t>L=310(350)</t>
  </si>
  <si>
    <t>05.С.028.38.073  трубка</t>
  </si>
  <si>
    <t>L=140(200)</t>
  </si>
  <si>
    <t>05.С.028.38.074  трубка</t>
  </si>
  <si>
    <t>05.С.028.38.075  трубка</t>
  </si>
  <si>
    <t>05.С.028.38.090  трубка</t>
  </si>
  <si>
    <t>05.С.028.38.091  трубка</t>
  </si>
  <si>
    <t>L=235(300)</t>
  </si>
  <si>
    <t>05.С.028.38.092  трубка</t>
  </si>
  <si>
    <t>L=100(150)</t>
  </si>
  <si>
    <t>05.С.028.38.110  трубка</t>
  </si>
  <si>
    <t>05.С.028.38.111  трубка</t>
  </si>
  <si>
    <t>L=320(420)</t>
  </si>
  <si>
    <t>05.С.028.38.112  трубка</t>
  </si>
  <si>
    <t>05.С.028.38.130  трубка</t>
  </si>
  <si>
    <t>05.С.028.38.131  трубка</t>
  </si>
  <si>
    <t>05.С.028.38.140  стрічка повітряних балонів</t>
  </si>
  <si>
    <t>05.С.028.38.141  лапка</t>
  </si>
  <si>
    <t>лист S=3 ГОСТ19904-74 Ст3 ГОСТ16523-70</t>
  </si>
  <si>
    <t>05.С.028.38.142  лента</t>
  </si>
  <si>
    <t>лист S=1,6 ГОСТ19904-74 Ст3 ГОСТ16523-70</t>
  </si>
  <si>
    <t>34.29.1625  кутник</t>
  </si>
  <si>
    <t>155.38.133сб  відстійник з манометром</t>
  </si>
  <si>
    <t>155.38.130сб  трубка з манометром</t>
  </si>
  <si>
    <t>155.38.129сб  кронштейн</t>
  </si>
  <si>
    <t>155.38.134сб  трубка</t>
  </si>
  <si>
    <t>припій ПСр-40</t>
  </si>
  <si>
    <t>155.38.452  трубка</t>
  </si>
  <si>
    <t>труба 5х1 М3 ГОСТ 617-64</t>
  </si>
  <si>
    <t>L=525(700)</t>
  </si>
  <si>
    <t>155.38.131сб-А  трубка</t>
  </si>
  <si>
    <t>155.38.454-А  трубка</t>
  </si>
  <si>
    <t>L=160(250)</t>
  </si>
  <si>
    <t>155.38.132сб  відстійник</t>
  </si>
  <si>
    <t>155.38.137сб  корпус</t>
  </si>
  <si>
    <t>155.38.311  планка</t>
  </si>
  <si>
    <t>155.38.445  кронштейн</t>
  </si>
  <si>
    <t>155.38.446  кронштейн</t>
  </si>
  <si>
    <t>155.38.447  лапка</t>
  </si>
  <si>
    <t>155.38.135сб  кран</t>
  </si>
  <si>
    <t>дріт КО d=0,5 ГОСТ792-41</t>
  </si>
  <si>
    <t>05.С.028.38.051  прокладка</t>
  </si>
  <si>
    <t>лист S=3 Ст3 ГОСТ380-71</t>
  </si>
  <si>
    <t>05.С.028.38.052  накладка</t>
  </si>
  <si>
    <t>лист S=5 ГОСТ19903-74 Ст3 ГОСТ16523-70</t>
  </si>
  <si>
    <t>05.С.028.38.053  прокладка</t>
  </si>
  <si>
    <t>05.С.028.38.000  повітряна система</t>
  </si>
  <si>
    <t>05.С.028.38.200  трубка</t>
  </si>
  <si>
    <t>05.С.028.38.201  трубка</t>
  </si>
  <si>
    <t>L=3015(3020)</t>
  </si>
  <si>
    <t>13</t>
  </si>
  <si>
    <t>65.ГПМ-54.61.000  установка насосного агрегату</t>
  </si>
  <si>
    <t>Роздрукував 08.04.16р</t>
  </si>
  <si>
    <t>65.ГПМ-54.61.020сб  кожух фрикціона</t>
  </si>
  <si>
    <t>65.ГПМ-54.61.021  стінка передня</t>
  </si>
  <si>
    <t>лист S=3 ГОСТ19903-74 Ст3 ГОСТ1523-89</t>
  </si>
  <si>
    <t>65.ГПМ-54.61.022  дашок</t>
  </si>
  <si>
    <t>65.ГПМ-54.61.023 лапка передня</t>
  </si>
  <si>
    <t>лист S=5 ГОСТ19903-74 Ст3 ГОСТ1523-89</t>
  </si>
  <si>
    <t>65.ГПМ-54.61.024  стінка задня</t>
  </si>
  <si>
    <t>65.ГПМ-54.61.025  лапка задня</t>
  </si>
  <si>
    <t>65.ГПМ-54.61.030сб  кожух кардана</t>
  </si>
  <si>
    <t>65.ГПМ-54.61.031  жолоб</t>
  </si>
  <si>
    <t>лист S=3 ГОСТ19903-74 Ст3 ГОСТ1523-70</t>
  </si>
  <si>
    <t>65.ГПМ-54.61.032  лапка</t>
  </si>
  <si>
    <t>14</t>
  </si>
  <si>
    <t>65.ГПМ-54.66.000  приводи управління</t>
  </si>
  <si>
    <t>65.ГПМ-54. 66.115  скоба</t>
  </si>
  <si>
    <t>лист S=4 ГОСТ19903-74 Ст3пс ГОСТ14637-89</t>
  </si>
  <si>
    <t>65.ГПМ-54. 66.023  фіксатор</t>
  </si>
  <si>
    <t>65.ГПМ-54. 66.051  тяга</t>
  </si>
  <si>
    <t>L=2500(2700)</t>
  </si>
  <si>
    <t>65.ГПМ-54. 66.061  тяга</t>
  </si>
  <si>
    <t>L=2250(2500)</t>
  </si>
  <si>
    <t>65.ГПМ-54. 66.071  тяга</t>
  </si>
  <si>
    <t>L=2263(2500)</t>
  </si>
  <si>
    <t>65.ГПМ-54. 66.082  тяга</t>
  </si>
  <si>
    <t>65.ГПМ-54. 66.091  тяга</t>
  </si>
  <si>
    <t>65.ГПМ-54. 66.101  тяга</t>
  </si>
  <si>
    <t>L=166(200)</t>
  </si>
  <si>
    <t>65.ГПМ-54.85.000  гідросистема</t>
  </si>
  <si>
    <t>1</t>
  </si>
  <si>
    <t>65.ГПМ-54.85.10сб  бак</t>
  </si>
  <si>
    <t>65.ГПМ-54.85.10.10сб  корпус бака</t>
  </si>
  <si>
    <t>1.1.1</t>
  </si>
  <si>
    <t>65.ГПМ-54.85.10.10.10сб  гінздо люка</t>
  </si>
  <si>
    <t>65.ГПМ-54.85.10.10.10.01  кутик</t>
  </si>
  <si>
    <t>кутник 25х16х3 ГОСТ8510-72 Ст3</t>
  </si>
  <si>
    <t>65.ГПМ-54.85.10.10.10.02  кутик</t>
  </si>
  <si>
    <t>1.1.2</t>
  </si>
  <si>
    <t>65.ГПМ-54.85.10.10.03  стінка</t>
  </si>
  <si>
    <t>1.1.3</t>
  </si>
  <si>
    <t>65.ГПМ-54.85.10.10.04  короб</t>
  </si>
  <si>
    <t>1.1.4</t>
  </si>
  <si>
    <t>65.ГПМ-54.85.10.10.05  перегородка</t>
  </si>
  <si>
    <t>1.1.5</t>
  </si>
  <si>
    <t>65.ГПМ-54.85.10.10.06  косинка</t>
  </si>
  <si>
    <t>лист S=3 ГОСТ19903-74 Ст3 ГОСТ380-71</t>
  </si>
  <si>
    <t>1.1.6</t>
  </si>
  <si>
    <t>65.ГПМ-54.85.10.10.07  ребро</t>
  </si>
  <si>
    <t>лист S=3 ГОСТ19903-74 Ст3</t>
  </si>
  <si>
    <t>1.1.7</t>
  </si>
  <si>
    <t>65.ГПМ-54.85.10.10.11  вухо</t>
  </si>
  <si>
    <t>кутник 50х50х4 ГОСТ8509-72 Ст3</t>
  </si>
  <si>
    <t>1.1.8</t>
  </si>
  <si>
    <t>65.ГПМ-54.85.10.10.12  стінка</t>
  </si>
  <si>
    <t>1.1.9</t>
  </si>
  <si>
    <t>65.ГПМ-54.85.10.10.13  стінка</t>
  </si>
  <si>
    <t>65.ГПМ-54.85.10.20сб  люк бака</t>
  </si>
  <si>
    <t>65.ГПМ-54.85.10.20.01  плита</t>
  </si>
  <si>
    <t>лист S=5 ГОСТ19904-74 Ст3</t>
  </si>
  <si>
    <t>Комплект технологічний для баку</t>
  </si>
  <si>
    <t>65.ГПМ-54.85.10.120.01 Кришка</t>
  </si>
  <si>
    <t>65.ГПМ-54.85.720сб Кронштейн розподільника лафета</t>
  </si>
  <si>
    <t>емал ПФ-115 сіра</t>
  </si>
  <si>
    <t>65.ГПМ-54.85.720.01  кутнин</t>
  </si>
  <si>
    <t>кутник 50х50х5 ГОСТ8509-93 Ст3пс ГОСТ535-88</t>
  </si>
  <si>
    <t>425мм</t>
  </si>
  <si>
    <t>2.2</t>
  </si>
  <si>
    <t>65.ГПМ-54.85.720.02  кутник</t>
  </si>
  <si>
    <t>2.3</t>
  </si>
  <si>
    <t>65.ГПМ-54.85.720.03 пластина</t>
  </si>
  <si>
    <t>лист S=5 ГОСТ19903-74 Ст3 ГОСТ380-94</t>
  </si>
  <si>
    <t>2.4</t>
  </si>
  <si>
    <t>65.ГПМ-54.85.720.04  пластина (БК)</t>
  </si>
  <si>
    <t>лист S=5 ГОСТ19903-74 Ст3</t>
  </si>
  <si>
    <t>3</t>
  </si>
  <si>
    <t>65.ГПМ-54.85.730сб</t>
  </si>
  <si>
    <t>3.1</t>
  </si>
  <si>
    <t>65.ГПМ-54.85.730.01  кришка</t>
  </si>
  <si>
    <t>3.2</t>
  </si>
  <si>
    <t>65.ГПМ-54.85.730.02  боковина лва</t>
  </si>
  <si>
    <t>3.3</t>
  </si>
  <si>
    <t>65.ГПМ-54.85.730.03  боковина права</t>
  </si>
  <si>
    <t>3.4</t>
  </si>
  <si>
    <t>65.ГПМ-54.85.730.04  вухо</t>
  </si>
  <si>
    <t>Комплект монтажний:</t>
  </si>
  <si>
    <t xml:space="preserve">65.ГПМ-54.85.10.11 Кутник передній
</t>
  </si>
  <si>
    <t>кутник 50х50х4 ГОСТ8509-93 Ст3пс ГОСТ535-88</t>
  </si>
  <si>
    <t>65.ГПМ-54.85.10.12 Кутник задній</t>
  </si>
  <si>
    <t>22</t>
  </si>
  <si>
    <t>05.С.028.88.000  система вакуумна</t>
  </si>
  <si>
    <t>65.ГПМ-54.88.050сб  хомут</t>
  </si>
  <si>
    <t>65.ГПМ-54.88.051  хомут</t>
  </si>
  <si>
    <t>лист S=4 ГОСТ19903-74 Ст3 ГОСТ16523-70</t>
  </si>
  <si>
    <t>65.ГПМ-54.88.052  платик</t>
  </si>
  <si>
    <t>65.ГПМ-54.88.060сб  кронштейн</t>
  </si>
  <si>
    <t>65.ГПМ-54.88.063  планка</t>
  </si>
  <si>
    <t>лист=5 ГОСТ19903-74 Ст3 ГОСТ16523-70</t>
  </si>
  <si>
    <t>05.С.028.88.062  косинка</t>
  </si>
  <si>
    <t>05.С.028.95.000  розташування обладнання</t>
  </si>
  <si>
    <t>65.ГПМ-54.93.30.00сб Клапан сітки всмоктуючої СВ-125</t>
  </si>
  <si>
    <t>65.ГПМ-54.93.30.02  сегмент</t>
  </si>
  <si>
    <t>лист S=2 Д16 ГОСТ4784-97</t>
  </si>
  <si>
    <t>05.С.028.98.000  установка нагрівача повітря</t>
  </si>
  <si>
    <t>65.ГПМ-54.98.110сб  кронштейн нагрівача повітря лівого</t>
  </si>
  <si>
    <t>дріт d=3 ГОСТ9382</t>
  </si>
  <si>
    <t>65.ГПМ-54.98.01  кронштейн нагрівача лівого</t>
  </si>
  <si>
    <t>лист =5 ГОСТ19903-74 Ст3пс ГОСТ14637-89</t>
  </si>
  <si>
    <t>65.ГПМ-54.98.130сб  головка нагрівача</t>
  </si>
  <si>
    <t>65.ГПМ-54.98.101  воронка</t>
  </si>
  <si>
    <t>лист S=2 Сталь10 ГОСТ1050-74</t>
  </si>
  <si>
    <t>520.08.002-01  наконечник 8,5</t>
  </si>
  <si>
    <t>65.ГПМ-54.98.120сб  кронштейн нагрівача повітря правого</t>
  </si>
  <si>
    <t>65.ГПМ-54.98.02  кронштейн нагрівача лівого</t>
  </si>
  <si>
    <t>27</t>
  </si>
  <si>
    <t>65.ГПМ-54.99.000сб-224 Установка склоочисників</t>
  </si>
  <si>
    <t>65.ГПМ-54.99.010сб-224  трапеція</t>
  </si>
  <si>
    <t>65.ГПМ-54.99.030сб  втулка приводу</t>
  </si>
  <si>
    <t>65.05.С.028.99.001-01  тяга</t>
  </si>
  <si>
    <t>65.ГПМ-54.99.050сб  щіткотримач</t>
  </si>
  <si>
    <t>65.ГПМ-54.99.060сб  щіткотримач</t>
  </si>
  <si>
    <t>65.ГПМ-54.99.061  вушко</t>
  </si>
  <si>
    <t>лист S=1 ГОСТ19903-74 Ст3 ГОСТ16523-70</t>
  </si>
  <si>
    <t>65.ГПМ-54.99.062  планка</t>
  </si>
  <si>
    <t>лист S=1,5 ГОСТ19903-74 Сталь65Г ГОСТ4543-71</t>
  </si>
  <si>
    <t>65.ГПМ-54.99.063  вушко</t>
  </si>
  <si>
    <t>65.ГПМ-54.99.052  гачок</t>
  </si>
  <si>
    <t>лист S=1 ГОСТ19903-90 Ст3 ГОСТ16523-97</t>
  </si>
  <si>
    <t>65.ГПМ-54.99.080сб  щітка</t>
  </si>
  <si>
    <t>65.ГПМ-54.99.081  корпус щітки</t>
  </si>
  <si>
    <t>труба 10х1 ГОСТ8732-78 Сталь20 ГОСТ8731-8</t>
  </si>
  <si>
    <t>65.ГПМ-54.99.002 прокладка</t>
  </si>
  <si>
    <t>лист S=1,5 пароніт ПОН ГОСТ481-81</t>
  </si>
  <si>
    <t>Роздрукував 29.06.16Р</t>
  </si>
  <si>
    <t>54.03.56сб-4</t>
  </si>
  <si>
    <t>54.03.234А  кільце</t>
  </si>
  <si>
    <t>лист S=5 М3 ГОСТ859-66</t>
  </si>
  <si>
    <t>54.03.233  патрубок</t>
  </si>
  <si>
    <t>54.03.232  патрубок</t>
  </si>
  <si>
    <t>L=105(150)</t>
  </si>
  <si>
    <t>54.03.231-1  трубка</t>
  </si>
  <si>
    <t>L=267(300)</t>
  </si>
  <si>
    <t>54.03.213-2А  трубка</t>
  </si>
  <si>
    <t>труба 16х1 М3М ГОСТ617-72</t>
  </si>
  <si>
    <t>L=335(350)</t>
  </si>
  <si>
    <t>54.03.230-1  поворотний кутник</t>
  </si>
  <si>
    <t>5 ЦЕХ</t>
  </si>
  <si>
    <t>круг D=45 Сталь20 ГОСТ1050</t>
  </si>
  <si>
    <t>05.С.028.29.043-01  вісь</t>
  </si>
  <si>
    <t>круг D=20 Ст3 ГОСТ535-58</t>
  </si>
  <si>
    <t>ТБС-86</t>
  </si>
  <si>
    <t>65.ГПМ54.93.017  шайба</t>
  </si>
  <si>
    <t>лист S=5 Сталь40Х ГОСТ4543-71</t>
  </si>
  <si>
    <t>65.ГПМ54.93.470сб  кожух внут. Лів. Гідр. Під.</t>
  </si>
  <si>
    <r>
      <t>м</t>
    </r>
    <r>
      <rPr>
        <i/>
        <vertAlign val="superscript"/>
        <sz val="11"/>
        <color theme="1"/>
        <rFont val="Times New Roman"/>
        <family val="1"/>
        <charset val="204"/>
      </rPr>
      <t>3</t>
    </r>
  </si>
  <si>
    <t>65.ГПМ54.93.471  кожух</t>
  </si>
  <si>
    <t>лист S=5 ГОСТ19903-74 Ст3пс ГОСТ14637-89</t>
  </si>
  <si>
    <t>65.ГПМ54.93.472  планка</t>
  </si>
  <si>
    <t>65.ГПМ54.93.477  планка</t>
  </si>
  <si>
    <t>65.ГПМ54.93.478  планка</t>
  </si>
  <si>
    <t>65.ГПМ54.93.480сб  кожух внут. прав. Гідр. Під.</t>
  </si>
  <si>
    <t>65.ГПМ54.93.481  кожух</t>
  </si>
  <si>
    <t>65.ГПМ54.93.490  кожух зовн. лів. гідроциліндра підйому</t>
  </si>
  <si>
    <t>65.ГПМ54.93.500  кожух зовн. пр. гідроциліндра підйому</t>
  </si>
  <si>
    <t>65.ГПМ54.93.510сб  кожух внутр. лів. гідроциліндра повороту</t>
  </si>
  <si>
    <t>65.ГПМ54.93.511  кожух</t>
  </si>
  <si>
    <t>65.ГПМ54.93.520сб  кожух внутр. пр. гідроциліндра повороту</t>
  </si>
  <si>
    <t>65.ГПМ54.93.521  кожух</t>
  </si>
  <si>
    <t>65.ГПМ54.93.530сб  кожух зов. Лів. гідроциліндра повороту</t>
  </si>
  <si>
    <t>65.ГПМ54.93.531  кожух</t>
  </si>
  <si>
    <t>65.ГПМ54.93.533  планка Б/К</t>
  </si>
  <si>
    <t>65.ГПМ54.93.540сб  кожух зов. Пр. гідроциліндра повороту</t>
  </si>
  <si>
    <t>65.ГПМ54.93.532  кожух</t>
  </si>
  <si>
    <t>кутник 65х40х6 ГОСТ8510-72 Ст3сп ГОСТ535-79</t>
  </si>
  <si>
    <t>65.ГПМ54.93.541  кожух</t>
  </si>
  <si>
    <t>65.ГПМ54.93.160сб  хомут малий</t>
  </si>
  <si>
    <t>дріт зварювальний d=1,2 Н18Н10Т</t>
  </si>
  <si>
    <t>65.ГПМ-54.93.161  полоса</t>
  </si>
  <si>
    <t>лист S=3 Сталь10ХСНД ГОСТ19281-89</t>
  </si>
  <si>
    <t>65.ГПМ-54.93.162  косинка</t>
  </si>
  <si>
    <t>лист S=4 Сталь10ХСНД ГОСТ19281-89</t>
  </si>
  <si>
    <t>65.ГПМ54.93.280  хомут великий лівий</t>
  </si>
  <si>
    <t>65.ГПМ54.93.281  полоса</t>
  </si>
  <si>
    <t>65.ГПМ54.93.282  косинка</t>
  </si>
  <si>
    <t>65.ГПМ54.93.290  хомут великий правий</t>
  </si>
  <si>
    <t>ГПМ-54-01</t>
  </si>
  <si>
    <t>Роздрукував 11.04.2016</t>
  </si>
  <si>
    <t>65.ГПМ-54.29.405  кронштейн дроселя</t>
  </si>
  <si>
    <t>лист S=6 ГОСТ19903-74 Ст3 ГОСТ16523-70</t>
  </si>
  <si>
    <t>65.ГПМ-54.29.708-04  скоба</t>
  </si>
  <si>
    <t>труба 20х2 ГОСТ8734-75 Сталь20 ГОСТ8733-87</t>
  </si>
  <si>
    <t>05.С.028.76.013-01  поручень</t>
  </si>
  <si>
    <t>труба 20 ГОСТ3262-75</t>
  </si>
  <si>
    <t>0,55м</t>
  </si>
  <si>
    <t>05.С.028.29.030сб  сходи</t>
  </si>
  <si>
    <t>05.С.028.29.040сб  кронштейн</t>
  </si>
  <si>
    <t>1.465</t>
  </si>
  <si>
    <t>05.С.028.29.041</t>
  </si>
  <si>
    <t>труба 25 ГОСТ3262-75</t>
  </si>
  <si>
    <t>1,8м</t>
  </si>
  <si>
    <t>05.С.028.29.042</t>
  </si>
  <si>
    <t>2,12кг</t>
  </si>
  <si>
    <t>0,65м</t>
  </si>
  <si>
    <t>2,39кг</t>
  </si>
  <si>
    <t>05.С.028.29.050  основа</t>
  </si>
  <si>
    <t>2,91кг</t>
  </si>
  <si>
    <t>05.С.028.29.051  зв'язка</t>
  </si>
  <si>
    <t>кутник 50х50х5 ГОСТ8509-72 Ст3 ГОСТ535-58</t>
  </si>
  <si>
    <t>05.С.028.29.052  зв'язка</t>
  </si>
  <si>
    <t>05.С.028.29.052-01  зв'язка</t>
  </si>
  <si>
    <t>05.С.028.29.053  пластина</t>
  </si>
  <si>
    <t>лист S=3 ГОСТ19903-74 Ст3 ГОСТ14637-69</t>
  </si>
  <si>
    <t>05.С.028.29.419  планка</t>
  </si>
  <si>
    <t>лист S=4 ГОСТ19903-74 Ст3 ГОСТ14637-69</t>
  </si>
  <si>
    <t>05.С.028.29.754  труба</t>
  </si>
  <si>
    <t>труба 14х1 ГОСТ8734-75 Сталь10 ГОСТ8733-74</t>
  </si>
  <si>
    <t>05.С.028.29.027  прокладка</t>
  </si>
  <si>
    <t>лист S=0,5 ГОСТ19903-74 Ст3 ГОСТ16523-70</t>
  </si>
  <si>
    <t xml:space="preserve">6ц дав номери які вони мають робити </t>
  </si>
  <si>
    <t>65.С.03.70.460сб  панель</t>
  </si>
  <si>
    <t>65.С.03.70.480сб  панель</t>
  </si>
  <si>
    <t>65.С03.70.489  панель передня ліва</t>
  </si>
  <si>
    <t>172.70.226  вісь</t>
  </si>
  <si>
    <t>дріт ОЧ d=3 ГОСТ3282-74</t>
  </si>
  <si>
    <t>172.70.110сб  панель</t>
  </si>
  <si>
    <t>172.70.219  панель</t>
  </si>
  <si>
    <t>172.70.331сб  кронштейн з планкою</t>
  </si>
  <si>
    <t>172.70.308  кронштейн</t>
  </si>
  <si>
    <t>166.26.049  планка</t>
  </si>
  <si>
    <t>172.70.246  скоба</t>
  </si>
  <si>
    <t>дріт d=4-О-Ч ГОСТ3282-74</t>
  </si>
  <si>
    <t>172.70.304  скоба</t>
  </si>
  <si>
    <t>172.70.305  скоба</t>
  </si>
  <si>
    <t>172.70.328  скоба</t>
  </si>
  <si>
    <t>172.70.337  важіль</t>
  </si>
  <si>
    <t>172.70.346  скоба</t>
  </si>
  <si>
    <t>172.70.680  скоба</t>
  </si>
  <si>
    <t>65.С.03.20.300сб-1  щиток управління лафетом</t>
  </si>
  <si>
    <t>65.С.03.20.330  корпус</t>
  </si>
  <si>
    <t>емаль молоткова МЛ-165</t>
  </si>
  <si>
    <t>65.С.03.20.331  боковина верхня</t>
  </si>
  <si>
    <t>лист S=2 ГОСт19903-74 Ст3пс ГОСТ14637-89</t>
  </si>
  <si>
    <t>65.С.03.20.332  боковина нижня</t>
  </si>
  <si>
    <t>65.С.03.20.333  платик</t>
  </si>
  <si>
    <t>65.С.03.20.334  вушко</t>
  </si>
  <si>
    <t>65.С.03.20.335  дно</t>
  </si>
  <si>
    <t>65.С.03.20.340  панель в зборі</t>
  </si>
  <si>
    <t>65.С.03.20.341  панель</t>
  </si>
  <si>
    <t>65.С.03.20.308  планка</t>
  </si>
  <si>
    <t>лист S=3 ГОСТ19903-74 Ст3пс ГСТ14637-89</t>
  </si>
  <si>
    <t>65.С.03.20.308-1  планка</t>
  </si>
  <si>
    <t>65.С.03.20.305  скоба</t>
  </si>
  <si>
    <t>лист =0,8 ГОСТ19903-74 Ст3пс ГОСТ14637-89</t>
  </si>
  <si>
    <t>65.С.03.20.306  скоба</t>
  </si>
  <si>
    <t>лист =0,5 ГОСТ19903-74 Ст3пс ГОСТ14637-89</t>
  </si>
  <si>
    <t>54.26.207  перемичка</t>
  </si>
  <si>
    <t>лист S=0,2 М3 ГОСТ859-41</t>
  </si>
  <si>
    <t>65.С.03.20.33  бонка</t>
  </si>
  <si>
    <t>лист S=4 ГОСТ19903-74 Ст3пс ГСТ14637-89</t>
  </si>
  <si>
    <t>65.С.03.20.270сб  кабель</t>
  </si>
  <si>
    <t>655.77.100сб Блок ЕЗА-1</t>
  </si>
  <si>
    <t>655.77.002  кришка</t>
  </si>
  <si>
    <t>лист S=2,5 Д16АМ ГОСТ21631-76</t>
  </si>
  <si>
    <t>емаль ПФ-223 біла</t>
  </si>
  <si>
    <t>655.77.011  прокладка</t>
  </si>
  <si>
    <t>лист S=0,6 фібра КГФ ГОСТ14613-83</t>
  </si>
  <si>
    <t>655.77.013  панель</t>
  </si>
  <si>
    <t>лист S=2,5 Ст3 ГОСТ16523-70</t>
  </si>
  <si>
    <t>655.77.014  скоба</t>
  </si>
  <si>
    <t>лист S=1,8 ГОСТ19903-74 Сталь65Г ТУ14-1-4118-86</t>
  </si>
  <si>
    <t>КСС.17.00.186  диск</t>
  </si>
  <si>
    <t>176.02.006сб  кришка</t>
  </si>
  <si>
    <r>
      <t>Додаток №12</t>
    </r>
    <r>
      <rPr>
        <u/>
        <sz val="12"/>
        <color theme="1"/>
        <rFont val="Calibri"/>
        <family val="2"/>
        <charset val="204"/>
        <scheme val="minor"/>
      </rPr>
      <t xml:space="preserve"> ЗІП БТС-5Б</t>
    </r>
  </si>
  <si>
    <t>труба 14х1 12Х18Н9Т</t>
  </si>
  <si>
    <t>ЛБТЗ.655А.29.039  трубка (б/к)</t>
  </si>
  <si>
    <t>дріт d=1,2 12Х18Н10Т</t>
  </si>
  <si>
    <t>ЛБТЗ.655А.29.140сб  трубка забірна</t>
  </si>
  <si>
    <t>L=1450(1600)</t>
  </si>
  <si>
    <t>труба 12х1 12Х18Н9Т</t>
  </si>
  <si>
    <t>ЛБТЗ.655А.29.038  трубка (б/к)</t>
  </si>
  <si>
    <t>ЛБТЗ.655А.29.130сб  трубка напірна</t>
  </si>
  <si>
    <t>Роздрукував 07.11.16</t>
  </si>
  <si>
    <t>Додаток №15</t>
  </si>
  <si>
    <t>лист S=2,5 ГОСТ2590-74 Ст3 ГОСТ16523-70</t>
  </si>
  <si>
    <t>В.655.91.805  планка</t>
  </si>
  <si>
    <t>В.655.91.804  планка верхня</t>
  </si>
  <si>
    <t>лист S=1,5 ГОСТ2590-74 Ст3 ГОСТ16523-70</t>
  </si>
  <si>
    <t>В.655.91.803  скоба</t>
  </si>
  <si>
    <t>В.655.91.802  планка</t>
  </si>
  <si>
    <t>В.655.91.801  кришка</t>
  </si>
  <si>
    <t xml:space="preserve">  лист S=2 ГОСТ1590-74 Ст3 ГОСТ16523-70</t>
  </si>
  <si>
    <t xml:space="preserve">  В.655.91.805  щиток</t>
  </si>
  <si>
    <t>заклепка 3х8.00.016 ГОСТ10300-80</t>
  </si>
  <si>
    <t>В.655.91.210сб  щиток пили</t>
  </si>
  <si>
    <t>клей 88НТ</t>
  </si>
  <si>
    <t>В.655.91.009сб  кришка</t>
  </si>
  <si>
    <t>В.655.91.213  вставка</t>
  </si>
  <si>
    <t>В.655.91.185  перегородка</t>
  </si>
  <si>
    <t>В.655.91.184  перегородка</t>
  </si>
  <si>
    <t>В.655.91.016  лапа</t>
  </si>
  <si>
    <t>В.655.91.010  горловина</t>
  </si>
  <si>
    <t>В.655.91.007  боковина</t>
  </si>
  <si>
    <t>В.655.91.006  боковина</t>
  </si>
  <si>
    <t>В.655.91.002  корпус</t>
  </si>
  <si>
    <t>В.655.91.007сб  корпус</t>
  </si>
  <si>
    <t>В.655.91.004сб  ящик для ЗІПа зовнішній правий</t>
  </si>
  <si>
    <t>В.655.91.808  накладка</t>
  </si>
  <si>
    <t>В655.91.225  скоба</t>
  </si>
  <si>
    <t>В.655.91.715  Планка</t>
  </si>
  <si>
    <t>В.655.91.239  Обичайка</t>
  </si>
  <si>
    <t>В.655.91.238  Обичайка</t>
  </si>
  <si>
    <t>В.655.91.237  Боковина</t>
  </si>
  <si>
    <t>В.655.91.236  Боковина</t>
  </si>
  <si>
    <t>В.655.91.235  Днище</t>
  </si>
  <si>
    <t xml:space="preserve">  лист S=4 ГОСТ19903-74 Ст3 ГОСТ16523-70</t>
  </si>
  <si>
    <t xml:space="preserve">  В.655.91.234  планка</t>
  </si>
  <si>
    <t xml:space="preserve">  В.655.91.233  кронштейн</t>
  </si>
  <si>
    <t>В.655.91.091сб  Кронштейн</t>
  </si>
  <si>
    <t>В655.91.089сб  корпус</t>
  </si>
  <si>
    <t>В.655.91.231  Ребро</t>
  </si>
  <si>
    <t>В.655.91.230  Ребро</t>
  </si>
  <si>
    <t>В.655.91.229  Кришка</t>
  </si>
  <si>
    <t xml:space="preserve">  В.655.91.809  планка</t>
  </si>
  <si>
    <t>В.655.91.090сб  петля</t>
  </si>
  <si>
    <t>В655.91.088сб  кришка</t>
  </si>
  <si>
    <t>В655.91.087сб  ящик</t>
  </si>
  <si>
    <t>Роздрукував 1.11.16</t>
  </si>
  <si>
    <t>лист S=1,5 пароніт ПМБ ГОСТ481-80</t>
  </si>
  <si>
    <t>05.С.085.18.066  прокладка</t>
  </si>
  <si>
    <t>05.С.085.18.062-03  кільце регулююче</t>
  </si>
  <si>
    <t>05.С.085.18.062-02  кільце регулююче</t>
  </si>
  <si>
    <t>лист S=2 ГОСТ19903-74 Сталь10кп ГОСТ16523-70</t>
  </si>
  <si>
    <t>05.С.085.18.062-01  кільце регулююче</t>
  </si>
  <si>
    <t>лист S=1,5 ГОСТ19903-74 Сталь10кп ГОСТ16523-70</t>
  </si>
  <si>
    <t>05.С.085.18.062  кільце регулююче</t>
  </si>
  <si>
    <t>лист S=1 ГОСТ19903-74 Сталь10кп ГОСТ16523-89</t>
  </si>
  <si>
    <t>05.С.085.18.047-02  прокладка регулююча</t>
  </si>
  <si>
    <t>лист S=0,5 ГОСТ19903-74 Сталь10кп ГОСТ16523-89</t>
  </si>
  <si>
    <t>05.С.085.18.047-01  прокладка регулююча</t>
  </si>
  <si>
    <t>стрічка S=0,15 Сталь08кп ГОСТ503-81</t>
  </si>
  <si>
    <t>05.С.085.18.047  прокладка регулююча</t>
  </si>
  <si>
    <t>стрічка S=0,5 У7А-С ГОСТ2283-79</t>
  </si>
  <si>
    <t>05.С.085.18.044-02  прокладка регулююча</t>
  </si>
  <si>
    <t>стрічка S=0,3 У7А-С ГОСТ2283-79</t>
  </si>
  <si>
    <t>05.С.085.18.044-01  прокладка регулююча</t>
  </si>
  <si>
    <t>05.С.085.18.044  прокладка регулююча</t>
  </si>
  <si>
    <t>лист S=2 ГОСТ19903-74 Сталь10кп ГОСТ16523-89</t>
  </si>
  <si>
    <t>05.С.085.18.041-03  прокладка регулююча</t>
  </si>
  <si>
    <t>05.С.085.18.041-02  прокладка регулююча</t>
  </si>
  <si>
    <t>05.С.085.18.041-01  прокладка регулююча</t>
  </si>
  <si>
    <t>стрічка S=0,25 Сталь10кп ГОСТ503-81</t>
  </si>
  <si>
    <t>05.С.085.18.041  прокладка регулююча</t>
  </si>
  <si>
    <t>Додаток №13</t>
  </si>
  <si>
    <t>Роздрукував 18.11.16</t>
  </si>
  <si>
    <t>432.11.071  прокладка</t>
  </si>
  <si>
    <t>432.11.070  прокладка</t>
  </si>
  <si>
    <t>172.11.123  дашок приладу</t>
  </si>
  <si>
    <t>165.29.532-1А  скоба</t>
  </si>
  <si>
    <t>L=16(25)</t>
  </si>
  <si>
    <t>кутник 45х45х5 ГОСТ8509-72 09Г2 ГОСТ19281-73</t>
  </si>
  <si>
    <t>166.29.364  кутник</t>
  </si>
  <si>
    <t>172.02.275  планка</t>
  </si>
  <si>
    <t>172.02.273  планка</t>
  </si>
  <si>
    <t>172.02.304  скоба</t>
  </si>
  <si>
    <t>172.02.274  планка</t>
  </si>
  <si>
    <t>608.03.012  скоба</t>
  </si>
  <si>
    <t>L=45(53)</t>
  </si>
  <si>
    <t>кутник 45х45х4 ГОСТ8509-72 Ст3сп ГОСТ535-58</t>
  </si>
  <si>
    <t>608.02.225  стійка</t>
  </si>
  <si>
    <t>608.02.042сб  кронштейн</t>
  </si>
  <si>
    <t>172.02.621  планка</t>
  </si>
  <si>
    <t>172.02.164сб  обмежуюча планка</t>
  </si>
  <si>
    <t>L=116(125)</t>
  </si>
  <si>
    <t>L=2150(2200)</t>
  </si>
  <si>
    <t>труба 16х3 ГОСТ8734-58 Сталь10 ГОСТ8733-74</t>
  </si>
  <si>
    <t>655.02.109  тяга</t>
  </si>
  <si>
    <t>L=230(250)</t>
  </si>
  <si>
    <t>655.02.108  тяга</t>
  </si>
  <si>
    <t>608.02.188  скоба</t>
  </si>
  <si>
    <t>655.02.005  кронштейн</t>
  </si>
  <si>
    <t>емаль ПФ-223 світло-сіро-голуба</t>
  </si>
  <si>
    <t>655.02.007сб  скоба</t>
  </si>
  <si>
    <t>Додаток №4</t>
  </si>
  <si>
    <t>434.10.222  прокладка регулювальна</t>
  </si>
  <si>
    <t>434.10.221  прокладка регулювальна</t>
  </si>
  <si>
    <t>лист S=3,9 ГОСТ19903-74 Сталь20 ГОСТ16523-70</t>
  </si>
  <si>
    <t>432.10.047-1  ребро</t>
  </si>
  <si>
    <t>172.10.210  планка</t>
  </si>
  <si>
    <t>172.10.087сб  опора</t>
  </si>
  <si>
    <t>608.01.066  планка</t>
  </si>
  <si>
    <t>дріт Х18Н10Т d=1,2мм</t>
  </si>
  <si>
    <t>608.01.175сб  планка</t>
  </si>
  <si>
    <t>608.01.023  кожух</t>
  </si>
  <si>
    <t>В.655.01.197  заглушка</t>
  </si>
  <si>
    <t>лист S=3 ГОСТ19903-74 Ст3 ГОСТ16523-74</t>
  </si>
  <si>
    <t>655.01.146  прокладка</t>
  </si>
  <si>
    <t>175.01.428  рамка</t>
  </si>
  <si>
    <t>608.01.210  скоба</t>
  </si>
  <si>
    <t>лист S=1,5 ГОСТ19904-74 Сталь08кп ГОСТ9045-70</t>
  </si>
  <si>
    <t>655.01.148  кожух</t>
  </si>
  <si>
    <t>655.01.147  вставка</t>
  </si>
  <si>
    <t>лист S=2 ГОСТ19903-74 Сталь15 ГОСТ16523-70</t>
  </si>
  <si>
    <t>632.01.213  фланець</t>
  </si>
  <si>
    <t>65.632.01.212  накладка</t>
  </si>
  <si>
    <t>65.632.01.211  боковина</t>
  </si>
  <si>
    <t>65.632.01.116сб  патрубок</t>
  </si>
  <si>
    <t>L=40(45)</t>
  </si>
  <si>
    <t>кг !</t>
  </si>
  <si>
    <t>кутник 25х25х3 ГОСТ8509-72 Ст3 ГОСТ535-79</t>
  </si>
  <si>
    <t>172.33.542  кронштейн !</t>
  </si>
  <si>
    <t>кутник 45х28.4 ГОСТ8510-72 Ст3кп  ГОСТ535-79</t>
  </si>
  <si>
    <t>176.01.029  кутник</t>
  </si>
  <si>
    <t>655.01.175  заглушка</t>
  </si>
  <si>
    <t>лист S=2 ГОСТ19903-74 Ст3 ГОСТ1577-81</t>
  </si>
  <si>
    <t>655.01.036  заглушка</t>
  </si>
  <si>
    <t>55.176.01.022  планка</t>
  </si>
  <si>
    <t>лист S=3 ГОСТ19903-74 Сталь15 ГОСТ1577-70</t>
  </si>
  <si>
    <t>655.01.017  планка</t>
  </si>
  <si>
    <t>655.01.003сб  кронштейн</t>
  </si>
  <si>
    <t>632.01.215  упор</t>
  </si>
  <si>
    <t>632.01.214  вставка</t>
  </si>
  <si>
    <t>655.01.001-2  патрубок</t>
  </si>
  <si>
    <t>655.01.001сб-2  патрубок</t>
  </si>
  <si>
    <t>Додаток №3</t>
  </si>
  <si>
    <t>172.31.331  скоба</t>
  </si>
  <si>
    <t>172.31.330-1  планка</t>
  </si>
  <si>
    <t>лист S=3,5 КАОН-1 ГОСТ2850-75</t>
  </si>
  <si>
    <t>172.31.314  прокладка</t>
  </si>
  <si>
    <t>лист S=5 Сталь15 ГОСТ1577-81</t>
  </si>
  <si>
    <t>172.31.062-1  скоба</t>
  </si>
  <si>
    <t>172-2М.31.043  планка</t>
  </si>
  <si>
    <t>172-2М.31.042  полиця</t>
  </si>
  <si>
    <t>172-2М.31.018сб  полиця</t>
  </si>
  <si>
    <t>172.31.001Р  кришка</t>
  </si>
  <si>
    <t>172.61.063  планка</t>
  </si>
  <si>
    <t>дріт D=5,0 ГОСТ3282-74</t>
  </si>
  <si>
    <t>434.02.719  скоба</t>
  </si>
  <si>
    <t>Додаток №2</t>
  </si>
  <si>
    <t>L=350(400)</t>
  </si>
  <si>
    <t>172.04.387  тpy6a</t>
  </si>
  <si>
    <t>лист S=3  Сталь15 ГОСТ 16523-70</t>
  </si>
  <si>
    <t>172.04.482  ребро</t>
  </si>
  <si>
    <t>сольвен</t>
  </si>
  <si>
    <t>картон азбестовий КАОН-1 S=8 ГОСТ2850-75</t>
  </si>
  <si>
    <t>стрічка S=0,3 НМ М3 ГОСТ1173-77</t>
  </si>
  <si>
    <t>166.29.652  скоба</t>
  </si>
  <si>
    <t>Додаток №1</t>
  </si>
  <si>
    <t>стрічка S=1 У7А-С ГОСТ2283-69</t>
  </si>
  <si>
    <t>65.632.08.020-1  планка</t>
  </si>
  <si>
    <t>лист S=1,6 Сталь08кп ГОСТ16523-70</t>
  </si>
  <si>
    <t>Шайба 39.01.08кп.016 ГОСТ 11872-89</t>
  </si>
  <si>
    <t>лист S=2  ГОСТ19904-74 Сталь10кп ГОСТ16523-70</t>
  </si>
  <si>
    <t>608.20.234-1  кришка</t>
  </si>
  <si>
    <t>лист S=3 ГОСТ19903-74 Сталь45 ГОСТ1577-93</t>
  </si>
  <si>
    <t>65.КСС.45.00.302 Кронштейн</t>
  </si>
  <si>
    <t>L=160(200)</t>
  </si>
  <si>
    <t>175.45.048  трубка</t>
  </si>
  <si>
    <t>L=452(500)</t>
  </si>
  <si>
    <t>175.45.047  трубка</t>
  </si>
  <si>
    <t>65.КСС.175.45.010сб  трубопровід</t>
  </si>
  <si>
    <t>L=335(375)</t>
  </si>
  <si>
    <t>труба 10х1 ГОСТ87347-87 Сталь10 ГОСТ8773-87</t>
  </si>
  <si>
    <t>КСС.45.00.331  труба</t>
  </si>
  <si>
    <t>65.КСС.45.00.330сб  трубопровід</t>
  </si>
  <si>
    <t>КСС.45.00.321  труба</t>
  </si>
  <si>
    <t>65.КСС.45.00.320сб  трубопровід</t>
  </si>
  <si>
    <t>65.КСС.45.00.080сб  трубопрвоід</t>
  </si>
  <si>
    <t>лист S=1 Сталь15 ГОСТ16523-89</t>
  </si>
  <si>
    <t>КСС.45.00.111  шайба</t>
  </si>
  <si>
    <t>КСС.45.00.102  шайба</t>
  </si>
  <si>
    <t>лист S=3 фібра ФТ чорна ГОСТ14613-83</t>
  </si>
  <si>
    <t>КСС.45.00.059  кільце ущільнююче</t>
  </si>
  <si>
    <t>лист S=0,5 ГОСТ19904-90 Сталь10кп ГОСТ16523-89</t>
  </si>
  <si>
    <t>КСС.45.00.056  фільтр</t>
  </si>
  <si>
    <t>лента S=0,5 Сталь08кп ГОСТ503-89</t>
  </si>
  <si>
    <t>КСС.45.00.055  шайба</t>
  </si>
  <si>
    <t>лист S=3,5 Сталь35 ГОСТ1050-88</t>
  </si>
  <si>
    <t>КСС.45.00.044  кільце</t>
  </si>
  <si>
    <t>лента S=1 ГОСТ503-81</t>
  </si>
  <si>
    <t>КСС.45.00.043  замок</t>
  </si>
  <si>
    <t>лист S=3,5 Сталь30ХГСА ГОСТ4543-71</t>
  </si>
  <si>
    <t>КСС.45.00.029  кільце регулювальне</t>
  </si>
  <si>
    <t>лист S=3 Сталь30ХГСА ГОСТ4543-71</t>
  </si>
  <si>
    <t>КСС.45.00.028  кільце регулювальне</t>
  </si>
  <si>
    <t>лист S=2,5 Сталь30ХГСА ГОСТ4543-71</t>
  </si>
  <si>
    <t>КСС.45.00.027  кільце регулювальне</t>
  </si>
  <si>
    <t>лист S=2 Сталь30ХГСА ГОСТ4543-71</t>
  </si>
  <si>
    <t>КСС.45.00.026  кільце регулювальне</t>
  </si>
  <si>
    <t>лист S=1,5 Сталь30ХГСА ГОСТ4543-71</t>
  </si>
  <si>
    <t>КСС.45.00.025  кільце регулювальне</t>
  </si>
  <si>
    <t>лист S=4 ГОСТ19903-74 Сталь10кп ГОСТ1577-81</t>
  </si>
  <si>
    <t>КСС.45.00.014  кришка</t>
  </si>
  <si>
    <t>лист S=3,5  Сталь15 ГОСТ16523-70</t>
  </si>
  <si>
    <t>КСС.45.00.009  кільце регулювальне</t>
  </si>
  <si>
    <t>лист S=3  Сталь15 ГОСТ16523-70</t>
  </si>
  <si>
    <t>КСС.45.00.008  кільце регулювальне</t>
  </si>
  <si>
    <t>лист S=2,5  Сталь15 ГОСТ16523-70</t>
  </si>
  <si>
    <t>КСС.45.00.007  кільце регулювальне</t>
  </si>
  <si>
    <t>КСС.45.00.006  кільце регулювальне</t>
  </si>
  <si>
    <t>КСС.45.00.005  кільце регулювальне</t>
  </si>
  <si>
    <t>КСС.45.00.004  кільце регулювальне</t>
  </si>
  <si>
    <t>бляха біла №25 ГГЖК ТУ14-1-3470-82</t>
  </si>
  <si>
    <t>КСС.45.00.003  кільце регулювальне</t>
  </si>
  <si>
    <t>лента S=0,15 08кп ГОСТ503-81</t>
  </si>
  <si>
    <t>КСС.45.00.002  кільце регулювальне</t>
  </si>
  <si>
    <t>КСС.45.00.201  кронштейн</t>
  </si>
  <si>
    <t>05.С.088.23.123  трубка</t>
  </si>
  <si>
    <t>05.С.088.23.120сб   трубка</t>
  </si>
  <si>
    <t>лист S=2 ГОСТ19903-74 Ст3 ГОСТ16523-89</t>
  </si>
  <si>
    <t>05.С.088.23.101  скоба</t>
  </si>
  <si>
    <t>05.С.088.23.110сб   кронштейн</t>
  </si>
  <si>
    <t>дріт d=0,8 КО ГОСТ792-67</t>
  </si>
  <si>
    <t>05.С.088.23.100сб  блок управління</t>
  </si>
  <si>
    <t>L=58(65)</t>
  </si>
  <si>
    <t>труба 16х1 ГОСТ8734-75 Сталь10 ГОСТ8733-87</t>
  </si>
  <si>
    <t>КСС.45.00.187  трубка</t>
  </si>
  <si>
    <t>КСС.45.00.186  трубка</t>
  </si>
  <si>
    <t>КСС.45.00.100сб  трубопровід</t>
  </si>
  <si>
    <t>лист S=1,5 ГОСТ19904-90 Сталь10кп ГОСТ16523-89</t>
  </si>
  <si>
    <t>КСС.45.00.182  накладка</t>
  </si>
  <si>
    <t>КСС.45.00.181  щиток</t>
  </si>
  <si>
    <t>заклепка 3СП-25 ОСТ17-600-81</t>
  </si>
  <si>
    <t>КСС.45.00.090сб  щиток</t>
  </si>
  <si>
    <t>труба 10х1 ГОСТ8734-75 Сталь10 ГОСТ8733-87</t>
  </si>
  <si>
    <t>КСС.45.00.173  труба</t>
  </si>
  <si>
    <t>КСС.45.00.080сб  трубопровід</t>
  </si>
  <si>
    <t>L=60(75)</t>
  </si>
  <si>
    <t>КСС.45.00.167  трубка</t>
  </si>
  <si>
    <t>КСС.45.00.070сб  трубопровід</t>
  </si>
  <si>
    <t>лист S=2 60С2А ГОСТ 2052-53</t>
  </si>
  <si>
    <t>65.КСС.17.00.160  пружина тарілчата</t>
  </si>
  <si>
    <t>лист S=2 Сталь 65Г ГОСТ14959-79</t>
  </si>
  <si>
    <t>65.КСС.17.00.157  кільце упорне</t>
  </si>
  <si>
    <t>L=102(130)</t>
  </si>
  <si>
    <t>труба 30х2 ГОСТ8734-75 Сталь20 ГОСТ8733-87</t>
  </si>
  <si>
    <t>65.КСС.17.00.221-01  патрубок</t>
  </si>
  <si>
    <t>65.КСС.17.00.221  патрубок</t>
  </si>
  <si>
    <t>65.КСС.17.00.220сб  штуцер втягуючий</t>
  </si>
  <si>
    <t>лист S=1 ГОСТ19904-90 Сталь10кп ГОСТ16523-89</t>
  </si>
  <si>
    <t>КСС.17.00.081  Шайба</t>
  </si>
  <si>
    <t>КСС.17.00.079  Шайба</t>
  </si>
  <si>
    <t>лист S=2 ГОСТ19904-90 Сталь10кп  ГОСТ16523-89</t>
  </si>
  <si>
    <t>КСС.17.00.078  Шайба</t>
  </si>
  <si>
    <t>лист S=2,5 30ХГСА ГОСТ11269-76</t>
  </si>
  <si>
    <t>КСС.17.00.071  кільце пружинне</t>
  </si>
  <si>
    <t>КСС.17.00.066  кільце стопорне</t>
  </si>
  <si>
    <t>лист S=2,5 65Г ГОСТ1050-88</t>
  </si>
  <si>
    <t>КСС.17.00.052  диск</t>
  </si>
  <si>
    <t>лист S=1 ГОСТ19904-90 Сталь10кг ГОСТ16523-89</t>
  </si>
  <si>
    <t>КСС.17.00.032 Кільце регулювальне</t>
  </si>
  <si>
    <t>лист S=0,5 ГОСТ19904-90 Сталь10кг ГОСТ16523-89</t>
  </si>
  <si>
    <t>КСС.17.00.031 Кільце регулювальне</t>
  </si>
  <si>
    <t>КСС.17.00.029 Шайба</t>
  </si>
  <si>
    <t>бляха біла S=0,25 ГГЖР ТУ14-1-3470-82</t>
  </si>
  <si>
    <t>КСС.17.00.023 Кільце регулювальне</t>
  </si>
  <si>
    <t>КСС.17.00.022 Кільце регулювальне</t>
  </si>
  <si>
    <t>КСС.17.00.021 Кільце регулювальне</t>
  </si>
  <si>
    <t>лист S=5 Сталь10кп ГОСт1050-88</t>
  </si>
  <si>
    <t>КСС.17.00.015  кришка</t>
  </si>
  <si>
    <t>КСС.17.00.213  кришка</t>
  </si>
  <si>
    <t>дріт D=0,25 О ГОСТ3282-74</t>
  </si>
  <si>
    <t>дріт D=1,2 ОС ГОСТ3282-74</t>
  </si>
  <si>
    <t>КСС.17.00.120сб  сапун</t>
  </si>
  <si>
    <t>КСС.17.00.174  дно фільтра</t>
  </si>
  <si>
    <t>каніфоль</t>
  </si>
  <si>
    <t>припій ПОССу18-2 ГОСТ21931-76</t>
  </si>
  <si>
    <t>сітка №1 ГОСТ6613-86 Латунь Л80 ГОСТ15527-70</t>
  </si>
  <si>
    <t>КСС.17.00.173  сітка</t>
  </si>
  <si>
    <t>КСС.17.00.172  каркас фільтру</t>
  </si>
  <si>
    <t xml:space="preserve">КСС.17.00.070сб  фільтр </t>
  </si>
  <si>
    <t>КСС.17.00.162  трубка</t>
  </si>
  <si>
    <t>КСС.17.00.060сб  трубка</t>
  </si>
  <si>
    <t>Додаток №14</t>
  </si>
  <si>
    <t>Розпорядження №98</t>
  </si>
  <si>
    <t>Роздрукував 21.10.16</t>
  </si>
  <si>
    <t>05.44.05.6009А  хомут</t>
  </si>
  <si>
    <t>лист б=1 Ст3 ГОСТ 16523-70</t>
  </si>
  <si>
    <t>ГОСТ 13464-77 шайба замкова 10</t>
  </si>
  <si>
    <t>лист б=2 ДСТУ 8540:2016 Ст3 ДСТУ 2834-94</t>
  </si>
  <si>
    <t>ЛТБЗ.654А.08.107  жолобок</t>
  </si>
  <si>
    <t>Розпорядження №43</t>
  </si>
  <si>
    <t>Print 10.04.2018р</t>
  </si>
  <si>
    <t>ЛБТЗ.655А.20.029  табличка</t>
  </si>
  <si>
    <t>ЛБТЗ.655А.20.028  табличка</t>
  </si>
  <si>
    <t>ЛБТЗ.655А.20.025  прокдадка</t>
  </si>
  <si>
    <t>лист б=1 ДСТУ 8540:2016 Ст3 ДСТУ 2834-94</t>
  </si>
  <si>
    <t>ЛБТЗ.655А.20.024  прокладка</t>
  </si>
  <si>
    <t>лист б=3 АД1М ГОСТ 21631-76</t>
  </si>
  <si>
    <t>ЛБТЗ.655А.20.023  прокладка</t>
  </si>
  <si>
    <t>лист б=4 ДСТУ8540:2008 09Г2С ГОСТ 19281-89</t>
  </si>
  <si>
    <t>ЛБТЗ.655А.20.017  накривка</t>
  </si>
  <si>
    <t xml:space="preserve">лист б=1 ПТК ОСТй4-11-196-86 08кп ГОСТ 19904-74 </t>
  </si>
  <si>
    <t>602.81.082  скоба</t>
  </si>
  <si>
    <t>лист б=1 ДСТУ 8540:2016 10кп ДСТУ 2834-94</t>
  </si>
  <si>
    <t>ЛБТЗ.655А.20.127  скоба</t>
  </si>
  <si>
    <t>лист б=0,6 пароніт ПОН-Б ГОСТ 481-80</t>
  </si>
  <si>
    <t xml:space="preserve">ЛБТЗ.655А.20.124  прокладка </t>
  </si>
  <si>
    <t>Стрічка 08кп-М-Т-2-0,25х240 ГОСТ 503-81</t>
  </si>
  <si>
    <t>ЛБТЗ.655А.20.123  покладка</t>
  </si>
  <si>
    <t>L=920(980)</t>
  </si>
  <si>
    <t>ЛБТЗ.655А.20.891  трубка (б/к)</t>
  </si>
  <si>
    <t>ЛБТЗ.655А.20.890сб  трубопровід</t>
  </si>
  <si>
    <t>L=2860(3005)</t>
  </si>
  <si>
    <t>труба 14х1 12Х18Н10Т ГОСТ 9941-81</t>
  </si>
  <si>
    <t>ЛБТЗ.655А.20.881  трубка (б/к)</t>
  </si>
  <si>
    <t>ЛБТЗ.655А.20.880сб  трубопровід</t>
  </si>
  <si>
    <t>L=3390(3505)</t>
  </si>
  <si>
    <t>ЛБТЗ.655А.20.871  трубка (б/к)</t>
  </si>
  <si>
    <t>ЛБТЗ.655А.20.870сб  трубопровід</t>
  </si>
  <si>
    <t>L=1110(1168)</t>
  </si>
  <si>
    <t>ЛБТЗ.655А.20.861  трубка (б/к)</t>
  </si>
  <si>
    <t>ЛБТЗ.655А.20.860сб  трубопровід</t>
  </si>
  <si>
    <t>L=270(310)</t>
  </si>
  <si>
    <t>ЛБТЗ.655А.20.851  трубка (б/к)</t>
  </si>
  <si>
    <t>ЛБТЗ.655А.20.850сб  трубопровід</t>
  </si>
  <si>
    <t>L=365(405)</t>
  </si>
  <si>
    <t>ЛБТЗ.655А.20.841  трубка (б/к)</t>
  </si>
  <si>
    <t>ЛБТЗ.655А.20.840сб  трубопровід</t>
  </si>
  <si>
    <t>L=505(550)</t>
  </si>
  <si>
    <t>ЛБТЗ.655А.20.831  трубка (б/к)</t>
  </si>
  <si>
    <t>ЛБТЗ.655А.20.830сб  трубопровід</t>
  </si>
  <si>
    <t>L=325(360)</t>
  </si>
  <si>
    <t>ЛБТЗ.655А.20.821  трубка (б/к)</t>
  </si>
  <si>
    <t>ЛБТЗ.655А.20.820сб  трубопровід</t>
  </si>
  <si>
    <t>ЛБТЗ.655А.20.815  трубка (б\к)</t>
  </si>
  <si>
    <t>L=260(300)</t>
  </si>
  <si>
    <t>ЛБТЗ.655А.20.814  трубка (б\к)</t>
  </si>
  <si>
    <t>L=240(270)</t>
  </si>
  <si>
    <t>ЛБТЗ.655А.20.813  трубка (б\к)</t>
  </si>
  <si>
    <t>L=300(320)</t>
  </si>
  <si>
    <t>ЛБТЗ.655А.20.812  трубка (б\к)</t>
  </si>
  <si>
    <t>L=290(330)</t>
  </si>
  <si>
    <t>ЛБТЗ.655А.20.811  трубка (б\к)</t>
  </si>
  <si>
    <t>дріт зварювальний d=1,2 СВ06Х19Н9Т ГОСТ 2246-70</t>
  </si>
  <si>
    <t>ЛБТЗ.655А.20.810сб  трубопровід</t>
  </si>
  <si>
    <t>L=190(230)</t>
  </si>
  <si>
    <t>ЛБТЗ.655А.20.803  трубка (б\к)</t>
  </si>
  <si>
    <t>L=140(150)</t>
  </si>
  <si>
    <t>ЛБТЗ.655А.20.802  трубка (б\к)</t>
  </si>
  <si>
    <t>ЛБТЗ.655А.20.801  трубка (б\к)</t>
  </si>
  <si>
    <t>ЛБТЗ.655А.20.800сб  трубопровід</t>
  </si>
  <si>
    <t>L=620(660)</t>
  </si>
  <si>
    <t>ЛБТЗ.655А.20.791  трубка (б/к)</t>
  </si>
  <si>
    <t>ЛБТЗ.655А.20.790сб  трубопровід</t>
  </si>
  <si>
    <t>L=320(360)</t>
  </si>
  <si>
    <t>ЛБТЗ.655А.20.781  трубка (б/к)</t>
  </si>
  <si>
    <t>ЛБТЗ.655А.20.780сб  трубопровід</t>
  </si>
  <si>
    <t>L=780(840)</t>
  </si>
  <si>
    <t>ЛБТЗ.655А.20.771  трубка (б/к)</t>
  </si>
  <si>
    <t>ЛБТЗ.655А.20.770сб  трубопровід</t>
  </si>
  <si>
    <t>L=255(300)</t>
  </si>
  <si>
    <t>ЛБТЗ.655А.20.761  трубка (б/к)</t>
  </si>
  <si>
    <t>ЛБТЗ.655А.20.760сб  трубопровід</t>
  </si>
  <si>
    <t>L=103(110)</t>
  </si>
  <si>
    <t>труба 12х1 12Х18Н10Т ГОСТ 9941-81</t>
  </si>
  <si>
    <t>ЛБТЗ.655А.20.752  Трубка (б/к)</t>
  </si>
  <si>
    <t>L=370(410)</t>
  </si>
  <si>
    <t>ЛБТЗ.655А.20.751  Трубка (б/к)</t>
  </si>
  <si>
    <t>ЛБТЗ.655А.20.750сб  Трубопровід</t>
  </si>
  <si>
    <t>ЛБТЗ.655А.20.742  трубка (б.к.)</t>
  </si>
  <si>
    <t>L=370(425)</t>
  </si>
  <si>
    <t>ЛБТЗ.655А.20.741  трубка (б.к.)</t>
  </si>
  <si>
    <t>ЛБТЗ.655А.20.740сб  трубопровід</t>
  </si>
  <si>
    <t>L=461(515)</t>
  </si>
  <si>
    <t>ЛБТЗ.655А.20.733  трубка (б\к)</t>
  </si>
  <si>
    <t>L=378(442)</t>
  </si>
  <si>
    <t>ЛБТЗ.655А.20.732  трубка (б\к)</t>
  </si>
  <si>
    <t>ЛБТЗ.655А.20.730сб  трубопровід</t>
  </si>
  <si>
    <t>L=46(55)</t>
  </si>
  <si>
    <t>ЛБТЗ.655А.20.722  трубка</t>
  </si>
  <si>
    <t>L=360(405)</t>
  </si>
  <si>
    <t>ЛБТЗ.655А.20.721  трубка (б\к)</t>
  </si>
  <si>
    <t>ЛБТЗ.655А.20.720сб  трубопровід</t>
  </si>
  <si>
    <t>L=255(280)</t>
  </si>
  <si>
    <t>ЛБТЗ.655А.20.715  трубка (б.к)</t>
  </si>
  <si>
    <t>L=815(850)</t>
  </si>
  <si>
    <t>ЛБТЗ.655А.20.714  трубка (б.к)</t>
  </si>
  <si>
    <t>ЛБТЗ.655А.20.713  трубка (б.к)</t>
  </si>
  <si>
    <t>L=47(55)</t>
  </si>
  <si>
    <t>ЛБТЗ.655А.20.712  трубка (б\к)</t>
  </si>
  <si>
    <t>ЛБТЗ.655А.20.710сб  трубопровід</t>
  </si>
  <si>
    <t>ЛБТЗ.655А.20.934 Планка</t>
  </si>
  <si>
    <t>L=0,74(110)</t>
  </si>
  <si>
    <t xml:space="preserve">труба 12х3 ГОСТ 8734-75 Ст20 ГОСТ8733-87 </t>
  </si>
  <si>
    <t>ЛБТЗ.655А.20.933 Трубка</t>
  </si>
  <si>
    <t>лист б=0,5 ДСТУ8540:2008 Ст3 ДСТУ 2834-94</t>
  </si>
  <si>
    <t>ЛБТЗ.655А.20.656 Прокладка</t>
  </si>
  <si>
    <t>лист б=2 АД1М ГОСТ 21631-76</t>
  </si>
  <si>
    <t>ЛБТЗ.655А.20.652 Накривка</t>
  </si>
  <si>
    <t>лист б=4,5 Сталь35 ДСТУ 7809:2015</t>
  </si>
  <si>
    <t>ЛБТЗ.655А.20.018  втулка</t>
  </si>
  <si>
    <t>лист б=3 ДСТУ8540:2008 09Г2С ГОСТ 19281-89</t>
  </si>
  <si>
    <t>ЛБТЗ.655А.20.481  фланець</t>
  </si>
  <si>
    <t>лист б=2 ДСТУ8540:2008 Ст3 ДСТУ 2834-94</t>
  </si>
  <si>
    <t>ЛБТЗ.655А.20.252  накладка</t>
  </si>
  <si>
    <t>лист б=1,6  08кп ГОСТ 16523-70</t>
  </si>
  <si>
    <t>Шайба 72.01.08кп.016 ГОСТ11872-80</t>
  </si>
  <si>
    <t>Шайба 8.01.08кп.016 ГОСТ 13463-77</t>
  </si>
  <si>
    <t>лист б=0,5 ДСТУ 8540:2016 08кп ГОСТ 16523-97</t>
  </si>
  <si>
    <t>ЛБТЗ.655А.20.202  прокладка</t>
  </si>
  <si>
    <t>бляха біла ГГЖР №36 ТУ 14-1-3470-82</t>
  </si>
  <si>
    <t>ЛБТЗ.655А.20.201  прокладка</t>
  </si>
  <si>
    <t>лист б=2,5 40Х ДСТУ 7806-2015</t>
  </si>
  <si>
    <t>ЛБТЗ.655А.20.075  шайба</t>
  </si>
  <si>
    <t>лист б=3 ДСТУ8540:2008 Ст3 ДСТУ 2834-94</t>
  </si>
  <si>
    <t>ЛБТЗ.655А.20.303  боковина</t>
  </si>
  <si>
    <t>ЛБТЗ.655А.20.302  планка</t>
  </si>
  <si>
    <t>ЛБТЗ.655А.20.301  щиток</t>
  </si>
  <si>
    <t>дріб ДЧК d=1,4 ГОСТ 11964-81</t>
  </si>
  <si>
    <t>товщ, S</t>
  </si>
  <si>
    <t>ЛБТЗ.655А.20.300сб  щиток</t>
  </si>
  <si>
    <t>Розпорядження №37</t>
  </si>
  <si>
    <t>Print 26.03.2018р</t>
  </si>
  <si>
    <t>хай Коровкін переробить</t>
  </si>
  <si>
    <t>L=203(230)</t>
  </si>
  <si>
    <t>по ГОСТ такої труби нема</t>
  </si>
  <si>
    <t>труба 20х2 ГОСТ 8732-78 сталь20 ГОСТ 8731-87</t>
  </si>
  <si>
    <t>ЛБТЗ.654А.29.119  труба</t>
  </si>
  <si>
    <t>Розпорядження №28</t>
  </si>
  <si>
    <t>труба 12х1 12Х18Н10Т ГОСТ 9941-72</t>
  </si>
  <si>
    <t>169.02.052-1  трубка</t>
  </si>
  <si>
    <t>емаль ПФ-115 світло-зелена</t>
  </si>
  <si>
    <t>169.02.022сб-1  патрубок</t>
  </si>
  <si>
    <t>169.02.048-1  трубка</t>
  </si>
  <si>
    <t>L=65(80)</t>
  </si>
  <si>
    <t>169.02.058  труба</t>
  </si>
  <si>
    <t>169.02.030сб  патрубок</t>
  </si>
  <si>
    <t>169.02.021сб-1  патрубок</t>
  </si>
  <si>
    <t>L=848(900)</t>
  </si>
  <si>
    <t>169.02.059  труба</t>
  </si>
  <si>
    <t>169.02.031сб  труба</t>
  </si>
  <si>
    <t>Розпорядження №27</t>
  </si>
  <si>
    <t>Print 01.03.2018р</t>
  </si>
  <si>
    <t>175.34.260  планка</t>
  </si>
  <si>
    <t>лист б=5 АМЦ-С СТУ №6-4-64</t>
  </si>
  <si>
    <t>155.04.360  регулювальна шайба</t>
  </si>
  <si>
    <t>лист б=4 АМЦ-С СТУ №6-4-64</t>
  </si>
  <si>
    <t>155.04.359  регулювальна шайба</t>
  </si>
  <si>
    <t>лист б=3 АМЦ-С СТУ №6-4-64</t>
  </si>
  <si>
    <t>155.04.358  регулювальна шайба</t>
  </si>
  <si>
    <t>лист б=2 АМЦ-С СТУ №6-4-64</t>
  </si>
  <si>
    <t>155.04.357  регулювальна шайба</t>
  </si>
  <si>
    <t>лист б=1,5 АМ6БМ ГОСТ 21631-76</t>
  </si>
  <si>
    <t>157.04.054  щиток</t>
  </si>
  <si>
    <t>лист б=1 ГОСТ 19904-74 Сталь10кп ГОСТ 16523-70</t>
  </si>
  <si>
    <t>169.04.037  скоба</t>
  </si>
  <si>
    <t>лист б=1 ГОСТ 19904-74 Ст10кп ГОСТ 16523-70</t>
  </si>
  <si>
    <t>169.04.086  накладка</t>
  </si>
  <si>
    <t>лист б=1,5 ГОСТ 19904-74 Ст10кп ГОСТ 16523-70</t>
  </si>
  <si>
    <t>169.04.085  стрічка</t>
  </si>
  <si>
    <t>8.65Г.016 шайба ГОСТ 6402-70</t>
  </si>
  <si>
    <t>169.04.028сб  хомут</t>
  </si>
  <si>
    <t>лист б=0,5 ГОСТ 19904-74 СТК-1 ГОСТ 17715-72</t>
  </si>
  <si>
    <t>169.04.074  щиток</t>
  </si>
  <si>
    <t>лист б=3,5 тканина азбестова АТ-4 ГОСТ 6102-67</t>
  </si>
  <si>
    <t>169.04.075  прокладка</t>
  </si>
  <si>
    <t>169.04.026сб  щиток</t>
  </si>
  <si>
    <t>лист б=1,5 ГОСТ 19904-74 12Х18Н10Т ГОСТ 5582-75</t>
  </si>
  <si>
    <t>169.04.066  заслінка</t>
  </si>
  <si>
    <t>лист б=2 пароніт ПМБ ГОСТ 481-71</t>
  </si>
  <si>
    <t>169.04.065  прокладка</t>
  </si>
  <si>
    <t>лист б=3 ГОСТ 19904-74 Сталь10кп ГОСТ 16523-70</t>
  </si>
  <si>
    <t>169.04.064  кришка</t>
  </si>
  <si>
    <t>L=57(70)</t>
  </si>
  <si>
    <t>труба 38х1,5 ГОСТ 873-75 Сталь10 ГОСТ 8733-74</t>
  </si>
  <si>
    <t>169.04.072  патрубок</t>
  </si>
  <si>
    <t>L=26(40)</t>
  </si>
  <si>
    <t>169.04.071  патрубок</t>
  </si>
  <si>
    <t>169.04.070  денце</t>
  </si>
  <si>
    <t>169.04.069  обичайка</t>
  </si>
  <si>
    <t>169.04.025сб  корпус клапана</t>
  </si>
  <si>
    <t>М6-6gх12.66.016 болт ГОСТ 7805-70</t>
  </si>
  <si>
    <t>6Т.65Г.016 шайба ГОСТ 6402-70</t>
  </si>
  <si>
    <t>169.04.024сб  клапан</t>
  </si>
  <si>
    <t>169.04.077  накладка</t>
  </si>
  <si>
    <t>169.04.015  труба права</t>
  </si>
  <si>
    <t>169.04.013сб  труба права</t>
  </si>
  <si>
    <t>169.04.076  накладка</t>
  </si>
  <si>
    <t>169.04.014  труба ліва</t>
  </si>
  <si>
    <t>169.04.012сб  труба ліва</t>
  </si>
  <si>
    <t>лист б=1 АД1М ГОСТ 21631-76</t>
  </si>
  <si>
    <t>155.01.019  щиток</t>
  </si>
  <si>
    <t>155.01.018  щиток</t>
  </si>
  <si>
    <t>Розпорядження №23-2018р</t>
  </si>
  <si>
    <t>Print 22.02.2018</t>
  </si>
  <si>
    <t>лисб б=2 ГОСТ 19904-74 Сталь15 ГОСТ 16523-70</t>
  </si>
  <si>
    <t>639.29.079  планка</t>
  </si>
  <si>
    <t>639.29.078  планка</t>
  </si>
  <si>
    <t>639.29.077  планка</t>
  </si>
  <si>
    <t>639.29.076  планка</t>
  </si>
  <si>
    <t>54.29.1215  планка</t>
  </si>
  <si>
    <t>сітка №15-2 ГОСТ 5336-67</t>
  </si>
  <si>
    <t>166.29.433-1  сітка</t>
  </si>
  <si>
    <t>лист б=4 Ст3сп ГОСТ 380-71</t>
  </si>
  <si>
    <t>166.29.356  обмежувач</t>
  </si>
  <si>
    <t>лист б=3 ГОСТ 19903-74 Ст3сп ГОСТ 16523-70</t>
  </si>
  <si>
    <t>169.29.104  рамка</t>
  </si>
  <si>
    <t>L=75(90)</t>
  </si>
  <si>
    <t>кутник 20х20х3 Сталь3кп ГОСТ 380-71</t>
  </si>
  <si>
    <t>166.29.431-2</t>
  </si>
  <si>
    <t>L=198(220)</t>
  </si>
  <si>
    <t>кутник 20х20х3 ГОСТ 8509-72 Ст3сп ГОСТ 535-79</t>
  </si>
  <si>
    <t>169.29.099</t>
  </si>
  <si>
    <t>169.29.036сб  рамка</t>
  </si>
  <si>
    <t>169.29.035сб  рамка</t>
  </si>
  <si>
    <t>лиси б=1,5 ГОСТ 19904-74 10кп ГОСТ 16523-70</t>
  </si>
  <si>
    <t>639.29.099  каркас</t>
  </si>
  <si>
    <t>639.29.097  каркас</t>
  </si>
  <si>
    <t>лиси б=2 ГОСТ 19904-74 10кп ГОСТ 16523-70</t>
  </si>
  <si>
    <t>639.29.108  планка</t>
  </si>
  <si>
    <t>639.29.107  планка</t>
  </si>
  <si>
    <t>639.29.056  лист</t>
  </si>
  <si>
    <t>639.29.091  каркас</t>
  </si>
  <si>
    <t>Розпорядження №21-2018р</t>
  </si>
  <si>
    <t>Print 19.02.2018р</t>
  </si>
  <si>
    <t>стрічка б=1 У7А-С-1 ГОСТ 2283-79</t>
  </si>
  <si>
    <t>ЛТБЗ.655А.20.044  планка</t>
  </si>
  <si>
    <t>Розпорядження №15-2018р</t>
  </si>
  <si>
    <t>Поміняти сортамент матеріалу Коровкін</t>
  </si>
  <si>
    <t>лист S=4 Пароніт ПОН ГОСТ481-71</t>
  </si>
  <si>
    <t>175.83.008-1  прокладка</t>
  </si>
  <si>
    <t>54.39.057А  шланг манометра</t>
  </si>
  <si>
    <t>274</t>
  </si>
  <si>
    <t>608.04.267  кронштейн</t>
  </si>
  <si>
    <t>608.91.624  лист</t>
  </si>
  <si>
    <t>608.91.623  обечайка</t>
  </si>
  <si>
    <t xml:space="preserve">По списку "запчастини без норм" </t>
  </si>
  <si>
    <t>Роздр. 01.07.16р</t>
  </si>
  <si>
    <t>почав писати 01.07.06</t>
  </si>
  <si>
    <t>54.28.1449  накладка</t>
  </si>
  <si>
    <t>445.7</t>
  </si>
  <si>
    <t>54.05.386-3  половина бака</t>
  </si>
  <si>
    <t>445.5</t>
  </si>
  <si>
    <t>175.91.110  вушко</t>
  </si>
  <si>
    <t>445.4</t>
  </si>
  <si>
    <t>кутник 20х20х3 ГОСТ8509-72 Сталь20 ГОСТ1050-60</t>
  </si>
  <si>
    <t>175.91.109  кутник</t>
  </si>
  <si>
    <t>445.3</t>
  </si>
  <si>
    <t>54.83.391  пластина</t>
  </si>
  <si>
    <t>445.2.2</t>
  </si>
  <si>
    <t>175.91.052сб  палець</t>
  </si>
  <si>
    <t>445.2</t>
  </si>
  <si>
    <t>лист S=3 Cталь20 ГОСТ16523-70</t>
  </si>
  <si>
    <t>175.91.107  кутник</t>
  </si>
  <si>
    <t>445.1.2</t>
  </si>
  <si>
    <t>175.91.051сб  втулка</t>
  </si>
  <si>
    <t>445.1</t>
  </si>
  <si>
    <t>175.91.050сб-1  ванна для промивки</t>
  </si>
  <si>
    <t>445</t>
  </si>
  <si>
    <t>175.91.161  перегородка</t>
  </si>
  <si>
    <t>409.1.4</t>
  </si>
  <si>
    <t>175.91.160  боковина</t>
  </si>
  <si>
    <t>409.1.3</t>
  </si>
  <si>
    <t>175.91.159  обечайка</t>
  </si>
  <si>
    <t>409.1.2</t>
  </si>
  <si>
    <t>аргон газоподібний</t>
  </si>
  <si>
    <t>дріт СВАМг6 d=1,2мм ГОСТ 7871-75</t>
  </si>
  <si>
    <t>175.91.162  кришка</t>
  </si>
  <si>
    <t>409.1.1.2</t>
  </si>
  <si>
    <t>175.91.066сб  кришка</t>
  </si>
  <si>
    <t>409.1.1</t>
  </si>
  <si>
    <t>175.91.065сб</t>
  </si>
  <si>
    <t>409.1</t>
  </si>
  <si>
    <t>175.91.064сб  пенал</t>
  </si>
  <si>
    <t>409</t>
  </si>
  <si>
    <t>54.28.201-А  планка</t>
  </si>
  <si>
    <t>407.2</t>
  </si>
  <si>
    <t>54.28.57сб-2А  патронташ</t>
  </si>
  <si>
    <t>407</t>
  </si>
  <si>
    <t>лист S=4 ГОСТ19903-74 30ХГСА ГОСТ11269-76</t>
  </si>
  <si>
    <t>434.84.048  рамка</t>
  </si>
  <si>
    <t>434.84.006сб  рамка</t>
  </si>
  <si>
    <t>404.1</t>
  </si>
  <si>
    <t>434.84.005сб  обойма для встановлення ТВНЕ-4Б</t>
  </si>
  <si>
    <t>404</t>
  </si>
  <si>
    <t>434.91.315 планка</t>
  </si>
  <si>
    <t>400.2</t>
  </si>
  <si>
    <t>434.91.121сб  Заслонка верхнього вікна</t>
  </si>
  <si>
    <t>400</t>
  </si>
  <si>
    <t>172.80.005  планка</t>
  </si>
  <si>
    <t>172.80.005сб  заслонка нижнього вікна прибору нагляду</t>
  </si>
  <si>
    <t>399</t>
  </si>
  <si>
    <t>172.91.429  заслонка нижнього вікна</t>
  </si>
  <si>
    <t>круг D=6 ГОСТ7417-75 Сталь45 ГОСТ 1051-73</t>
  </si>
  <si>
    <t>608.91.615  вісь</t>
  </si>
  <si>
    <t>393.6</t>
  </si>
  <si>
    <t>лист S=10 АМг6 БМ ГОСТ21631-76</t>
  </si>
  <si>
    <t>608.91.614  упор</t>
  </si>
  <si>
    <t>393.5</t>
  </si>
  <si>
    <t>608.91.553  петля</t>
  </si>
  <si>
    <t>393.4</t>
  </si>
  <si>
    <t>круг D=8 Сталь15 ГОСТ1050-57</t>
  </si>
  <si>
    <t>34.27.770-1  вісь</t>
  </si>
  <si>
    <t>393.3.3</t>
  </si>
  <si>
    <t>608.91.616  провушина</t>
  </si>
  <si>
    <t>393.3.2</t>
  </si>
  <si>
    <t>172.93.002  защіпка</t>
  </si>
  <si>
    <t>393.3.1.2</t>
  </si>
  <si>
    <t>172.93.102сб  защіпка</t>
  </si>
  <si>
    <t>393.3.1</t>
  </si>
  <si>
    <t>608.91.168сб  защіпка</t>
  </si>
  <si>
    <t>393.3</t>
  </si>
  <si>
    <t>608.91.595  обичайка</t>
  </si>
  <si>
    <t>393.2.6</t>
  </si>
  <si>
    <t>608.91.594  скоба</t>
  </si>
  <si>
    <t>393.2.5</t>
  </si>
  <si>
    <t>лист S=2,5 ГОСТ19904-74 Сталь10кп ГОСТ16523-70</t>
  </si>
  <si>
    <t>608.91.593  петля</t>
  </si>
  <si>
    <t>393.2.4</t>
  </si>
  <si>
    <t>608.91.590  кришка</t>
  </si>
  <si>
    <t>393.2.1</t>
  </si>
  <si>
    <t>608.91.166сб  кришка</t>
  </si>
  <si>
    <t>393.2</t>
  </si>
  <si>
    <t>608.91.717  кутник</t>
  </si>
  <si>
    <t>393.1.15</t>
  </si>
  <si>
    <t>608.91.607  обичайка</t>
  </si>
  <si>
    <t>393.1.10</t>
  </si>
  <si>
    <t>608.91.606  ребро</t>
  </si>
  <si>
    <t>393.1.9</t>
  </si>
  <si>
    <t>608.91.605  лапа</t>
  </si>
  <si>
    <t>393.1.8</t>
  </si>
  <si>
    <t>608.91.568  кутник</t>
  </si>
  <si>
    <t>393.1.7</t>
  </si>
  <si>
    <t>608.91.567  кутник</t>
  </si>
  <si>
    <t>393.1.6</t>
  </si>
  <si>
    <t>608.91.566  кутник</t>
  </si>
  <si>
    <t>393.1.5</t>
  </si>
  <si>
    <t>608.91.559  боковина</t>
  </si>
  <si>
    <t>393.1.4</t>
  </si>
  <si>
    <t>608.91.558  боковина</t>
  </si>
  <si>
    <t>393.1.3</t>
  </si>
  <si>
    <t>608.91.557  обичайка</t>
  </si>
  <si>
    <t>393.1.2</t>
  </si>
  <si>
    <t>дріт d=4 СвАМг6 ГОСТ7871-63</t>
  </si>
  <si>
    <t>393.1.1.5</t>
  </si>
  <si>
    <t>608.91.564  ребро</t>
  </si>
  <si>
    <t>393.1.1.4</t>
  </si>
  <si>
    <t>608.91.563  ребро</t>
  </si>
  <si>
    <t>393.1.1.3</t>
  </si>
  <si>
    <t>608.91.562  ребро</t>
  </si>
  <si>
    <t>393.1.1.2</t>
  </si>
  <si>
    <t>608.91.561  обичайка</t>
  </si>
  <si>
    <t>393.1.1.1</t>
  </si>
  <si>
    <t>608.91.167сб  перегородка</t>
  </si>
  <si>
    <t>393.1.1</t>
  </si>
  <si>
    <t>608.91.165сб  корпус</t>
  </si>
  <si>
    <t>393.1</t>
  </si>
  <si>
    <t>608.91.164сб  ящик</t>
  </si>
  <si>
    <t>393</t>
  </si>
  <si>
    <t>лист S=1 АМг6БМ ГОСТ21631-76</t>
  </si>
  <si>
    <t>172.91.445</t>
  </si>
  <si>
    <t>360.3</t>
  </si>
  <si>
    <t>172.91.206сб  ящик для інструменту</t>
  </si>
  <si>
    <t>360</t>
  </si>
  <si>
    <t>608.91.543</t>
  </si>
  <si>
    <t>353.6</t>
  </si>
  <si>
    <t>608.91.262</t>
  </si>
  <si>
    <t>353.5</t>
  </si>
  <si>
    <t>дріт IIА d=4 ГОСТ9389-75</t>
  </si>
  <si>
    <t>172.91.498  кільце</t>
  </si>
  <si>
    <t>353.4.2</t>
  </si>
  <si>
    <t>лист S=1,5 Cталь10кп ГОСТ16523-70</t>
  </si>
  <si>
    <t>172.91.222  скоба</t>
  </si>
  <si>
    <t>353.4.1</t>
  </si>
  <si>
    <t>172.91.107сб  кільце</t>
  </si>
  <si>
    <t>353.4</t>
  </si>
  <si>
    <t>608.91.269  кришка</t>
  </si>
  <si>
    <t>353.3.1</t>
  </si>
  <si>
    <t>608.91.095сб  кришка</t>
  </si>
  <si>
    <t>353.3</t>
  </si>
  <si>
    <t>608.91.252  планка</t>
  </si>
  <si>
    <t>353.2.8</t>
  </si>
  <si>
    <t>608.91.251  планка</t>
  </si>
  <si>
    <t>353.2.7</t>
  </si>
  <si>
    <t>608.91.249  планка</t>
  </si>
  <si>
    <t>353.2.6</t>
  </si>
  <si>
    <t>608.91.248  планка</t>
  </si>
  <si>
    <t>353.2.5</t>
  </si>
  <si>
    <t>608.91.247  планка</t>
  </si>
  <si>
    <t>353.2.4</t>
  </si>
  <si>
    <t>608.91.246  планка</t>
  </si>
  <si>
    <t>353.2.3</t>
  </si>
  <si>
    <t>608.91.245  планка</t>
  </si>
  <si>
    <t>353.2.2</t>
  </si>
  <si>
    <t>608.91.244  кришка</t>
  </si>
  <si>
    <t>353.2.1</t>
  </si>
  <si>
    <t>608.91.094сб  кришка</t>
  </si>
  <si>
    <t>353.2</t>
  </si>
  <si>
    <t>608.91.264  днище</t>
  </si>
  <si>
    <t>353.1.12</t>
  </si>
  <si>
    <t>608.91.263  кришка</t>
  </si>
  <si>
    <t>353.1.11</t>
  </si>
  <si>
    <t>608.91.260 кронштейн</t>
  </si>
  <si>
    <t>353.1.9</t>
  </si>
  <si>
    <t>608.91.259  перегородка</t>
  </si>
  <si>
    <t>353.1.8</t>
  </si>
  <si>
    <t>608.91.257  вставка</t>
  </si>
  <si>
    <t>353.1.6</t>
  </si>
  <si>
    <t>608.91.256  боковина</t>
  </si>
  <si>
    <t>353.1.5</t>
  </si>
  <si>
    <t>608.91.255  боковина</t>
  </si>
  <si>
    <t>353.1.4</t>
  </si>
  <si>
    <t>608.91.254  стінка</t>
  </si>
  <si>
    <t>353.1.3</t>
  </si>
  <si>
    <t>608.91.093сб  корпус</t>
  </si>
  <si>
    <t>353.1</t>
  </si>
  <si>
    <t>для знежирення баку перед фарбуванням</t>
  </si>
  <si>
    <t>608.91.092сб  ящик-стелаж</t>
  </si>
  <si>
    <t>353</t>
  </si>
  <si>
    <t>лист S=5 ГОСТ19903-74 Сталь20 ГОСТ1050-74</t>
  </si>
  <si>
    <t>608.28.049  ребро</t>
  </si>
  <si>
    <t>337.1.3</t>
  </si>
  <si>
    <t>608.28.048  планка</t>
  </si>
  <si>
    <t>337.1.2</t>
  </si>
  <si>
    <t>608.28.047-1  боковина</t>
  </si>
  <si>
    <t>337.1.1</t>
  </si>
  <si>
    <t>608.28.012сб  рамка</t>
  </si>
  <si>
    <t>337.1</t>
  </si>
  <si>
    <t>608.28.011сб  обмежувач</t>
  </si>
  <si>
    <t>337</t>
  </si>
  <si>
    <t>лист S=1 Сталь10кп ГОСТ16523</t>
  </si>
  <si>
    <t>54.02.481  накладка</t>
  </si>
  <si>
    <t>лист S=1,5 Сталь10кп ГОСТ16523</t>
  </si>
  <si>
    <t>54.02.480  лента</t>
  </si>
  <si>
    <t>54.02.116сб  хомут в зборі</t>
  </si>
  <si>
    <t>L=350</t>
  </si>
  <si>
    <t>труба 25х2 ГОСТ8734-75 Сталь10 ГОСТ8733-74</t>
  </si>
  <si>
    <t>172.33.724  труба (б/к)</t>
  </si>
  <si>
    <t>172.33.592  патрубок</t>
  </si>
  <si>
    <t>172.33.202сб-1</t>
  </si>
  <si>
    <t>шланг 40У38-7 або 40У38-13</t>
  </si>
  <si>
    <t>172.33.222сб-1</t>
  </si>
  <si>
    <t>320</t>
  </si>
  <si>
    <t>172.91.339  стрічка</t>
  </si>
  <si>
    <t>318.3</t>
  </si>
  <si>
    <t>175.91.175  планка</t>
  </si>
  <si>
    <t>318.2</t>
  </si>
  <si>
    <t>лист S=5 Сталь20 ГОСТ1577-70</t>
  </si>
  <si>
    <t>155.28.1627  кутник</t>
  </si>
  <si>
    <t>318.1.2</t>
  </si>
  <si>
    <t>155.28.1626  ребро</t>
  </si>
  <si>
    <t>318.1.1</t>
  </si>
  <si>
    <t>155.28.716сб  кутник</t>
  </si>
  <si>
    <t>318.1</t>
  </si>
  <si>
    <t>172.91.160сб  нижня вітка стрічки</t>
  </si>
  <si>
    <t>318</t>
  </si>
  <si>
    <t>лист S=2 Л63 ГОСТ931-70</t>
  </si>
  <si>
    <t>520.08.002-04  наконечник 50х10,5</t>
  </si>
  <si>
    <t>313.5</t>
  </si>
  <si>
    <t>608.70.157сб  провід плюсовий</t>
  </si>
  <si>
    <t>313</t>
  </si>
  <si>
    <t>лист S=3 Л63 ГОСТ931-70</t>
  </si>
  <si>
    <t>54.26.269-1  наконечник</t>
  </si>
  <si>
    <t>307.1</t>
  </si>
  <si>
    <t>54.26.204сб  провід плюсовий</t>
  </si>
  <si>
    <t>307</t>
  </si>
  <si>
    <t>54.26.266-1  наконечник</t>
  </si>
  <si>
    <t>306.1</t>
  </si>
  <si>
    <t>54.26.203сб  провід плюсовий</t>
  </si>
  <si>
    <t>306</t>
  </si>
  <si>
    <t>172.91.338  лента</t>
  </si>
  <si>
    <t>303.2</t>
  </si>
  <si>
    <t>155.28.1585  кутник</t>
  </si>
  <si>
    <t>303.1.2</t>
  </si>
  <si>
    <t>155.28.1584  ребро</t>
  </si>
  <si>
    <t>303.1.1</t>
  </si>
  <si>
    <t>155.28.701сб-1</t>
  </si>
  <si>
    <t>303.1</t>
  </si>
  <si>
    <t>172.91.159сб  верхня вітка стрічки</t>
  </si>
  <si>
    <t>303</t>
  </si>
  <si>
    <t>608.91.009сб  кришка</t>
  </si>
  <si>
    <t>297.2</t>
  </si>
  <si>
    <t>лист S=3 АМг6БМ ГОСТ 21631-76</t>
  </si>
  <si>
    <t>608.91.211  боковина</t>
  </si>
  <si>
    <t>297.1.5</t>
  </si>
  <si>
    <t>608.91.008  боковина</t>
  </si>
  <si>
    <t>297.1.2</t>
  </si>
  <si>
    <t>608.91.003-1  корпус</t>
  </si>
  <si>
    <t>297.1.1</t>
  </si>
  <si>
    <t>608.91.008сб  корпус</t>
  </si>
  <si>
    <t>297.1</t>
  </si>
  <si>
    <t>608.91.005сб  ящик для ЗІП зовнішній правий другий</t>
  </si>
  <si>
    <t>297</t>
  </si>
  <si>
    <t>дріт ММ d=1,95 ГОСТ2112-79</t>
  </si>
  <si>
    <t>172.70.303  запобіжник 200А</t>
  </si>
  <si>
    <t>293</t>
  </si>
  <si>
    <t>172.91.217  зачіп</t>
  </si>
  <si>
    <t>290.1.7</t>
  </si>
  <si>
    <t>172.91.216  зачіп</t>
  </si>
  <si>
    <t>290.1.6</t>
  </si>
  <si>
    <t>172.91.068-А  перегородка</t>
  </si>
  <si>
    <t>290.1.5</t>
  </si>
  <si>
    <t>172.91.067-А  перегородка</t>
  </si>
  <si>
    <t>290.1.4</t>
  </si>
  <si>
    <t>172.91.066-А  боковина</t>
  </si>
  <si>
    <t>290.1.3</t>
  </si>
  <si>
    <t>172.91.065-А  обичайка</t>
  </si>
  <si>
    <t>290.1.2</t>
  </si>
  <si>
    <t>172.91.069-А  кришка</t>
  </si>
  <si>
    <t>290.1.1.2</t>
  </si>
  <si>
    <t xml:space="preserve">  лист S=1,5 АМг6БМ ГОСТ21631-76</t>
  </si>
  <si>
    <t xml:space="preserve">  172.91.221  вушко</t>
  </si>
  <si>
    <t>290.1.1.1.1</t>
  </si>
  <si>
    <t>172.91.098сб  застібка в зборі</t>
  </si>
  <si>
    <t>290.1.1.1</t>
  </si>
  <si>
    <t>172.91.043сб-А  кришка</t>
  </si>
  <si>
    <t>290.1.1</t>
  </si>
  <si>
    <t>172.91.042сб-А  корпус</t>
  </si>
  <si>
    <t>290.1</t>
  </si>
  <si>
    <t>клей 8НП</t>
  </si>
  <si>
    <t>172.91.041сб-А  пенал для електроламп</t>
  </si>
  <si>
    <t>290</t>
  </si>
  <si>
    <t>труба 25х1 Сталь20 ГОСТ8733-74</t>
  </si>
  <si>
    <t>175.91.178  патрубок б/к</t>
  </si>
  <si>
    <t>288.1.2</t>
  </si>
  <si>
    <t>труба 18х1 Сталь20 ГОСТ8733-74</t>
  </si>
  <si>
    <t>175.91.177  патрубок б/к</t>
  </si>
  <si>
    <t>288.1.1</t>
  </si>
  <si>
    <t>175.91.076сб  перехідник</t>
  </si>
  <si>
    <t>288.1</t>
  </si>
  <si>
    <t>шланг 40У25-1</t>
  </si>
  <si>
    <t>175.91.077сб  перехідник</t>
  </si>
  <si>
    <t>288</t>
  </si>
  <si>
    <t>труба 20х1 ГОСТ8734-75 Сталь10 ГОСТ8733-75</t>
  </si>
  <si>
    <t>175.91.329  труба</t>
  </si>
  <si>
    <t>281.1</t>
  </si>
  <si>
    <t>175.91.138сб  наконечник для зливу палива</t>
  </si>
  <si>
    <t>287</t>
  </si>
  <si>
    <t>лист S=1 Сталь10кп ГОСТ165223-70</t>
  </si>
  <si>
    <t>155.28.1674  перегородка</t>
  </si>
  <si>
    <t>252.4</t>
  </si>
  <si>
    <t>155.28.1673  боковина</t>
  </si>
  <si>
    <t>252.3</t>
  </si>
  <si>
    <t>155.28.1672  корпус</t>
  </si>
  <si>
    <t>252.2</t>
  </si>
  <si>
    <t>155.28.1671  кришка</t>
  </si>
  <si>
    <t>252.1.2</t>
  </si>
  <si>
    <t>54.28.391сб  защіпка в зборі</t>
  </si>
  <si>
    <t>252.1.1</t>
  </si>
  <si>
    <t>155.28.733сб  кришка</t>
  </si>
  <si>
    <t>252.1</t>
  </si>
  <si>
    <t>155.28.734сб  ящик дрібного ЗІП</t>
  </si>
  <si>
    <t>252</t>
  </si>
  <si>
    <t>лист S=1,5 фібра КГФ ГОСТ14613-83</t>
  </si>
  <si>
    <t>520.06.001-01  прокладка 12х18</t>
  </si>
  <si>
    <t>203</t>
  </si>
  <si>
    <t>лист S=2 АД0М ГОСТ21631-76</t>
  </si>
  <si>
    <t>432.66.124  кільце</t>
  </si>
  <si>
    <t>172.91.448  перегородка</t>
  </si>
  <si>
    <t>150.7</t>
  </si>
  <si>
    <t>172.91.447  перегородка</t>
  </si>
  <si>
    <t>150.6</t>
  </si>
  <si>
    <t>172.91.446  перегородка</t>
  </si>
  <si>
    <t>150.5</t>
  </si>
  <si>
    <t>172.91.443  боковина</t>
  </si>
  <si>
    <t>150.4</t>
  </si>
  <si>
    <t>172.91.442  обичайка</t>
  </si>
  <si>
    <t>150.3</t>
  </si>
  <si>
    <t>172.91.502  планка</t>
  </si>
  <si>
    <t>150.2.1</t>
  </si>
  <si>
    <t>172.91.221сб  защіпка</t>
  </si>
  <si>
    <t>150.2</t>
  </si>
  <si>
    <t>172.91.504  наконечник</t>
  </si>
  <si>
    <t>150.1.5</t>
  </si>
  <si>
    <t>172.91.510  скоба</t>
  </si>
  <si>
    <t>150.1.3</t>
  </si>
  <si>
    <t>172.91.441</t>
  </si>
  <si>
    <t>150.1.2</t>
  </si>
  <si>
    <t>172.91.450  вісь шарніру</t>
  </si>
  <si>
    <t>150.1.1.3</t>
  </si>
  <si>
    <t>172.91.438  петля</t>
  </si>
  <si>
    <t>150.1.1.2</t>
  </si>
  <si>
    <t>172.91.437  створка</t>
  </si>
  <si>
    <t>150.1.1.1</t>
  </si>
  <si>
    <t>172.91.208сб  створка</t>
  </si>
  <si>
    <t>150.1.1</t>
  </si>
  <si>
    <t>172.91.205сб  кришка</t>
  </si>
  <si>
    <t>150.1</t>
  </si>
  <si>
    <t>емаль ФЛ-115 чорна</t>
  </si>
  <si>
    <t>172.91.207сб  ящик для ЗІП</t>
  </si>
  <si>
    <t>150</t>
  </si>
  <si>
    <t>54.29.21сб-2А  очищувач шкла</t>
  </si>
  <si>
    <t>143.5</t>
  </si>
  <si>
    <t>434.04.410  скоба</t>
  </si>
  <si>
    <t>143.2.2</t>
  </si>
  <si>
    <t>434.04.355-1  обойма</t>
  </si>
  <si>
    <t>143.2.1</t>
  </si>
  <si>
    <t>434.04.061сб-1  обойма</t>
  </si>
  <si>
    <t>143.2</t>
  </si>
  <si>
    <t>круг d=18 АМг6 ГОСТ21488-76</t>
  </si>
  <si>
    <t>143.1.3</t>
  </si>
  <si>
    <t>труба 12х1,5 АМг6 ОСТ1 92096-83</t>
  </si>
  <si>
    <t>143.1.2</t>
  </si>
  <si>
    <t>143.1.1</t>
  </si>
  <si>
    <t>143.1</t>
  </si>
  <si>
    <t>434.04.065сб-1  щиток ковпака механіка-водія</t>
  </si>
  <si>
    <t>лист S=4 ГОСТ19903-74 Сталь10 ГОСТ1150</t>
  </si>
  <si>
    <t>929.372  стінка задня</t>
  </si>
  <si>
    <t>141.2</t>
  </si>
  <si>
    <t>929.391  обойма</t>
  </si>
  <si>
    <t>141.1.5</t>
  </si>
  <si>
    <t>929.390  обойма</t>
  </si>
  <si>
    <t>141.1.4</t>
  </si>
  <si>
    <t>608.28.054  упор</t>
  </si>
  <si>
    <t>141.1.2</t>
  </si>
  <si>
    <t>608.28.053  сітка</t>
  </si>
  <si>
    <t>141.1.1</t>
  </si>
  <si>
    <t>608.28.017сб</t>
  </si>
  <si>
    <t>141.1</t>
  </si>
  <si>
    <t>608.28.013сб  щітка</t>
  </si>
  <si>
    <t>141</t>
  </si>
  <si>
    <t>420мм</t>
  </si>
  <si>
    <t>шланг 8Д8-60 ТУ38-105-481-72</t>
  </si>
  <si>
    <t>54.28.67сб-1  шланг для шприц-преса</t>
  </si>
  <si>
    <t>136</t>
  </si>
  <si>
    <t>лист S=1,5 ГОСТ19903-74 Ст3 ГОСТ16523-89</t>
  </si>
  <si>
    <t>608.70.164  планка</t>
  </si>
  <si>
    <t>132.2.1</t>
  </si>
  <si>
    <t>608.70.111сб  заглушка з тросом</t>
  </si>
  <si>
    <t>132.2</t>
  </si>
  <si>
    <t>Дріт 0,5-0-4 l=200</t>
  </si>
  <si>
    <t>Канат 1,8 L=250</t>
  </si>
  <si>
    <t>608.70.040сб  стійка для переносної фари</t>
  </si>
  <si>
    <t>132</t>
  </si>
  <si>
    <t>труба 18х2 ГОСТ8734-75 Сталь20 ГОСТ8733-74</t>
  </si>
  <si>
    <t>131.2</t>
  </si>
  <si>
    <t>155.28.674сб  стержень для шприц-преса</t>
  </si>
  <si>
    <t>131</t>
  </si>
  <si>
    <t>175.91.258  ніж</t>
  </si>
  <si>
    <t>130.2</t>
  </si>
  <si>
    <t>175.91.109сб  скребок</t>
  </si>
  <si>
    <t>130</t>
  </si>
  <si>
    <t>труба 13х3 ГОСТ8734-75 Сталь20 ГОСТ8733-74</t>
  </si>
  <si>
    <t>608.33.298  патрубок</t>
  </si>
  <si>
    <t>127.1.1</t>
  </si>
  <si>
    <t>608.33.090сб  патрубок</t>
  </si>
  <si>
    <t>127.1</t>
  </si>
  <si>
    <t>шланг 40У12-7</t>
  </si>
  <si>
    <t>632.91.023сб-1  рукав для зливу рідини</t>
  </si>
  <si>
    <t>127</t>
  </si>
  <si>
    <t>175.91.179-1  трубка</t>
  </si>
  <si>
    <t>124.2</t>
  </si>
  <si>
    <t>175.91.075сб  наконечник до лійки</t>
  </si>
  <si>
    <t>124</t>
  </si>
  <si>
    <t>труба 30х1 ГОСТ 8734-75 Сталь10 ГОСТ8733-74</t>
  </si>
  <si>
    <t>54.28.265  носок</t>
  </si>
  <si>
    <t>117.4</t>
  </si>
  <si>
    <t xml:space="preserve">54.28.049-1  конічна частина лійки </t>
  </si>
  <si>
    <t>117.3</t>
  </si>
  <si>
    <t>54.28.018  корпус лійки</t>
  </si>
  <si>
    <t>117.2</t>
  </si>
  <si>
    <t xml:space="preserve">сітка Л63 ГОСТ15527-70 №0224 полутомпакова ГОСТ6613-73 </t>
  </si>
  <si>
    <t>54.28.010-1  сітка</t>
  </si>
  <si>
    <t>117.1.3</t>
  </si>
  <si>
    <t>54.28.009  ручка філтра</t>
  </si>
  <si>
    <t>117.1.2</t>
  </si>
  <si>
    <t>54.28.008-1  корпус фільтра</t>
  </si>
  <si>
    <t>117.1.1</t>
  </si>
  <si>
    <t>54.28.3сб-1</t>
  </si>
  <si>
    <t>117.1</t>
  </si>
  <si>
    <t>54.28.40сб-2  лійка</t>
  </si>
  <si>
    <t>117</t>
  </si>
  <si>
    <t>54.28.636-4  козирьок</t>
  </si>
  <si>
    <t>54.28.635-3  ніс відра</t>
  </si>
  <si>
    <t>54.28.004-1  петля</t>
  </si>
  <si>
    <t>дріт d=6 ГОСТ3282-74</t>
  </si>
  <si>
    <t>54.28.003-3  ручка відра</t>
  </si>
  <si>
    <t>54.28.002-2  дно відра</t>
  </si>
  <si>
    <t>175.91.328  корпус відра</t>
  </si>
  <si>
    <t>175.91.136сб  відро металеве</t>
  </si>
  <si>
    <t>лист S=2 Сталь20 ГОСТ1050-88</t>
  </si>
  <si>
    <t>65.54.28.186-4  дно</t>
  </si>
  <si>
    <t>115.1.4</t>
  </si>
  <si>
    <t>65.54.28.186-3  обруч</t>
  </si>
  <si>
    <t>115.1.3</t>
  </si>
  <si>
    <t>65.54.28.186-2  диск</t>
  </si>
  <si>
    <t>115.1.2</t>
  </si>
  <si>
    <t>65.54.28.186-1  горловина</t>
  </si>
  <si>
    <t>65.54.28.186сб  бачок</t>
  </si>
  <si>
    <t xml:space="preserve">65.54.28.185сб  бачок для змазки </t>
  </si>
  <si>
    <t>лист S=5 Сталь20 ГОСТ1050-74</t>
  </si>
  <si>
    <t>54.28.986  клин малий</t>
  </si>
  <si>
    <t>лист S=6 Сталь20 ГОСТ1050-74</t>
  </si>
  <si>
    <t>54.28.985  клин великий</t>
  </si>
  <si>
    <t>54.28.673сб  кувалда</t>
  </si>
  <si>
    <t>106</t>
  </si>
  <si>
    <t>608.18.172  упор</t>
  </si>
  <si>
    <t>96.1.4</t>
  </si>
  <si>
    <t>608.18.171  стінка</t>
  </si>
  <si>
    <t>96.1.3</t>
  </si>
  <si>
    <t>608.18.170-А  обойма</t>
  </si>
  <si>
    <t>96.1.2</t>
  </si>
  <si>
    <t>608.18.169-А  обойма</t>
  </si>
  <si>
    <t>96.1.1</t>
  </si>
  <si>
    <t>608.18.041сб  обойма</t>
  </si>
  <si>
    <t>96.1</t>
  </si>
  <si>
    <t>608.18.040сб  щітка очистки троса</t>
  </si>
  <si>
    <t>96</t>
  </si>
  <si>
    <t xml:space="preserve">ТУ38-005-6016-72
 Шланг 40У142-1
</t>
  </si>
  <si>
    <t>95</t>
  </si>
  <si>
    <t>ТУ38-005-6016-72 Шланг 40У48-7</t>
  </si>
  <si>
    <t>94</t>
  </si>
  <si>
    <t xml:space="preserve">175.34.246  накладка </t>
  </si>
  <si>
    <t>93.2</t>
  </si>
  <si>
    <t>175.34.245  стрічка</t>
  </si>
  <si>
    <t>93.1</t>
  </si>
  <si>
    <t>175.34.073сб  хомут</t>
  </si>
  <si>
    <t>93</t>
  </si>
  <si>
    <t>лист S=1,5 Сталь У8А ГОСТ1435-74</t>
  </si>
  <si>
    <t>175.91.045  пружина</t>
  </si>
  <si>
    <t>84.2.1.2</t>
  </si>
  <si>
    <t>175.91.044  щиток</t>
  </si>
  <si>
    <t>84.2.1.1</t>
  </si>
  <si>
    <t>84.2.1</t>
  </si>
  <si>
    <t>84.2</t>
  </si>
  <si>
    <t>608.91.213  вставка</t>
  </si>
  <si>
    <t>84.1.8</t>
  </si>
  <si>
    <t>608.91.185  перегородка</t>
  </si>
  <si>
    <t>84.1.7</t>
  </si>
  <si>
    <t>608.91.184  перегородка</t>
  </si>
  <si>
    <t>84.1.6</t>
  </si>
  <si>
    <t>608.91.010  горловина</t>
  </si>
  <si>
    <t>84.1.4</t>
  </si>
  <si>
    <t>608.91.007  боковина</t>
  </si>
  <si>
    <t>84.1.3</t>
  </si>
  <si>
    <t>608.91.006  боковина</t>
  </si>
  <si>
    <t>84.1.2</t>
  </si>
  <si>
    <t>608.91.002  корпус</t>
  </si>
  <si>
    <t>84.1.1</t>
  </si>
  <si>
    <t>608.91.007сб  корпус</t>
  </si>
  <si>
    <t>84.1</t>
  </si>
  <si>
    <t>608.91.004сб  ящик для ЗІП зовнішній правий</t>
  </si>
  <si>
    <t>84</t>
  </si>
  <si>
    <t>дріт 0,5-0-4  ГОСТ3282-74</t>
  </si>
  <si>
    <t>172.87.072сб  трос</t>
  </si>
  <si>
    <t>лист S=2,5 Сталь20 ГОСТ16523-70</t>
  </si>
  <si>
    <t>172.83.165  планка</t>
  </si>
  <si>
    <t>70.2</t>
  </si>
  <si>
    <t xml:space="preserve">175.83.011  щиток </t>
  </si>
  <si>
    <t>70.1</t>
  </si>
  <si>
    <t>175.83.005сб  щиток запобіжний</t>
  </si>
  <si>
    <t>лист S=4 ГОСТ19903-74 Сталь20 ГОСТ1050-88</t>
  </si>
  <si>
    <t>05.М.032.04.003  вставка УК1-3</t>
  </si>
  <si>
    <t>58.3</t>
  </si>
  <si>
    <t>УК-1Б  пристосування універсальне</t>
  </si>
  <si>
    <t>58</t>
  </si>
  <si>
    <t>608.83.062  кронштейн</t>
  </si>
  <si>
    <t>41.1.1</t>
  </si>
  <si>
    <t>608.83.039сб  кронштейн</t>
  </si>
  <si>
    <t>41.1</t>
  </si>
  <si>
    <t>608.83.038сб  ліхтар сигнальний</t>
  </si>
  <si>
    <t>41</t>
  </si>
  <si>
    <t>54.83.400  шайба</t>
  </si>
  <si>
    <t>40.18</t>
  </si>
  <si>
    <t>54.83.132  скоба</t>
  </si>
  <si>
    <t>40.15</t>
  </si>
  <si>
    <t>лист S=3 Сталь10 ГОСТ1577-70</t>
  </si>
  <si>
    <t>172.83.173  шайба</t>
  </si>
  <si>
    <t>40.12</t>
  </si>
  <si>
    <t>лист S=3 пароніт ПМБ ГОСТ481-71</t>
  </si>
  <si>
    <t>54.83.097  прокладка</t>
  </si>
  <si>
    <t>40.5.3</t>
  </si>
  <si>
    <t>54.83.22сб  тарілка клапана</t>
  </si>
  <si>
    <t>40.5</t>
  </si>
  <si>
    <t>лист S=4 пароніт ПОН ГОСТ481-71</t>
  </si>
  <si>
    <t>40.4.3</t>
  </si>
  <si>
    <t>стрічка S=0,25 М3 ГОСТ1173-93</t>
  </si>
  <si>
    <t>172.83.197  оболонка</t>
  </si>
  <si>
    <t>40.4.2</t>
  </si>
  <si>
    <t>172.83.196  оболонка</t>
  </si>
  <si>
    <t>40.4.1</t>
  </si>
  <si>
    <t>172.83.073сб  прокладка</t>
  </si>
  <si>
    <t>40.4</t>
  </si>
  <si>
    <t>175.83.010-1  важіль</t>
  </si>
  <si>
    <t>40.3.1</t>
  </si>
  <si>
    <t>175.83.004сб-1  важіль</t>
  </si>
  <si>
    <t>40.3</t>
  </si>
  <si>
    <t>175.83.041  зацеп</t>
  </si>
  <si>
    <t>40.1.2</t>
  </si>
  <si>
    <t>175.83.002сб-1  кришка</t>
  </si>
  <si>
    <t>40.1</t>
  </si>
  <si>
    <t>175.83.001сб-1  клапани випускні</t>
  </si>
  <si>
    <t>40</t>
  </si>
  <si>
    <t>лист S=2,5 Сталь30ХГСА ГОСТ11268-76</t>
  </si>
  <si>
    <t>54.09.020-1  кільце пружинне</t>
  </si>
  <si>
    <t>39.1.5</t>
  </si>
  <si>
    <t>175.95.057сб-1  витягувач</t>
  </si>
  <si>
    <t>39.1</t>
  </si>
  <si>
    <t>175.95.056сб-1  пристосування</t>
  </si>
  <si>
    <t>39</t>
  </si>
  <si>
    <t>32.4</t>
  </si>
  <si>
    <t>172.91.107сб  кільце в складі</t>
  </si>
  <si>
    <t>32.3</t>
  </si>
  <si>
    <t>32.2.9</t>
  </si>
  <si>
    <t>608.91.224  перегородка</t>
  </si>
  <si>
    <t>32.2.7</t>
  </si>
  <si>
    <t>608.91.223  горловина</t>
  </si>
  <si>
    <t>32.2.6</t>
  </si>
  <si>
    <t>608.91.222  боковина</t>
  </si>
  <si>
    <t>32.2.5</t>
  </si>
  <si>
    <t>608.91.221  боковина</t>
  </si>
  <si>
    <t>32.2.4</t>
  </si>
  <si>
    <t>608.91.220  корпус</t>
  </si>
  <si>
    <t>32.2.3</t>
  </si>
  <si>
    <t>608.91.016  лапа</t>
  </si>
  <si>
    <t>32.2.2</t>
  </si>
  <si>
    <t>608.91.011-1  лапа</t>
  </si>
  <si>
    <t>32.2.1</t>
  </si>
  <si>
    <t>608.91.086сб  корпус</t>
  </si>
  <si>
    <t>32.2</t>
  </si>
  <si>
    <t>32.1.9</t>
  </si>
  <si>
    <t>32.1.7</t>
  </si>
  <si>
    <t>175.91.056  скоба</t>
  </si>
  <si>
    <t>32.1.3</t>
  </si>
  <si>
    <t>32.1.2</t>
  </si>
  <si>
    <t>32.1.1</t>
  </si>
  <si>
    <t>32.1</t>
  </si>
  <si>
    <t>608.91.003сб-1  ящик для ЗІП</t>
  </si>
  <si>
    <t>лист S=1 ГОСТ3680-57 Сталь10 ГОСТ914-56</t>
  </si>
  <si>
    <t>56-ЖЛ-542М/39  накладка</t>
  </si>
  <si>
    <t>28.1.2.12</t>
  </si>
  <si>
    <t>лист S=0,8 ГОСТ3680-57 Сталь 50 ГОСТ 914-56</t>
  </si>
  <si>
    <t>56-ЖЛ-542М/31  язик магазину</t>
  </si>
  <si>
    <t>28.1.2.9</t>
  </si>
  <si>
    <t>стрічка S=1,5 У8А ГОСТ2283-57</t>
  </si>
  <si>
    <t>56-ЖЛ-542М/22  защіпка магазина</t>
  </si>
  <si>
    <t>28.1.2.8</t>
  </si>
  <si>
    <t>лист S=2 ГОСТ3680-57 Сталь30 ГОСТ914-56</t>
  </si>
  <si>
    <t>56-ЖЛ-542М/20  скоба ручки</t>
  </si>
  <si>
    <t>28.1.2.6</t>
  </si>
  <si>
    <t>56-ЖЛ-542М/19  планка скоби</t>
  </si>
  <si>
    <t>28.1.2.5</t>
  </si>
  <si>
    <t>56-ЖЛ-542М/18  кутник кришки</t>
  </si>
  <si>
    <t>28.1.2.4</t>
  </si>
  <si>
    <t>56-ЖЛ-542М/15  навіска кришки</t>
  </si>
  <si>
    <t>28.1.2.3</t>
  </si>
  <si>
    <t>56-ЖЛ-542М/14  основа кришки</t>
  </si>
  <si>
    <t>28.1.2.2</t>
  </si>
  <si>
    <t xml:space="preserve">  лист S=1 ГОСТ3680-57 Сталь10 ГОСТ914-56</t>
  </si>
  <si>
    <t xml:space="preserve">  56-ЖЛ-542М/35  скоба зажимна</t>
  </si>
  <si>
    <t>28.1.2.1.2</t>
  </si>
  <si>
    <t>56-ЖЛ-542М/сб3  ручка</t>
  </si>
  <si>
    <t>28.1.2.1</t>
  </si>
  <si>
    <t>56-ЖЛ-542М/сб4  кришка</t>
  </si>
  <si>
    <t>28.1.2</t>
  </si>
  <si>
    <t>56-ЖЛ-542М/37  кутник</t>
  </si>
  <si>
    <t>28.1.1.10</t>
  </si>
  <si>
    <t>56-ЖЛ-542М/30  вісь кришки</t>
  </si>
  <si>
    <t>28.1.1.9</t>
  </si>
  <si>
    <t>56-ЖЛ-542М/28  козирьок магазину</t>
  </si>
  <si>
    <t>28.1.1.8</t>
  </si>
  <si>
    <t>56-ЖЛ-542М/12  навіска магазину</t>
  </si>
  <si>
    <t>28.1.1.7</t>
  </si>
  <si>
    <t xml:space="preserve"> лист S=2 ГОСТ3680-57 Сталь30 ГОСТ914-56</t>
  </si>
  <si>
    <t>56-ЖЛ-542М/10  крючок запору</t>
  </si>
  <si>
    <t>28.1.1.6</t>
  </si>
  <si>
    <t>56-ЖЛ-542М/3  стінка передня</t>
  </si>
  <si>
    <t>28.1.1.5</t>
  </si>
  <si>
    <t>56-ЖЛ-542М/2  стінка задня</t>
  </si>
  <si>
    <t>28.1.1.4</t>
  </si>
  <si>
    <t xml:space="preserve">  лист S=1,5 ГОСТ3680-57 Сталь15 ГОСТ914-56</t>
  </si>
  <si>
    <t xml:space="preserve">  56-ЖЛ-542М/38  заготовка дня</t>
  </si>
  <si>
    <t>28.1.1.2.2</t>
  </si>
  <si>
    <t xml:space="preserve">  56-ЖЛ-542М/8  підкладка зачіпів внутрішня</t>
  </si>
  <si>
    <t>28.1.1.2.1</t>
  </si>
  <si>
    <t>56-ЖЛ-542М/сб5  заготовка дня</t>
  </si>
  <si>
    <t>28.1.1.2</t>
  </si>
  <si>
    <t xml:space="preserve">  лист S=2,5 ГОСТ3680-57 Сталь30 ГОСТ914-56</t>
  </si>
  <si>
    <t xml:space="preserve">  56-ЖЛ-542М/4  підкладка зачіпів зовнішня</t>
  </si>
  <si>
    <t>28.1.1.1.1</t>
  </si>
  <si>
    <t>56-ЖЛ-542М/сб1  заціп з підкладкою</t>
  </si>
  <si>
    <t>28.1.1.1</t>
  </si>
  <si>
    <t>56-ЖЛ-542М/сб6  дно</t>
  </si>
  <si>
    <t>28.1.1</t>
  </si>
  <si>
    <t>56-ЖЛ-542М/сб2  основа магазину</t>
  </si>
  <si>
    <t>28.1</t>
  </si>
  <si>
    <t>155.32.065 (56-ЖЛ-542М) магазин для кулемету НСВТ</t>
  </si>
  <si>
    <t>лист S=1 Сталь20 ГОСТ1050-60</t>
  </si>
  <si>
    <t>172.91.276  планка</t>
  </si>
  <si>
    <t>24.8</t>
  </si>
  <si>
    <t>172.91.275  планка</t>
  </si>
  <si>
    <t>24.7</t>
  </si>
  <si>
    <t>лист S=2 АМцМ  ГОСТ21631-76</t>
  </si>
  <si>
    <t>172.91.274  накладка</t>
  </si>
  <si>
    <t>24.6</t>
  </si>
  <si>
    <t>172.91.273  накладка</t>
  </si>
  <si>
    <t>24.5</t>
  </si>
  <si>
    <t>172.91.326  скоба</t>
  </si>
  <si>
    <t>24.4.2</t>
  </si>
  <si>
    <t>172.91.272  каркас</t>
  </si>
  <si>
    <t>24.4.1</t>
  </si>
  <si>
    <t>чи давати тут фарбу якщо в зборі воно і так малюється якщо так то додати 112гр фарби</t>
  </si>
  <si>
    <t>172.91.153сб  каркас</t>
  </si>
  <si>
    <t>24.4</t>
  </si>
  <si>
    <t>лист S=3 Сталь20 ГОСТ165223-70</t>
  </si>
  <si>
    <t>165.17.417  шайба</t>
  </si>
  <si>
    <t>24.3.3</t>
  </si>
  <si>
    <t>172.91.267  стойка</t>
  </si>
  <si>
    <t>24.3.1</t>
  </si>
  <si>
    <t>172.91.135сб  стойка</t>
  </si>
  <si>
    <t>24.3</t>
  </si>
  <si>
    <t>дріт КО d=3,0 ГОСТ792-67</t>
  </si>
  <si>
    <t>172.91.133сб  фартух</t>
  </si>
  <si>
    <t>24.1</t>
  </si>
  <si>
    <t>172.91.132сб  щиток вітровий</t>
  </si>
  <si>
    <t>24</t>
  </si>
  <si>
    <t>54.28.1826  планка</t>
  </si>
  <si>
    <t>23.7</t>
  </si>
  <si>
    <t>L=1937(2,07м)</t>
  </si>
  <si>
    <t>труба 30х5 АМг6М ГОСТ4784-74</t>
  </si>
  <si>
    <t>608.83.079  штанга</t>
  </si>
  <si>
    <t>18.1</t>
  </si>
  <si>
    <t>2м</t>
  </si>
  <si>
    <t>608.83.052сб  штанга</t>
  </si>
  <si>
    <t>18</t>
  </si>
  <si>
    <t>54.29.545-2А  рамка бокового шкла</t>
  </si>
  <si>
    <t>13.1.17</t>
  </si>
  <si>
    <t>432.04.415  ободок рамки</t>
  </si>
  <si>
    <t>13.1.14</t>
  </si>
  <si>
    <t>432.04.368  ободок основи</t>
  </si>
  <si>
    <t>13.1.6</t>
  </si>
  <si>
    <t>432.04.413  рамка ковпака</t>
  </si>
  <si>
    <t>13.1.2.1</t>
  </si>
  <si>
    <t>432.04.068сб  рамка ковпака</t>
  </si>
  <si>
    <t>13.1.2</t>
  </si>
  <si>
    <t>432.04.367-1  скоба</t>
  </si>
  <si>
    <t>13.1.1.8</t>
  </si>
  <si>
    <t>434.04.364  козирьок</t>
  </si>
  <si>
    <t>13.1.1.5</t>
  </si>
  <si>
    <t xml:space="preserve">  432.04.357  планка</t>
  </si>
  <si>
    <t>13.1.1.2.1</t>
  </si>
  <si>
    <t>432.04.058сб  амортизатор</t>
  </si>
  <si>
    <t>13.1.1.2</t>
  </si>
  <si>
    <t>перепарвити</t>
  </si>
  <si>
    <t xml:space="preserve">  круг d=18 АМг6Б ГОСТ17232-79</t>
  </si>
  <si>
    <t xml:space="preserve">  432.04.362  вушко замка</t>
  </si>
  <si>
    <t>13.1.1.1.2</t>
  </si>
  <si>
    <t>переправити</t>
  </si>
  <si>
    <t xml:space="preserve">  дріт llА4 Сталь70 ГОСТ9389-75</t>
  </si>
  <si>
    <t xml:space="preserve">  434.04.361  петля замка</t>
  </si>
  <si>
    <t>13.1.1.1.1</t>
  </si>
  <si>
    <t>434.04.059сб  замок</t>
  </si>
  <si>
    <t>13.1.1.1</t>
  </si>
  <si>
    <t>змазка АМС-3 ГОСТ2712-75</t>
  </si>
  <si>
    <t>434.04.057сб-1  основа ковпака</t>
  </si>
  <si>
    <t>13.1.1</t>
  </si>
  <si>
    <t>434.04.361  петля замка. Не 4 а 5 цех</t>
  </si>
  <si>
    <t>432.04.362  вушко замка. Не 4 а 5 цех</t>
  </si>
  <si>
    <t>434.04.056сб-1  задня частина ковпака</t>
  </si>
  <si>
    <t>13.1</t>
  </si>
  <si>
    <t>434.04.875  оправа шкла. Не 4 цех а 6ц</t>
  </si>
  <si>
    <t>13.1.24</t>
  </si>
  <si>
    <t>60.49.014  кільце з 4 перерозцех на 5/4 бо пружинний дріт і норма є на 5 цех</t>
  </si>
  <si>
    <t>13.1.19</t>
  </si>
  <si>
    <t>172.04.179сб  захисний ковпак</t>
  </si>
  <si>
    <t>13-2014</t>
  </si>
  <si>
    <t>219-94-460  шайба</t>
  </si>
  <si>
    <t>219-94-459  пістон</t>
  </si>
  <si>
    <t>219-94-сб306  брезент</t>
  </si>
  <si>
    <t>12</t>
  </si>
  <si>
    <t>608.91.715  планка</t>
  </si>
  <si>
    <t>8.2.7</t>
  </si>
  <si>
    <t>лист АМг6БМ S=3 ГОСТ12593-67</t>
  </si>
  <si>
    <t>608.91.239  обечайа</t>
  </si>
  <si>
    <t>8.2.6</t>
  </si>
  <si>
    <t>608.91.238  обечайка</t>
  </si>
  <si>
    <t>8.2.5</t>
  </si>
  <si>
    <t>608.91.237  боковина</t>
  </si>
  <si>
    <t>8.2.4</t>
  </si>
  <si>
    <t>608.91.236  боковина</t>
  </si>
  <si>
    <t>8.2.3</t>
  </si>
  <si>
    <t>608.91.235  днище</t>
  </si>
  <si>
    <t>8.2.2</t>
  </si>
  <si>
    <t>лист АМг6БМ S=6 ГОСТ12593-67</t>
  </si>
  <si>
    <t>608.91.234  кронштейн</t>
  </si>
  <si>
    <t>8.2.1.2</t>
  </si>
  <si>
    <t>608.91.233  кронштейн</t>
  </si>
  <si>
    <t>8.2.1.1</t>
  </si>
  <si>
    <t>608.91.091сб  кронштейн</t>
  </si>
  <si>
    <t>8.2.1</t>
  </si>
  <si>
    <t>608.91.089сб  корпус</t>
  </si>
  <si>
    <t>8.2</t>
  </si>
  <si>
    <t>лист S=3 АМг6БМ ГОСТ12592-67</t>
  </si>
  <si>
    <t>608.91.231  ребро</t>
  </si>
  <si>
    <t>8.1.6</t>
  </si>
  <si>
    <t>608.91.230  ребро</t>
  </si>
  <si>
    <t>8.1.5</t>
  </si>
  <si>
    <t>608.91.229  кришка</t>
  </si>
  <si>
    <t>8.1.4</t>
  </si>
  <si>
    <t>лист S=5 АМг6БМ ГОСТ12592-67</t>
  </si>
  <si>
    <t>608.91.226  планка</t>
  </si>
  <si>
    <t>8.1.1.1</t>
  </si>
  <si>
    <t>608.91.090сб  петля</t>
  </si>
  <si>
    <t>8.1.1</t>
  </si>
  <si>
    <t>608.91.088сб  кришка</t>
  </si>
  <si>
    <t>8.1</t>
  </si>
  <si>
    <t>608.91.087сб  ящик для стрічок НСВ</t>
  </si>
  <si>
    <t>лист S=1 Д15АМ ГОСТ631-76</t>
  </si>
  <si>
    <t>05.608.91.207-1  пластина</t>
  </si>
  <si>
    <t>6.4.1</t>
  </si>
  <si>
    <t>лист S=3,5 Сталь30ХГСА ГОСТ2672-52</t>
  </si>
  <si>
    <t>964.021  шайба середня</t>
  </si>
  <si>
    <t>5.1.12</t>
  </si>
  <si>
    <t>лист S=4 АМг6 БМ ГОСТ21631-76</t>
  </si>
  <si>
    <t>608.83.047  косинка</t>
  </si>
  <si>
    <t>3.15</t>
  </si>
  <si>
    <t>лента У7А-С-1 ГОСТ2283-69</t>
  </si>
  <si>
    <t>4/лкд/4</t>
  </si>
  <si>
    <t>608.83.045-А  кліпс</t>
  </si>
  <si>
    <t>3.14</t>
  </si>
  <si>
    <t>лист S=3 АМг6 БМ ГОСТ21631-76</t>
  </si>
  <si>
    <t>608.83.006-1  труба</t>
  </si>
  <si>
    <t>3.11</t>
  </si>
  <si>
    <t>4/5</t>
  </si>
  <si>
    <t>608.83.091  площадка</t>
  </si>
  <si>
    <t>3.10.1.3</t>
  </si>
  <si>
    <t>608.83.089  петля</t>
  </si>
  <si>
    <t>3.10.1.2</t>
  </si>
  <si>
    <t>608.83.056сб  ступенька</t>
  </si>
  <si>
    <t>3.10.1</t>
  </si>
  <si>
    <t>608.83.061сб  сходинка</t>
  </si>
  <si>
    <t>3.10</t>
  </si>
  <si>
    <t>труба 17х2 ГОСТ8734 Сталь20 ГОСТ8733-74</t>
  </si>
  <si>
    <t>4/4</t>
  </si>
  <si>
    <t>608.83.098  труба</t>
  </si>
  <si>
    <t>3.9.2</t>
  </si>
  <si>
    <t>608.83.050  стійка</t>
  </si>
  <si>
    <t>3.9.1</t>
  </si>
  <si>
    <t>608.83.060сб  поручень</t>
  </si>
  <si>
    <t>3.9</t>
  </si>
  <si>
    <t>608.83.092  скоба</t>
  </si>
  <si>
    <t>3.6.1</t>
  </si>
  <si>
    <t>608.83.057сб  опора</t>
  </si>
  <si>
    <t>3.6</t>
  </si>
  <si>
    <t>608.83.019  підкладка</t>
  </si>
  <si>
    <t>3.3.2</t>
  </si>
  <si>
    <t>608.83.017  підніжка</t>
  </si>
  <si>
    <t>3.3.1</t>
  </si>
  <si>
    <t>608.83.007сб  кронштейн</t>
  </si>
  <si>
    <t>36.3</t>
  </si>
  <si>
    <t>608.83.097  скоба</t>
  </si>
  <si>
    <t>3.2.2</t>
  </si>
  <si>
    <t>труба 30х5 АМг6М ГОСТ</t>
  </si>
  <si>
    <t>5/5</t>
  </si>
  <si>
    <t>608.83.010  втулка</t>
  </si>
  <si>
    <t>3.2.1</t>
  </si>
  <si>
    <t>608.83.006сб  кронштейн</t>
  </si>
  <si>
    <t>3.1.2</t>
  </si>
  <si>
    <t>608.83.009  планка</t>
  </si>
  <si>
    <t>3.1.1</t>
  </si>
  <si>
    <t>608.83.005сб  кронштейн</t>
  </si>
  <si>
    <t>дріт вольфрамовий</t>
  </si>
  <si>
    <t>608.83.021сб-А труба</t>
  </si>
  <si>
    <t>2.12</t>
  </si>
  <si>
    <t>608.83.004  труба</t>
  </si>
  <si>
    <t>2.9</t>
  </si>
  <si>
    <t>608.83.044  планка</t>
  </si>
  <si>
    <t>2.6.3</t>
  </si>
  <si>
    <t>608.83.021  планка</t>
  </si>
  <si>
    <t>2.6.1</t>
  </si>
  <si>
    <t>608.83.023сб  кронштейн</t>
  </si>
  <si>
    <t>2.6</t>
  </si>
  <si>
    <t>608.83.053  планка</t>
  </si>
  <si>
    <t>2.5.2</t>
  </si>
  <si>
    <t>ГОСТ 14806</t>
  </si>
  <si>
    <t>608.83.022сб  кронштейн</t>
  </si>
  <si>
    <t>2.5</t>
  </si>
  <si>
    <t>608.83.099  скоба</t>
  </si>
  <si>
    <t>2.4.4</t>
  </si>
  <si>
    <t>608.83.014сб  основа</t>
  </si>
  <si>
    <t>2.1.2</t>
  </si>
  <si>
    <t>608.83.018  підніжка</t>
  </si>
  <si>
    <t>2.1.1</t>
  </si>
  <si>
    <t>608.83.008сб  підніжка</t>
  </si>
  <si>
    <t>608.83.020сб-А труба</t>
  </si>
  <si>
    <t>лист S=1 фібра "КГФ" ГОСТ14613-69</t>
  </si>
  <si>
    <t>СК-052.42  прокладка 10х16</t>
  </si>
  <si>
    <t>1.1.16</t>
  </si>
  <si>
    <t>лист S=3,5 30ХГСА ГОСТ 2672-44</t>
  </si>
  <si>
    <t>964.003-1  шайба плаваюча</t>
  </si>
  <si>
    <t>ПОДАВ 28.03.16</t>
  </si>
  <si>
    <t>172.91.594  скоба</t>
  </si>
  <si>
    <t>172.91.107  скоба</t>
  </si>
  <si>
    <t>проволока D=4 ГОСТ9389-75</t>
  </si>
  <si>
    <t>172.91.233  кільце</t>
  </si>
  <si>
    <t>ЯК ??????????</t>
  </si>
  <si>
    <t xml:space="preserve">розчинник </t>
  </si>
  <si>
    <t>608.91.087сб  ящик для стрічок НСВ-12,7</t>
  </si>
  <si>
    <t>Рукав 2У25-15</t>
  </si>
  <si>
    <t>ТУ38-005-6016-72</t>
  </si>
  <si>
    <t>Рукав 40У25-13</t>
  </si>
  <si>
    <t>Рукав 40У12-13</t>
  </si>
  <si>
    <t>труба 25х2 ГОСТ8734 Сталь20 ГОСТ8733-74</t>
  </si>
  <si>
    <t>дріт СВ08Г2С  d=1,2</t>
  </si>
  <si>
    <t>608.33.078сб  фланець</t>
  </si>
  <si>
    <t>L=0,7мм</t>
  </si>
  <si>
    <t>608.33.248  труба</t>
  </si>
  <si>
    <t>608.33.088сб  труба</t>
  </si>
  <si>
    <t>L=1,1м</t>
  </si>
  <si>
    <t>608.33.250 труба</t>
  </si>
  <si>
    <t>L=1,6м</t>
  </si>
  <si>
    <t>608.33.247 трубка</t>
  </si>
  <si>
    <t>608.33.087сб  трубка</t>
  </si>
  <si>
    <t>05.С.085.33.111  труба</t>
  </si>
  <si>
    <t>608.33.079сб  труба</t>
  </si>
  <si>
    <t>L=0,85м</t>
  </si>
  <si>
    <t>608.33.249 труба</t>
  </si>
  <si>
    <t>рукав 2У12-15</t>
  </si>
  <si>
    <t>КД нема</t>
  </si>
  <si>
    <t>608.33.050сб-1  з'єднання шлангове</t>
  </si>
  <si>
    <t>608.91.005сб ящик для ЗІП зовнішній правий другий</t>
  </si>
  <si>
    <t>кг/2мотки</t>
  </si>
  <si>
    <t>лист S=0,5 Сталь10кп ГОСТ1050-60</t>
  </si>
  <si>
    <t>ГОСТ 503-71 Стрічка хомутів 10-ПН-НТ-3-0-0,5х9,0</t>
  </si>
  <si>
    <t>МН 4152-62 Кільце мідно-азбестове 30х36</t>
  </si>
  <si>
    <t>ЗІП</t>
  </si>
  <si>
    <t>l=2150(2300)</t>
  </si>
  <si>
    <t>труба 10х1 ГОСТ 8734-75 Сталь10 ГОСТ 87330-74</t>
  </si>
  <si>
    <t>608.33.135-1  труба</t>
  </si>
  <si>
    <t>Print 06.03.18</t>
  </si>
  <si>
    <t>608.19.024  стійка</t>
  </si>
  <si>
    <t>лист б=5 ГОСТ19903-74 Сталь15 ГОСТ1577-81</t>
  </si>
  <si>
    <t>608.19.056-1  кронштейн</t>
  </si>
  <si>
    <t>Розпорядження №1 від 04.01.2018р</t>
  </si>
  <si>
    <t>Print 10.01.18</t>
  </si>
  <si>
    <t>лист б=3 ГОСТ19903-74 15 ГОСТ16523-70</t>
  </si>
  <si>
    <t>05.С.085.73.033  пластина</t>
  </si>
  <si>
    <t>05.С.085.73.032  пластина</t>
  </si>
  <si>
    <t>труба 25х2 ГОСТ8734-87 10 ГОСТ8733-74</t>
  </si>
  <si>
    <t>05.С.085.73.031  трубка</t>
  </si>
  <si>
    <t>05.С.085.73.030сб  кронштейн</t>
  </si>
  <si>
    <t>L=465(500)</t>
  </si>
  <si>
    <t>труба 12х1 12Х18Н10Т ГОСТ 9941</t>
  </si>
  <si>
    <t>608.29.666  трубка</t>
  </si>
  <si>
    <t>608.29.217сб  трубка</t>
  </si>
  <si>
    <t>L=1120(1200)</t>
  </si>
  <si>
    <t>608.29.478  трубка</t>
  </si>
  <si>
    <t>дріт d=1,2 Св-08Х19Н9Т ГОСТ2246-70</t>
  </si>
  <si>
    <t>608.29.285сб   трубка</t>
  </si>
  <si>
    <t>труба 10х1 М3 ГОСТ 617-72</t>
  </si>
  <si>
    <t>608.82.058  трубка</t>
  </si>
  <si>
    <t>608.82.019сб  трбка</t>
  </si>
  <si>
    <t>лист б=1 АД1М ГОСТ21631-76</t>
  </si>
  <si>
    <t>608.29.380  екран</t>
  </si>
  <si>
    <t>стрічка б=1 08-ПН-НТ-З-НО-1 ГОСТ 503-71</t>
  </si>
  <si>
    <t>608.45.021  замок</t>
  </si>
  <si>
    <t>Print 09.01.17</t>
  </si>
  <si>
    <t>лист б=3 ГОСТ 19903-74 Ст3 ГОСТ14637-89</t>
  </si>
  <si>
    <t>65.05.Д.004.13.122  шайба</t>
  </si>
  <si>
    <t>65.05.Д.004.13.121  накладка</t>
  </si>
  <si>
    <t>лист б=2,5 ГОСТ 19903-74 Ст3 ГОСТ16523-97</t>
  </si>
  <si>
    <t>БТР-ДА.91.026  опора</t>
  </si>
  <si>
    <t>клейн 88НП</t>
  </si>
  <si>
    <t>65.05.Д.004.13.120сб  скоба</t>
  </si>
  <si>
    <t>Розпорядження №196</t>
  </si>
  <si>
    <t>Print 18.12.17</t>
  </si>
  <si>
    <t>лист б=2 ГОСТ19904-74 Сталь20 ГОСТ1050-74</t>
  </si>
  <si>
    <t>608.15.001  каркас</t>
  </si>
  <si>
    <t>608.15.003сб  каркас</t>
  </si>
  <si>
    <t>608.15.002сб  сидіння</t>
  </si>
  <si>
    <t>змазка ВНИИ НП-212 ТУ 38-1-254-69</t>
  </si>
  <si>
    <t>6х36.00.01 заклепка ГОСТ10299-68</t>
  </si>
  <si>
    <t>608.15.016сб  каркас спинки</t>
  </si>
  <si>
    <t>608.15.015сб  спинка сидіння</t>
  </si>
  <si>
    <t>L=224(240)</t>
  </si>
  <si>
    <t>труба 20х1,5 АМг6М</t>
  </si>
  <si>
    <t>432.65.141  труба</t>
  </si>
  <si>
    <t xml:space="preserve">434.65.051  лист спинки </t>
  </si>
  <si>
    <t>608.15.008сб  каркас спинки</t>
  </si>
  <si>
    <t>608.15.007сб  спинка сидіння</t>
  </si>
  <si>
    <t>608.15.026  дужка</t>
  </si>
  <si>
    <t>608.15.010сб  дужка</t>
  </si>
  <si>
    <t>608.15.011сб  дужка</t>
  </si>
  <si>
    <t>канат d=4,8-Г-І-Н-180 ГОСТ3070-74</t>
  </si>
  <si>
    <t>632.02.102сб-1  трос</t>
  </si>
  <si>
    <t>632.02.102сб  трос</t>
  </si>
  <si>
    <t>Print 11.12.17</t>
  </si>
  <si>
    <t>лист б=3 ГОСТ19903-74 Ст3пс</t>
  </si>
  <si>
    <t>65.608.10.181  прокладка</t>
  </si>
  <si>
    <t>Згідно службової записки</t>
  </si>
  <si>
    <t>лист б=5 ГОСТ19903-74 Сталь15 ГОСТ 1577-70</t>
  </si>
  <si>
    <t>608.10.128  планка</t>
  </si>
  <si>
    <t>дріб ДЧК 1,4</t>
  </si>
  <si>
    <t>608.10.030сб  кожух</t>
  </si>
  <si>
    <t>10.65Г.016 Шайба ГОСТ6204-70</t>
  </si>
  <si>
    <t>608.70.056сб  стелаж</t>
  </si>
  <si>
    <t>L=30(35)</t>
  </si>
  <si>
    <t>кутник 32х32х4 ГОСТ8509-72 09Г2-2 ГОСТ19281-73</t>
  </si>
  <si>
    <t>176.02.018  кутник</t>
  </si>
  <si>
    <t>Print 05.12.17</t>
  </si>
  <si>
    <t>лист б=2 Ст3 ДСТУ2834-94</t>
  </si>
  <si>
    <t>ЛБТЗ.655А.26.097-10  щиток правий</t>
  </si>
  <si>
    <t>ЛБТЗ.655А.26.096-10  щиток лівий</t>
  </si>
  <si>
    <t>помилився і взяв масу як міді</t>
  </si>
  <si>
    <t>L=695(780)</t>
  </si>
  <si>
    <t>65.608.29.420  трубка</t>
  </si>
  <si>
    <t>65.608.29.420сб  трубопровід</t>
  </si>
  <si>
    <t>L=765(830)</t>
  </si>
  <si>
    <t>65.608.29.410  трубка</t>
  </si>
  <si>
    <t>65.608.29.410сб  трубопровід</t>
  </si>
  <si>
    <t>L=750(820)</t>
  </si>
  <si>
    <t>65.608.29.400  трубка</t>
  </si>
  <si>
    <t>65.608.29.400сб  трубопровід</t>
  </si>
  <si>
    <t>65.608.29.390  трубка</t>
  </si>
  <si>
    <t>65.608.29.390сб  трубопровід</t>
  </si>
  <si>
    <t>Розпорядження №177</t>
  </si>
  <si>
    <t>Print 30.11.17</t>
  </si>
  <si>
    <t>2х6.37.10 Заклепка ГОСТ10299-68</t>
  </si>
  <si>
    <t>632.70.084сб  скоба</t>
  </si>
  <si>
    <t>165.05.59сб  планка притискна</t>
  </si>
  <si>
    <t>лист б=1,5 ГОСТ19904-74 Сталь10кп ГОСТ16523-70</t>
  </si>
  <si>
    <t>608.70.236  кожух</t>
  </si>
  <si>
    <t>вже подавав норму. Не введено чомусь</t>
  </si>
  <si>
    <t>L=460(500)</t>
  </si>
  <si>
    <t>608.29.655  трубка</t>
  </si>
  <si>
    <t>лист б=2 ГОСТ19903-74 Сталь10кп ГОСТ16523-70</t>
  </si>
  <si>
    <t>172.70.663  кронштейн</t>
  </si>
  <si>
    <t>172.70.434-1  кронштейн</t>
  </si>
  <si>
    <t>608.91.585  кришка</t>
  </si>
  <si>
    <t>труба 12х2 ГОСТ8734-75 Сталь10 ГОСТ 8733-74</t>
  </si>
  <si>
    <t>608.91.581  труба</t>
  </si>
  <si>
    <t>608.91.579  кронштейн</t>
  </si>
  <si>
    <t>лист б=3 ГОСТ19904-74 Сталь10кп ГОСТ16523-70</t>
  </si>
  <si>
    <t>608.91.578  планка</t>
  </si>
  <si>
    <t>608.91.574  планка</t>
  </si>
  <si>
    <t>L=390(420)</t>
  </si>
  <si>
    <t>кутник 20х20х3 ГОСТ8509-72 Ст3сп ГОСТ535-58</t>
  </si>
  <si>
    <t>608.91.573  кутник</t>
  </si>
  <si>
    <t>608.91.572  перегородка</t>
  </si>
  <si>
    <t>608.91.571  скоба</t>
  </si>
  <si>
    <t>608.91.569  стійка</t>
  </si>
  <si>
    <t>608.91.586  диск</t>
  </si>
  <si>
    <t>608.91.584  упор</t>
  </si>
  <si>
    <t>608.91.162сб  обмежувач</t>
  </si>
  <si>
    <t>грунт ФЛ-086 жовта</t>
  </si>
  <si>
    <t>М6,2х10.46.016 ГОСТ1477-75</t>
  </si>
  <si>
    <t>8.65Г.06 ГОСТ6402-70</t>
  </si>
  <si>
    <t>608.91.161сб  стелаж</t>
  </si>
  <si>
    <t>608.19.020-1  планка</t>
  </si>
  <si>
    <t>Print 21.11.17</t>
  </si>
  <si>
    <t>608.91.482  прижим</t>
  </si>
  <si>
    <t>L=845(900)</t>
  </si>
  <si>
    <t>608.29.227  трубка</t>
  </si>
  <si>
    <t>608.29.150сб  трубка</t>
  </si>
  <si>
    <t>L=47(50)</t>
  </si>
  <si>
    <t>608.29.267-1  трубка</t>
  </si>
  <si>
    <t>L=420(450)</t>
  </si>
  <si>
    <t>608.29.116  трубка</t>
  </si>
  <si>
    <t>дріт d=1,2 Св-06Х19Н9Т ГОСТ2246-70</t>
  </si>
  <si>
    <t>608.29.171сб  трубопровід</t>
  </si>
  <si>
    <t>608.19.057  косинка</t>
  </si>
  <si>
    <t>608.19.019  ребро</t>
  </si>
  <si>
    <t>608.19.018  ребро</t>
  </si>
  <si>
    <t>лист б=3 ГОСТ19903-74 10кп ГОСТ 16523-70</t>
  </si>
  <si>
    <t>608.19.003  планка</t>
  </si>
  <si>
    <t>лист б=3 ГОСТ19903-74 Сталь15 ГОСТ 16523-70</t>
  </si>
  <si>
    <t>608.15.006  планка</t>
  </si>
  <si>
    <t>608.10.127  планка</t>
  </si>
  <si>
    <t>608.10.108  лапка</t>
  </si>
  <si>
    <t>лист S=3 ГОСТ19903-74 Сталь15 ГОСТ16523-74</t>
  </si>
  <si>
    <t>608.10.107  стінка</t>
  </si>
  <si>
    <t>608.10.105  боковина</t>
  </si>
  <si>
    <t>608.10.029сб  кожух</t>
  </si>
  <si>
    <t>кутник 45х45х4 ГОСТ8509-72 Ст3сп ГОСТ 535-58</t>
  </si>
  <si>
    <t>L=196(220)</t>
  </si>
  <si>
    <t>труба 16х3 ГОСТ 8734-75 Сталь20 ГОСТ8733-74</t>
  </si>
  <si>
    <t>608.02.230  тяга</t>
  </si>
  <si>
    <t>лист б=5 ГОСТ19903-74 Сталь20 ГОСТ1577-70</t>
  </si>
  <si>
    <t>608.02.160  планка</t>
  </si>
  <si>
    <t>Print 15.11.17</t>
  </si>
  <si>
    <t>лист S=3 ГОСТ19903-74 Сталь10 ГОСТ1577-93</t>
  </si>
  <si>
    <t>05.Д5.004.04.042  кронштейн</t>
  </si>
  <si>
    <t>05.Д5.004.04.041  ребро</t>
  </si>
  <si>
    <t>05.Д5.004.04.040сб  кронштейн</t>
  </si>
  <si>
    <t>лист S=4 ГОСТ19903-74 Сталь10 ГОСТ1577-93</t>
  </si>
  <si>
    <t>04.Д5.004.04.014  пластина</t>
  </si>
  <si>
    <t>05.Д5.004.04.010сб  стояк</t>
  </si>
  <si>
    <t>Розпорядження №161</t>
  </si>
  <si>
    <t>Print 23.10.17</t>
  </si>
  <si>
    <t>175.65.053-02  прокладка</t>
  </si>
  <si>
    <t>175.65.053-01  прокладка</t>
  </si>
  <si>
    <t>175.65.053  прокладка</t>
  </si>
  <si>
    <t>ЦИАТИМ 201</t>
  </si>
  <si>
    <t>172.02.213сб  кришка ліва</t>
  </si>
  <si>
    <t>520.09.002-09  скоба</t>
  </si>
  <si>
    <t>520.09.002  скоба</t>
  </si>
  <si>
    <t>L=1510(1620)</t>
  </si>
  <si>
    <t>труба 8х1  12Х18Н10Т ГОСТ 9941-72</t>
  </si>
  <si>
    <t>608.29.472  трубка</t>
  </si>
  <si>
    <t>608.29.248сб  трубка</t>
  </si>
  <si>
    <t>608.82.028  постіль</t>
  </si>
  <si>
    <t>608.82.013сб  кронштейн</t>
  </si>
  <si>
    <t>дріт 4-0-С ГОСТ3282-74</t>
  </si>
  <si>
    <t>608.70.275  скоба</t>
  </si>
  <si>
    <t>L=???(300)</t>
  </si>
  <si>
    <t>05.С.088.23.082  трубка</t>
  </si>
  <si>
    <t>L=???(1200)</t>
  </si>
  <si>
    <t>труба 6х1 ГОСТ8734-75 20 ГОСТ8733-87</t>
  </si>
  <si>
    <t>05.С.085.23.272  трубка</t>
  </si>
  <si>
    <t>65.05.С.088.23.080сб  трубопровід</t>
  </si>
  <si>
    <t>труба 10х1 ГОСТ8734-75 20 ГОСТ8733-87</t>
  </si>
  <si>
    <t>05.С.088.23.133  трубка</t>
  </si>
  <si>
    <t>05.С.088.23.132  трубка</t>
  </si>
  <si>
    <t>655.23.130сб  трубопровід</t>
  </si>
  <si>
    <t>L=137</t>
  </si>
  <si>
    <t>рукав 2Т8-85 ТУ 005.280-87</t>
  </si>
  <si>
    <t>05.С.085.23.071  шланг</t>
  </si>
  <si>
    <t>655.23.070сб  трубопровід</t>
  </si>
  <si>
    <t>608.70.276  скоба</t>
  </si>
  <si>
    <t>655.04.153  ребро</t>
  </si>
  <si>
    <t>655.04.152  упор</t>
  </si>
  <si>
    <t>655.04.073  упор</t>
  </si>
  <si>
    <t>лист S=4 Д16АМ ГОСТ21631-76</t>
  </si>
  <si>
    <t>608.70.238  панель</t>
  </si>
  <si>
    <t>Print 05.10.17</t>
  </si>
  <si>
    <t>лист S=5 ГОСТ19903-74 Сталь15 ГОСТ 1577-81</t>
  </si>
  <si>
    <t>602.29.1657  скоба</t>
  </si>
  <si>
    <t>лист S=2 ГОСТ19904-74 10кп ГОСТ16523</t>
  </si>
  <si>
    <t>166.36.027-А  дашок</t>
  </si>
  <si>
    <t>лист S=3 ГОСТ 19903-74 Ст3сп ГОСТ16523-70</t>
  </si>
  <si>
    <t>608.04.479  вушко</t>
  </si>
  <si>
    <t>L=2425(2500)</t>
  </si>
  <si>
    <t>кутник 45х28х4 ГОСТ 8510-86 Ст3сп ГОСТ535-88</t>
  </si>
  <si>
    <t>608.04.299  кутник</t>
  </si>
  <si>
    <t>лист S=1,5 ГОСТ 19903-74 Ст3сп ГОСТ 16523-89</t>
  </si>
  <si>
    <t>608.04.260  полиця</t>
  </si>
  <si>
    <t>L=4000(4100)</t>
  </si>
  <si>
    <t>кутник 32х32х4 ГОСТ8509 Ст3сп ГОСТ535-88</t>
  </si>
  <si>
    <t>608.04.248  кутник</t>
  </si>
  <si>
    <t>лист S=3 ГОСТ 19903 15 ГОСТ16523-70</t>
  </si>
  <si>
    <t>608.01.103  кришка</t>
  </si>
  <si>
    <t>608.01.040сб  кришка</t>
  </si>
  <si>
    <t>лист S=4 ГОСТ19903-74 Сталь15 ГОСТ 1577-81</t>
  </si>
  <si>
    <t>172.02.164сб  обмежувальна планка</t>
  </si>
  <si>
    <t>608.10.162-1-01  боковина</t>
  </si>
  <si>
    <t>608.10.156-2  кришка права</t>
  </si>
  <si>
    <t>лист S=3 ГОСТ19903-74 Сталь10кп ГОСТ 16523-70</t>
  </si>
  <si>
    <t>608.10.151-2-01  щиток</t>
  </si>
  <si>
    <t>608.10.059сб-1  щиток</t>
  </si>
  <si>
    <t>608.10.162-1  боковина</t>
  </si>
  <si>
    <t>608.10.155-2  кришка ліва</t>
  </si>
  <si>
    <t>608.10.151-2  щиток</t>
  </si>
  <si>
    <t>608.10.159-1  планка</t>
  </si>
  <si>
    <t>608.10.158-2  ребро</t>
  </si>
  <si>
    <t>608.10.157-2  ребро</t>
  </si>
  <si>
    <t>608.10.150-2  планка</t>
  </si>
  <si>
    <t>608.10.059сб  щиток</t>
  </si>
  <si>
    <t>лист S=0,8 ГОСТ 19904-74 ПТК-1 ОСТ 14-11-196-86</t>
  </si>
  <si>
    <t>520.09.001-17  скоба 22х7</t>
  </si>
  <si>
    <t>608.23.027сб-1  трубопровід</t>
  </si>
  <si>
    <t>608.02.219  обечайка</t>
  </si>
  <si>
    <t>труба М3-М 8х1 ГОСТ617-72</t>
  </si>
  <si>
    <t>434.65.040-1  пістон</t>
  </si>
  <si>
    <t>кутник 45х28х4 ГОСТ8510-86 Ст3сп ГОСТ 535-88</t>
  </si>
  <si>
    <t>608.04.300  кутник</t>
  </si>
  <si>
    <t>лист S=4 ГОСТ19903-74 10кп ГОСТ 1577-70</t>
  </si>
  <si>
    <t>608.19.011  планка</t>
  </si>
  <si>
    <t>608.19.012  планка</t>
  </si>
  <si>
    <t>лист S=4 ГОСТ19903-74 Сталь15 ГОСТ 1577-70</t>
  </si>
  <si>
    <t>608.10.067-1  шайба</t>
  </si>
  <si>
    <t>608.10.069  шайба</t>
  </si>
  <si>
    <t>лист S=3 ГОСТ19903-74 Ст3сп ГОСТ16523-89</t>
  </si>
  <si>
    <t>608.04.478  косинка</t>
  </si>
  <si>
    <t>05.С.085.33.701  трубопровід</t>
  </si>
  <si>
    <t>лак ГФ-95  жовта</t>
  </si>
  <si>
    <t>608.33.067сб  трубопровід</t>
  </si>
  <si>
    <t>L=988(1100)</t>
  </si>
  <si>
    <t>труба 8х1 12Х18Т10Т ГОСТ 9941-72</t>
  </si>
  <si>
    <t>608.29.490  трубка</t>
  </si>
  <si>
    <t>608.29.251сб  трубка</t>
  </si>
  <si>
    <t>L=1600(1700)</t>
  </si>
  <si>
    <t>труба 6х1 ГОСТ8734-58 Сталь20 ТУ 14-3-134-73</t>
  </si>
  <si>
    <t>608.60.034  трубка</t>
  </si>
  <si>
    <t>608.60.016сб  труба</t>
  </si>
  <si>
    <t>L=145(165)</t>
  </si>
  <si>
    <t>труба 12х1 12Х18Т10Т ГОСТ 9941-72</t>
  </si>
  <si>
    <t>608.10.052  трубка</t>
  </si>
  <si>
    <t>емал ХВ-518</t>
  </si>
  <si>
    <t xml:space="preserve">грунт АК-070 </t>
  </si>
  <si>
    <t>608.10.018сб-1  трубопровід</t>
  </si>
  <si>
    <t>L=420(460)</t>
  </si>
  <si>
    <t>608.10.051  трубка</t>
  </si>
  <si>
    <t>608.10.019сб-1  трубопровід</t>
  </si>
  <si>
    <t>608.10.109  трубка</t>
  </si>
  <si>
    <t>608.10.031сб  трубопровід</t>
  </si>
  <si>
    <t>608.10.110  трубка</t>
  </si>
  <si>
    <t>608.10.032сб  трубопровід</t>
  </si>
  <si>
    <t>L=66(75)</t>
  </si>
  <si>
    <t>608.29.656  трубка</t>
  </si>
  <si>
    <t>608.29.172сб-1  трубопровід</t>
  </si>
  <si>
    <t>L=60(66)</t>
  </si>
  <si>
    <t>кутник 32х20х3 ГОСТ8510 Ст3сп ГОСТ535-58</t>
  </si>
  <si>
    <t>608.02.161  кутник</t>
  </si>
  <si>
    <t>608.02.036  обечайка</t>
  </si>
  <si>
    <t>Замовлення 332</t>
  </si>
  <si>
    <t>Print 01.09.17</t>
  </si>
  <si>
    <t>лист S=2 ГОСТ19904-74 Ст3 ГОСТ16523-70</t>
  </si>
  <si>
    <t>655.01.062  скоба</t>
  </si>
  <si>
    <t>655.01.060  скоба</t>
  </si>
  <si>
    <t>труба 8х1 ГОСТ8134-75 10 ГОСТ8733-74</t>
  </si>
  <si>
    <t>608.85.002  трубка</t>
  </si>
  <si>
    <t>608.85.003сб  трубопровід</t>
  </si>
  <si>
    <t>608.70.364  планка</t>
  </si>
  <si>
    <t>лист S=3 ДПРХМ Л63 ГОСТ931-78</t>
  </si>
  <si>
    <t>432.70.658  наконечник</t>
  </si>
  <si>
    <t>грунт ФЛ-086</t>
  </si>
  <si>
    <t>лист S=1,5 АД1М ГОСТ21631-76</t>
  </si>
  <si>
    <t>608.70.060  кожух</t>
  </si>
  <si>
    <t>608.70.305  ребро</t>
  </si>
  <si>
    <t>лист S=4 ГОСТ19903-74 20 ГОСТ1577-70</t>
  </si>
  <si>
    <t>608.70.046  планка</t>
  </si>
  <si>
    <t>лист S=4 ГОСТ19903-74 15 ГОСТ1577-70</t>
  </si>
  <si>
    <t>608.70.045-1  панель</t>
  </si>
  <si>
    <t>175.04.169сб  кронштейн</t>
  </si>
  <si>
    <t>лист S=5 ГОСТ19903-74 Ст20 ГОСТ1577-70</t>
  </si>
  <si>
    <t>608.70.304  кронштейн</t>
  </si>
  <si>
    <t>608.70.181сб  кронштейн</t>
  </si>
  <si>
    <t>432.04.166</t>
  </si>
  <si>
    <t>полка</t>
  </si>
  <si>
    <t>172.04.647</t>
  </si>
  <si>
    <t>608.70.017сб-1  панель</t>
  </si>
  <si>
    <t>432.04.608  планка</t>
  </si>
  <si>
    <t>608.70.027-1  панель</t>
  </si>
  <si>
    <t>608.70.314  ребро</t>
  </si>
  <si>
    <t>608.70.188сб  ребро</t>
  </si>
  <si>
    <t>432.04.340  планка</t>
  </si>
  <si>
    <t>608.70.028  кронштейн</t>
  </si>
  <si>
    <t>608.70.010сб  кронштейн</t>
  </si>
  <si>
    <t>608.70.009сб-1  панель</t>
  </si>
  <si>
    <t>L=450(480)</t>
  </si>
  <si>
    <t>труба 8х1,4 ГОСТ8734-75 Ст20 ГОСТ8733-74</t>
  </si>
  <si>
    <t>608.60.017  труба</t>
  </si>
  <si>
    <t>608.60.015сб  труба</t>
  </si>
  <si>
    <t>L=2800(3000)</t>
  </si>
  <si>
    <t>труба 12х1 ГОСТ8734-75 Ст10 ГОСТ8733-74</t>
  </si>
  <si>
    <t>608.60.009  труба</t>
  </si>
  <si>
    <t>608.60.005сб трубопровід</t>
  </si>
  <si>
    <t>лист S=2 ГОСТ19904-74 Ст15 ГОСТ16523-70</t>
  </si>
  <si>
    <t>608.33.155  стрічка</t>
  </si>
  <si>
    <t>608.33.033сб  стрічка</t>
  </si>
  <si>
    <t>608.33.154  стрічка</t>
  </si>
  <si>
    <t>608.33.032сб  стрічка</t>
  </si>
  <si>
    <t>труба 10х1,5 ГОСТ8734-75 Ст20 ГОСТ8733-74</t>
  </si>
  <si>
    <t>608.33.124  труба</t>
  </si>
  <si>
    <t>L=85(100)</t>
  </si>
  <si>
    <t>608.33.123  труба</t>
  </si>
  <si>
    <t>608.33.020сб  трубопровід</t>
  </si>
  <si>
    <t>L=440(500)</t>
  </si>
  <si>
    <t>608.29.616  трубка</t>
  </si>
  <si>
    <t>608.29.312сб  трубопровід</t>
  </si>
  <si>
    <t>L=880(930)</t>
  </si>
  <si>
    <t>608.29.456  трубка</t>
  </si>
  <si>
    <t>608.29.228сб  трубка</t>
  </si>
  <si>
    <t>608.29.216сб  трубка</t>
  </si>
  <si>
    <t>лист S=2 ГОСТ19904-74 20 ГОСТ16523-70</t>
  </si>
  <si>
    <t>608.28.030  прокладка</t>
  </si>
  <si>
    <t>лист S=0,8 ГОСТ19904-74 20 ГОСТ16523-70</t>
  </si>
  <si>
    <t>608.28.029  прокладка</t>
  </si>
  <si>
    <t xml:space="preserve">стрічка 10кп-ОМ-3-НО-0,15 ГОСТ503-81 </t>
  </si>
  <si>
    <t>608.28.028  прокладка</t>
  </si>
  <si>
    <t>608.02.001  полиця</t>
  </si>
  <si>
    <t>54.42.166-1  шайба</t>
  </si>
  <si>
    <t>54.26.551  наконечник</t>
  </si>
  <si>
    <t>54.26.538  кронштейн правий</t>
  </si>
  <si>
    <t>сітка №28 ГОСТ6613-56 Латунь Л80 ГОСТ15527-70</t>
  </si>
  <si>
    <t>54.05.050  сітка фільтру</t>
  </si>
  <si>
    <t>520.07.007-05  Шайба  8,5х21х3</t>
  </si>
  <si>
    <t>лист S=5 08кп ГОСТ16523-70</t>
  </si>
  <si>
    <t>36.01.016  шайба ГОСТ11371-68</t>
  </si>
  <si>
    <t>сітка №028 ГОТС6613-53 Л80 ГОСТ15527-70</t>
  </si>
  <si>
    <t>лист Л63 ГОСТ931-78</t>
  </si>
  <si>
    <t>сітка 2-0,5 12Х18Н10Т ГОСТ3826-82</t>
  </si>
  <si>
    <t>L=640(670)</t>
  </si>
  <si>
    <t>175.82.136  трубка</t>
  </si>
  <si>
    <t>175.82.044сб  трубопровід</t>
  </si>
  <si>
    <t>лист S=0,5 ГОСТ19904-74 СТК-1 ГОСТ17715-72</t>
  </si>
  <si>
    <t>155.25.147  шайба</t>
  </si>
  <si>
    <t>155.25.038  шайба</t>
  </si>
  <si>
    <t>Роздрукува 22.07.2017</t>
  </si>
  <si>
    <t>лист S=2 ДСТУ8540:2015 10кп ДСТУ2834-94</t>
  </si>
  <si>
    <t>ЛБТЗ.655А.04.321  щиток правий</t>
  </si>
  <si>
    <t>ЛБТЗ.655А.04.320сб  щиток лівий</t>
  </si>
  <si>
    <t>ЛБТЗ.655А.04.120сб  щиток лівий</t>
  </si>
  <si>
    <t>лист S=4 ДСТУ8540:2015 Ст3 ГОСТ14637-94</t>
  </si>
  <si>
    <t>ЛБТЗ.655А.04.315  упор</t>
  </si>
  <si>
    <t>лист S=5 ДСТУ8540:2015 Ст3 ГОСТ14637-94</t>
  </si>
  <si>
    <t>ЛБТЗ.655А.04.314  кронштейн</t>
  </si>
  <si>
    <t>ЛБТЗ.655А.04.313  кронштейн</t>
  </si>
  <si>
    <t>ЛБТЗ.655А.04.311  щиток лівий</t>
  </si>
  <si>
    <t>ЛБТЗ.655А.04.310сб  щиток лівий</t>
  </si>
  <si>
    <t>ЛБТЗ.655А.04.110сб  щиток лівий</t>
  </si>
  <si>
    <t>лист S=4 ГОСТ19903-74 Сталь10 ГОСТ1577-88</t>
  </si>
  <si>
    <t>05.С.085.19.021  планка</t>
  </si>
  <si>
    <t>05.С.085.19.019  планка</t>
  </si>
  <si>
    <t>_-ЛКД</t>
  </si>
  <si>
    <t>кутник 75х50х5 ГОСТ8510-86 Ст3 ГОСТ535-88</t>
  </si>
  <si>
    <t>05.С.085.19.182-01  кутник</t>
  </si>
  <si>
    <t>05.С.085.19.182  кутник</t>
  </si>
  <si>
    <t>лист S=3 ГОСТ19903-74 Ст3 ГОСТ16523-89</t>
  </si>
  <si>
    <t>05.С.085.19.181  кронштейн</t>
  </si>
  <si>
    <t>05.С.085.19.180сб  борт</t>
  </si>
  <si>
    <t>05.С.085.19.076-02  щиток</t>
  </si>
  <si>
    <t>05.С.085.19.160сб  борт</t>
  </si>
  <si>
    <t>лист S=5 ГОСТ19903-74 Сталь15 ГОСТ1577-88</t>
  </si>
  <si>
    <t>05.С.085.19.111  планка</t>
  </si>
  <si>
    <t>05.С.085.19.094  лист</t>
  </si>
  <si>
    <t>05.С.085.19.076-01  щиток</t>
  </si>
  <si>
    <t>05.С.085.19.073-01  кутник</t>
  </si>
  <si>
    <t>05.С.085.19.090сб  борт</t>
  </si>
  <si>
    <t>05.С.085.19.078  ребро</t>
  </si>
  <si>
    <t>05.С.085.19.076  щиток</t>
  </si>
  <si>
    <t>05.С.085.19.074  кутник</t>
  </si>
  <si>
    <t>05.С.085.19.073  кутник</t>
  </si>
  <si>
    <t>05.С.085.19.072  стійка</t>
  </si>
  <si>
    <t>05.С.085.19.071</t>
  </si>
  <si>
    <t>05.С.085.19.070сб  борт</t>
  </si>
  <si>
    <t>05.С.085.19.039  косинка</t>
  </si>
  <si>
    <t>05.С.085.19.038  ребро</t>
  </si>
  <si>
    <t>L=1410(1500)</t>
  </si>
  <si>
    <t>кутник 45х45х4 ГОСТ8509 Ст3 ГОСТ535-88</t>
  </si>
  <si>
    <t>05.С.085.19.033  кутник</t>
  </si>
  <si>
    <t>лист S=3 ГОСТ19903-74 Сталь10 ГОСТ16523-88</t>
  </si>
  <si>
    <t>05.С.085.19.031  планка</t>
  </si>
  <si>
    <t>Вантажна платформа</t>
  </si>
  <si>
    <t>Роздрукував 26.05.2017р</t>
  </si>
  <si>
    <t>608.70.002сб-1  кришка</t>
  </si>
  <si>
    <t>608.60.053сб  трубка</t>
  </si>
  <si>
    <t>175.04.274-1  трубка</t>
  </si>
  <si>
    <t>дріт d=5-О-С ГОСТ3282-74</t>
  </si>
  <si>
    <t>54.26.412</t>
  </si>
  <si>
    <t>дріт d=4 Амг ГОСТ7874-76</t>
  </si>
  <si>
    <t>432.91.410  скоба</t>
  </si>
  <si>
    <t>175.70.381  планка</t>
  </si>
  <si>
    <t>сталь чи алюміній. Провірити яка саме деталь йде в загальну зборку бо в програмі нема специфікації</t>
  </si>
  <si>
    <t>.</t>
  </si>
  <si>
    <t>175.70.101</t>
  </si>
  <si>
    <t>155.29.2620  вісь</t>
  </si>
  <si>
    <t>175.70.191  скоба</t>
  </si>
  <si>
    <t>175.70.127сб  петля</t>
  </si>
  <si>
    <t>172.70.239  планка</t>
  </si>
  <si>
    <t>дріт ОЧ d=5 ГОСТ3282-74</t>
  </si>
  <si>
    <t>172.70.238  скоба</t>
  </si>
  <si>
    <t>172.70.129сб  петля</t>
  </si>
  <si>
    <t>ТУ фарба</t>
  </si>
  <si>
    <t>172.70.226сб  кожух нижній</t>
  </si>
  <si>
    <t>172.60.172сб  трубка</t>
  </si>
  <si>
    <t>608.29.360сб  шлангове з'єднання</t>
  </si>
  <si>
    <t>608.70.131сб  заглушка з тросом</t>
  </si>
  <si>
    <t>608.70.206сб  корпус</t>
  </si>
  <si>
    <t>ПРОБЛЕМИ З КД ( НЕМА ВІДСУТНЄ)</t>
  </si>
  <si>
    <t>655.01.065  дно</t>
  </si>
  <si>
    <t>655.01.064  обруч</t>
  </si>
  <si>
    <t>655.01.063  кришка</t>
  </si>
  <si>
    <t>655.01.016сб  кришка</t>
  </si>
  <si>
    <t>150.31.2172  шайба</t>
  </si>
  <si>
    <t>лист S=0,8 Сталь08кп ГОСТ16523-70</t>
  </si>
  <si>
    <t>4.01.016 шайба ГОСТ 11371-78</t>
  </si>
  <si>
    <t>4.01.016  шайба ГОСТ 6958-68</t>
  </si>
  <si>
    <t>520.06.002-13  прокладка 48х58х2</t>
  </si>
  <si>
    <t>лист S=1,6 Л63 ГОСТ15527-2004</t>
  </si>
  <si>
    <t>8.32.Н6  шайба ГОСТ 11371-68</t>
  </si>
  <si>
    <t>лист S=1,5 Ст3сп ГОСТ380-60</t>
  </si>
  <si>
    <t>960.167-1  прокладка</t>
  </si>
  <si>
    <t>960.165-1  прокладка</t>
  </si>
  <si>
    <t xml:space="preserve">лист S=0,8 СТК-1 </t>
  </si>
  <si>
    <t>155.38.414 скоба</t>
  </si>
  <si>
    <t>155.38.235  трос</t>
  </si>
  <si>
    <t>лист S=1 Cт3</t>
  </si>
  <si>
    <t>165.17.201  прокладка</t>
  </si>
  <si>
    <t>лист S=0,5 Cталь10кп ГОСТ16523-70</t>
  </si>
  <si>
    <t>165.17.200  прокладка</t>
  </si>
  <si>
    <t>лист S=0,25 Cт3</t>
  </si>
  <si>
    <t>165.17.199  прокладка</t>
  </si>
  <si>
    <t>Роздрукував 11.07.16р</t>
  </si>
  <si>
    <t>608.91.115  обечайка</t>
  </si>
  <si>
    <t>608.91.114  ребро</t>
  </si>
  <si>
    <t>608.91.113  кронштейн</t>
  </si>
  <si>
    <t>608.91.043сб  кронштейн в зборі</t>
  </si>
  <si>
    <t>608.74.029  стрічка хомута</t>
  </si>
  <si>
    <t>608.74.004сб  хомут</t>
  </si>
  <si>
    <t>пластина S=2 МБС ГОСТ7338-77</t>
  </si>
  <si>
    <t>608.70.368</t>
  </si>
  <si>
    <t>заклепки 3х12-37.10 ГОСТ10299-80</t>
  </si>
  <si>
    <t>608.70.224сб  кронштейн</t>
  </si>
  <si>
    <t>175.70.009  кутник</t>
  </si>
  <si>
    <t>175.70.008  кутник</t>
  </si>
  <si>
    <t>лист S=4 Сталь20 ГОСТ1577-81</t>
  </si>
  <si>
    <t>608.70.219  косинка</t>
  </si>
  <si>
    <t>608.70.204сб  кронштейн</t>
  </si>
  <si>
    <t>заклепка 3х8х35.10 ГОСТ 10299-80</t>
  </si>
  <si>
    <t>608.70.203сб  кронштейн</t>
  </si>
  <si>
    <t>608.33.041сб  втулка</t>
  </si>
  <si>
    <t>труба 14х1 12Х18Н10Т ГОСТ9941-81</t>
  </si>
  <si>
    <t>608.29.458-1  труба</t>
  </si>
  <si>
    <t>608.29.230сб-1  трубка</t>
  </si>
  <si>
    <t>608.29.352  лента</t>
  </si>
  <si>
    <t>емаль ПФ115 світло-сіра</t>
  </si>
  <si>
    <t>грунт ФЛ-03</t>
  </si>
  <si>
    <t>608.29.203сб  лента</t>
  </si>
  <si>
    <t>608.10.164(бч)  трубопровід</t>
  </si>
  <si>
    <t>608.10.046сб-1  трубопровід</t>
  </si>
  <si>
    <t>608.04.176сб  кронштейн</t>
  </si>
  <si>
    <t>лист S=0,25 Ст3 ГОСТ380-60</t>
  </si>
  <si>
    <t>155.31.860  прокладка</t>
  </si>
  <si>
    <t>155.20.257  прокладка</t>
  </si>
  <si>
    <t>155.15.132-1  шайба стопорна</t>
  </si>
  <si>
    <t>155.08.279  шайба</t>
  </si>
  <si>
    <t>632.14.148  шайба</t>
  </si>
  <si>
    <t>лист S=0,5 ПМБ</t>
  </si>
  <si>
    <t>632.13.013  прокладка</t>
  </si>
  <si>
    <t>лист S=2 фібра КГФ</t>
  </si>
  <si>
    <t>54.59.300  прокладка</t>
  </si>
  <si>
    <t>54.58.054А</t>
  </si>
  <si>
    <t>поліамід d=18 6-ПА6-210/311 ОСТ 6-06-С9-76-83</t>
  </si>
  <si>
    <t>54.38.133  шайба</t>
  </si>
  <si>
    <t>жесть біла №25 ГГЖК ГОСТ17718</t>
  </si>
  <si>
    <t>54.34.377  шайба</t>
  </si>
  <si>
    <t>54.12.084  каркас манжети</t>
  </si>
  <si>
    <t>54.02.236  скоба</t>
  </si>
  <si>
    <t>лист S=0,8 Л63М ГОСТ 931-70</t>
  </si>
  <si>
    <t>520.08.003  наконечник 3,2</t>
  </si>
  <si>
    <t>лист S=3 Л63М ГОСТ931-70</t>
  </si>
  <si>
    <t>520.08.002-06  наконечник 95х12,5</t>
  </si>
  <si>
    <t>520.08.002-05  наконечник 95х10,5</t>
  </si>
  <si>
    <t>520.08.002-03  наконечник 35х10,5</t>
  </si>
  <si>
    <t>520.07.007-04  Шайба 10,5х21х1,5</t>
  </si>
  <si>
    <t>520.07.007-02  Шайба 21х38х2</t>
  </si>
  <si>
    <t>520.07.007  шайба 8,5х18х1</t>
  </si>
  <si>
    <t>520.07.006  шайба 6х12х1</t>
  </si>
  <si>
    <t>лист S=1,5Сталь10кп ГОСТ16523-70</t>
  </si>
  <si>
    <t>520.07.005-06  шайба 24х42х1,5</t>
  </si>
  <si>
    <t>520.07.005-05  шайба 20х38х1,5</t>
  </si>
  <si>
    <t>лист S=0,5 Сталь20 ГОСТ16523-70</t>
  </si>
  <si>
    <t>520.07.005-02  шайба 20х10х1</t>
  </si>
  <si>
    <t>520.07.004-04  шайба 12.5х21х0,5</t>
  </si>
  <si>
    <t>лист S=1,5 Сталь20 ГОСТ16523-70</t>
  </si>
  <si>
    <t>520.07.004-02  шайба 12.5х18х1,5</t>
  </si>
  <si>
    <t>520.07.004-01  шайба 12.5х18х1</t>
  </si>
  <si>
    <t>520.07.004  Шайба 12,5х18х0,5</t>
  </si>
  <si>
    <t>520.07.003-02 шайба 10.5х18х1</t>
  </si>
  <si>
    <t>520.07.002-08  шайба 10,5х25х4</t>
  </si>
  <si>
    <t>52.01.05  шайба ГОСТ 11872-89</t>
  </si>
  <si>
    <t>лист s=3,9 ГОСТ19903-74 Сталь20 ГОСТ1623-70</t>
  </si>
  <si>
    <t>434.01.228 кришка</t>
  </si>
  <si>
    <t>432.73.007сб-1  кришка</t>
  </si>
  <si>
    <t>припій ПОССу30-2 ГОСТ21930-76</t>
  </si>
  <si>
    <t>лакотканина ЛХМ-105 0,2 ГОСТ2214-78</t>
  </si>
  <si>
    <t>лента К-25-9 1с ГОСТ4514-78</t>
  </si>
  <si>
    <t>заклепка 3х10.38М3 ГОСТ10299-68</t>
  </si>
  <si>
    <t>432.70.047сб-2  перемичка</t>
  </si>
  <si>
    <t>лист S=4 Ст3 ГОСТ16523-70</t>
  </si>
  <si>
    <t>20х4.03.016  шайба ГОСТ11371</t>
  </si>
  <si>
    <t>176.61.017  шайба</t>
  </si>
  <si>
    <t>176.31.087  кільце</t>
  </si>
  <si>
    <t>лист s=1,5 Сталь15 ГОСТ16523-70</t>
  </si>
  <si>
    <t>175.60.167  скоба</t>
  </si>
  <si>
    <t>лист s=1,5 Сталь10кп ГОСТ16523-70</t>
  </si>
  <si>
    <t>175.60.146  скоба</t>
  </si>
  <si>
    <t>лист s=1 Сталь15 ГОСТ16523-70</t>
  </si>
  <si>
    <t>175.51.044  прокладка</t>
  </si>
  <si>
    <t>175.42.007  шайба відгибна</t>
  </si>
  <si>
    <t>175.33.303  скоба</t>
  </si>
  <si>
    <t>175.32.387  скоба</t>
  </si>
  <si>
    <t>175.32.386  скоба</t>
  </si>
  <si>
    <t>175.32.385А  скоба</t>
  </si>
  <si>
    <t>175.32.384  скоба</t>
  </si>
  <si>
    <t>175.32.311  скоба</t>
  </si>
  <si>
    <t>175.32.310  скоба</t>
  </si>
  <si>
    <t>дріт D=3 ГОСТ9389-60</t>
  </si>
  <si>
    <t>175.32.215  скоба</t>
  </si>
  <si>
    <t>лист S=0,8 ГОСТ19904-74 Сталь10кп ГОСТ16523-70</t>
  </si>
  <si>
    <t>175.32.174-1  скоба</t>
  </si>
  <si>
    <t>175.32.173  скоба</t>
  </si>
  <si>
    <t>175.32.117  скоба</t>
  </si>
  <si>
    <t>175.31.184  скоба</t>
  </si>
  <si>
    <t>175.02.506  планка</t>
  </si>
  <si>
    <t>175.02.135-1  каркас</t>
  </si>
  <si>
    <t>172-2М.31.008  скоба</t>
  </si>
  <si>
    <t>172-2М.31.006  скоба</t>
  </si>
  <si>
    <t>172.74.372  скоба</t>
  </si>
  <si>
    <t>172.70.336А  кронштейн</t>
  </si>
  <si>
    <t>лист S=2 сталь15</t>
  </si>
  <si>
    <t>лист S=0,5 сталь СТК-1 ГОСТ17718</t>
  </si>
  <si>
    <t>лист S=0,25 ГГЖК№25</t>
  </si>
  <si>
    <t>172.66.244  скоба</t>
  </si>
  <si>
    <t>172.60.244  скоба</t>
  </si>
  <si>
    <t>лист S=2,5 ГОСТ16523-70</t>
  </si>
  <si>
    <t>172.60.129  шайба</t>
  </si>
  <si>
    <t>172.60.112  скоба</t>
  </si>
  <si>
    <t>172.60.092  скоба</t>
  </si>
  <si>
    <t>172.60.047  шайба</t>
  </si>
  <si>
    <t>лист S=1,5 Сталь15 ГОСТ1623-70</t>
  </si>
  <si>
    <t>172.35.069  скоба</t>
  </si>
  <si>
    <t>172.32.450  скоба</t>
  </si>
  <si>
    <t>172.18.061  прокладка</t>
  </si>
  <si>
    <t>172.02.546  каркас</t>
  </si>
  <si>
    <t>172.02.532-1  каркас</t>
  </si>
  <si>
    <t>лист S=0,8 СТК-1 ГОСТ17715-72</t>
  </si>
  <si>
    <t>Шайба 12х1.016 ГОСТ 11371-78</t>
  </si>
  <si>
    <t>заклепка 4х8,00 ГОСТ10299-80</t>
  </si>
  <si>
    <t>172.03.017сб  кліпс</t>
  </si>
  <si>
    <t>лист S=3 ДПРНМ3 ГОСТ795-77</t>
  </si>
  <si>
    <t>432.70.197  перемичка</t>
  </si>
  <si>
    <t>лист S=0,2 М3МНТ ГОСТ1173-70</t>
  </si>
  <si>
    <t>432.70.445  полоса</t>
  </si>
  <si>
    <t>432.70.441сб  перемичка</t>
  </si>
  <si>
    <t>432.70.044сб  перемичка</t>
  </si>
  <si>
    <t>176.02.007  планка</t>
  </si>
  <si>
    <t>176.02.006  планка</t>
  </si>
  <si>
    <t>сітка 4,5-0,9  12Х18Н9Т</t>
  </si>
  <si>
    <t>176.02.005  сітка</t>
  </si>
  <si>
    <t>176.02.003сб  сітка</t>
  </si>
  <si>
    <t>лист S=1,5 ГОСТ19904-74 сталь15 ГОСТ16523-70</t>
  </si>
  <si>
    <t>172.85. 016  кожух</t>
  </si>
  <si>
    <t>лист S=4 Cталь15 ГОСТ1577-70</t>
  </si>
  <si>
    <t>175.85.034  планка</t>
  </si>
  <si>
    <t>172.85.010  кожух</t>
  </si>
  <si>
    <t>172.85.006сб  кожух</t>
  </si>
  <si>
    <t>175.70.101-1  кожух</t>
  </si>
  <si>
    <t>заклепка 4х10-37.10 ГОСТ10299-68</t>
  </si>
  <si>
    <t>заклепка 3х10-37.10 ГОСТ10299-68</t>
  </si>
  <si>
    <t>заклепка 2х6-37.10 ГОСТ10299-68</t>
  </si>
  <si>
    <t>172.82.056  стрічка</t>
  </si>
  <si>
    <t>грунт ФЛ-03к</t>
  </si>
  <si>
    <t>54.31.085  валик хомута</t>
  </si>
  <si>
    <t>172.82.028сб  хомут</t>
  </si>
  <si>
    <t>лист S=1 Сталь08кп ГОСТ1050-2013</t>
  </si>
  <si>
    <t>шайба 12.03.016 ГОСТ 11371-68</t>
  </si>
  <si>
    <t>лист S=3 Ст3 ГОСТ1050-2013</t>
  </si>
  <si>
    <t>шайба 10х3.01.016 / 10х3 ГОСТ 6958-78</t>
  </si>
  <si>
    <t>дріт d=1,2 ГОСТ792-67</t>
  </si>
  <si>
    <t>172.60.015сб  перехідник</t>
  </si>
  <si>
    <t>шайба 10х1.01.016 ГОСТ 10450-68</t>
  </si>
  <si>
    <t>лист S=2 латунь Л63 ГОСТ15527-2004</t>
  </si>
  <si>
    <t>шайба 10.32.Н6 ГОСТ 11371-68</t>
  </si>
  <si>
    <t>лист S=2 Сталь08кп ГОСТ1050-2013</t>
  </si>
  <si>
    <t>шайба 10.03.016 ГОСТ 11371-68</t>
  </si>
  <si>
    <t>Роздрукував 09.07.16р</t>
  </si>
  <si>
    <t>Акти диф. БРЕМУ</t>
  </si>
  <si>
    <t>608.18.094  шайба</t>
  </si>
  <si>
    <t>лист S=0,5 Сталь покрівельна СТК-1</t>
  </si>
  <si>
    <t>тканина азбестова АТ-4 ГОСТ6102-67</t>
  </si>
  <si>
    <t>лист S=4 Сталь08кп ГОСТ 16523</t>
  </si>
  <si>
    <t>Шайба 30.01.016 ГОСТ 11371-78</t>
  </si>
  <si>
    <t>лист S=1,5 ГОСТ 19904-74 Сталь10кп ГОСТ16523-70</t>
  </si>
  <si>
    <t>608.21.023  Шайба</t>
  </si>
  <si>
    <t>Тех. Розп №39 Додаток 5</t>
  </si>
  <si>
    <t>Роздрукував 07.06.16р</t>
  </si>
  <si>
    <t>432.04.248-1  упор</t>
  </si>
  <si>
    <t>175.04.019  створка петлі</t>
  </si>
  <si>
    <t>дріт d=5 Сталь15 ГОСТ1050-60</t>
  </si>
  <si>
    <t>54.29.1896  скоба</t>
  </si>
  <si>
    <t>608.04.264  щиток</t>
  </si>
  <si>
    <t>608.04.343  планка</t>
  </si>
  <si>
    <t>608.04.268  кронштейн</t>
  </si>
  <si>
    <t>608.04.265  кронштейн</t>
  </si>
  <si>
    <t>608.04.038сб  щиток</t>
  </si>
  <si>
    <t>L=1160(1350)</t>
  </si>
  <si>
    <t xml:space="preserve">труба 6х1  Сталь20 </t>
  </si>
  <si>
    <t>175.60.093  трубка</t>
  </si>
  <si>
    <t>L=1165(1350)</t>
  </si>
  <si>
    <t>175.60.008-4  трубка</t>
  </si>
  <si>
    <t>L=300</t>
  </si>
  <si>
    <t>175.60.079сб  трубка</t>
  </si>
  <si>
    <t>емаль ПФ-115 емаль голуба</t>
  </si>
  <si>
    <t>175.60.009сб  трубка</t>
  </si>
  <si>
    <t>608.29.351  лента</t>
  </si>
  <si>
    <t>клей НТ150</t>
  </si>
  <si>
    <t>608.29.202сб  лента</t>
  </si>
  <si>
    <t>L=725(750)</t>
  </si>
  <si>
    <t>175.66.101  шланг</t>
  </si>
  <si>
    <t>175.66.096  шланг</t>
  </si>
  <si>
    <t>632.66.002сб  перехідник</t>
  </si>
  <si>
    <t>175.66.048сб-1  труба</t>
  </si>
  <si>
    <t>труба 8х1 ГОСТ8734-75 Сталь20 ГОСТ8734-74</t>
  </si>
  <si>
    <t>632.94.027  труба</t>
  </si>
  <si>
    <t>632.94.012сб  сапун</t>
  </si>
  <si>
    <t>155.33.227  трос</t>
  </si>
  <si>
    <t>лист S=2 ГОСТ19904-74 Сталь10кп ГОСТ1623-70</t>
  </si>
  <si>
    <t>155.33.226  планка</t>
  </si>
  <si>
    <t>155.33.66сб-1  трос</t>
  </si>
  <si>
    <t>155.33.67сб-2  трос з заглушкою</t>
  </si>
  <si>
    <t>лист S=3 ГОСТ19904-74</t>
  </si>
  <si>
    <t>655.70.056-02  планка</t>
  </si>
  <si>
    <t>655.70.056-01  планка</t>
  </si>
  <si>
    <t>655.70.056  планка</t>
  </si>
  <si>
    <t>655.70.055  стінка задня</t>
  </si>
  <si>
    <t>655.70.054  стінка передня</t>
  </si>
  <si>
    <t>655.70.053  стінка права</t>
  </si>
  <si>
    <t>655.70.052  стінка ліва</t>
  </si>
  <si>
    <t>655.70.051  основа корпусу</t>
  </si>
  <si>
    <t>емаль ПФ-223 червона</t>
  </si>
  <si>
    <t>грунт ГФ-021</t>
  </si>
  <si>
    <t>655.70.016сб  корпус</t>
  </si>
  <si>
    <t>лист S=2 Ст3 ГОСТ380-71</t>
  </si>
  <si>
    <t>655.01.114  шайба</t>
  </si>
  <si>
    <t>655.01.121  кронштейн</t>
  </si>
  <si>
    <t>655.01.056сб  Кронштейн</t>
  </si>
  <si>
    <t>655.01.119  донишко</t>
  </si>
  <si>
    <t>655.01.118  ребро</t>
  </si>
  <si>
    <t>655.01.117  стакан</t>
  </si>
  <si>
    <t>655.01.116  стакан</t>
  </si>
  <si>
    <t>655.01.113  плита</t>
  </si>
  <si>
    <t>655.01.055сб  Настил</t>
  </si>
  <si>
    <t>655.01.054сб  Установка настила</t>
  </si>
  <si>
    <t>лист S=2,5 АМг6М ГОСТ21631-76</t>
  </si>
  <si>
    <t>труба 25х1,5 АМг6М ОСТ1 92096-83</t>
  </si>
  <si>
    <t>172.33.534  труба заборна</t>
  </si>
  <si>
    <t>лист S=4 АМг6М ГОСТ21631-76</t>
  </si>
  <si>
    <t>175.33.081-2  донишко</t>
  </si>
  <si>
    <t>175.33.079-2  донишко</t>
  </si>
  <si>
    <t>637.33.055  обечайка</t>
  </si>
  <si>
    <t>труба АМг6МКр 25х1,5 ОСТ1 92096-83</t>
  </si>
  <si>
    <t>637.33.008сб  бак зовнішній п'ятий</t>
  </si>
  <si>
    <t>L=1400(1500)</t>
  </si>
  <si>
    <t>655.33.011  трубка</t>
  </si>
  <si>
    <t>655.33.021сб  трубопровід</t>
  </si>
  <si>
    <t>655.29.676  щиток</t>
  </si>
  <si>
    <t>труба 6х1 ГОСТ9941-72 12Х18Н10Т ГОСТ5632-89</t>
  </si>
  <si>
    <t>637.60.047  трубка</t>
  </si>
  <si>
    <t>каніфоль соснова ГОСТ19113-84</t>
  </si>
  <si>
    <t>припій ПСр-45 ГОСТ19738-74</t>
  </si>
  <si>
    <t>637.60.031сб  трубка</t>
  </si>
  <si>
    <t>лист S=2 пароніт ПМБ ГОСТ481-80</t>
  </si>
  <si>
    <t>632.94.022  прокладка</t>
  </si>
  <si>
    <t>632.70.112  кронштейн</t>
  </si>
  <si>
    <t>L=1400(1520)</t>
  </si>
  <si>
    <t>труба 10х1 Сталь20 ГОСТ18277</t>
  </si>
  <si>
    <t>632.14.177  труба</t>
  </si>
  <si>
    <t>емаль ПФ-223 світлосіро-голуба</t>
  </si>
  <si>
    <t>632.14.032сб-1  трубопровід</t>
  </si>
  <si>
    <t>608.91.621  заслінка</t>
  </si>
  <si>
    <t>608.91.620  лист</t>
  </si>
  <si>
    <t>608.91.619  лист</t>
  </si>
  <si>
    <t>608.91.618  обечайка</t>
  </si>
  <si>
    <t>608.91.628 скоба</t>
  </si>
  <si>
    <t>608.91.627  опора</t>
  </si>
  <si>
    <t>608.91.171сб  опора</t>
  </si>
  <si>
    <t>608.02.072  канат</t>
  </si>
  <si>
    <t>608.02.016сб  трос</t>
  </si>
  <si>
    <t>608.91.626  ребро</t>
  </si>
  <si>
    <t>608.91.625  лист</t>
  </si>
  <si>
    <t>608.91.172сб  дно</t>
  </si>
  <si>
    <t>608.91.170сб  стелаж</t>
  </si>
  <si>
    <t>608.91.169сб  стелаж</t>
  </si>
  <si>
    <t>L=85(90)</t>
  </si>
  <si>
    <t>дріт d=5 ОЧ ГОСТ3282-74</t>
  </si>
  <si>
    <t>608.91.556  вісь</t>
  </si>
  <si>
    <t>лист S=3 АМг6БМ ГОСТ21631-73</t>
  </si>
  <si>
    <t>лист S=2 АМг6БМ ГОСТ21631-73</t>
  </si>
  <si>
    <t>608.91.548  обечайка</t>
  </si>
  <si>
    <t>608.91.160сб  ящик</t>
  </si>
  <si>
    <t>608.91.555  скоба</t>
  </si>
  <si>
    <t>L=240(250)</t>
  </si>
  <si>
    <t>608.91.554  скоба</t>
  </si>
  <si>
    <t>608.91.552  днице</t>
  </si>
  <si>
    <t>608.91.551  днище</t>
  </si>
  <si>
    <t>608.91.550  ребро</t>
  </si>
  <si>
    <t>РРРРРРРРРРРРРРРРРРР</t>
  </si>
  <si>
    <t>608.91.549  обечайка</t>
  </si>
  <si>
    <t>608.91.547  обечайа</t>
  </si>
  <si>
    <t>608.91.159сб  ящик</t>
  </si>
  <si>
    <t>608.91.158сб  стелаж</t>
  </si>
  <si>
    <t>54.05.327  скоба бака</t>
  </si>
  <si>
    <t>608.91.489  планка</t>
  </si>
  <si>
    <t>608.91.137сб  салазки</t>
  </si>
  <si>
    <t>608.91.188  планка</t>
  </si>
  <si>
    <t>608.91.187  стакан</t>
  </si>
  <si>
    <t>608.91.078сб  стелаж</t>
  </si>
  <si>
    <t>608.91.170  кронштейн</t>
  </si>
  <si>
    <t>608.91.169  лента</t>
  </si>
  <si>
    <t>608.91.073сб  стрічка</t>
  </si>
  <si>
    <t>дріт d=4 ГОСТ9389-75</t>
  </si>
  <si>
    <t>54.27.294  накидка</t>
  </si>
  <si>
    <t>608.91.155  дужка</t>
  </si>
  <si>
    <t>608.91.154  дужка</t>
  </si>
  <si>
    <t>608.91.153  скоба</t>
  </si>
  <si>
    <t>608.91.070сб  хомут</t>
  </si>
  <si>
    <t>608.91.168  крючок</t>
  </si>
  <si>
    <t>608.91.167  лента</t>
  </si>
  <si>
    <t>608.91.072сб  лента</t>
  </si>
  <si>
    <t>608.91.166  лента</t>
  </si>
  <si>
    <t>608.91.066сб-1  лента</t>
  </si>
  <si>
    <t>608.91.065сб  стрічка</t>
  </si>
  <si>
    <t>608.91.152  лента</t>
  </si>
  <si>
    <t>608.91.064сб  стрічка</t>
  </si>
  <si>
    <t>176.91.004  дужка</t>
  </si>
  <si>
    <t>176.91.005  дужка</t>
  </si>
  <si>
    <t>176.91.003  дужка</t>
  </si>
  <si>
    <t>лист S=4 ГОСТ19904-74 Сталь10кп ГОСТ1577-70</t>
  </si>
  <si>
    <t>608.91.116  скоба</t>
  </si>
  <si>
    <t>608.91.044сб  хомут</t>
  </si>
  <si>
    <t>608.91.045сб  хомут</t>
  </si>
  <si>
    <t>608.91.091  короб</t>
  </si>
  <si>
    <t xml:space="preserve">608.91.088  лист </t>
  </si>
  <si>
    <t>608.91.087  планка</t>
  </si>
  <si>
    <t>608.91.033сб  поличка</t>
  </si>
  <si>
    <t>608.91.026  планка</t>
  </si>
  <si>
    <t>608.91.025  кутник</t>
  </si>
  <si>
    <t>608.91.024  обечайка</t>
  </si>
  <si>
    <t>608.91.011сб  стелаж</t>
  </si>
  <si>
    <t>L=830(850)</t>
  </si>
  <si>
    <t>608.85.003  трубка</t>
  </si>
  <si>
    <t>608.85.009сб  трубопровід</t>
  </si>
  <si>
    <t>608.85.010  трубка</t>
  </si>
  <si>
    <t>608.85.007сб  трубопровід</t>
  </si>
  <si>
    <t>лист S=1 Л63 ГОСТ2208-70</t>
  </si>
  <si>
    <t>175.85.071 бірка</t>
  </si>
  <si>
    <t>608.85.021  горловина</t>
  </si>
  <si>
    <t>608.85.019  лапа</t>
  </si>
  <si>
    <t>608.85.018  днище</t>
  </si>
  <si>
    <t>608.85.017  обечайка</t>
  </si>
  <si>
    <t>608.85.016  боковина права</t>
  </si>
  <si>
    <t>608.85.015  боковина ліва</t>
  </si>
  <si>
    <t>стрічка S=0,18 Л63 ГОСТ2208-75</t>
  </si>
  <si>
    <t>54.05.231-А  донишко</t>
  </si>
  <si>
    <t>54.05.230-А  донишко</t>
  </si>
  <si>
    <t>54.51.083  обечайка</t>
  </si>
  <si>
    <t>54.51.25сб-Б  поплавок</t>
  </si>
  <si>
    <t>труба 38х1,5 ГОСТ8734-75 Сталь20 ГОСТ8733-74</t>
  </si>
  <si>
    <t>155.05.769  труба</t>
  </si>
  <si>
    <t>155.05.209сб-А  Пробка</t>
  </si>
  <si>
    <t>дріт d=1  1,0-Н-12Х18Н9Т</t>
  </si>
  <si>
    <t>155.05.207сб-А  пробка</t>
  </si>
  <si>
    <t>608.85.006сб  бак</t>
  </si>
  <si>
    <t>608.85.006  трубка</t>
  </si>
  <si>
    <t>608.85.005сб  трубопровід</t>
  </si>
  <si>
    <t>608.85.007  трубка</t>
  </si>
  <si>
    <t>608.85.005  трубка</t>
  </si>
  <si>
    <t>L=52(60)</t>
  </si>
  <si>
    <t>608.85.004  трубка</t>
  </si>
  <si>
    <t>608.85.004сб  трубопровід</t>
  </si>
  <si>
    <t>L=1100(1250)</t>
  </si>
  <si>
    <t>608.85.001  трубка</t>
  </si>
  <si>
    <t>608.85.002сб  трубопровід</t>
  </si>
  <si>
    <t>172.83.252  кронштейн</t>
  </si>
  <si>
    <t>175.83.066-1  проушина</t>
  </si>
  <si>
    <t>176.83.003сб  кришка</t>
  </si>
  <si>
    <t>176.83.007сб  кришка</t>
  </si>
  <si>
    <t>176.83.011  трубка</t>
  </si>
  <si>
    <t>дріт d=0,5-0-4</t>
  </si>
  <si>
    <t>608.83.066сб  ричаг</t>
  </si>
  <si>
    <t>608.83.067сб  кришка з важілем</t>
  </si>
  <si>
    <t>L=600(630)</t>
  </si>
  <si>
    <t>608.82.060  трубка</t>
  </si>
  <si>
    <t>608.82.059  трубка</t>
  </si>
  <si>
    <t>608.82.020сб  трубопровід</t>
  </si>
  <si>
    <t>L=()</t>
  </si>
  <si>
    <t>608.82.056  трубка</t>
  </si>
  <si>
    <t>608.82.055  трубка</t>
  </si>
  <si>
    <t>608.82.054  трубка</t>
  </si>
  <si>
    <t>608.82.053  трубка</t>
  </si>
  <si>
    <t>608.82.052  трубка</t>
  </si>
  <si>
    <t>608.82.051  трубка</t>
  </si>
  <si>
    <t>608.82.050  трубка</t>
  </si>
  <si>
    <t>608.82.049  трубка</t>
  </si>
  <si>
    <t>608.82.048  трубка</t>
  </si>
  <si>
    <t>608.82.047  трубка</t>
  </si>
  <si>
    <t>608.82.017сб  трубопровід</t>
  </si>
  <si>
    <t>L=190(250)</t>
  </si>
  <si>
    <t>608.82.041  трубка</t>
  </si>
  <si>
    <t>608.82.040  трубка</t>
  </si>
  <si>
    <t>608.82.016сб  трубопровід</t>
  </si>
  <si>
    <t>608.82.013  трубка</t>
  </si>
  <si>
    <t>608.82.012  трубка</t>
  </si>
  <si>
    <t>608.82.011  трубка</t>
  </si>
  <si>
    <t>608.82.002  трубка</t>
  </si>
  <si>
    <t>608.82.001  трубка</t>
  </si>
  <si>
    <t>608.82.014сб  трубопровід</t>
  </si>
  <si>
    <t>608.82.026  трубка</t>
  </si>
  <si>
    <t>608.82.025  трубка</t>
  </si>
  <si>
    <t>608.82.023  трубка</t>
  </si>
  <si>
    <t>608.82.022  трубка</t>
  </si>
  <si>
    <t>608.82.021  трубка</t>
  </si>
  <si>
    <t>608.82.012сб  трубопровід</t>
  </si>
  <si>
    <t>608.82.046  трубка</t>
  </si>
  <si>
    <t>608.82.045  трубка</t>
  </si>
  <si>
    <t>608.82.019  трубка</t>
  </si>
  <si>
    <t>608.82.018  трубка</t>
  </si>
  <si>
    <t>608.82.011сб  трубопровід</t>
  </si>
  <si>
    <t>L=120(130)</t>
  </si>
  <si>
    <t>608.82.036  трубка</t>
  </si>
  <si>
    <t>608.82.035  трубка</t>
  </si>
  <si>
    <t>L=680(700)</t>
  </si>
  <si>
    <t>608.82.034  трубка</t>
  </si>
  <si>
    <t>608.82.033  трубка</t>
  </si>
  <si>
    <t>L=580(620)</t>
  </si>
  <si>
    <t>608.82.014  трубка</t>
  </si>
  <si>
    <t>608.82.008сб  трубопровід</t>
  </si>
  <si>
    <t>L=800(870)</t>
  </si>
  <si>
    <t>608.82.009  труба</t>
  </si>
  <si>
    <t>608.82.008  труба</t>
  </si>
  <si>
    <t>608.82.006сб  трубопровід</t>
  </si>
  <si>
    <t>L=1650(1750)</t>
  </si>
  <si>
    <t>608.82.006  трубка</t>
  </si>
  <si>
    <t>608.82.004сб  трубка</t>
  </si>
  <si>
    <t>лист S=2 ГОСТ9903-74 Ст3кп ГОСТ16523-70</t>
  </si>
  <si>
    <t>608.70.367  планка</t>
  </si>
  <si>
    <t>608.70.366  кронштейн</t>
  </si>
  <si>
    <t>608.70.349  кронштейн</t>
  </si>
  <si>
    <t>608.70.211сб  кронштейн</t>
  </si>
  <si>
    <t>608.70.212сб  кронштейн</t>
  </si>
  <si>
    <t>607.73.013  пластина</t>
  </si>
  <si>
    <t>607.73.012  пластина</t>
  </si>
  <si>
    <t>607.73.011  трубка</t>
  </si>
  <si>
    <t>608.73.007сб  кронштейн</t>
  </si>
  <si>
    <t>608.73.001  кронштейн</t>
  </si>
  <si>
    <t>608.73.006сб  кронштейн</t>
  </si>
  <si>
    <t>Роздрукував 11.05.16р</t>
  </si>
  <si>
    <t>608.73.006  ребро</t>
  </si>
  <si>
    <t>608.73.005  основа</t>
  </si>
  <si>
    <t>608.73.004  кронштейн</t>
  </si>
  <si>
    <t>608.73.005сб  кронштейн</t>
  </si>
  <si>
    <t>608.73.009  ребро</t>
  </si>
  <si>
    <t>608.73.003-1  ребро</t>
  </si>
  <si>
    <t>608.73.002-1  кронштейн</t>
  </si>
  <si>
    <t>608.73.004сб-1  кронштейн</t>
  </si>
  <si>
    <t>608.70.218  кронштейн</t>
  </si>
  <si>
    <t>L=840(1000)</t>
  </si>
  <si>
    <t>175.32.082-1  труба</t>
  </si>
  <si>
    <t>175.32.029сб-2  труба</t>
  </si>
  <si>
    <t>дріт 5-0-4 ГОСТ3282-74</t>
  </si>
  <si>
    <t>608.70.337  скоба</t>
  </si>
  <si>
    <t>608.70.336  днище</t>
  </si>
  <si>
    <t>608.70.335  обечайка</t>
  </si>
  <si>
    <t>608.70.334  кришка</t>
  </si>
  <si>
    <t>608.70.200сб  кришка</t>
  </si>
  <si>
    <t>грунт ФЛ-086 жовтий</t>
  </si>
  <si>
    <t>608.70.199сб  ящик кабелів</t>
  </si>
  <si>
    <t>608.70.235  кронштейн</t>
  </si>
  <si>
    <t>608.70.144сб  кронштейн</t>
  </si>
  <si>
    <t>608.70.184  планка</t>
  </si>
  <si>
    <t>608.70.183  планка</t>
  </si>
  <si>
    <t>608.70.181  кожух</t>
  </si>
  <si>
    <t>608.70.122сб  кожух</t>
  </si>
  <si>
    <t>труба 5х1 М2 ГОСТ617-72</t>
  </si>
  <si>
    <t>608.70.057  контакт</t>
  </si>
  <si>
    <t>608.70.311  накладка</t>
  </si>
  <si>
    <t>кутник 32х20х3 ГОСТ8510-72 Сталь20 ГОСТ535-58</t>
  </si>
  <si>
    <t>608.70.310  кутник</t>
  </si>
  <si>
    <t>608.70.187сб  стійка</t>
  </si>
  <si>
    <t>труба 10х1,5 ГОСТ8734-75 Сталь10 ГОСТ8733-74</t>
  </si>
  <si>
    <t>175.70.382  трубка</t>
  </si>
  <si>
    <t>175.70.104-1  планка задня</t>
  </si>
  <si>
    <t>608.70.339  кутник</t>
  </si>
  <si>
    <t>608.70.338  кронштейн</t>
  </si>
  <si>
    <t>608.70.308  балка</t>
  </si>
  <si>
    <t>608.70.101  ребро</t>
  </si>
  <si>
    <t>608.70.100  пластина</t>
  </si>
  <si>
    <t>608.70.094  опора</t>
  </si>
  <si>
    <t>608.70.092  днище</t>
  </si>
  <si>
    <t>608.70.091  рама</t>
  </si>
  <si>
    <t>L=305(330)</t>
  </si>
  <si>
    <t>175.70.380  кутник задній</t>
  </si>
  <si>
    <t>608.70.185сб  стійка</t>
  </si>
  <si>
    <t>608.70.021сб-1  стелаж</t>
  </si>
  <si>
    <t>608.70.205  кронштейн</t>
  </si>
  <si>
    <t>608.70.012сб  кронштейн</t>
  </si>
  <si>
    <t>лист S=3 текстоліт ГОСТ2910-74</t>
  </si>
  <si>
    <t>608.70.004-1  панель</t>
  </si>
  <si>
    <t>емаль ПФ-223 чорна</t>
  </si>
  <si>
    <t>608.70.003-1  панель</t>
  </si>
  <si>
    <t>L=625(750)</t>
  </si>
  <si>
    <t>608.60.039-1  трубка</t>
  </si>
  <si>
    <t>608.60.025сб-1  трубка</t>
  </si>
  <si>
    <t>608.60.024сб-1  трубка з манометром</t>
  </si>
  <si>
    <t>L=780(900)</t>
  </si>
  <si>
    <t>труба 6х1 ГОСТ8734-58 Сталь20</t>
  </si>
  <si>
    <t>608.60.037  трубка</t>
  </si>
  <si>
    <t>608.60.022сб  труба</t>
  </si>
  <si>
    <t>L=1550(1700)</t>
  </si>
  <si>
    <t>608.60.032  трубка</t>
  </si>
  <si>
    <t>608.60.021сб  труба</t>
  </si>
  <si>
    <t>608.60.029  планка</t>
  </si>
  <si>
    <t>608.60.026  кронштейн</t>
  </si>
  <si>
    <t>608.60.025  кронштейн</t>
  </si>
  <si>
    <t>608.60.018сб  кронштейн</t>
  </si>
  <si>
    <t>L=400(500)</t>
  </si>
  <si>
    <t>608.60.016  трубка</t>
  </si>
  <si>
    <t>608.60.014сб  труба</t>
  </si>
  <si>
    <t>L=55(100)</t>
  </si>
  <si>
    <t>608.60.015  трубка</t>
  </si>
  <si>
    <t>608.60.014  трубка</t>
  </si>
  <si>
    <t>608.60.013  трубка</t>
  </si>
  <si>
    <t>608.60.013сб  трубопровід</t>
  </si>
  <si>
    <t>L=200(250)</t>
  </si>
  <si>
    <t>608.60.012  трубка</t>
  </si>
  <si>
    <t>608.60.012сб  труба</t>
  </si>
  <si>
    <t>L=1200(1350)</t>
  </si>
  <si>
    <t>608.60.011  трубка</t>
  </si>
  <si>
    <t>608.60.011сб  труба</t>
  </si>
  <si>
    <t>L=2370(2550)</t>
  </si>
  <si>
    <t>608.60.022  трубка</t>
  </si>
  <si>
    <t>608.60.019  трубка</t>
  </si>
  <si>
    <t>608.60.010сб  трубопровід</t>
  </si>
  <si>
    <t>L=1620(1800)</t>
  </si>
  <si>
    <t>608.60.018  трубка</t>
  </si>
  <si>
    <t>608.60.009сб  труба</t>
  </si>
  <si>
    <t>L=2850(3000)</t>
  </si>
  <si>
    <t>608.60.021  трубка</t>
  </si>
  <si>
    <t>608.60.008сб  труба</t>
  </si>
  <si>
    <t>L=1250(1500)</t>
  </si>
  <si>
    <t>608.60.024  трубка</t>
  </si>
  <si>
    <t>608.60.023  трубка</t>
  </si>
  <si>
    <t>608.60.007сб  трубопровід</t>
  </si>
  <si>
    <t>L=1500(1700)</t>
  </si>
  <si>
    <t>труба 12х1 ГОСТ8734-58 Сталь10 ГОСТ8733-74</t>
  </si>
  <si>
    <t>608.60.010  трубка</t>
  </si>
  <si>
    <t>608.60.006сб  труба</t>
  </si>
  <si>
    <t>L=2450(2700)</t>
  </si>
  <si>
    <t>608.60.008  трубка</t>
  </si>
  <si>
    <t>608.60.004сб  трубопровід</t>
  </si>
  <si>
    <t>608.60.005  трубка</t>
  </si>
  <si>
    <t>608.60.004  трубка</t>
  </si>
  <si>
    <t>608.60.003сб  трубопровід</t>
  </si>
  <si>
    <t>L=770(800)</t>
  </si>
  <si>
    <t>труба 8х1,4 ГОСТ8734-58 Сталь10 ГОСТ8733-74</t>
  </si>
  <si>
    <t>608.60.035  трубка</t>
  </si>
  <si>
    <t>608.60.003  трубка</t>
  </si>
  <si>
    <t>608.60.002сб  трубопровід</t>
  </si>
  <si>
    <t>608.60.002  трубка</t>
  </si>
  <si>
    <t>L=115(130)</t>
  </si>
  <si>
    <t>608.60.001  трубка</t>
  </si>
  <si>
    <t>608.60.001сб  трубопровід</t>
  </si>
  <si>
    <t>L=0,35(0,4)</t>
  </si>
  <si>
    <t>608.33.147  труба</t>
  </si>
  <si>
    <t>608.33.086сб-1  труба</t>
  </si>
  <si>
    <t>608.33.127  труба</t>
  </si>
  <si>
    <t>608.33.085сб  труба</t>
  </si>
  <si>
    <t>05.С.085.33.091  лента</t>
  </si>
  <si>
    <t>608.33.077сб  стрічка</t>
  </si>
  <si>
    <t>L=460(520)</t>
  </si>
  <si>
    <t>05.С.085.33.721  трубопровід</t>
  </si>
  <si>
    <t>608.33.075сб  труба</t>
  </si>
  <si>
    <t>05.С.085.33.081  лента</t>
  </si>
  <si>
    <t>608.33.068сб  стрічка</t>
  </si>
  <si>
    <t>L=350(420)</t>
  </si>
  <si>
    <t>05.С.085.33.691  труба</t>
  </si>
  <si>
    <t>608.33.066сб  трубопровід</t>
  </si>
  <si>
    <t>608.33.241  патрубок</t>
  </si>
  <si>
    <t>608.33.065сб  патрубок</t>
  </si>
  <si>
    <t>L=360(420)</t>
  </si>
  <si>
    <t>труба 25х2 ГОСТ8734-75 Сталь10 ГОСТ8733-87</t>
  </si>
  <si>
    <t>05.С.085.33.662  труба</t>
  </si>
  <si>
    <t>05.С.085.33.661  труба</t>
  </si>
  <si>
    <t>608.33.047сб  трубопровід</t>
  </si>
  <si>
    <t>608.33.039сб  планка</t>
  </si>
  <si>
    <t>608.33.159  лента</t>
  </si>
  <si>
    <t>608.33.037сб  Стрічка L=900</t>
  </si>
  <si>
    <t>608.33.158  лента</t>
  </si>
  <si>
    <t>608.33.036сб  Стрічка L=290</t>
  </si>
  <si>
    <t>608.33.157  лента</t>
  </si>
  <si>
    <t>608.33.035сб  Стрічка L=410</t>
  </si>
  <si>
    <t>608.33.150  труба</t>
  </si>
  <si>
    <t>608.33.030сб  труба</t>
  </si>
  <si>
    <t>L=95(115)</t>
  </si>
  <si>
    <t>608.33.151  труба</t>
  </si>
  <si>
    <t>608.33.146  труба</t>
  </si>
  <si>
    <t>608.33.145  труба</t>
  </si>
  <si>
    <t>L=320(340)</t>
  </si>
  <si>
    <t>608.33.144  труба</t>
  </si>
  <si>
    <t>L=910(1100)</t>
  </si>
  <si>
    <t>608.33.139  труба</t>
  </si>
  <si>
    <t>608.33.029сб  трубопровід</t>
  </si>
  <si>
    <t>L=170(200)</t>
  </si>
  <si>
    <t>175.33.171-2  трубка</t>
  </si>
  <si>
    <t>L=120(180)</t>
  </si>
  <si>
    <t>608.33.239  труба</t>
  </si>
  <si>
    <t>608.33.026сб  трубопровід</t>
  </si>
  <si>
    <t>L=1170(1320)</t>
  </si>
  <si>
    <t>608.33.129  труба</t>
  </si>
  <si>
    <t>608.33.025сб  труба</t>
  </si>
  <si>
    <t>L=1180(1300)</t>
  </si>
  <si>
    <t>608.33.024сб  труба</t>
  </si>
  <si>
    <t>L=800(900)</t>
  </si>
  <si>
    <t>труба 12х1 ГОСТ8734-75 Сталь10 ГОСТ8733-87</t>
  </si>
  <si>
    <t>05.С.085.33.511-01  труба</t>
  </si>
  <si>
    <t>608.33.023сб  труба</t>
  </si>
  <si>
    <t>05.С.085.33.511  труба</t>
  </si>
  <si>
    <t>608.33.022сб  трубопровід</t>
  </si>
  <si>
    <t>608.31.023  труба</t>
  </si>
  <si>
    <t>L=50(100)</t>
  </si>
  <si>
    <t>608.31.024  труба</t>
  </si>
  <si>
    <t>608.31.021сб  патрубок</t>
  </si>
  <si>
    <t>608.31.020сб  труба</t>
  </si>
  <si>
    <t>L=940(1050)</t>
  </si>
  <si>
    <t>608.31.015-1  труба</t>
  </si>
  <si>
    <t>608.31.014сб-1  труба</t>
  </si>
  <si>
    <t>L=1080(1200)</t>
  </si>
  <si>
    <t>608.31.014  труба</t>
  </si>
  <si>
    <t>608.31.013сб  труба</t>
  </si>
  <si>
    <t>L=630(650)</t>
  </si>
  <si>
    <t>608.31.013  труба</t>
  </si>
  <si>
    <t>608.31.025  труба</t>
  </si>
  <si>
    <t>608.31.022сб  патрубок</t>
  </si>
  <si>
    <t>608.31.012сб-1  трубопровід</t>
  </si>
  <si>
    <t>L=1380(1450)</t>
  </si>
  <si>
    <t>608.31.003  труба</t>
  </si>
  <si>
    <t>608.31.011сб  труба</t>
  </si>
  <si>
    <t>608.31.006  труба</t>
  </si>
  <si>
    <t>608.31.010сб  патрубок</t>
  </si>
  <si>
    <t>L=90(150)</t>
  </si>
  <si>
    <t>175.31.068-1  патрубок</t>
  </si>
  <si>
    <t>608.31.006сб  патрубок</t>
  </si>
  <si>
    <t>L=1320(1420)</t>
  </si>
  <si>
    <t>608.31.005  труба</t>
  </si>
  <si>
    <t>608.31.005сб  труба</t>
  </si>
  <si>
    <t>L=1350(1500)</t>
  </si>
  <si>
    <t>608.31.009  трубка</t>
  </si>
  <si>
    <t>L=45(80)</t>
  </si>
  <si>
    <t>608.31.007 труба</t>
  </si>
  <si>
    <t>608.31.019сб  патрубок</t>
  </si>
  <si>
    <t>608.31.004сб  труба</t>
  </si>
  <si>
    <t>L=2200(2400)</t>
  </si>
  <si>
    <t>608.31.010  трубка</t>
  </si>
  <si>
    <t>608.31.003сб  труба</t>
  </si>
  <si>
    <t>608.29.675  щиток</t>
  </si>
  <si>
    <t>ПФ-115 біла</t>
  </si>
  <si>
    <t>лист =1 ГОСТ19904-74 Сталь10кп ГОСТ16523-70</t>
  </si>
  <si>
    <t>608.29.559-1  щиток</t>
  </si>
  <si>
    <t>скло органічне авіаційне (2-55) МХП БУ-27-55</t>
  </si>
  <si>
    <t>608.29.378  глазок</t>
  </si>
  <si>
    <t>L=370(400)</t>
  </si>
  <si>
    <t>608.29.771  трубка</t>
  </si>
  <si>
    <t>608.29.330сб-1  трубка</t>
  </si>
  <si>
    <t>L=330(420)</t>
  </si>
  <si>
    <t>608.29.683  трубка</t>
  </si>
  <si>
    <t>L=47(60)</t>
  </si>
  <si>
    <t>608.29.661  трубка</t>
  </si>
  <si>
    <t>608.29.319сб  трубопровід</t>
  </si>
  <si>
    <t>L=305(400)</t>
  </si>
  <si>
    <t>608.29.420  трубка</t>
  </si>
  <si>
    <t>608.29.318сб  трубка</t>
  </si>
  <si>
    <t>608.29.637  трубка</t>
  </si>
  <si>
    <t>608.29.315сб  трубка</t>
  </si>
  <si>
    <t>608.29.615  трубка</t>
  </si>
  <si>
    <t>L=460(530)</t>
  </si>
  <si>
    <t>608.29.614  трубка</t>
  </si>
  <si>
    <t>608.29.311сб  трубопровід</t>
  </si>
  <si>
    <t>608.29.613  трубка</t>
  </si>
  <si>
    <t>608.29.310сб  трубопровід</t>
  </si>
  <si>
    <t>L=160(220)</t>
  </si>
  <si>
    <t>608.29.604  трубка</t>
  </si>
  <si>
    <t>L=595(700)</t>
  </si>
  <si>
    <t>608.29.603  трубка</t>
  </si>
  <si>
    <t>608.29.301сб  трубопровід</t>
  </si>
  <si>
    <t>L=360(450)</t>
  </si>
  <si>
    <t>608.29.585-1  трубка</t>
  </si>
  <si>
    <t>608.29.291сб-1  трубопровід</t>
  </si>
  <si>
    <t>608.29.583-1  трубка</t>
  </si>
  <si>
    <t>L=180(250)</t>
  </si>
  <si>
    <t>608.29.582-1  трубка</t>
  </si>
  <si>
    <t>L=32(40)</t>
  </si>
  <si>
    <t>608.29.581-1  трубка</t>
  </si>
  <si>
    <t>608.29.290сб-1  трубопровід</t>
  </si>
  <si>
    <t>L=875(950)</t>
  </si>
  <si>
    <t>608.29.550  трубка</t>
  </si>
  <si>
    <t>L=150(1500)</t>
  </si>
  <si>
    <t>608.29.514  трубка</t>
  </si>
  <si>
    <t>608.29.286сб  трубопровід</t>
  </si>
  <si>
    <t>L=1390(1500)</t>
  </si>
  <si>
    <t>608.29.549  трубка</t>
  </si>
  <si>
    <t>608.29.284сб  трубопровід</t>
  </si>
  <si>
    <t>608.29.533-1  трубка</t>
  </si>
  <si>
    <t>608.29.273сб  трубка</t>
  </si>
  <si>
    <t>608.29.425  трубка</t>
  </si>
  <si>
    <t>608.29.272сб  трубка</t>
  </si>
  <si>
    <t>L=155(200)</t>
  </si>
  <si>
    <t>608.29.527  трубка</t>
  </si>
  <si>
    <t>608.29.270сб трубка</t>
  </si>
  <si>
    <t>L=830(900)</t>
  </si>
  <si>
    <t>608.29.526  трубка</t>
  </si>
  <si>
    <t>608.29.269сб  трубка</t>
  </si>
  <si>
    <t>608.29.554  трубка</t>
  </si>
  <si>
    <t>L=560(650)</t>
  </si>
  <si>
    <t>608.29.532  трубка</t>
  </si>
  <si>
    <t>608.29.268сб  трубопровід</t>
  </si>
  <si>
    <t>608.29.424  трубка</t>
  </si>
  <si>
    <t>L=125(160)</t>
  </si>
  <si>
    <t>608.29.423  трубка</t>
  </si>
  <si>
    <t>608.29.263сб  трубопровід</t>
  </si>
  <si>
    <t>L=1120(1250)</t>
  </si>
  <si>
    <t>608.29.486  трубка</t>
  </si>
  <si>
    <t>608.29.261сб-1  трубка</t>
  </si>
  <si>
    <t>L=1160(1300)</t>
  </si>
  <si>
    <t>608.29.485  трубка</t>
  </si>
  <si>
    <t>608.29.260сб-1  трубка</t>
  </si>
  <si>
    <t>L=1185(1300)</t>
  </si>
  <si>
    <t>608.29.484  трубка</t>
  </si>
  <si>
    <t>608.29.259сб-1  трубка</t>
  </si>
  <si>
    <t>L=1225(1350)</t>
  </si>
  <si>
    <t>608.29.483  трубка</t>
  </si>
  <si>
    <t>608.29.258сб-1  трубка</t>
  </si>
  <si>
    <t>608.29.481  трубка</t>
  </si>
  <si>
    <t>608.29.257сб  трубка</t>
  </si>
  <si>
    <t>L=345(400)</t>
  </si>
  <si>
    <t>608.29.480  трубка</t>
  </si>
  <si>
    <t>608.29.256сб  трубка</t>
  </si>
  <si>
    <t>608.29.513  трубка</t>
  </si>
  <si>
    <t>608.29.254сб  трубка</t>
  </si>
  <si>
    <t>L=165(210)</t>
  </si>
  <si>
    <t>608.29.477  трубка</t>
  </si>
  <si>
    <t>608.29.253сб  трубка</t>
  </si>
  <si>
    <t>L=215(250)</t>
  </si>
  <si>
    <t>608.29.493  трубка</t>
  </si>
  <si>
    <t>608.29.252сб  трубка</t>
  </si>
  <si>
    <t>L=1975(2150)</t>
  </si>
  <si>
    <t>608.29.474  трубка</t>
  </si>
  <si>
    <t>608.29.250сб  трубка</t>
  </si>
  <si>
    <t>L=345(410)</t>
  </si>
  <si>
    <t>608.29.473 трубка</t>
  </si>
  <si>
    <t>608.29.249сб  трубка</t>
  </si>
  <si>
    <t>L=1355(1500)</t>
  </si>
  <si>
    <t>608.29.482  трубка</t>
  </si>
  <si>
    <t>608.29.247сб  трубка</t>
  </si>
  <si>
    <t>L=1665(1800)</t>
  </si>
  <si>
    <t>608.29.470  трубка</t>
  </si>
  <si>
    <t>608.29.246сб  трубка</t>
  </si>
  <si>
    <t>L=385(420)</t>
  </si>
  <si>
    <t>608.29.523  трубка</t>
  </si>
  <si>
    <t>L=230(260)</t>
  </si>
  <si>
    <t>608.29.522  трубка</t>
  </si>
  <si>
    <t>608.29.245сб  трубка</t>
  </si>
  <si>
    <t>608.29.593  трубка</t>
  </si>
  <si>
    <t>608.29.244сб  трубка</t>
  </si>
  <si>
    <t>L=1330(1450)</t>
  </si>
  <si>
    <t>608.29.466  трубка</t>
  </si>
  <si>
    <t>608.29.239сб  трубка</t>
  </si>
  <si>
    <t>L=1950(2100)</t>
  </si>
  <si>
    <t>608.29.465  трубка</t>
  </si>
  <si>
    <t>608.29.238сб  трубка</t>
  </si>
  <si>
    <t>L=105(125)</t>
  </si>
  <si>
    <t>608.29.593-1  трубка</t>
  </si>
  <si>
    <t>L=2405(2600)</t>
  </si>
  <si>
    <t>608.29.464-1  трубка</t>
  </si>
  <si>
    <t>608.29.237сб-1  трубка</t>
  </si>
  <si>
    <t>L=1580(1700)</t>
  </si>
  <si>
    <t>608.29.463  трубка</t>
  </si>
  <si>
    <t>608.29.235сб  трубка</t>
  </si>
  <si>
    <t>L=965(1100)</t>
  </si>
  <si>
    <t>608.29.462  трубка</t>
  </si>
  <si>
    <t>608.29.234сб  трубка</t>
  </si>
  <si>
    <t>L=985(1100)</t>
  </si>
  <si>
    <t>608.29.461  трубка</t>
  </si>
  <si>
    <t>608.29.233сб  трубка</t>
  </si>
  <si>
    <t>L=980(1050)</t>
  </si>
  <si>
    <t>608.29.460  трубка</t>
  </si>
  <si>
    <t>608.29.232сб  трубка</t>
  </si>
  <si>
    <t>L=1280(1380)</t>
  </si>
  <si>
    <t>608.29.459-1  трубка</t>
  </si>
  <si>
    <t>608.29.231сб-1  трубка</t>
  </si>
  <si>
    <t>L=1620(1750)</t>
  </si>
  <si>
    <t>608.29.457  трубка</t>
  </si>
  <si>
    <t>608.29.229сб  трубка</t>
  </si>
  <si>
    <t>L=1360(1500)</t>
  </si>
  <si>
    <t>608.29.455  трубка</t>
  </si>
  <si>
    <t>608.29.227сб  трубка</t>
  </si>
  <si>
    <t>608.29.454-1  трубка</t>
  </si>
  <si>
    <t>608.29.226сб-1  трубка</t>
  </si>
  <si>
    <t>Роздрукував 27.04.16Р</t>
  </si>
  <si>
    <t>608.29.452-1  трубка</t>
  </si>
  <si>
    <t>608.29.224сб-1  трубка</t>
  </si>
  <si>
    <t>608.29.450-1  трубка</t>
  </si>
  <si>
    <t>608.29.222сб-1  трубка</t>
  </si>
  <si>
    <t>L=1970(2100)</t>
  </si>
  <si>
    <t>608.29.770  трубка</t>
  </si>
  <si>
    <t>608.29.219сб  трубка</t>
  </si>
  <si>
    <t>608.29.577  трубка</t>
  </si>
  <si>
    <t>608.29.421  трубка</t>
  </si>
  <si>
    <t>608.29.215сб  трубопрвоід</t>
  </si>
  <si>
    <t>608.29.780  трубка</t>
  </si>
  <si>
    <t>608.29.779  трубка</t>
  </si>
  <si>
    <t>L=250(300)</t>
  </si>
  <si>
    <t>608.29.778  трубка</t>
  </si>
  <si>
    <t>608.29.211сб-1  трубопровід</t>
  </si>
  <si>
    <t>L=220(260)</t>
  </si>
  <si>
    <t>608.29.372-1  трубка</t>
  </si>
  <si>
    <t>608.29.207сб  трубопровід</t>
  </si>
  <si>
    <t>L=210(260)</t>
  </si>
  <si>
    <t>608.29.370-1  трубка</t>
  </si>
  <si>
    <t>608.29.206сб  трубопровід</t>
  </si>
  <si>
    <t>608.29.367-1  трубка</t>
  </si>
  <si>
    <t>608.29.204сб  трубопровід</t>
  </si>
  <si>
    <t>608.29.667  трубка</t>
  </si>
  <si>
    <t>608.29.180сб  трубка</t>
  </si>
  <si>
    <t>608.29.179сб-4  трубопровід</t>
  </si>
  <si>
    <t>608.29.178сб-2  трубопровід</t>
  </si>
  <si>
    <t>L=67(75)</t>
  </si>
  <si>
    <t>608.29.115  трубка</t>
  </si>
  <si>
    <t>608.29.113  трубка</t>
  </si>
  <si>
    <t>608.29.112  трубка</t>
  </si>
  <si>
    <t>608.29.170сб-1  трубопровід</t>
  </si>
  <si>
    <t>L=320(400)</t>
  </si>
  <si>
    <t>608.29.110  труба</t>
  </si>
  <si>
    <t>608.29.169сб  трубопровід</t>
  </si>
  <si>
    <t>L=175(200)</t>
  </si>
  <si>
    <t>608.29.228-1  трубка</t>
  </si>
  <si>
    <t>608.29.151сб-1  трубка</t>
  </si>
  <si>
    <t>608.29.226-1  трубка</t>
  </si>
  <si>
    <t>608.29.149сб-1  трубка</t>
  </si>
  <si>
    <t>L=130(200)</t>
  </si>
  <si>
    <t>608.29.214  трубка</t>
  </si>
  <si>
    <t>608.29.213-1  трубка</t>
  </si>
  <si>
    <t>L=240(260)</t>
  </si>
  <si>
    <t>608.29.212-1  трубка</t>
  </si>
  <si>
    <t>L=100(130)</t>
  </si>
  <si>
    <t>608.29.211-1  трубка</t>
  </si>
  <si>
    <t>608.29.147сб  трубопровід</t>
  </si>
  <si>
    <t>L=315(400)</t>
  </si>
  <si>
    <t>608.29.217-2  трубка</t>
  </si>
  <si>
    <t>608.29.216-1  трубка</t>
  </si>
  <si>
    <t>608.29.145сб-2  трубопровід</t>
  </si>
  <si>
    <t>608.29.664  трубка</t>
  </si>
  <si>
    <t>L=330(400)</t>
  </si>
  <si>
    <t>608.29.663  трубка</t>
  </si>
  <si>
    <t>608.29.142сб  трубопровід</t>
  </si>
  <si>
    <t>608.29.203-1  трубка</t>
  </si>
  <si>
    <t>608.29.140сб-1  трубка</t>
  </si>
  <si>
    <t>608.29.508  щиток</t>
  </si>
  <si>
    <t>608.29.449  щиток</t>
  </si>
  <si>
    <t>608.29.099сб  щиток</t>
  </si>
  <si>
    <t>лист S=3 АМг6БМ-2 ГОСТ21631-76</t>
  </si>
  <si>
    <t>608.29.528  кожух</t>
  </si>
  <si>
    <t>лист S=2 АМг6БМ-2 ГОСТ21631-76</t>
  </si>
  <si>
    <t>608.29.520-3  щиток</t>
  </si>
  <si>
    <t>лист S=1 АМг6БМ-1 ГОСТ21631-76</t>
  </si>
  <si>
    <t>172.91.509  вушко</t>
  </si>
  <si>
    <t>172.91.204сб  вушко з пряжкою</t>
  </si>
  <si>
    <t>608.29.098сб  щиток</t>
  </si>
  <si>
    <t>608.29.507  щиток</t>
  </si>
  <si>
    <t>608.29.448  щиток</t>
  </si>
  <si>
    <t>608.29.097сб  щиток</t>
  </si>
  <si>
    <t>L=105(120)</t>
  </si>
  <si>
    <t>труба 34х2 ГОСТ8734-75 Сталь20 ГОСТ8733-87</t>
  </si>
  <si>
    <t>608.23.175  труба</t>
  </si>
  <si>
    <t>608.23.164  кронштейн</t>
  </si>
  <si>
    <t>608.23.043сб-1  корпус</t>
  </si>
  <si>
    <t>608.23.038сб-1  механізм повернення</t>
  </si>
  <si>
    <t>рукав 5У8-85 ТУ380051515-85</t>
  </si>
  <si>
    <t>608.23.063-1  шланг</t>
  </si>
  <si>
    <t>608.23.060-1  труба</t>
  </si>
  <si>
    <t>608.23.050сб-1  трубопровід</t>
  </si>
  <si>
    <t>632.14.178-1  трубка</t>
  </si>
  <si>
    <t>L=1050(1250)</t>
  </si>
  <si>
    <t>труба 6х1 ГОСТ8734-75 Сталь20 ГОСТ8733-74</t>
  </si>
  <si>
    <t>608.23.062  трубка</t>
  </si>
  <si>
    <t>608.23.049сб-2  трубопровід</t>
  </si>
  <si>
    <t>608.23.027сб-1  трубопрвід</t>
  </si>
  <si>
    <t>рукав 5У8-85 ТУ3800554515-76</t>
  </si>
  <si>
    <t>608.23.115  шланг</t>
  </si>
  <si>
    <t>L=360(400)</t>
  </si>
  <si>
    <t>608.23.114  трубка</t>
  </si>
  <si>
    <t>608.23.048сб  трубопровід</t>
  </si>
  <si>
    <t>L=380(430)</t>
  </si>
  <si>
    <t>608.23.113-1  труба</t>
  </si>
  <si>
    <t>608.23.047сб-1  трубопровід</t>
  </si>
  <si>
    <t>608.23.026сб-1  трубопровід</t>
  </si>
  <si>
    <t>канат  d=2,5С ГОСТ2172-80</t>
  </si>
  <si>
    <t>608.23.046  трос</t>
  </si>
  <si>
    <t>608.23.011сб  канат</t>
  </si>
  <si>
    <t>кутник 50х75х5 ГОСТ13738-68 АМГ6 ГОСТ8617-75</t>
  </si>
  <si>
    <t>608.19.064  кутник</t>
  </si>
  <si>
    <t>608.19.063  кутник</t>
  </si>
  <si>
    <t>608.19.062  конштейр</t>
  </si>
  <si>
    <t>грнут ВЛ-02</t>
  </si>
  <si>
    <t>608.19.013сб  борт</t>
  </si>
  <si>
    <t>608.19.012сб-1  борт</t>
  </si>
  <si>
    <t>608.19.037  лист</t>
  </si>
  <si>
    <t>608.19.034  щиток</t>
  </si>
  <si>
    <t>608.19.033  щиток</t>
  </si>
  <si>
    <t>608.19.029  кутник</t>
  </si>
  <si>
    <t>608.19.004сб  борт</t>
  </si>
  <si>
    <t>608.19.035  ребро</t>
  </si>
  <si>
    <t>608.19.030  щиток</t>
  </si>
  <si>
    <t>608.19.026  кутни</t>
  </si>
  <si>
    <t>608.19.025  кутник</t>
  </si>
  <si>
    <t>608.19.024  стойка</t>
  </si>
  <si>
    <t>608.19.023  лист</t>
  </si>
  <si>
    <t>608.19.003сб  борт</t>
  </si>
  <si>
    <t>L=630(730)</t>
  </si>
  <si>
    <t>608.10.163  трубопровід</t>
  </si>
  <si>
    <t>608.10.045сб-1  трубопровід</t>
  </si>
  <si>
    <t>лист S=5 ГОСТ19903-76 10ХСНД ГОСТ18282-73</t>
  </si>
  <si>
    <t>608.04.426  проушина</t>
  </si>
  <si>
    <t>лист S=1,5 ГОСТ19903-74 Ст3сп ГОСТ16523-89</t>
  </si>
  <si>
    <t>608.04.249  полиця</t>
  </si>
  <si>
    <t>608.04.247  полиця</t>
  </si>
  <si>
    <t>608.04.475  кронштейн</t>
  </si>
  <si>
    <t>608.04.178сб  стійка</t>
  </si>
  <si>
    <t>608.04.358-1  кронштейн</t>
  </si>
  <si>
    <t>608.04.140сб-1  стійка</t>
  </si>
  <si>
    <t>труба 16х3 ГОСТ8734-75 Сталь10 ГОСТ8733-87</t>
  </si>
  <si>
    <t>608.04.163  патрубок</t>
  </si>
  <si>
    <t>L=1320(1450)</t>
  </si>
  <si>
    <t>труба  22х2 ГОСТ8734-75 Сталь20 ГОСТ8733-73</t>
  </si>
  <si>
    <t>608.04.160  труба</t>
  </si>
  <si>
    <t>608.04.110сб  труба</t>
  </si>
  <si>
    <t>канат 4,8 ГОСТ3070-66</t>
  </si>
  <si>
    <t>608.02.195  тросик</t>
  </si>
  <si>
    <t>608.02.093сб тросик</t>
  </si>
  <si>
    <t>608.01.140  огородження</t>
  </si>
  <si>
    <t>608.01.054сб  огородження</t>
  </si>
  <si>
    <t>608.01.055сб  установка огородження</t>
  </si>
  <si>
    <t>54.26.467  планка</t>
  </si>
  <si>
    <t>54.26.077  планка</t>
  </si>
  <si>
    <t>54.26.076  скоба</t>
  </si>
  <si>
    <t>54.26.074-3  бокова лапка</t>
  </si>
  <si>
    <t>54.26.073-1  обод корзини</t>
  </si>
  <si>
    <t>лак БТ-783</t>
  </si>
  <si>
    <t>54.26.15сб-3А  корзина акомулятора</t>
  </si>
  <si>
    <t>лист S=1 ГОСТ19904-70 Ст3сп 16523-89</t>
  </si>
  <si>
    <t>54.08.232  каркас сальника</t>
  </si>
  <si>
    <t>лист S=2 Сталь10кп ГОСТ16523</t>
  </si>
  <si>
    <t>54.05.415  стакан фільтру</t>
  </si>
  <si>
    <t>54.05.133сб  корпус фільтру</t>
  </si>
  <si>
    <t>54.03.61сб-А  хомутик</t>
  </si>
  <si>
    <t>лист S=2,5 ГОСТ19903-74 Сталь20 ГОСТ16523-70</t>
  </si>
  <si>
    <t>432.85.046  скоба</t>
  </si>
  <si>
    <t>434.85.044-2  сопло</t>
  </si>
  <si>
    <t>434.85.002сб-2  сопло</t>
  </si>
  <si>
    <t>432.73.056  трос</t>
  </si>
  <si>
    <t>432.70.327  вилка</t>
  </si>
  <si>
    <t>432.70.567сб  вилка зовнішнього запуску</t>
  </si>
  <si>
    <t xml:space="preserve">припій ПОССу30-2 </t>
  </si>
  <si>
    <t>лист ДПРНМ М3 ГОСТ495-77</t>
  </si>
  <si>
    <t>432.70.202  перемичка</t>
  </si>
  <si>
    <t>лист S=0,2 М3 ГОСТ1173-70</t>
  </si>
  <si>
    <t>432.70.448  полоса</t>
  </si>
  <si>
    <t>432.70.444сб  перемичка</t>
  </si>
  <si>
    <t>432.70.206  перемичка</t>
  </si>
  <si>
    <t>432.70.043сб-1  перемичка</t>
  </si>
  <si>
    <t>L=110(200)</t>
  </si>
  <si>
    <t>176.82.005  трубка</t>
  </si>
  <si>
    <t>176.82.004  трубка</t>
  </si>
  <si>
    <t>L=960(1100)</t>
  </si>
  <si>
    <t>176.82.003-1  трубка</t>
  </si>
  <si>
    <t>176.82.002  трубка</t>
  </si>
  <si>
    <t>176.82.002сб-1  трубопровід</t>
  </si>
  <si>
    <t>176.32.014  кронштейн</t>
  </si>
  <si>
    <t>176.32.007сб-А  кронштейн</t>
  </si>
  <si>
    <t>L=220(350)</t>
  </si>
  <si>
    <t>труба 25х1 12Х18Н10Т ГОСТ9941-81</t>
  </si>
  <si>
    <t>176.31.022-1  труба</t>
  </si>
  <si>
    <t>L=620(750)</t>
  </si>
  <si>
    <t>176.31.021-1  труба</t>
  </si>
  <si>
    <t>176.31.023сб-1  труба</t>
  </si>
  <si>
    <t>лист S=1,5 12Х18Н10Т ГОСТ5632-75</t>
  </si>
  <si>
    <t>176.31.084  накладка</t>
  </si>
  <si>
    <t>172-2М.31.026  перегородка</t>
  </si>
  <si>
    <t>176.31.032  скоба</t>
  </si>
  <si>
    <t>176.31.014-1  лапа</t>
  </si>
  <si>
    <t>176.31.013-1  накладка</t>
  </si>
  <si>
    <t>176.31.002  боковина</t>
  </si>
  <si>
    <t>176.31.001  боковина</t>
  </si>
  <si>
    <t>172.31.345-1  трубка</t>
  </si>
  <si>
    <t>172.31.110сб-1  трубка</t>
  </si>
  <si>
    <t xml:space="preserve">176.31.004сб  бачок </t>
  </si>
  <si>
    <t>175.82.020-1  трубка</t>
  </si>
  <si>
    <t>175.82.009сб-1  трубка</t>
  </si>
  <si>
    <t>L=1170(1400)</t>
  </si>
  <si>
    <t>175.82.015-2  трубка</t>
  </si>
  <si>
    <t>175.82.007сб-2  трубопровід</t>
  </si>
  <si>
    <t>L=535(650)</t>
  </si>
  <si>
    <t>175.82.014  трубка</t>
  </si>
  <si>
    <t>175.82.006сб  трубка</t>
  </si>
  <si>
    <t>175.82.070-2  трубка</t>
  </si>
  <si>
    <t>175.82.011-1  трубка</t>
  </si>
  <si>
    <t>175.82.010  трубка</t>
  </si>
  <si>
    <t>175.82.009  трубка</t>
  </si>
  <si>
    <t>емаль ПФ-115  червона</t>
  </si>
  <si>
    <t>175.82.004сб-4</t>
  </si>
  <si>
    <t>L=280(400)</t>
  </si>
  <si>
    <t>175.008  трубка</t>
  </si>
  <si>
    <t>L=75(120)</t>
  </si>
  <si>
    <t>175.007  трубка</t>
  </si>
  <si>
    <t>175.006  трубка</t>
  </si>
  <si>
    <t>емаль ПФ-115  зелена</t>
  </si>
  <si>
    <t>175.82.003сб  трубка</t>
  </si>
  <si>
    <t>лист S=3 Л63М-3 ГОСТ931-70</t>
  </si>
  <si>
    <t>175.70.222  наконечник</t>
  </si>
  <si>
    <t>175.70.076-1  кронштейн</t>
  </si>
  <si>
    <t>175.70.116сб-1  кронштейн</t>
  </si>
  <si>
    <t>175.70.023сб  хомут</t>
  </si>
  <si>
    <t>L=780(950)</t>
  </si>
  <si>
    <t>175.66.068-1  труба</t>
  </si>
  <si>
    <t>175.66.022  трубка</t>
  </si>
  <si>
    <t>175.66.022сб-1  трубка</t>
  </si>
  <si>
    <t>175.60.121  кронштейн</t>
  </si>
  <si>
    <t>175.60.120  ребро</t>
  </si>
  <si>
    <t>175.60.058сб  кронштейн</t>
  </si>
  <si>
    <t>L=610(800)</t>
  </si>
  <si>
    <t>175.60.006-1  трубка</t>
  </si>
  <si>
    <t>175.60.007сб-1  трубка</t>
  </si>
  <si>
    <t>175.37.064 планка</t>
  </si>
  <si>
    <t>175.37.024сб  планка</t>
  </si>
  <si>
    <t>175.37.035-3  труба</t>
  </si>
  <si>
    <t>175.37.024-4  патрубок</t>
  </si>
  <si>
    <t>175.37.023-4А  труба</t>
  </si>
  <si>
    <t>175.37.013сб-4А  трубопровід</t>
  </si>
  <si>
    <t>175.32.234  каркас фільтру</t>
  </si>
  <si>
    <t>L=1210(1400)</t>
  </si>
  <si>
    <t>175.30.024-3  труба</t>
  </si>
  <si>
    <t>рукав 2Т12-15 ТУ005 280-76</t>
  </si>
  <si>
    <t>175.32.028сб-2  труба</t>
  </si>
  <si>
    <t>175.31.137-1  планка</t>
  </si>
  <si>
    <t>175.31.135-А  кронштейн</t>
  </si>
  <si>
    <t>емаль ПФ-223 світлосіроголуба</t>
  </si>
  <si>
    <t>175.31.047сб-1А  кронштейн</t>
  </si>
  <si>
    <t>172.31.335  кронштейн</t>
  </si>
  <si>
    <t>L=335(420)</t>
  </si>
  <si>
    <t>труба 48х1,4 12Х18Н10Т</t>
  </si>
  <si>
    <t>175.31.088-1  труба</t>
  </si>
  <si>
    <t>175.31.027сб-2  труба</t>
  </si>
  <si>
    <t>лист S=4 ГОСТ19903-74 Сталь15 ГОСТ16523-70</t>
  </si>
  <si>
    <t>175.31.023  балка</t>
  </si>
  <si>
    <t>175.31.014сб  балка</t>
  </si>
  <si>
    <t>175.04.112-1  полка</t>
  </si>
  <si>
    <t>лист S=4 ГОСТ19903-74 Сталь15 ГОСТ1577</t>
  </si>
  <si>
    <t>175.04.081-1  лист полиці задній правий</t>
  </si>
  <si>
    <t>175.02.137-1  каркас</t>
  </si>
  <si>
    <t>175.02.133  прокладка</t>
  </si>
  <si>
    <t>175.02.548  опора ліва</t>
  </si>
  <si>
    <t>кутник 45х28х4 Сталь09Г2</t>
  </si>
  <si>
    <t>172.02.212  кутник</t>
  </si>
  <si>
    <t>175.02.549  опора права</t>
  </si>
  <si>
    <t>175.02.524-03  планка</t>
  </si>
  <si>
    <t>175.02.524-01  планка</t>
  </si>
  <si>
    <t>175.02.300-1  кришка</t>
  </si>
  <si>
    <t>175.02.101сб-1  кришка ліва</t>
  </si>
  <si>
    <t>L=800</t>
  </si>
  <si>
    <t>175.02.266  кутник</t>
  </si>
  <si>
    <t>175.02.519  кутник</t>
  </si>
  <si>
    <t>кутник 35х20х4 ГОСТ8509-72</t>
  </si>
  <si>
    <t>175.02.265  кутник</t>
  </si>
  <si>
    <t>32х32х3</t>
  </si>
  <si>
    <t>175.02.008сб  рамка</t>
  </si>
  <si>
    <t>172-2М.31.005-1  труба</t>
  </si>
  <si>
    <t>емаль ПФ-115 сітло-зелена</t>
  </si>
  <si>
    <t>грунт ВЛ-03</t>
  </si>
  <si>
    <t>172-2М-31.003сб-1А  труба</t>
  </si>
  <si>
    <t>лист S=4  30ХГСА ТУ14-1-1830-75</t>
  </si>
  <si>
    <t>172.87.360-1  ричаг</t>
  </si>
  <si>
    <t>канат d=2,5 ГОСТ2172-80</t>
  </si>
  <si>
    <t>172.87.135  важіль з тросом</t>
  </si>
  <si>
    <t>172.83.102сб  трос</t>
  </si>
  <si>
    <t>172.73.022  трос</t>
  </si>
  <si>
    <t>172.73.010сб  кришка</t>
  </si>
  <si>
    <t>172.70.415-1  кронштейн</t>
  </si>
  <si>
    <t>172.70.468  платик</t>
  </si>
  <si>
    <t>172.70.242сб  кронштейн лівий</t>
  </si>
  <si>
    <t>лист S=2 Сталь30 ГОСТ16523-70</t>
  </si>
  <si>
    <t>172.70.040  лента хомута</t>
  </si>
  <si>
    <t>172.70.022сб  хомут</t>
  </si>
  <si>
    <t>рукав IЛ-6-19,0</t>
  </si>
  <si>
    <t>172.60.153сб  трубопрвод</t>
  </si>
  <si>
    <t>176.31.034сб -2  патрубок</t>
  </si>
  <si>
    <t>175.31.138-1  планку</t>
  </si>
  <si>
    <t>172.31.298  планка</t>
  </si>
  <si>
    <t>172.31.090сб  кронштейн</t>
  </si>
  <si>
    <t>лист S=0,5 Л63М ГОСТ931-78</t>
  </si>
  <si>
    <t>172.31.275  кільце</t>
  </si>
  <si>
    <t>лист S=0,25 Л63-М-Н ГОСТ2208-70</t>
  </si>
  <si>
    <t>172.31.274  обойма сітки</t>
  </si>
  <si>
    <t>сітка №016 ГОСТ6613-56 Л80 ГОСТ15527-70</t>
  </si>
  <si>
    <t>172.31.273  сітка</t>
  </si>
  <si>
    <t>172.31.082сб  сітка</t>
  </si>
  <si>
    <t>172.03.056  огородження</t>
  </si>
  <si>
    <t>стрічка S=1 У7А ГОСТ2283-69</t>
  </si>
  <si>
    <t>172.03.055  кліпс</t>
  </si>
  <si>
    <t>172.03.017сб  кліпса</t>
  </si>
  <si>
    <t>172.02.540  каркас</t>
  </si>
  <si>
    <t>лист S=1,5 ГОСТ19904-74 Сталь10кп ГОСТ1623-70</t>
  </si>
  <si>
    <t>172.02.536-1А  каркас</t>
  </si>
  <si>
    <t>172.02.534-1А  каркас</t>
  </si>
  <si>
    <t>172.02.522  каркас</t>
  </si>
  <si>
    <t>лист S =4 ГОСТ19904-74 Сталь10кп ГОСТ1577-81</t>
  </si>
  <si>
    <t>05.С.085.73.045  планка</t>
  </si>
  <si>
    <t>05.С.085.73.044  кутник</t>
  </si>
  <si>
    <t>05.С.085.73.043  боковина</t>
  </si>
  <si>
    <t>05.С.085.73.042  боковина</t>
  </si>
  <si>
    <t>05.С.085.73.041  основа</t>
  </si>
  <si>
    <t>05.С.085.73.040сб  кронштейн</t>
  </si>
  <si>
    <t>роздрукував 20.04.16р</t>
  </si>
  <si>
    <t>608.70.318  скоба</t>
  </si>
  <si>
    <t>дріт ОЧ d=4 ГОСТ3282-74</t>
  </si>
  <si>
    <t>608.70.016  скоба</t>
  </si>
  <si>
    <t>лист S=4 Д1АТ ГОСТ21631-76</t>
  </si>
  <si>
    <t>608.70.014  кришка</t>
  </si>
  <si>
    <t>608.70.193сб  кришка</t>
  </si>
  <si>
    <t>Роздрукував 14.04.16Р</t>
  </si>
  <si>
    <t>608.70.007сб пульт управління краном</t>
  </si>
  <si>
    <t>лист S=5 ГОСТ Ст3 ГОСТ14637-88</t>
  </si>
  <si>
    <t>65.608.04.127-1  кронштейн</t>
  </si>
  <si>
    <t>65.608.04.127  кронштейн</t>
  </si>
  <si>
    <t>65.608.04.159сб  кронштейн колоди</t>
  </si>
  <si>
    <t>608.04.420  накладка</t>
  </si>
  <si>
    <t>608.04.158сб  кронштейн</t>
  </si>
  <si>
    <t>175.04.069-4  коробка права</t>
  </si>
  <si>
    <t>608.04.042сб  кронштейн</t>
  </si>
  <si>
    <t>мої деталі які прийшли міші на дефектацію а ми маємо йому дати запчастини</t>
  </si>
  <si>
    <t>грунт ФЛ-08Б</t>
  </si>
  <si>
    <t>608.70.323  тяга</t>
  </si>
  <si>
    <t>520.009.001-03  скоба 6х9</t>
  </si>
  <si>
    <t>лист S=2 Сталь20 ГОСТ1050-74</t>
  </si>
  <si>
    <t>608.70.293  шайба</t>
  </si>
  <si>
    <t>лента S=0,25 Бр.Б2 ГОСТ1789-70</t>
  </si>
  <si>
    <t>608.70.294  пружина</t>
  </si>
  <si>
    <t>лента S=0,1 М3МНТО</t>
  </si>
  <si>
    <t>608.70.302  прокладка</t>
  </si>
  <si>
    <t>608.70.301  прокладка</t>
  </si>
  <si>
    <t>608.70.300  прокладка</t>
  </si>
  <si>
    <t>608.70.299  прокладка</t>
  </si>
  <si>
    <t>фторопласт лист S=1,5 Ф-4, сорт1 ГОСТ10007-72</t>
  </si>
  <si>
    <t>608.70.273  шайба</t>
  </si>
  <si>
    <t>608.70.160-1  прокладка</t>
  </si>
  <si>
    <t>608.70.272  кільце</t>
  </si>
  <si>
    <t>608.70.165сб  кільце</t>
  </si>
  <si>
    <t>608.70.271  кільце</t>
  </si>
  <si>
    <t>608.70.164сб  кільце</t>
  </si>
  <si>
    <t>608.70.270  кільце</t>
  </si>
  <si>
    <t>608.70.163сб  кільце</t>
  </si>
  <si>
    <t>608.70.269  кільце</t>
  </si>
  <si>
    <t>608.70.162сб  кільце</t>
  </si>
  <si>
    <t>608.70.252-1  сектор</t>
  </si>
  <si>
    <t>608.70.151сб-1  сектор</t>
  </si>
  <si>
    <t>608.70.251-1  сектор</t>
  </si>
  <si>
    <t>608.70.150сб-1  сектор</t>
  </si>
  <si>
    <t>лист S=0,8 ГОСТ19904-74 Сталь10кп ГОСТ16523-74</t>
  </si>
  <si>
    <t>602.64.161  скоба</t>
  </si>
  <si>
    <t>лист S=0,8 Сталь оцинкована ГОСТ7118-54</t>
  </si>
  <si>
    <t>608.29.573  скоба</t>
  </si>
  <si>
    <t>608.29.388  скоба</t>
  </si>
  <si>
    <t>лента S=0,25 У7А ГОСТ2283-79</t>
  </si>
  <si>
    <t>608.29.386  прокладка</t>
  </si>
  <si>
    <t>лист S=1,5 БрАЖМц ГОСТ18175-72</t>
  </si>
  <si>
    <t>чого тоді 4/9 якщо зборку ми робимо чи перевіряємо</t>
  </si>
  <si>
    <t>4/,9</t>
  </si>
  <si>
    <t>608.29.754  шайба</t>
  </si>
  <si>
    <t>лист S=1,5 38ХС ГОСТ4543-71</t>
  </si>
  <si>
    <t>608.29.753  шайба</t>
  </si>
  <si>
    <t>проволока КО d=0,8 ГОСТ792-67</t>
  </si>
  <si>
    <t>608.29.344сбА  вентиль</t>
  </si>
  <si>
    <t>L=920(1,05)</t>
  </si>
  <si>
    <t>608.29.337-2  трубка</t>
  </si>
  <si>
    <t>608.29.196сб-2  трубка</t>
  </si>
  <si>
    <t>L=2,86(3,0)</t>
  </si>
  <si>
    <t>608.29.375-1  трубка</t>
  </si>
  <si>
    <t>608.29.195сб-1  трубка</t>
  </si>
  <si>
    <t>L=3,39(3,52)</t>
  </si>
  <si>
    <t>608.29.376-1  трубка</t>
  </si>
  <si>
    <t>608.29.194сб-1  трубка</t>
  </si>
  <si>
    <t>L=1110(1200)</t>
  </si>
  <si>
    <t>608.29.335-2  трубка</t>
  </si>
  <si>
    <t>608.29.191сб-2  трубка</t>
  </si>
  <si>
    <t>L=270(370)</t>
  </si>
  <si>
    <t>608.29.333-1  трубка</t>
  </si>
  <si>
    <t>608.29.190сб-1  трубка</t>
  </si>
  <si>
    <t>L=365(450)</t>
  </si>
  <si>
    <t>608.29.332-1  трубка</t>
  </si>
  <si>
    <t>608.29.189сб-1  трубка</t>
  </si>
  <si>
    <t>L=505(650)</t>
  </si>
  <si>
    <t>608.29.331-1  трубка</t>
  </si>
  <si>
    <t>608.29.188сб-1  трубка</t>
  </si>
  <si>
    <t>L=325(450)</t>
  </si>
  <si>
    <t>608.29.329-1  трубка</t>
  </si>
  <si>
    <t>608.29.187сб-1  трубка</t>
  </si>
  <si>
    <t>L=120(250)</t>
  </si>
  <si>
    <t>608.29.671  трубка</t>
  </si>
  <si>
    <t>L=260(370)</t>
  </si>
  <si>
    <t>608.29.670  трубка</t>
  </si>
  <si>
    <t>L=240(350)</t>
  </si>
  <si>
    <t>608.29.328-1  трубка</t>
  </si>
  <si>
    <t>L=300(400)</t>
  </si>
  <si>
    <t>608.29.327-2  трубка</t>
  </si>
  <si>
    <t>L=290(400)</t>
  </si>
  <si>
    <t>608.29.326-2  трубка</t>
  </si>
  <si>
    <t>608.29.186сб-2  трубопровід</t>
  </si>
  <si>
    <t>608.29.324-1  трубка</t>
  </si>
  <si>
    <t>L=90(100)</t>
  </si>
  <si>
    <t>608.29.323-1  трубка</t>
  </si>
  <si>
    <t>608.29.322-2  трубка</t>
  </si>
  <si>
    <t>608.29.185сб-2  трубопровід</t>
  </si>
  <si>
    <t>608.29.318-1  трубка</t>
  </si>
  <si>
    <t>608.29.184сб-1  трубка</t>
  </si>
  <si>
    <t>L=320(450)</t>
  </si>
  <si>
    <t>608.29.319-1  трубка</t>
  </si>
  <si>
    <t>608.29.183сб-1  трубка</t>
  </si>
  <si>
    <t>608.29.321-1  трубка</t>
  </si>
  <si>
    <t>608.29.182сб-1  трубка</t>
  </si>
  <si>
    <t>L=250(320)</t>
  </si>
  <si>
    <t>608.29.320-1  трубка</t>
  </si>
  <si>
    <t>608.29.181сб-1  трубка</t>
  </si>
  <si>
    <t>608.29.313-1  трубка</t>
  </si>
  <si>
    <t>L=340(450)</t>
  </si>
  <si>
    <t>608.29.312-2  трубка</t>
  </si>
  <si>
    <t>608.29.179сб-2  трубопровід</t>
  </si>
  <si>
    <t>L=195(250)</t>
  </si>
  <si>
    <t>608.29.306-1 труба</t>
  </si>
  <si>
    <t>L=355(450)</t>
  </si>
  <si>
    <t>608.29.305-1  труба</t>
  </si>
  <si>
    <t>608.29.178сб-1  трубопровід</t>
  </si>
  <si>
    <t>L=419(500)</t>
  </si>
  <si>
    <t>608.29.299-2  трубка</t>
  </si>
  <si>
    <t>L=375(450)</t>
  </si>
  <si>
    <t>608.29.298-2  трубка</t>
  </si>
  <si>
    <t>608.29.177сб-2  трубопровід</t>
  </si>
  <si>
    <t>608.29.366-1  трубка</t>
  </si>
  <si>
    <t>L=360(460)</t>
  </si>
  <si>
    <t>608.29.307-1  трубка</t>
  </si>
  <si>
    <t>608.29.176сб-1  трубка</t>
  </si>
  <si>
    <t>608.29.304-2  труба</t>
  </si>
  <si>
    <t>608.29.302-3  труба</t>
  </si>
  <si>
    <t>608.29.296-2  трубка</t>
  </si>
  <si>
    <t>608.29.175сб-2  трубка</t>
  </si>
  <si>
    <t>дріт КО d=1 ГОСТ792-67</t>
  </si>
  <si>
    <t>608.29.166сб  колектор</t>
  </si>
  <si>
    <t>лист S=4 ГОСТ19904-70 Сталь10кп ГОСТ16523-70</t>
  </si>
  <si>
    <t>608.29.262  планка</t>
  </si>
  <si>
    <t>труба 12х3 ГОСТ8734-75 Сталь10 ГОСТ8733-74</t>
  </si>
  <si>
    <t>608.29.244  трубка</t>
  </si>
  <si>
    <t xml:space="preserve">608.29.156сб-1 гільза колектора </t>
  </si>
  <si>
    <t>608.29.160сб-1  колектор</t>
  </si>
  <si>
    <t>608.29.159сб  колектор гідравлічний</t>
  </si>
  <si>
    <t>608.29.047сб  гідрозамок</t>
  </si>
  <si>
    <t>608.29.026сб  реле тиску</t>
  </si>
  <si>
    <t>608.20.149-1  шайба</t>
  </si>
  <si>
    <t>608.20.112  прокладка</t>
  </si>
  <si>
    <t>лист S=0,25 ГГЖК №25 ГОСТ17718-72</t>
  </si>
  <si>
    <t>608.20.111  прокладка</t>
  </si>
  <si>
    <t>Додаток №3 до Т.Р. №39</t>
  </si>
  <si>
    <t>608.83.021сб-А</t>
  </si>
  <si>
    <t>Шплінт</t>
  </si>
  <si>
    <t>2,5х16 / DIN 94 2,5-16-St</t>
  </si>
  <si>
    <t>2х25 / 94 2-25-St</t>
  </si>
  <si>
    <t>2х16.05 / 2.0-16-St</t>
  </si>
  <si>
    <t>Гвинт</t>
  </si>
  <si>
    <t>М4-6gх8.46.016 ГОСТ 1491-72</t>
  </si>
  <si>
    <t>608.83.091</t>
  </si>
  <si>
    <t>кг.</t>
  </si>
  <si>
    <t>б=3</t>
  </si>
  <si>
    <t>10КП</t>
  </si>
  <si>
    <t>сталь</t>
  </si>
  <si>
    <t>Лист</t>
  </si>
  <si>
    <t>608.83.089</t>
  </si>
  <si>
    <t>б=5</t>
  </si>
  <si>
    <t>Сталь</t>
  </si>
  <si>
    <t>608.83.098,608.83.050</t>
  </si>
  <si>
    <t>17х2</t>
  </si>
  <si>
    <t>608.83.047,608.83.009,608.83.097,608.83.017,608.83.019,608.83.053,608.83.021,608.83.044, 608.83.053,608.83.021,608.83.044</t>
  </si>
  <si>
    <t>б=4,0</t>
  </si>
  <si>
    <t>АМг6БМ</t>
  </si>
  <si>
    <t>Алюміній</t>
  </si>
  <si>
    <t>608.83.045-А</t>
  </si>
  <si>
    <t>б=1,0</t>
  </si>
  <si>
    <t>У7А-С</t>
  </si>
  <si>
    <t>Стрічка</t>
  </si>
  <si>
    <t>12.01.016 ГОСТ 11371-78</t>
  </si>
  <si>
    <t>б=2,5</t>
  </si>
  <si>
    <t>08кп</t>
  </si>
  <si>
    <t>10.01.016 ГОСТ11371-78,10.01.016 ГОСТ11371-78,10.01.016 ГОСТ11371-78</t>
  </si>
  <si>
    <t>б=2</t>
  </si>
  <si>
    <t>ст3</t>
  </si>
  <si>
    <t>608.83.006-1,608.83.092</t>
  </si>
  <si>
    <t>608.83.060сб</t>
  </si>
  <si>
    <t>ФЛ-03К</t>
  </si>
  <si>
    <t>Грунт</t>
  </si>
  <si>
    <t>608.83.060сб,608.83.056сб</t>
  </si>
  <si>
    <t>Вуглекислота</t>
  </si>
  <si>
    <t>d=1,2</t>
  </si>
  <si>
    <t>СВ08Г2С</t>
  </si>
  <si>
    <t>Дріт звар.</t>
  </si>
  <si>
    <t>Уайт-спірит</t>
  </si>
  <si>
    <t>608.83.021сб-А,608.83.061сб</t>
  </si>
  <si>
    <t>88НП</t>
  </si>
  <si>
    <t>Клей</t>
  </si>
  <si>
    <t>ДЧК</t>
  </si>
  <si>
    <t>Дріб</t>
  </si>
  <si>
    <t>Розчинник</t>
  </si>
  <si>
    <t>АК-070</t>
  </si>
  <si>
    <t>ВЛ-02</t>
  </si>
  <si>
    <t>608.83.021сб-А,608.83.060сб</t>
  </si>
  <si>
    <t>Р-4</t>
  </si>
  <si>
    <t>ХВ-518</t>
  </si>
  <si>
    <t>Емаль захисна</t>
  </si>
  <si>
    <t>608.83.021сб-А,608.83.005сб,608.83.006сб,608.83.007сб,608.83.057сб,608.83.022сб, 608.83.023сб,608.83.022сб,608.83.023сб</t>
  </si>
  <si>
    <t>А</t>
  </si>
  <si>
    <t>Аргон газоподібний</t>
  </si>
  <si>
    <t>608.83.021сб-А,608.83.005сб,608.83.006сб,608.83.007сб,608.83.057сб,608.83.022сб,608.83.023сб, 608.83.022сб,608.83.023сб</t>
  </si>
  <si>
    <t>СвАМг6</t>
  </si>
  <si>
    <t>Запчастина 608.83.021сб-А                                Труба</t>
  </si>
  <si>
    <t>608.83.020сб-А</t>
  </si>
  <si>
    <t>4х32.016 / 4.0х32-St</t>
  </si>
  <si>
    <t>608.83.099</t>
  </si>
  <si>
    <t>б=2,0</t>
  </si>
  <si>
    <t>АД1М</t>
  </si>
  <si>
    <t>10.01.016 ГОСТ11371-78</t>
  </si>
  <si>
    <t>608.83.004,608.83.018,608.83.019,608.83.003,608.83.016,608.83.053,608.83.021,608.83.044</t>
  </si>
  <si>
    <t>608.83.008сб,608.83.022сб,608.83.023сб,608.83.004</t>
  </si>
  <si>
    <t>608.83.020сб-А,608.83.008сб,608.83.022сб,608.83.023сб,608.83.004</t>
  </si>
  <si>
    <t>Запчастина 608.83.020сб-А                                Труба</t>
  </si>
  <si>
    <t>608.83.020сб-А  труба ЛАЗ</t>
  </si>
  <si>
    <t>608.83.021сб-А  труба ЛАЗ</t>
  </si>
  <si>
    <t>175.04.124сб щиток 1-й лівий</t>
  </si>
  <si>
    <t>175.04.125сб щиток 2-й лівий</t>
  </si>
  <si>
    <t>175.04.126сб щиток 3-й лівий</t>
  </si>
  <si>
    <t>175.04.127сб щиток 4-й лівий</t>
  </si>
  <si>
    <t>175.04.128сб щиток 1-й правий</t>
  </si>
  <si>
    <t>175.04.129сб щиток 2-й правий</t>
  </si>
  <si>
    <t>175.04.130сб щиток 3-й правий</t>
  </si>
  <si>
    <t>175.04.131сб щиток 4-й правий</t>
  </si>
  <si>
    <t>608.91.003сб-1 - Ящик для ЗІП зовнішній лівий</t>
  </si>
  <si>
    <t xml:space="preserve">Розчинник </t>
  </si>
  <si>
    <t>ГОСТ 18188-72</t>
  </si>
  <si>
    <t xml:space="preserve">Емаль захисна </t>
  </si>
  <si>
    <t>ТУ6-10-966-75</t>
  </si>
  <si>
    <t xml:space="preserve">Грунт </t>
  </si>
  <si>
    <t>ОСТ6-10-401-76</t>
  </si>
  <si>
    <t>ГОСТ 7827-74</t>
  </si>
  <si>
    <t xml:space="preserve">Аргон газоподібний </t>
  </si>
  <si>
    <t>ГОСТ 10157-79</t>
  </si>
  <si>
    <t>м.куб.</t>
  </si>
  <si>
    <t xml:space="preserve">Дріб </t>
  </si>
  <si>
    <t>ГОСТ 11964-81Е</t>
  </si>
  <si>
    <t xml:space="preserve">Бура технічна </t>
  </si>
  <si>
    <t>ГОСТ 8429-77</t>
  </si>
  <si>
    <t>Лист Алюміній</t>
  </si>
  <si>
    <t>ГОСТ 21631-76</t>
  </si>
  <si>
    <t>ГОСТ 12707-77</t>
  </si>
  <si>
    <t>Сорт 1</t>
  </si>
  <si>
    <t>ГОСТ 5583-78</t>
  </si>
  <si>
    <t>Лист Сталь</t>
  </si>
  <si>
    <t>ГОСТ 16523-97</t>
  </si>
  <si>
    <t>Клей Клей</t>
  </si>
  <si>
    <t>ТУ 38-105-540-85</t>
  </si>
  <si>
    <t>Припій Припій(дріт)</t>
  </si>
  <si>
    <t>ЛК-62-0,5</t>
  </si>
  <si>
    <t>ГОСТ 16130-85</t>
  </si>
  <si>
    <t>Дріт звар. Алюміній</t>
  </si>
  <si>
    <t>ГОСТ 7871-75</t>
  </si>
  <si>
    <t>10кп</t>
  </si>
  <si>
    <t>б=1,5</t>
  </si>
  <si>
    <t>б=1,6</t>
  </si>
  <si>
    <t>ГОСТ 380-2005</t>
  </si>
  <si>
    <t>608.91.004сб - Ящик для ЗІП зовнішній правий 1-й</t>
  </si>
  <si>
    <t>У7А</t>
  </si>
  <si>
    <t>608.91.005сб - Ящик для ЗІП зовнішній правий 2-й</t>
  </si>
  <si>
    <t>65.С.03.10.270сб  трубопровід вихлопу котла підігріву</t>
  </si>
  <si>
    <t>65.С.03.10.280сб  трубопровід вихлопу котла підігріву</t>
  </si>
  <si>
    <t>65.С.03.10.290сб  патрубок вихлопу котла підігріву</t>
  </si>
  <si>
    <t>65.С.03.10.292  дашок</t>
  </si>
  <si>
    <t>65.С.03.10.300сб  патрубок вихідний</t>
  </si>
  <si>
    <t>65.С.03.10.302  ніпель</t>
  </si>
  <si>
    <t>65.С.03.10.310сб  патрубок зрошувача</t>
  </si>
  <si>
    <t>65.С.03.10.311  патрубок</t>
  </si>
  <si>
    <t>65.С.03.10.312  труба</t>
  </si>
  <si>
    <t>65.С.03.10.313  кільце</t>
  </si>
  <si>
    <t>65.С.03.10.314  фартух</t>
  </si>
  <si>
    <t>65.С.03.10.320сб  трубопровід наповнюючий</t>
  </si>
  <si>
    <t>65.С.03.10.330сб  трубопровід наповнюючий лівий</t>
  </si>
  <si>
    <t>65.С.03.10.330сб-01  трубопровід наповнюючий правий</t>
  </si>
  <si>
    <t>65.С.03.10.340сб  трубопровід наповнюючий лівий</t>
  </si>
  <si>
    <t>65.С.03.10.340сб-01  трубопровід наповнюючий лівий</t>
  </si>
  <si>
    <t>65.С.03.10.350сб  трубопровід лафета</t>
  </si>
  <si>
    <t>лист б=3 ГОСТ 19903-74 Ст3 ГОСТ 14637-89</t>
  </si>
  <si>
    <t>65.С.03.10.273  кільце</t>
  </si>
  <si>
    <t>труба 32х3,2 ГОСТ 3262-75</t>
  </si>
  <si>
    <t>L=72(82)</t>
  </si>
  <si>
    <t>L=65(75)</t>
  </si>
  <si>
    <t>L=120(135)</t>
  </si>
  <si>
    <t>лист б=3 ГОСТ 19903-74 Ст3 ГОСТ 16523-97</t>
  </si>
  <si>
    <t>лист б=2 ГОСТ 19903-74 Ст3 ГОСТ 16523-97</t>
  </si>
  <si>
    <t>65.С.03.10.390сб  трубопровід подачі піноутворювача</t>
  </si>
  <si>
    <t>65.С.03.10.400сб  трубопровід зливу піноутворювача</t>
  </si>
  <si>
    <t>65.С.03.10.410сб  трубопровід вихідний</t>
  </si>
  <si>
    <t>65.С.03.10.143  патрубок</t>
  </si>
  <si>
    <t>65.С.03.10.391  труба</t>
  </si>
  <si>
    <t>65.С.03.10.402  труба</t>
  </si>
  <si>
    <t>65.С.03.10.403  труба</t>
  </si>
  <si>
    <t>65.С.03.10.404  труба</t>
  </si>
  <si>
    <t>65.С.03.10.405  патрубок</t>
  </si>
  <si>
    <t>65.С.03.10.420сб  трубопровід вихідний</t>
  </si>
  <si>
    <t>65.С.03.10.430сб  трубопровід вихідний</t>
  </si>
  <si>
    <t>65.С.03.10.440сб  трубопровід вхідний</t>
  </si>
  <si>
    <t>65.С.03.10.443  кільце</t>
  </si>
  <si>
    <t>65.С.03.10.450сб  патрубок наповнення</t>
  </si>
  <si>
    <t>65.С.03.10.540сб  кронштейн маяка</t>
  </si>
  <si>
    <t>65.С.03.10.452  кільце</t>
  </si>
  <si>
    <t>65.С.03.10.541  основа</t>
  </si>
  <si>
    <t>65.С.03.10.542  ребро</t>
  </si>
  <si>
    <t>65.С.03.10.560сб  кронштейн сирени</t>
  </si>
  <si>
    <t>65.С.03.10.561  кронштейн</t>
  </si>
  <si>
    <t>65.С.03.10.562  ребро</t>
  </si>
  <si>
    <t>65.С.03.10.118  труба</t>
  </si>
  <si>
    <t>65.С.03.10.119  труба</t>
  </si>
  <si>
    <t>65.С.03.10.123  труба</t>
  </si>
  <si>
    <t>65.С.03.10.124  труба</t>
  </si>
  <si>
    <t>65.С.03.10.125  труба</t>
  </si>
  <si>
    <t>65.С.03.10.126  кутник</t>
  </si>
  <si>
    <t>65.С.03.10.129  поручень</t>
  </si>
  <si>
    <t>65.С.03.10.135  трубка калорифера</t>
  </si>
  <si>
    <t>65.С.03.10.138  трубка зрошувача</t>
  </si>
  <si>
    <t>65.С.03.10.144  фартух</t>
  </si>
  <si>
    <t>труба 48х3 20Х13 ГОСТ 9941-81</t>
  </si>
  <si>
    <t>L=680(720)</t>
  </si>
  <si>
    <t>L=100(115)</t>
  </si>
  <si>
    <t>L=150(170)</t>
  </si>
  <si>
    <t>L=386(410)</t>
  </si>
  <si>
    <t>L=947(1000)</t>
  </si>
  <si>
    <t>ГОСТ 17375:2003 відвід ∅133х4-90°</t>
  </si>
  <si>
    <t>ГОСТ 17375:2003 відвід ∅159х4-90°</t>
  </si>
  <si>
    <t>Кисень газ. стех.</t>
  </si>
  <si>
    <t>05.С.028.76.570сб  заглушка</t>
  </si>
  <si>
    <t>65.С.03.10.583  канат (б.к.)</t>
  </si>
  <si>
    <t>175.32.127сб-А  пробка</t>
  </si>
  <si>
    <t>175.32.377  канат (б.к.)</t>
  </si>
  <si>
    <t>труба 30х1 ГОСТ 8732-78 20 ГОСТ 8731-74</t>
  </si>
  <si>
    <t xml:space="preserve">L=640(680) </t>
  </si>
  <si>
    <t xml:space="preserve">L=720(760) </t>
  </si>
  <si>
    <t xml:space="preserve">L=300(320) </t>
  </si>
  <si>
    <t xml:space="preserve">L=420(460) </t>
  </si>
  <si>
    <t xml:space="preserve">L=215(230) </t>
  </si>
  <si>
    <t>кутник 40х40х4 ГОСТ 8509-93 Ст3 ГОСТ 535-2005</t>
  </si>
  <si>
    <t>L=2928(3000)</t>
  </si>
  <si>
    <t>труба 20х2,8 ГОСТ 3262-75</t>
  </si>
  <si>
    <t>L=515(620)</t>
  </si>
  <si>
    <t>труба 25х3,2 ГОСТ 3262-75</t>
  </si>
  <si>
    <t>L=2055(2200)</t>
  </si>
  <si>
    <t>65.С.03.10.580сб  ланка з'єднувальна</t>
  </si>
  <si>
    <t>65.С.03.10.581  планка</t>
  </si>
  <si>
    <t>дріт КО-0,5-ОЧ ГОСТ 3282-74</t>
  </si>
  <si>
    <t>канат d=1,8 ГОСТ 2172-71</t>
  </si>
  <si>
    <t>6х20.01.015  заклепка ГОСТ 10299-68</t>
  </si>
  <si>
    <t>лист б=3 ГОСТ 19903-74 10кп ГОСТ 14637-89</t>
  </si>
  <si>
    <t>емаль ПФ-115 червона матова</t>
  </si>
  <si>
    <t>Емаль ЄП-773</t>
  </si>
  <si>
    <t>Print 07.05.2018</t>
  </si>
  <si>
    <t>155АМ5.40.002сб  трубка масловказівника</t>
  </si>
  <si>
    <t>Розпорядження №51-2018р</t>
  </si>
  <si>
    <t>БТС-4А</t>
  </si>
  <si>
    <t>155АМ5.40.005  трубка</t>
  </si>
  <si>
    <t>труба 12х1,4 ГОСТ 8734-74 20 ГОСТ 8733-74</t>
  </si>
  <si>
    <t>Print 07.05.2018р</t>
  </si>
  <si>
    <t>С001.10.045  пружина плоска</t>
  </si>
  <si>
    <t>С001.10.047  пружина плоска</t>
  </si>
  <si>
    <t>С001.10.049  пружина плоска</t>
  </si>
  <si>
    <t>С001.10.052  пружина плоска</t>
  </si>
  <si>
    <t>стрічка 1П-Ш-М-1,0х40 ГОСТ 2614-65 60С2 ГОСТ 2052-53</t>
  </si>
  <si>
    <t>Розпорядження №52-2018р</t>
  </si>
  <si>
    <t>Розпорядження №54-2018р</t>
  </si>
  <si>
    <t>ЛБТЗ.654А.38.010СБ  трубка</t>
  </si>
  <si>
    <t>ЛБТЗ.654А.38.011  трубка</t>
  </si>
  <si>
    <t>ЛБТЗ.654А.38.051  трубка</t>
  </si>
  <si>
    <t>169.38.005сб  трубопровід</t>
  </si>
  <si>
    <t>169.38.004сб  трубопровід</t>
  </si>
  <si>
    <t>169.38.001  трубка</t>
  </si>
  <si>
    <t>155.38.261  трубка</t>
  </si>
  <si>
    <t>700-40-248-01  прокладкка</t>
  </si>
  <si>
    <t>700-40-254  прокладка</t>
  </si>
  <si>
    <t>65.765-10-сб515  прокладка</t>
  </si>
  <si>
    <t>Стаціонарні випробування УТД-20</t>
  </si>
  <si>
    <t>лист б=2 АД1-М1 ГОСТ 7869-56</t>
  </si>
  <si>
    <t>лист б=1,5 АД1-М1 ГОСТ 7869-56</t>
  </si>
  <si>
    <t>лист б=2 М1 ГОСТ 859-78</t>
  </si>
  <si>
    <t>ЦЕХ - 4</t>
  </si>
  <si>
    <t>Роздрукував 07.05.2018р</t>
  </si>
  <si>
    <t>608.29.034сб  дросель з регулятором</t>
  </si>
  <si>
    <t>дріт КО d=1 ГОСТ 792-67</t>
  </si>
  <si>
    <t>пломба 10/6,5 ОСТ 3268-84</t>
  </si>
  <si>
    <t xml:space="preserve">L=2388(2500) </t>
  </si>
  <si>
    <t>труба 8х1,4 ГОСТ 8734-75 10 ГОСТ 8733-87</t>
  </si>
  <si>
    <t>ЛБТЗ.654А.38.021  трубка (б.к.)</t>
  </si>
  <si>
    <t>ЛБТЗ.654А.38.031  трубка (б.к.)</t>
  </si>
  <si>
    <t>ЛБТЗ.654А.38.041  трубка (б.к.)</t>
  </si>
  <si>
    <t>ЛБТЗ.654А.38.050сб  трубка</t>
  </si>
  <si>
    <t xml:space="preserve">L=1134(1200) </t>
  </si>
  <si>
    <t>рукав 40У12-13</t>
  </si>
  <si>
    <t xml:space="preserve">L=90(100) </t>
  </si>
  <si>
    <t>емаль ПФ-223 коричнева</t>
  </si>
  <si>
    <t>труба 16х1 ГОСТ 8734 Сталь10 ГОСТ 8733</t>
  </si>
  <si>
    <t xml:space="preserve">L=323(400) </t>
  </si>
  <si>
    <t>труба 14х1 ГОСТ 8734 Сталь10 ГОСТ 8733</t>
  </si>
  <si>
    <t xml:space="preserve">L=570(620) </t>
  </si>
  <si>
    <t>Розпорядження №56-2018р</t>
  </si>
  <si>
    <t>ГОСТ17679-80  Хомут ТК ІІІ-12-16-6,6-25 Ц15.хр.</t>
  </si>
  <si>
    <t>ГОСТ17679-80  Хомут ТК ІІІ-16-16-6,6-25 Ц15.хр.</t>
  </si>
  <si>
    <t>ГОСТ17679-80  Хомут ТК ІІІ-18-16-6,6-25 Ц15.хр.</t>
  </si>
  <si>
    <t>лист б=1 ГОСТ 19904ГОСТ Ст2 ГОСТ 16523</t>
  </si>
  <si>
    <t>БТС-4 ЛБТЗ</t>
  </si>
  <si>
    <t>Роздрук 13.04.16р</t>
  </si>
  <si>
    <t>Ремонт трубопроводів Комунікацій водопінних 05.С.028.82.000сб</t>
  </si>
  <si>
    <t>емаль ПФ-223  світло-зелена</t>
  </si>
  <si>
    <t>Розпорядження №37-2018р</t>
  </si>
  <si>
    <t>ЛБТЗ.654А.26.041  платик</t>
  </si>
  <si>
    <t>ЛБТЗ.655А.70.071  накривка</t>
  </si>
  <si>
    <t>ЛБТЗ.655А.70.072  скоба</t>
  </si>
  <si>
    <t>ЛБТЗ.655А.70.062  скоба</t>
  </si>
  <si>
    <t>ЛБТЗ.655А.70.021  основа корпусу</t>
  </si>
  <si>
    <t>ЛБТЗ.655А.70.022  стінка ліва</t>
  </si>
  <si>
    <t>ЛБТЗ.655А.70.023  стінка права</t>
  </si>
  <si>
    <t>ЛБТЗ.655А.70.024  стінка передня</t>
  </si>
  <si>
    <t>ЛБТЗ.655А.70.025  стінка задня</t>
  </si>
  <si>
    <t>ЛБТЗ.655А.70.026  планка</t>
  </si>
  <si>
    <t>ЛБТЗ.655А.70.026-01  планка</t>
  </si>
  <si>
    <t>ЛБТЗ.655А.70.026-02  планка</t>
  </si>
  <si>
    <t>ЛБТЗ.655А.70.030сб  заглушка в зборі</t>
  </si>
  <si>
    <t>ЛБТЗ.654А.26.031  панель</t>
  </si>
  <si>
    <t>ЛБТЗ.655А.70.041  накривка</t>
  </si>
  <si>
    <t>ЛБТЗ.655А.70.017  планка</t>
  </si>
  <si>
    <t>ЛБТЗ.655А.70.018  планка</t>
  </si>
  <si>
    <t>Print 10.05.2018р</t>
  </si>
  <si>
    <t xml:space="preserve">УБК-1 65.Т.3А.949.100.00сб </t>
  </si>
  <si>
    <t>інв. №23142</t>
  </si>
  <si>
    <t>65.Т.3А.949.100.17  кронштейн</t>
  </si>
  <si>
    <t>65.Т.3А.949.100.31  бічна панель</t>
  </si>
  <si>
    <t>65.Т.3А.949.100.21  планка корпусна</t>
  </si>
  <si>
    <t>65.Т.3А.949.100.21.1  планка корпусна</t>
  </si>
  <si>
    <t>65.Т.3А.949.100.44  підкладка</t>
  </si>
  <si>
    <t>65.Т.3А.949.100.61  панель фронтальна</t>
  </si>
  <si>
    <t>65.Т.3А.949.100.06  панель клавіатури</t>
  </si>
  <si>
    <t>65.Т.3А.949.100.07  прижим Т092</t>
  </si>
  <si>
    <t>65.Т.3А.949.100.08  прижим кабельний</t>
  </si>
  <si>
    <t>65.Т.3А.949.100.05  конектор</t>
  </si>
  <si>
    <t>65.Т.3А.949.100.30сб  бічна панель</t>
  </si>
  <si>
    <t>лист б=1 М1 1мм ГОСТ 859-78</t>
  </si>
  <si>
    <t>лист б=3 ГОСТ 19904-90 65Г ТУ 14-1-4118-86</t>
  </si>
  <si>
    <t>лист б=1 ГОСТ 19904-90 65Г ТУ 14-1-4118-86</t>
  </si>
  <si>
    <t>лист б=2 ГОСТ 19904-90 65Г ТУ 14-1-4118-86</t>
  </si>
  <si>
    <t>лист б=2 Ал2 ГОСТ 1583-93</t>
  </si>
  <si>
    <t>лист б=1,5 ГОСТ 19904-90 65Г ТУ 14-1-4118-86</t>
  </si>
  <si>
    <t>лист б=1,5 текстоліт ПТК ГОСТ 5-78</t>
  </si>
  <si>
    <t>5 Цех</t>
  </si>
  <si>
    <t>Службова записка на виготовлення Блоку керування</t>
  </si>
  <si>
    <t>65.Т.3А.949.100.00сб</t>
  </si>
  <si>
    <t>Print 11.05.2018</t>
  </si>
  <si>
    <t>ЛБТЗ.654.40.010  фланець в зборі</t>
  </si>
  <si>
    <t>ЛБТЗ.654.40.012  трубка</t>
  </si>
  <si>
    <t>припій ЛО60 ГОСТ 16130-72</t>
  </si>
  <si>
    <t>труба 16х1 20 ГОСТ 8724-56</t>
  </si>
  <si>
    <t xml:space="preserve">L=60(70) </t>
  </si>
  <si>
    <t>Print 14.05.2018р</t>
  </si>
  <si>
    <t>Розпорядження №57-2018р</t>
  </si>
  <si>
    <t>05.С.028.88.001  прокладка</t>
  </si>
  <si>
    <t>05.С.028.88.007  прокладка</t>
  </si>
  <si>
    <t>лист б=2 пароні ПОН ГОСТ 481-71</t>
  </si>
  <si>
    <t>ГПМ-54</t>
  </si>
  <si>
    <t>Марія дала номери. Не знаю звідки)</t>
  </si>
  <si>
    <t xml:space="preserve">L=3000(3200) </t>
  </si>
  <si>
    <t xml:space="preserve">L=3070(3200) </t>
  </si>
  <si>
    <t xml:space="preserve">L=370(420) </t>
  </si>
  <si>
    <t>Print 23.05.2018р</t>
  </si>
  <si>
    <t>лист б=2 ДСТУ 8540:2015 Ст3 ДСТУ 2834-94</t>
  </si>
  <si>
    <t>лист б=4 Д1АТ ГОСТ 21631-76</t>
  </si>
  <si>
    <t xml:space="preserve">L=125(135) </t>
  </si>
  <si>
    <t>лист б=3 ДСТУ 8540:2015 Ст3 ДСТУ 2834-94</t>
  </si>
  <si>
    <t>лист б=2,5 ДСТУ 8540:2015 Ст3 ДСТУ 2834-94</t>
  </si>
  <si>
    <t>лист б=3 Текстоліт А-3,0 ГОСТ 2910-74</t>
  </si>
  <si>
    <t>ЛБТЗ.655А.70.034  втулка</t>
  </si>
  <si>
    <t>труба 6х1 ГОСТ 8734-75 20 ГОСТ 8733-87</t>
  </si>
  <si>
    <t>ЛБТЗ.654А.38.040сб  трубка</t>
  </si>
  <si>
    <t>ЛБТЗ.654А.38.030сб  трубка</t>
  </si>
  <si>
    <t>ЛБТЗ.654А.38.020СБ  трубка</t>
  </si>
  <si>
    <t>Розпорядження №61-2018р</t>
  </si>
  <si>
    <t>ЛБТЗ.654А.26.090сб  корпус</t>
  </si>
  <si>
    <t>емаль ПФ-223  біла</t>
  </si>
  <si>
    <t>емаль ПФ-223  сіра</t>
  </si>
  <si>
    <t>емаль ПФ-223  червона</t>
  </si>
  <si>
    <t>канат 2-Г-І-С-Н ГОСТ 3069-80</t>
  </si>
  <si>
    <t xml:space="preserve">L=120(150) </t>
  </si>
  <si>
    <t>ЛБТЗ.654А.50.050сб  розподільник</t>
  </si>
  <si>
    <t>ЛБТЗ.654А.50.860сб  каркас</t>
  </si>
  <si>
    <t>ЛБТЗ.655А.29.065  ребро</t>
  </si>
  <si>
    <t>ЛБТЗ.655А.29.066  пластина</t>
  </si>
  <si>
    <t>ЛБТЗ.654А.50.067  кутник (б.к.)</t>
  </si>
  <si>
    <t>ЛБТЗ.654А.50.069  кутник (б.к.)</t>
  </si>
  <si>
    <t>ЛБТЗ.655А.29.071  пластина</t>
  </si>
  <si>
    <t>ЛБТЗ.655А.29.074  ребро</t>
  </si>
  <si>
    <t>Розпорядження №64-2018р</t>
  </si>
  <si>
    <t>ЛБТЗ.655А.29.970сб  корпус</t>
  </si>
  <si>
    <t>ЛБТЗ.654А.50.880сб  колектор</t>
  </si>
  <si>
    <t>ЛБТЗ.654А.50.078  труба колектора</t>
  </si>
  <si>
    <t>ЛБТЗ.655А.29.081  кронштейн</t>
  </si>
  <si>
    <t>ЛБТЗ.654А.50.890сб  колектор</t>
  </si>
  <si>
    <t>ЛБТЗ.654А.50.084  труба колектору</t>
  </si>
  <si>
    <t>ЛБТЗ.655А.29.085  кронштейн</t>
  </si>
  <si>
    <t>ЛБТЗ.655А.29.900сб  трубопрвід</t>
  </si>
  <si>
    <t>ЛБТЗ.655А.29.111  труба (б.к.)</t>
  </si>
  <si>
    <t>ЛБТЗ.655А.29.910сб  трубопрвід</t>
  </si>
  <si>
    <t>ЛБТЗ.655А.29.112  труба (б.к.)</t>
  </si>
  <si>
    <t>ЛБТЗ.655А.29.920сб  трубопрвід</t>
  </si>
  <si>
    <t>ЛБТЗ.655А.29.114  труба (б.к.)</t>
  </si>
  <si>
    <t>ЛБТЗ.655А.29.930сб  трубопрвід</t>
  </si>
  <si>
    <t>ЛБТЗ.655А.29.113  труба (б.к.)</t>
  </si>
  <si>
    <t>ЛБТЗ.655А.29.940сб  трубопрвід</t>
  </si>
  <si>
    <t>ЛБТЗ.655А.29.950сб  трубопрвід</t>
  </si>
  <si>
    <t>ЛБТЗ.655А.29.115  труба (б.к.)</t>
  </si>
  <si>
    <t>ЛБТЗ.655А.29.116  труба (б.к.)</t>
  </si>
  <si>
    <t>ЛБТЗ.655А.29.063  накладка</t>
  </si>
  <si>
    <t>ГОСТ 11371-78 Шайба С.6.05.019</t>
  </si>
  <si>
    <t>ЛБТЗ.655А.29.070сб  гідроблок</t>
  </si>
  <si>
    <t>ЛБТЗ.655А.29.850сб  трубопровід</t>
  </si>
  <si>
    <t>ЛБТЗ.655А.29.118  труба (б.к.)</t>
  </si>
  <si>
    <t>ЛБТЗ.655А.29.119  труба (б.к.)</t>
  </si>
  <si>
    <t>ЛБТЗ.655А.29.540сб  перехідник</t>
  </si>
  <si>
    <t>ЛБТЗ.655А.29.123  труба (б.к.)</t>
  </si>
  <si>
    <t>ЛБТЗ.655А.29.124  труба (б.к.)</t>
  </si>
  <si>
    <t>ЛБТЗ.655А.29.125  труба (б.к.)</t>
  </si>
  <si>
    <t>ЛБТЗ.655А.29.550сб  перехідник</t>
  </si>
  <si>
    <t>дріт ∅=1 КО ГОСТ 792-67</t>
  </si>
  <si>
    <t>L=150*3(500)</t>
  </si>
  <si>
    <t>кутник 25х25х4 ДСТУ 22543-93 Ст3пс ДСТУ 4484:2005</t>
  </si>
  <si>
    <t>L=122(140)</t>
  </si>
  <si>
    <t>L=318(340)</t>
  </si>
  <si>
    <t>лист б=3 ДСТУ 8540:2015 Ст3 ДСТУ 14637-89</t>
  </si>
  <si>
    <t>ЛБТЗ.655А.70.383  скоба</t>
  </si>
  <si>
    <t>ЛБТЗ.655А.70.386  накривка</t>
  </si>
  <si>
    <t>Розпорядження №53-2018р</t>
  </si>
  <si>
    <t>круг ∅5 ГОСТ 7417-75 30 ДСТУ 7807:2015</t>
  </si>
  <si>
    <t>лист б=3 АМг2 ГОСТ 21631-76</t>
  </si>
  <si>
    <t>лак ГФ-21</t>
  </si>
  <si>
    <t>L=198,5(220)</t>
  </si>
  <si>
    <t>Print 24.05.2018р</t>
  </si>
  <si>
    <t>5цех</t>
  </si>
  <si>
    <t>труба 25х3 12Х18Н10Т ГОСТ 9941-72</t>
  </si>
  <si>
    <t>L=355(380)</t>
  </si>
  <si>
    <t>L=185(250)</t>
  </si>
  <si>
    <t>труба 14х1 12Х18Н10Т ГОСТ 9941-72</t>
  </si>
  <si>
    <t>L=335(400)</t>
  </si>
  <si>
    <t>труба 8х1 12Х18Н10Т ГОСТ 9941-72</t>
  </si>
  <si>
    <t>L=200(260)</t>
  </si>
  <si>
    <t>лист б=1,6 08кп ГОСТ 16523-97</t>
  </si>
  <si>
    <t>дріт ∅1 КО ГОСТ 792-67</t>
  </si>
  <si>
    <t>ДРІТ КО D=1</t>
  </si>
  <si>
    <t>L=55(65)</t>
  </si>
  <si>
    <t>L=63(70)</t>
  </si>
  <si>
    <t>L=38(50)</t>
  </si>
  <si>
    <t>не було КД. Написав по зразку ЛТБЗ.655А.29.062, бо не було Олійника на місці (відпуск)</t>
  </si>
  <si>
    <t>Щиток</t>
  </si>
  <si>
    <t>трубка</t>
  </si>
  <si>
    <t>Трубопровід</t>
  </si>
  <si>
    <t>Хомут в зборі</t>
  </si>
  <si>
    <t>175.82.048-1</t>
  </si>
  <si>
    <t>Прокладка</t>
  </si>
  <si>
    <t>Обечайка</t>
  </si>
  <si>
    <t>175.66.010сб-1  трубопровід</t>
  </si>
  <si>
    <t>L=950(1200)</t>
  </si>
  <si>
    <t>175.66.026  труба</t>
  </si>
  <si>
    <t>труба 10х1 20 ГОСТ 19277-73</t>
  </si>
  <si>
    <t>є норма, в лімітку без норм</t>
  </si>
  <si>
    <t>написав норму</t>
  </si>
  <si>
    <t>176.31.019сб  рамка</t>
  </si>
  <si>
    <t>176.31.058  рамка</t>
  </si>
  <si>
    <t>172.66.087сб-1  трубопровід</t>
  </si>
  <si>
    <t>метизи</t>
  </si>
  <si>
    <t>172.66.136-1  труба</t>
  </si>
  <si>
    <t>лист б=1 10кп ГОСТ 16523-70</t>
  </si>
  <si>
    <t xml:space="preserve">L=195(225) </t>
  </si>
  <si>
    <t>Розпорядження №82-2018р</t>
  </si>
  <si>
    <t>155.08.21сб-А  штуцер з сіткою</t>
  </si>
  <si>
    <t>155.08.282-1  сітка</t>
  </si>
  <si>
    <t>сітка №1 ГОСТ 6613-53 Л80 ГОСТ 15527-70</t>
  </si>
  <si>
    <t>155.08.345  шайба</t>
  </si>
  <si>
    <t>лист б=1,5 Сталь15 ГОСТ 1050-60</t>
  </si>
  <si>
    <t>155.38.104сб  трубка</t>
  </si>
  <si>
    <t>155.38.384  трубка</t>
  </si>
  <si>
    <t>155.38.387  кронштейн</t>
  </si>
  <si>
    <t>лист б=5 15 ГОСТ 1577-70</t>
  </si>
  <si>
    <t>155.38.385  проставка</t>
  </si>
  <si>
    <t>лист б=4 Сталь15 ГОСТ 1050-60</t>
  </si>
  <si>
    <t>Стрічка хомута 38-43-1 ОСТ 3-408-70</t>
  </si>
  <si>
    <t>лист б=0,5 08ка ГОСТ 16523-70</t>
  </si>
  <si>
    <t>Розпорядження №83-2018р</t>
  </si>
  <si>
    <t>лист б=3 Ст3 ГОСТ 380-71</t>
  </si>
  <si>
    <t>Print 25.05.2018р</t>
  </si>
  <si>
    <t>ЛБТЗ.655А.29.851  труба (б.к.)</t>
  </si>
  <si>
    <t>ЛБТЗ.655А.29.852  труба (б.к.)</t>
  </si>
  <si>
    <t>ЛБТЗ.655А.29.853  труба (б.к.)</t>
  </si>
  <si>
    <t>L=76(90)</t>
  </si>
  <si>
    <t>172.04.169сб-1  щиток  правий четвертий</t>
  </si>
  <si>
    <t>Акти дефектування Т-72 зам. 335</t>
  </si>
  <si>
    <t>ЛБТЗ.654А.05.050сб  бак паливний задній</t>
  </si>
  <si>
    <t>ЛБТЗ.654А.05.041  стінка</t>
  </si>
  <si>
    <t>лист б=2 ДСТУ 8540:2015 10кп ДСТУ 2834-94</t>
  </si>
  <si>
    <t>ЛБТЗ.654А.05.048  планка 55х40х3</t>
  </si>
  <si>
    <t>ЛБТЗ.654А.05.049  планка 40х40х3</t>
  </si>
  <si>
    <t>ЛБТЗ.654А.05.051  планка 25х25х3</t>
  </si>
  <si>
    <t>ЛБТЗ.654А.05.053  планка</t>
  </si>
  <si>
    <t>ЛБТЗ.654А.05.054  планка</t>
  </si>
  <si>
    <t>ЛБТЗ.654А.05.056  заглушка ∅28х3</t>
  </si>
  <si>
    <t>ЛБТЗ.654А.05.057  стінка горизонтальна</t>
  </si>
  <si>
    <t>ЛБТЗ.654А.05.058  стінка вертикальна</t>
  </si>
  <si>
    <t>лист б=8 ГОСТ 19903-74 Ст3 ГОСТ 14637-89</t>
  </si>
  <si>
    <t>Розпорядження №84-2018р</t>
  </si>
  <si>
    <t>труба 8х1 ГОСТ 8734-75 20 ГОСТ 8733-74</t>
  </si>
  <si>
    <t>ЛБТЗ.654А.23.001  трубка (б.к.)</t>
  </si>
  <si>
    <t xml:space="preserve">L=70(80) </t>
  </si>
  <si>
    <t>Розпорядження №73-2018р</t>
  </si>
  <si>
    <t>Розпорядження №74-2018р</t>
  </si>
  <si>
    <t>54.05.692  шайба</t>
  </si>
  <si>
    <t>172.27.115  стрічка</t>
  </si>
  <si>
    <t>лист б=1,5 Сталь 15 ГОСТ 16523-70</t>
  </si>
  <si>
    <t>175.33.371-1  труба</t>
  </si>
  <si>
    <t>L=1040(1150)</t>
  </si>
  <si>
    <t>труба 25х2 ГОСТ 8734-75 20 ГОСТ 8733-74</t>
  </si>
  <si>
    <t>ЛБТЗ.654А.05.160сб  трубка</t>
  </si>
  <si>
    <t>лист б=2 10кп ГОСТ 16523-70</t>
  </si>
  <si>
    <t>ЛБТЗ.654А.05.170сб  трубка</t>
  </si>
  <si>
    <t>ЛБТЗ.654А.05.171  труба (б.к.)</t>
  </si>
  <si>
    <t>ЛБТЗ.654А.05.161  трубка (б.к.)</t>
  </si>
  <si>
    <t>ЛБТЗ.654А.05.150сб  трубка</t>
  </si>
  <si>
    <t>ЛБТЗ.654А.05.151  труба (б.к.)</t>
  </si>
  <si>
    <t>ЛБТЗ.654А.05.180сб  трубка</t>
  </si>
  <si>
    <t>ЛБТЗ.654А.05.181  труба</t>
  </si>
  <si>
    <t>ЛБТЗ.654А.05.210сб  підставка</t>
  </si>
  <si>
    <t>ЛБТЗ.654А.05.211  панель</t>
  </si>
  <si>
    <t>ЛБТЗ.654А.05.212  стояк лівий</t>
  </si>
  <si>
    <t>ЛБТЗ.654А.05.213  стояк правий</t>
  </si>
  <si>
    <t>ЛБТЗ.654А.05.214  ребро</t>
  </si>
  <si>
    <t>С.10.05  шайба ГОСТ 11371-78</t>
  </si>
  <si>
    <t>ЛБТЗ.654А.05.250сб  трубка</t>
  </si>
  <si>
    <t>ЛБТЗ.654А.05.251  трубка</t>
  </si>
  <si>
    <t>34.03.068А  дно фільтра</t>
  </si>
  <si>
    <t>ЛБТЗ.654А.05.220сб  бак для палива зовнішній передній</t>
  </si>
  <si>
    <t>ЛБТЗ.654А.05.240сб  трубка</t>
  </si>
  <si>
    <t>ЛБТЗ.654А.05.241  трубка</t>
  </si>
  <si>
    <t>ЛБТЗ.654А.05.221  корпус бака</t>
  </si>
  <si>
    <t>ЛБТЗ.654А.05.222  перегородка ліва</t>
  </si>
  <si>
    <t>ЛБТЗ.654А.05.223  перегородка права</t>
  </si>
  <si>
    <t>ЛБТЗ.654А.05.224  стінка ліва</t>
  </si>
  <si>
    <t>ЛБТЗ.654А.05.225  стінка права</t>
  </si>
  <si>
    <t>ЛБТЗ.654А.05.226  накривка</t>
  </si>
  <si>
    <t>ЛБТЗ.654А.05.227  пластина</t>
  </si>
  <si>
    <t>ЛБТЗ.654А.05.238  впирач</t>
  </si>
  <si>
    <t>54.05.289  планка</t>
  </si>
  <si>
    <t>54.05.702  скоба</t>
  </si>
  <si>
    <t>05.44.05.6217-А  лапа</t>
  </si>
  <si>
    <t>54.05.111сб-4  Трубка</t>
  </si>
  <si>
    <t>54.05.358-4  Трубка</t>
  </si>
  <si>
    <t>ЛБТЗ.654А.05.231  Корпус</t>
  </si>
  <si>
    <t>ЛБТЗ.654А.05.232  Перегородка ліва</t>
  </si>
  <si>
    <t>ЛБТЗ.654А.05.233  Перегородка права</t>
  </si>
  <si>
    <t>ЛБТЗ.654А.05.234  Стінка ліва</t>
  </si>
  <si>
    <t>ЛБТЗ.654А.05.235  Стінка права</t>
  </si>
  <si>
    <t>ЛБТЗ.654А.05.236  Накривка</t>
  </si>
  <si>
    <t>157.05.012  планка притискна</t>
  </si>
  <si>
    <t>54.05.293-1  планка притискна</t>
  </si>
  <si>
    <t>54.05.294-1  планка притискна</t>
  </si>
  <si>
    <t>54.05.391-2  скоба</t>
  </si>
  <si>
    <t>157.05.003сб  перехідник</t>
  </si>
  <si>
    <t>157.05.004сб  перехідник</t>
  </si>
  <si>
    <t>157.05.001  патрубок</t>
  </si>
  <si>
    <t>169.05.010сб  Трубопровід</t>
  </si>
  <si>
    <t>169.05.012сб  Корпус клапана</t>
  </si>
  <si>
    <t>169.05.010  Трубка</t>
  </si>
  <si>
    <t>169.05.015сб  Трубка</t>
  </si>
  <si>
    <t>169.05.003  Трубка</t>
  </si>
  <si>
    <t>165.05.048сб-1  Прокладка</t>
  </si>
  <si>
    <t>165.05.145-1  Прокладка</t>
  </si>
  <si>
    <t>165.05.146-1  Прокладка</t>
  </si>
  <si>
    <t>165.05.147-1А  Оболонка</t>
  </si>
  <si>
    <t>ЛБТЗ.654А.05.011  Труба</t>
  </si>
  <si>
    <t>ЛБТЗ.654А.05.012  Труба</t>
  </si>
  <si>
    <t>ЛБТЗ.654А.05.013  Труба</t>
  </si>
  <si>
    <t>54.05.468  скоба</t>
  </si>
  <si>
    <t>54.05.691  планка</t>
  </si>
  <si>
    <t>С.8.05.019 Шайба ГОСТ 11371-78</t>
  </si>
  <si>
    <t>труба 17х2 ГОСТ 8734-75 20 ГОСТ 8733-74</t>
  </si>
  <si>
    <t>L=2520(2703)</t>
  </si>
  <si>
    <t>L=2200(2350)</t>
  </si>
  <si>
    <t>труба 10х1,5 ГОСТ 8734-75 20 ГОСТ 8733-74</t>
  </si>
  <si>
    <t>L=1170(1305)</t>
  </si>
  <si>
    <t>лист б=2 08кп ГОСТ 16523-70</t>
  </si>
  <si>
    <t>лист б=5 Сталь15 ГОСТ 1577-70</t>
  </si>
  <si>
    <t>лист б=1,6 08кп ГОСТ 16523-70</t>
  </si>
  <si>
    <t>лист б=4 ГОСТ 1577-70</t>
  </si>
  <si>
    <t xml:space="preserve">розчинник Р-4 </t>
  </si>
  <si>
    <t>L=3330(3500)</t>
  </si>
  <si>
    <t>лист б=5 Сталь 15 ГОСТ 1577-70</t>
  </si>
  <si>
    <t>лист б=1,5 10кп ГОСТ 16523-70</t>
  </si>
  <si>
    <t>лист б=3 Сталь 15 ГОСТ 16523-70</t>
  </si>
  <si>
    <t>лист б=3 ДСТУ 8540:2016 Ст3 ДСТУ 2834-94</t>
  </si>
  <si>
    <t>лист б=2 ДСТУ 8540:2016 10кп ДСТУ 2834-94</t>
  </si>
  <si>
    <t>лист б=2 ДСТУ 8540:2016 Ст3 ДСТУ 14637-89</t>
  </si>
  <si>
    <t>L=790(850)</t>
  </si>
  <si>
    <t>L=1300(1420)</t>
  </si>
  <si>
    <t>дріт ∅1,2 КО ГОСТ 792-67</t>
  </si>
  <si>
    <t>кутник 40х40х4 ДСТУ 2251-93 ст3 ДСТУ 4484:2005</t>
  </si>
  <si>
    <t>лист б=3 ДСТУ 8540:2016 Ст3 ДСТУ 14637-89</t>
  </si>
  <si>
    <t>ЛБТЗ.654А.05.230сб  Бак для палива зовнішній задній</t>
  </si>
  <si>
    <t>L=592(720)</t>
  </si>
  <si>
    <t>шайба 10Т.65Г.016 ГОСТ 6402-70</t>
  </si>
  <si>
    <t>L=80(110)</t>
  </si>
  <si>
    <t>рукав 40У16-13 ТУ38-005-6016-72</t>
  </si>
  <si>
    <t>L=780(800)</t>
  </si>
  <si>
    <t>білила цинкові густотерті МА-011</t>
  </si>
  <si>
    <t>L=412(480)</t>
  </si>
  <si>
    <t>лист СТК б=0,8 ГОСТ 1397-47</t>
  </si>
  <si>
    <t>лист б=4 ГОСТ 19903-74 20 ГОСТ 1577-70</t>
  </si>
  <si>
    <t>пароніт ПОН б=3мм ГОСТ 481-71</t>
  </si>
  <si>
    <t>тканина АТ-5 б=2,5 ГОСТ 6102-67</t>
  </si>
  <si>
    <t>лист б=0,5 СТК-1 ГОСТ 17715-72</t>
  </si>
  <si>
    <t>лист б=5 ГОСТ 19903-74 Ст3 ГОСТ 14637-79</t>
  </si>
  <si>
    <t>L=180(230)</t>
  </si>
  <si>
    <t>Print 31.05.2018р</t>
  </si>
  <si>
    <t>Print 30.05.2018р</t>
  </si>
  <si>
    <t>Розпорядження №77-2018р</t>
  </si>
  <si>
    <t>175.82.021сб-1  трубопровід</t>
  </si>
  <si>
    <t>175.82.048-1  трубка</t>
  </si>
  <si>
    <t>175.82.049-1  трубка</t>
  </si>
  <si>
    <t>труба М3-М 10х1 ГОСТ 617-72</t>
  </si>
  <si>
    <t>2А26.06-22  стрічка</t>
  </si>
  <si>
    <t>2А26.06-23  стрічка</t>
  </si>
  <si>
    <t>2А26.06-24  стрічка</t>
  </si>
  <si>
    <t>2А26.06-25  стрічка</t>
  </si>
  <si>
    <t>2А26.06-26  стрічка</t>
  </si>
  <si>
    <t>2А26.06-27  стрічка</t>
  </si>
  <si>
    <t>лист б=1 3сп ГОСТ 16523-70</t>
  </si>
  <si>
    <t>Сітка</t>
  </si>
  <si>
    <t>Планка</t>
  </si>
  <si>
    <t>Накладка</t>
  </si>
  <si>
    <t>Шланг</t>
  </si>
  <si>
    <t>175.34.031сб-2  стіка</t>
  </si>
  <si>
    <t>175.34.202-1  каркас</t>
  </si>
  <si>
    <t>175.34.103-1  сітка</t>
  </si>
  <si>
    <t>сітка 4,5-0,9 12Х18Н10Т ГОСТ 3826-82</t>
  </si>
  <si>
    <t>Службова записка на виготовлення стенду</t>
  </si>
  <si>
    <t>65.Т6.6Е.418.011  обичайка</t>
  </si>
  <si>
    <t>65.Т6.6Е.418.002  накривка</t>
  </si>
  <si>
    <t>65.Т6.6Е.418.003  кріплення</t>
  </si>
  <si>
    <t>65.Т6.6Е.418сб (інв. 23131)</t>
  </si>
  <si>
    <t>65.Т6.6Е.416сб (інв. 23128)</t>
  </si>
  <si>
    <t xml:space="preserve">емаль молоткова МЛ-165 </t>
  </si>
  <si>
    <t>65.Т6.6Е.416.010сб  корпус</t>
  </si>
  <si>
    <t>65.Т6.6Е.416.001  панель</t>
  </si>
  <si>
    <t>65.Т6.6Е.416.002  накривка</t>
  </si>
  <si>
    <t>лист б=1,5 ДСТУ 8540:2015 Ст3 ДСТУ 2834-94</t>
  </si>
  <si>
    <t>65.Т6.6Е.416.011  рамка</t>
  </si>
  <si>
    <t>лист б=1 ДСТУ 8540:2015 Ст3 ДСТУ 2834-94</t>
  </si>
  <si>
    <t>65.Т6.6Е.418.010сб  корпус</t>
  </si>
  <si>
    <t>Зведена калькуляція 65.Т6.6Е.418сб (інв. 23131)</t>
  </si>
  <si>
    <t>Зведена калькуляція 65.Т6.6Е.416сб (інв. 23128)</t>
  </si>
  <si>
    <t>Print 01.06.2018</t>
  </si>
  <si>
    <t>На стенд потрібно 2шт. Тобто 0,065*2=0,130кг</t>
  </si>
  <si>
    <t>2шт на стенд</t>
  </si>
  <si>
    <t>172.91.269сб  поручень</t>
  </si>
  <si>
    <t>172.91.591  труба</t>
  </si>
  <si>
    <t>172.91.592  труба</t>
  </si>
  <si>
    <t>труба 16х3,5 АМг6М ОСТ 193096-83</t>
  </si>
  <si>
    <t xml:space="preserve">L=620(650) </t>
  </si>
  <si>
    <t xml:space="preserve">L=160(200) </t>
  </si>
  <si>
    <t>5ДК.310.238  кришка</t>
  </si>
  <si>
    <t>розчинник р-4</t>
  </si>
  <si>
    <t>8ДК.310.407  кришка</t>
  </si>
  <si>
    <t>лист б=1 ГОСТ 3680-57 08кп ГОСТ 914-56</t>
  </si>
  <si>
    <t>8ДК.164.185  кутник</t>
  </si>
  <si>
    <t>8ДК.164.186  кутник</t>
  </si>
  <si>
    <t>лист б=2 Ст3 ГОСТ 16523-70</t>
  </si>
  <si>
    <t>Print 04.06.18</t>
  </si>
  <si>
    <t>Шайба</t>
  </si>
  <si>
    <t>Трубка</t>
  </si>
  <si>
    <t>411-51-4</t>
  </si>
  <si>
    <t>172.22.049-1  рамка</t>
  </si>
  <si>
    <t>172.22.049  рамка</t>
  </si>
  <si>
    <t>лист б=4 ГОСТ 19904-74 15 ГОСТ 1577-70</t>
  </si>
  <si>
    <t>172.77.086  планка</t>
  </si>
  <si>
    <t>лист б=2 ГОСТ 19904-74 10кп ГОСТ 16523-70</t>
  </si>
  <si>
    <t>176.70.036-А  накладка</t>
  </si>
  <si>
    <t>лист б=2 ГОСТ 19904-74 10кп ГОСТ 16523070</t>
  </si>
  <si>
    <t>172.83.232  труба</t>
  </si>
  <si>
    <t>труба 25х4,5 ГОСТ 8734-75 20 ГОСТ 8733-74</t>
  </si>
  <si>
    <t>L=285(300)</t>
  </si>
  <si>
    <t>166.36.028-1  опора</t>
  </si>
  <si>
    <t>175.33.376  трубка</t>
  </si>
  <si>
    <t>L=1330(1504)</t>
  </si>
  <si>
    <t>175.33.279  труба</t>
  </si>
  <si>
    <t>труба 12х1 20 ТУ14-3-138-73</t>
  </si>
  <si>
    <t>L=529(600)</t>
  </si>
  <si>
    <t>ЛБТЗ.654А.29.810сб  щиток відкидний передінй лівий</t>
  </si>
  <si>
    <t>172.04.199сб  щиток</t>
  </si>
  <si>
    <t>172.04.572  ребро</t>
  </si>
  <si>
    <t>лист б=4 ГОСТ 19903-74 15 ГОСТ 1577-70</t>
  </si>
  <si>
    <t>загальна норма</t>
  </si>
  <si>
    <t>112-120-1с  Стрічка хомута ОСТ 3-408-70</t>
  </si>
  <si>
    <t>лист б=0,5 10кп ГОСТ 16523-70</t>
  </si>
  <si>
    <t>Print 08.06.18</t>
  </si>
  <si>
    <t>172.70.135сб  заглушка</t>
  </si>
  <si>
    <t>172.71.080  прокладка</t>
  </si>
  <si>
    <t>пластина б=2, 254311-2 гума НО-68-1 ТУ005216-75</t>
  </si>
  <si>
    <t>175.60.050сб  трубка</t>
  </si>
  <si>
    <t>175.60.094  трубка (б.к.)</t>
  </si>
  <si>
    <t>труба 12х1 20 ГОСТ 19277-73</t>
  </si>
  <si>
    <t>L=1070(1150)</t>
  </si>
  <si>
    <t>172.04.140сб-3  корпус з трубою правий</t>
  </si>
  <si>
    <t>172.04.395-2  трубка права</t>
  </si>
  <si>
    <t>L=470(555)</t>
  </si>
  <si>
    <t>L=480(555)</t>
  </si>
  <si>
    <t>172.04.396-2  трубка ліва</t>
  </si>
  <si>
    <t>172.21.072-1  труба (б.к.)</t>
  </si>
  <si>
    <t>труба 17х3 ГОСТ 8734-70 20 ГОСТ 8733-74</t>
  </si>
  <si>
    <t>L=340(380)</t>
  </si>
  <si>
    <t>65.Сб.3335-70  рукав гнучкий</t>
  </si>
  <si>
    <t>65.3335-70-05  рукав</t>
  </si>
  <si>
    <t>L=260(280)</t>
  </si>
  <si>
    <t>172.04.139сб-3  корпус з трубою лівий</t>
  </si>
  <si>
    <t>Print 14.06.18</t>
  </si>
  <si>
    <t>В-172.06.036сб  щиток лівий другий</t>
  </si>
  <si>
    <t>В-172.06.048сб  щиток лівий третій</t>
  </si>
  <si>
    <t>В-172.06.037сб  щиток правий другий</t>
  </si>
  <si>
    <t>В-172.06.048сб  щиток правий третій</t>
  </si>
  <si>
    <t>175.93.016сб-1  стелаж</t>
  </si>
  <si>
    <t>ГОСТ 397-79 Шплінт 2х16-016</t>
  </si>
  <si>
    <t>175.93.015сб-1  стелаж</t>
  </si>
  <si>
    <t>175.93.014сб-1  стелаж</t>
  </si>
  <si>
    <t>175.93.002-1  планка</t>
  </si>
  <si>
    <t>172.93.056-2  кронштейн</t>
  </si>
  <si>
    <t>лист б=4 15 ГОСТ 1577-70</t>
  </si>
  <si>
    <t>172.93.260-1  дужка</t>
  </si>
  <si>
    <t>лист б=3 15 ГОСТ 1577-70</t>
  </si>
  <si>
    <t>172.93.261-1  дужка</t>
  </si>
  <si>
    <t>172.93.262-2  дужка</t>
  </si>
  <si>
    <t>172.93.263  дужка</t>
  </si>
  <si>
    <t>175.93.090сб  кронштейн</t>
  </si>
  <si>
    <t>175.93.050сб  стелаж</t>
  </si>
  <si>
    <t>175.93.049сб  стелаж</t>
  </si>
  <si>
    <t>Print 15.06.18</t>
  </si>
  <si>
    <t>172.65.022сб-2  спинка сидіння</t>
  </si>
  <si>
    <t>172.65.020сб-1  каркас спинки</t>
  </si>
  <si>
    <t>434.66.005сб-2 Трубка</t>
  </si>
  <si>
    <t>434.66.024-2  Трубка (б/к)</t>
  </si>
  <si>
    <t>турба 18х1 сталь 20 ГОСТ 21792-75</t>
  </si>
  <si>
    <t>L=270(350)</t>
  </si>
  <si>
    <t>Розпорядження №115-2018р</t>
  </si>
  <si>
    <t>Print 16.07.2018</t>
  </si>
  <si>
    <t>РОЗПОРЯДЖЕННЯ 115-2018р. Де є включено частина з цих деталей (16.07.2018)</t>
  </si>
  <si>
    <t>ЗІП БТС-4 ЛБТЗ</t>
  </si>
  <si>
    <t>928.4сб  стрічка</t>
  </si>
  <si>
    <t>928.003  стрічка</t>
  </si>
  <si>
    <t>928.311  петля</t>
  </si>
  <si>
    <t>Р240-85-8154  чека</t>
  </si>
  <si>
    <t>Переробка баку 55-тки антифризу в паливний Т-72</t>
  </si>
  <si>
    <t>лист б=2,5 Сталь20 ГОСТ1050</t>
  </si>
  <si>
    <t>Print 18.07.2018р</t>
  </si>
  <si>
    <t>Розпорядження №114-2018р</t>
  </si>
  <si>
    <t>608.20.107сб  трубопровід</t>
  </si>
  <si>
    <t>608.20.291  тубка (б.к.)</t>
  </si>
  <si>
    <t>608.20.353  планка</t>
  </si>
  <si>
    <t>лист б=2 ГОСТ19903-74 Ст3 ГОСТ 16523-89</t>
  </si>
  <si>
    <t>Розпорядження №117-2018р</t>
  </si>
  <si>
    <t>ЛБТЗ.654А.50.010сб  бак масляний</t>
  </si>
  <si>
    <t>05.С.085.29.550сб  фільтр масляний</t>
  </si>
  <si>
    <t>05.С.085.29.551  дно</t>
  </si>
  <si>
    <t>лист б=1 ГОСТ19903-74 Ст3 ГОСТ 16523-89</t>
  </si>
  <si>
    <t>05.С.085.29.552  каркас</t>
  </si>
  <si>
    <t>05.С.085.29.553  сітка</t>
  </si>
  <si>
    <t>сітка 025 полутомпакова ГОСТ 6813-86</t>
  </si>
  <si>
    <t>54.05.86сб-А  корпус клапана</t>
  </si>
  <si>
    <t>54.05.703  шайба</t>
  </si>
  <si>
    <t>65.С.03.29.380сб  пробка з фільтром</t>
  </si>
  <si>
    <t>602.64.33сб  повітряний фільтр</t>
  </si>
  <si>
    <t>602.64.067  корпус</t>
  </si>
  <si>
    <t>602.64.068  денце</t>
  </si>
  <si>
    <t>ЛТБЗ.654А.50.011  боковина</t>
  </si>
  <si>
    <t>ЛТБЗ.654А.50.012  перегородка</t>
  </si>
  <si>
    <t>ЛТБЗ.654А.50.013  стінка</t>
  </si>
  <si>
    <t>ЛТБЗ.654А.50.013-1  стінка</t>
  </si>
  <si>
    <t>ЛТБЗ.654А.50.014  кутник</t>
  </si>
  <si>
    <t>ЛТБЗ.654А.50.015  накладка</t>
  </si>
  <si>
    <t>05.44.05.6209  підкладка 80х40х3</t>
  </si>
  <si>
    <t>54.05.049-А  каркас фільтру</t>
  </si>
  <si>
    <t>34.03.068-А  дно фільтру</t>
  </si>
  <si>
    <t>лист б=1 Л-63М ГОСТ 931-70</t>
  </si>
  <si>
    <t>лист б=2 ГОСТ19904-90 10кп ДСТУ 2834-94</t>
  </si>
  <si>
    <t>кутник 35х35х4 ДСТУ 2251-93 Ст3 ДСТУ 4484:2005</t>
  </si>
  <si>
    <t>L=35(40)</t>
  </si>
  <si>
    <t>лист б=0,75 СТК-1</t>
  </si>
  <si>
    <t>Print 20.07.2018р</t>
  </si>
  <si>
    <t>БТС-4 ЛБТЗ ГОТОВІ ДОДАТКИ</t>
  </si>
  <si>
    <t>Додаток:</t>
  </si>
  <si>
    <t>98.Т6.3А.404.150.00сб  трубопровід</t>
  </si>
  <si>
    <t>рукав високого тиску ∅6мм 1SN, 225атм</t>
  </si>
  <si>
    <t>зам. 2800</t>
  </si>
  <si>
    <t xml:space="preserve">Трубопровід до манометра на стенд </t>
  </si>
  <si>
    <t>98.Т6.3А.404 інв.11828</t>
  </si>
  <si>
    <t>L=1020(1000)</t>
  </si>
  <si>
    <t>4цех</t>
  </si>
  <si>
    <t>Розпорядження №120-2018р</t>
  </si>
  <si>
    <t>ЛБТЗ.654А.50.110сб  трубопровід</t>
  </si>
  <si>
    <t>ЛБТЗ.654А.50.111  труба</t>
  </si>
  <si>
    <t>ЛБТЗ.654А.50.120сб  трубопровід</t>
  </si>
  <si>
    <t>ЛБТЗ.654А.50.121  труба</t>
  </si>
  <si>
    <t>труба 25х1 12Х18Н10Т ГОСТ 9941-72</t>
  </si>
  <si>
    <t>дріт зварювальний d=1,2 СВ06Х19Н9Т</t>
  </si>
  <si>
    <t>ЛБТЗ.654А.50.130сб  трубопровід</t>
  </si>
  <si>
    <t>ЛБТЗ.654А.50.131  труба</t>
  </si>
  <si>
    <t>ЛБТЗ.654А.50.140сб  трубопровід</t>
  </si>
  <si>
    <t>ЛБТЗ.654А.50.141  труба</t>
  </si>
  <si>
    <t>ЛБТЗ.654А.50.150сб  трубопровід</t>
  </si>
  <si>
    <t>ЛБТЗ.654А.50.151  труба</t>
  </si>
  <si>
    <t>ЛБТЗ.654А.50.160сб  трубопровід</t>
  </si>
  <si>
    <t>ЛБТЗ.654А.50.161  труба</t>
  </si>
  <si>
    <t>ЛБТЗ.654А.50.162  труба</t>
  </si>
  <si>
    <t>ЛБТЗ.654А.50.170сб  трубопровід</t>
  </si>
  <si>
    <t>ЛБТЗ.654А.50.171  труба</t>
  </si>
  <si>
    <t>ЛБТЗ.654А.50.200сб  трубопровід</t>
  </si>
  <si>
    <t>ЛБТЗ.654А.50.210сб  трубопровід</t>
  </si>
  <si>
    <t>ЛБТЗ.654А.50.211  труба</t>
  </si>
  <si>
    <t>ЛБТЗ.654А.50.230сб  трубопровід</t>
  </si>
  <si>
    <t>ЛБТЗ.654А.50.201  труба</t>
  </si>
  <si>
    <t>ЛБТЗ.654А.50.231  труба</t>
  </si>
  <si>
    <t>ЛБТЗ.654А.50.240сб  трубопровід</t>
  </si>
  <si>
    <t>ЛБТЗ.654А.50.241  труба</t>
  </si>
  <si>
    <t>ЛБТЗ.654А.50.250сб  трубопровід</t>
  </si>
  <si>
    <t>ЛБТЗ.654А.50.251  труба</t>
  </si>
  <si>
    <t>ЛБТЗ.654А.50.260сб  трубопровід</t>
  </si>
  <si>
    <t>ЛБТЗ.654А.50.261  труба</t>
  </si>
  <si>
    <t>ЛБТЗ.654А.50.270сб  трубопровід</t>
  </si>
  <si>
    <t>ЛБТЗ.654А.50.271  труба</t>
  </si>
  <si>
    <t>ЛБТЗ.654А.50.280сб  трубопровід</t>
  </si>
  <si>
    <t>ЛБТЗ.654А.50.281  труба</t>
  </si>
  <si>
    <t>ЛБТЗ.654А.50.290сб  трубопровід</t>
  </si>
  <si>
    <t>ЛБТЗ.654А.50.291  труба</t>
  </si>
  <si>
    <t>ЛБТЗ.654А.50.300сб  трубопровід</t>
  </si>
  <si>
    <t>ЛБТЗ.654А.50.301  труба</t>
  </si>
  <si>
    <t>ЛБТЗ.654А.50.310сб  трубопровід</t>
  </si>
  <si>
    <t>ЛБТЗ.654А.50.311  труба</t>
  </si>
  <si>
    <t>ЛБТЗ.654А.50.320сб  трубопровід</t>
  </si>
  <si>
    <t>ЛБТЗ.654А.50.321  труба</t>
  </si>
  <si>
    <t>ЛБТЗ.654А.50.330сб  трубопровід</t>
  </si>
  <si>
    <t>ЛБТЗ.654А.50.331  труба</t>
  </si>
  <si>
    <t>ЛБТЗ.654А.50.370сб  трубопровід</t>
  </si>
  <si>
    <t>ЛБТЗ.654А.50.371  труба</t>
  </si>
  <si>
    <t>ЛБТЗ.654А.50.380сб  трубопровід</t>
  </si>
  <si>
    <t>ЛБТЗ.654А.50.381  труба</t>
  </si>
  <si>
    <t>ЛБТЗ.654А.50.390сб  трубопровід</t>
  </si>
  <si>
    <t>ЛБТЗ.654А.50.391  труба</t>
  </si>
  <si>
    <t>ЛБТЗ.654А.50.400сб  трубопровід</t>
  </si>
  <si>
    <t>ЛБТЗ.654А.50.401  труба</t>
  </si>
  <si>
    <t>ЛБТЗ.654А.50.410сб  трубопровід</t>
  </si>
  <si>
    <t>ЛБТЗ.654А.50.411  труба</t>
  </si>
  <si>
    <t>ЛБТЗ.654А.50.420сб  трубопровід</t>
  </si>
  <si>
    <t>ЛБТЗ.654А.50.421  труба</t>
  </si>
  <si>
    <t>ЛБТЗ.654А.50.430сб  трубопровід</t>
  </si>
  <si>
    <t>ЛБТЗ.654А.50.431  труба</t>
  </si>
  <si>
    <t>ЛБТЗ.654А.50.440сб  трубопровід</t>
  </si>
  <si>
    <t>ЛБТЗ.654А.50.441  труба</t>
  </si>
  <si>
    <t>ЛБТЗ.654А.50.450сб  трубопровід</t>
  </si>
  <si>
    <t>ЛБТЗ.654А.50.451  труба</t>
  </si>
  <si>
    <t>ЛБТЗ.654А.50.480сб  трубопровід</t>
  </si>
  <si>
    <t>ЛБТЗ.654А.50.481  труба</t>
  </si>
  <si>
    <t>ЛБТЗ.654А.50.490сб  трубопровід</t>
  </si>
  <si>
    <t>ЛБТЗ.654А.50.500сб  трубопровід</t>
  </si>
  <si>
    <t>ЛБТЗ.654А.50.501  труба</t>
  </si>
  <si>
    <t>ЛБТЗ.654А.50.491  труба</t>
  </si>
  <si>
    <t>ЛБТЗ.654А.50.510сб  трубопровід</t>
  </si>
  <si>
    <t>ЛБТЗ.654А.50.511  труба</t>
  </si>
  <si>
    <t>ЛБТЗ.654А.50.520сб  трубопровід</t>
  </si>
  <si>
    <t>ЛБТЗ.654А.50.521  труба</t>
  </si>
  <si>
    <t>ЛБТЗ.654А.50.530сб  трубопровід</t>
  </si>
  <si>
    <t>ЛБТЗ.654А.50.531  труба</t>
  </si>
  <si>
    <t>ЛБТЗ.654А.50.540сб  трубопровід</t>
  </si>
  <si>
    <t>ЛБТЗ.654А.50.541  труба</t>
  </si>
  <si>
    <t>ЛБТЗ.654А.50.542  труба</t>
  </si>
  <si>
    <t>ЛБТЗ.654А.50.560сб  перехідник</t>
  </si>
  <si>
    <t>ЛБТЗ.654А.50.600сб  трубопровід</t>
  </si>
  <si>
    <t>ЛБТЗ.654А.50.601  труба</t>
  </si>
  <si>
    <t>ЛБТЗ.654А.50.610сб  трубопровід</t>
  </si>
  <si>
    <t>ЛБТЗ.654А.50.611  труба</t>
  </si>
  <si>
    <t>ЛБТЗ.654А.50.620сб  трубопровід</t>
  </si>
  <si>
    <t>ЛБТЗ.654А.50.621  труба</t>
  </si>
  <si>
    <t>ЛБТЗ.654А.50.630сб  трубопровід</t>
  </si>
  <si>
    <t>ЛБТЗ.654А.50.631  труба</t>
  </si>
  <si>
    <t>ЛБТЗ.654А.50.680сб  трубопровід</t>
  </si>
  <si>
    <t>ЛБТЗ.654А.50.681  труба</t>
  </si>
  <si>
    <t>ЛБТЗ.654А.50.690сб  трубопровід</t>
  </si>
  <si>
    <t>ЛБТЗ.654А.50.691  труба</t>
  </si>
  <si>
    <t>ЛБТЗ.654А.50.700сб  трубопровід</t>
  </si>
  <si>
    <t>ЛБТЗ.654А.50.701  труба</t>
  </si>
  <si>
    <t>ЛБТЗ.654А.50.710сб  трубопровід</t>
  </si>
  <si>
    <t>ЛБТЗ.654А.50.711  труба</t>
  </si>
  <si>
    <t>ЛБТЗ.654А.50.009  труба</t>
  </si>
  <si>
    <t>ЛБТЗ.655А.29.720сб  трубопровід</t>
  </si>
  <si>
    <t>ЛБТЗ.655А.29.721  труба</t>
  </si>
  <si>
    <r>
      <t>L</t>
    </r>
    <r>
      <rPr>
        <sz val="8"/>
        <color theme="1"/>
        <rFont val="Calibri"/>
        <family val="2"/>
        <charset val="204"/>
        <scheme val="minor"/>
      </rPr>
      <t>кд</t>
    </r>
    <r>
      <rPr>
        <sz val="11"/>
        <color theme="1"/>
        <rFont val="Calibri"/>
        <family val="2"/>
        <charset val="204"/>
        <scheme val="minor"/>
      </rPr>
      <t>=</t>
    </r>
  </si>
  <si>
    <t>L+=</t>
  </si>
  <si>
    <t>ЛБТЗ.654А.50.096  щиток лівий</t>
  </si>
  <si>
    <t>ЛБТЗ.654А.50.097  щиток правий</t>
  </si>
  <si>
    <t>ЛБТЗ.654А.50.098  щиток середній</t>
  </si>
  <si>
    <t>ЛБТЗ.654А.50.099  щиток передній</t>
  </si>
  <si>
    <t>труба 25х1 12Х18Н10Т ГОСТ 9941-81</t>
  </si>
  <si>
    <t>цим кольором подана калькуляція яка порахована власноруч згідно шаблонів(переписати коли будуть оригінальні креслення)</t>
  </si>
  <si>
    <t>Згідно акту огляду №ВТК.323</t>
  </si>
  <si>
    <t>05.С.028.38.140сб  стрічка повітряних балонів</t>
  </si>
  <si>
    <t>05.С.028.02.060сб-01  трос</t>
  </si>
  <si>
    <t>лист б=1 Сталь15 ГОСТ 16523-70</t>
  </si>
  <si>
    <t>кутник 20х20х3 ГОСТ 8509-57 Ст3 ГОСТ 380-70</t>
  </si>
  <si>
    <t>лист б=3 ГОСТ 19904-74 Ст3 ГОСТ 16523-70</t>
  </si>
  <si>
    <t>лист б=1,6 ГОСТ 19904-74 Ст3 ГОСТ 16523-70</t>
  </si>
  <si>
    <t>172.60.231  трубка</t>
  </si>
  <si>
    <t>труба 12х1 Сталь20 ГОСТ 19277-73</t>
  </si>
  <si>
    <t>175.33.515  патрбок</t>
  </si>
  <si>
    <t>труба 16х1 ГОСТ 8734-75 Сталь10 ГОСТ 8733-74</t>
  </si>
  <si>
    <t>175.34.032сб-2  сітка</t>
  </si>
  <si>
    <t>175.34.105-1  сітка</t>
  </si>
  <si>
    <t>175.34.203-1  каркас</t>
  </si>
  <si>
    <t>175.34.030сб-1  сітка</t>
  </si>
  <si>
    <t>175.34.099  сітка</t>
  </si>
  <si>
    <t>175.34.201  каркас</t>
  </si>
  <si>
    <t>176.93.018сб  опора права</t>
  </si>
  <si>
    <t>8.65Г.016 Шайба ГОСТ 6402-70</t>
  </si>
  <si>
    <t>М8х1-6gх18.66.016 Болт ГОСТ 7808-70</t>
  </si>
  <si>
    <t>176.93.017сб  опора права</t>
  </si>
  <si>
    <t>176.93.028  косинка</t>
  </si>
  <si>
    <t>172-2М.93.012  кронштейн правий</t>
  </si>
  <si>
    <t>172-2М.93.013  планка</t>
  </si>
  <si>
    <t>172-2М.93.055  ребро</t>
  </si>
  <si>
    <t>175.93.006  косинка</t>
  </si>
  <si>
    <t>176.93.029  ребро</t>
  </si>
  <si>
    <t>лист б=3 15 ГОСТ 16523-70</t>
  </si>
  <si>
    <t>лист б=0,5 ГОСТ 19904-74 08кп ГОСТ 16523-70</t>
  </si>
  <si>
    <t>Згідно актів дефектування Т-72</t>
  </si>
  <si>
    <t>Print 01.08.18</t>
  </si>
  <si>
    <t>54.02.45сб-7  труба</t>
  </si>
  <si>
    <t>труба 48х1,5 10 ГОСТ 8734-74</t>
  </si>
  <si>
    <t>54.02.91сб  труба від насосу</t>
  </si>
  <si>
    <t>54.02.390  трубка</t>
  </si>
  <si>
    <t xml:space="preserve">зміна на </t>
  </si>
  <si>
    <t>труба 18х1 20 ГОСТ 8724-56</t>
  </si>
  <si>
    <t xml:space="preserve">L=60(72) </t>
  </si>
  <si>
    <t>155.38.268-1  прокладка</t>
  </si>
  <si>
    <t>лист б=2 АД1М ГОСТ 18592-67</t>
  </si>
  <si>
    <t>432.35.026сб-1  кришка газоходу</t>
  </si>
  <si>
    <t>432.35.157  кришка</t>
  </si>
  <si>
    <t>432.35.158  планка</t>
  </si>
  <si>
    <t>432.70.295  прокладка</t>
  </si>
  <si>
    <t>канат 1,8 ГОСТ 2172-74</t>
  </si>
  <si>
    <t>дріт ∅0,5 ГОСТ 3282-74</t>
  </si>
  <si>
    <t>труба М3М 6х1 ГОСТ 617-72</t>
  </si>
  <si>
    <t>лист б=3 АМг6БМ ГОСТ 21631-76</t>
  </si>
  <si>
    <t>лист б=3 АМг6БМ ГОСТ 19592-67</t>
  </si>
  <si>
    <t>434.86.158  трубка (б.к.)</t>
  </si>
  <si>
    <t>припій ПОС18 ГОСТ 1499-54</t>
  </si>
  <si>
    <t>447А.91.470сб  пенал</t>
  </si>
  <si>
    <t>447А.91.480сб  корпус пеналу</t>
  </si>
  <si>
    <t>447А.91.490сб  кришка</t>
  </si>
  <si>
    <t>заклепка 3СП-96 ОСТ 17-600-81</t>
  </si>
  <si>
    <t>432.93.008сб  створка</t>
  </si>
  <si>
    <t>432.93.043  створка</t>
  </si>
  <si>
    <t>432.93.044  петля</t>
  </si>
  <si>
    <t>лист АМ6БМ б=1 ГОСТ 21631-76</t>
  </si>
  <si>
    <t>432.93.045  вісь шарніру</t>
  </si>
  <si>
    <t>дріт ∅3 ГОСТ 3282-74</t>
  </si>
  <si>
    <t>432.91.049сб  кришка</t>
  </si>
  <si>
    <t>432.91.288  кришка</t>
  </si>
  <si>
    <t>лист б=1,5 АМг6БМ ГОСТ 21631-76</t>
  </si>
  <si>
    <t>434.31.314сб  сердцевина пароповітряного клапану</t>
  </si>
  <si>
    <t>дріт ∅1 ММ1 ГОСТ 2112-71</t>
  </si>
  <si>
    <t>60.39.232  прокладка</t>
  </si>
  <si>
    <t>лист б=2 АДОМ2 ГОСТ 21631-76</t>
  </si>
  <si>
    <t>60.07.166  шайба</t>
  </si>
  <si>
    <t>432.83.025сб  ступінь зємна туби  ОПВТ</t>
  </si>
  <si>
    <t>432.83.160  ступінь</t>
  </si>
  <si>
    <t>лист б=4 АМг6БМ ГОСТ 21631-76</t>
  </si>
  <si>
    <t>432.83.182  скоба</t>
  </si>
  <si>
    <t>434.83.107  хомут</t>
  </si>
  <si>
    <t>лист б=1,5 ГОСТ 19903-74 10кп ГОСТ 16523-74</t>
  </si>
  <si>
    <t>432.83.037сб-1  клапан</t>
  </si>
  <si>
    <t>432.83.200  обойма</t>
  </si>
  <si>
    <t>РО2605-05  шайба</t>
  </si>
  <si>
    <t>лист б=3 ГОСТ 19903-74 20 ГОСТ 16523-70</t>
  </si>
  <si>
    <t>432.83.201-1  планка</t>
  </si>
  <si>
    <t>лист б=1,5 ГОСТ 19903-74 20 ГОСТ 16523-70</t>
  </si>
  <si>
    <t>434.91.053сб-2  важіль для лотка</t>
  </si>
  <si>
    <t>434.91.275-2  труба</t>
  </si>
  <si>
    <t>труба 22х2 ГОСТ 8734-75 20 ГОСТ 8733-74</t>
  </si>
  <si>
    <t>434.91.276-2  втулка</t>
  </si>
  <si>
    <t>труба 17х3 ГОСТ 8734-75 20 ГОСТ 8733-74</t>
  </si>
  <si>
    <t>447А.91.870сб  заслінка верхнього відкна прибору ТНПО-168В</t>
  </si>
  <si>
    <t>447А.91.172  заслінка</t>
  </si>
  <si>
    <t>434.91.315  планка</t>
  </si>
  <si>
    <t>лист б=2,5 АМг6БМ ГОСТ 21631-76</t>
  </si>
  <si>
    <t>447.91.016  упор</t>
  </si>
  <si>
    <t>лист б=4 ГОСТ 19903-74 30ХГСА-3-а ГОСТ 11269-76</t>
  </si>
  <si>
    <t>434.93.176  планка</t>
  </si>
  <si>
    <t>лист б=2 АМгБМ ГОСТ 21631-76</t>
  </si>
  <si>
    <t>432.28.292-1  серга</t>
  </si>
  <si>
    <t>лист б=3 30ХГСА-3-а ГОСТ 11269-76</t>
  </si>
  <si>
    <t>432.28.296-2  клавіша</t>
  </si>
  <si>
    <t>лист б=2 ГОСТ 19904-74 30ХГСА-1 ГОСТ 11268-76</t>
  </si>
  <si>
    <t>434.91.148сб  трос</t>
  </si>
  <si>
    <t>434.91.565  платик</t>
  </si>
  <si>
    <t>лист б=3,9 ГОСТ 19903-74 10кп ГОСТ 16523-70</t>
  </si>
  <si>
    <t>канат 4,5С ГОСТ 2172-80</t>
  </si>
  <si>
    <t>Забрали з покупних на виготовлення</t>
  </si>
  <si>
    <t>54.26.496  планка</t>
  </si>
  <si>
    <t>стрічка ДПРНМ 0,2 М3 ГОСТ 1173-77</t>
  </si>
  <si>
    <t>434.71.058сб  кришка</t>
  </si>
  <si>
    <t>434.71.055сб  кришка</t>
  </si>
  <si>
    <t>434.71.134  кришка</t>
  </si>
  <si>
    <t>434.71.135  втулка</t>
  </si>
  <si>
    <t>432.71.193  платик</t>
  </si>
  <si>
    <t>круг ∅30 Сталь20 ГОСТ 1050-60</t>
  </si>
  <si>
    <t>434.71.106-1  кронштейн</t>
  </si>
  <si>
    <t>434.71.059сб  кронштейн</t>
  </si>
  <si>
    <t>434.71.215  квадрат</t>
  </si>
  <si>
    <t>квадрат 10 ГОСТ 8559-75 20 ГОСТ 1051-73</t>
  </si>
  <si>
    <t>лист б=1,5 ГОСТ 19904-74 10кп ГОСТ 16523-70</t>
  </si>
  <si>
    <t>Print 08.08.2018</t>
  </si>
  <si>
    <t>434.91.157сб  прокладка</t>
  </si>
  <si>
    <t>лист б=2 ГОСТ 19904-74 10кп ГОСТ 16523-74</t>
  </si>
  <si>
    <t>434.91.568  планка</t>
  </si>
  <si>
    <t>432.91.052сб-1  захист світлофору</t>
  </si>
  <si>
    <t>432.91.305  кришка</t>
  </si>
  <si>
    <t>432.91.306  скоба</t>
  </si>
  <si>
    <t>лист б=2 АМг6БМ ГОСТ 21631-76</t>
  </si>
  <si>
    <t>432.91.438  кришка</t>
  </si>
  <si>
    <t>клей 88 НП</t>
  </si>
  <si>
    <t>434.94.172  планка чеки</t>
  </si>
  <si>
    <t>лист б=3 ГОСТ 3680-57 10кп ГОСТ 16523-70</t>
  </si>
  <si>
    <t>434.71.093сб  цифрова насадка на фару</t>
  </si>
  <si>
    <t>434.71.092сб  пружина</t>
  </si>
  <si>
    <t>434.71.200  пружина</t>
  </si>
  <si>
    <t>стрічка У7А-С-0,5х15 ГОСТ 2283-79</t>
  </si>
  <si>
    <t>434.71.196  планка</t>
  </si>
  <si>
    <t>434.71.197  планка</t>
  </si>
  <si>
    <t>434.71.198  скоба</t>
  </si>
  <si>
    <t>лист б=1 ГОСТ 19904-74 10кп ГОСТ 16523-74</t>
  </si>
  <si>
    <t>лист б=2 ГОСТ 19903-74 10кп ГОСТ 16523-74</t>
  </si>
  <si>
    <t>434.71.201  накладка</t>
  </si>
  <si>
    <t>434.02.433  прокладка</t>
  </si>
  <si>
    <t xml:space="preserve">лист б=3 ПМБ </t>
  </si>
  <si>
    <t>432.91.364  шланг (б.к.)</t>
  </si>
  <si>
    <t xml:space="preserve">рукав 40У-30 </t>
  </si>
  <si>
    <r>
      <rPr>
        <b/>
        <sz val="11"/>
        <color theme="1"/>
        <rFont val="Calibri"/>
        <family val="2"/>
        <charset val="204"/>
        <scheme val="minor"/>
      </rPr>
      <t>60.42.031</t>
    </r>
    <r>
      <rPr>
        <sz val="11"/>
        <color theme="1"/>
        <rFont val="Calibri"/>
        <family val="2"/>
        <charset val="204"/>
        <scheme val="minor"/>
      </rPr>
      <t xml:space="preserve">  скоба КД НЕМА</t>
    </r>
  </si>
  <si>
    <t xml:space="preserve">емаль ХВ-518 </t>
  </si>
  <si>
    <t>СК.075.21  хомут 38-45</t>
  </si>
  <si>
    <t>СК.075.22  рамка</t>
  </si>
  <si>
    <t>лист б=1 Сталь10кп ГОСТ 16523-70</t>
  </si>
  <si>
    <t>СК.075.24  стрічка</t>
  </si>
  <si>
    <t>лист б=0,5 Сталь10кп ГОСТ 16523-70</t>
  </si>
  <si>
    <t>432.91.068сб  патрубок</t>
  </si>
  <si>
    <t>432.91.361  половинка патрубка</t>
  </si>
  <si>
    <t>60.07.005  шайба</t>
  </si>
  <si>
    <t>432.91.364  шланг</t>
  </si>
  <si>
    <t xml:space="preserve">рукав 40У30-13 </t>
  </si>
  <si>
    <t>432.91.371  труба</t>
  </si>
  <si>
    <t>труба 30х1 ГОСТ 8734-75 20 ГОСТ 8733-70</t>
  </si>
  <si>
    <t>447А.91.080сб  пенал</t>
  </si>
  <si>
    <t>447А.91.090сб  корпус</t>
  </si>
  <si>
    <t>447А.91.043  корпус</t>
  </si>
  <si>
    <t>447А.91.044  рамка</t>
  </si>
  <si>
    <t>лист б=1 АМг6БМ ГОСТ 21631-76</t>
  </si>
  <si>
    <t>447А.91.045  крючок</t>
  </si>
  <si>
    <t>лист б=1,5 ГОСТ 19904-74 08кп ГОСТ 9045-70</t>
  </si>
  <si>
    <t>труба 6х1 Сталь20 ГОСТ 21799-75</t>
  </si>
  <si>
    <t>447А.91.047  проставка</t>
  </si>
  <si>
    <t>447А.91.048  вісь</t>
  </si>
  <si>
    <t>дріт ∅3 12Х18Н10Т ГОСТ 18143-72</t>
  </si>
  <si>
    <t>447А.91.074  планка</t>
  </si>
  <si>
    <t>447А.91.075  перегородка</t>
  </si>
  <si>
    <t>432.91.289-1  обечайка</t>
  </si>
  <si>
    <t>432.91.290-1  боковина</t>
  </si>
  <si>
    <t>432.91.291-1  перегородка</t>
  </si>
  <si>
    <t>432.91.292-1  перегородка</t>
  </si>
  <si>
    <t>432.93.040  зацеп</t>
  </si>
  <si>
    <t xml:space="preserve">лист б=2 АМг6БМ ГОСТ 21631-76 </t>
  </si>
  <si>
    <t>432.22.012сб  завертка</t>
  </si>
  <si>
    <t>446.76.120сб  пенал для ЗІПа системи 2А46М-1 і 902Б</t>
  </si>
  <si>
    <t xml:space="preserve">мастило АМС-3 </t>
  </si>
  <si>
    <t>446.76.150сб  кришка</t>
  </si>
  <si>
    <t>446.76.160сб  корпус</t>
  </si>
  <si>
    <t>446.76.041  кришка</t>
  </si>
  <si>
    <t>446.76.057  упор</t>
  </si>
  <si>
    <t>дріт СВАМг6 D=4 ГОСТ 7871-75</t>
  </si>
  <si>
    <t xml:space="preserve">лист б=2,5 АМг6БМ ГОСТ 21631-76 </t>
  </si>
  <si>
    <t>446.76.049  плпанка</t>
  </si>
  <si>
    <t>446.76.043  корпус</t>
  </si>
  <si>
    <t>446.76.047  кільце</t>
  </si>
  <si>
    <t>446.76.048  вушко</t>
  </si>
  <si>
    <t>434.83.031сб  ящик для речей</t>
  </si>
  <si>
    <t>434.83.032сб-А  кришка</t>
  </si>
  <si>
    <t>434.77.126  платик</t>
  </si>
  <si>
    <t>434.83.159  корпус</t>
  </si>
  <si>
    <t>434.83.160  боковина</t>
  </si>
  <si>
    <t>434.83.161  перегородка</t>
  </si>
  <si>
    <t>434.83.162  планка</t>
  </si>
  <si>
    <t>434.33.384  скоба</t>
  </si>
  <si>
    <t>434.83.165А  кришка</t>
  </si>
  <si>
    <t>434.83.169  кутник</t>
  </si>
  <si>
    <t>434.83.170  кутник</t>
  </si>
  <si>
    <t>432.91.435-1  скоба</t>
  </si>
  <si>
    <t>432.91.437  скоба</t>
  </si>
  <si>
    <t>лист б=6 АМг6Б ГОСТ 21631-76</t>
  </si>
  <si>
    <t>ЗІП Т-64 Додаток №64</t>
  </si>
  <si>
    <t>53км</t>
  </si>
  <si>
    <t>15км</t>
  </si>
  <si>
    <t>ЛБТЗ.654А.29.910сб  щиток відкидний передінй правий</t>
  </si>
  <si>
    <t>ЛБТЗ.654А.29.811  планка</t>
  </si>
  <si>
    <t>ЛБТЗ.654А.29.812  планка</t>
  </si>
  <si>
    <t>ЛБТЗ.654А.29.813  планка</t>
  </si>
  <si>
    <t>ЛБТЗ.654А.29.913  щиток лівий</t>
  </si>
  <si>
    <t>ЛБТЗ.654А.29.921  щиток правий</t>
  </si>
  <si>
    <t>54.29.762Б  створка петлі</t>
  </si>
  <si>
    <t>лист б=2 Ст3 ГОСТ 380-60сб</t>
  </si>
  <si>
    <t xml:space="preserve">в лім без норм </t>
  </si>
  <si>
    <t>Print 13.08.2018р</t>
  </si>
  <si>
    <t>по шаблону</t>
  </si>
  <si>
    <t>трубопровід буде робитися з 2-ох частин</t>
  </si>
  <si>
    <t>Реально шаблон на 1,375м, але в цій довжині врахована довжина трубки ЛБТЗ.654А.50.620сб (поз.72 (на даний момент це поз.72)), тому 0,5м я дав на трубку …50.620сб</t>
  </si>
  <si>
    <t>Шаблону нема. Довжина врахована в шаблоні трубки ЛБТЗ.654А.50.630сб</t>
  </si>
  <si>
    <t>Реально шаблон на 1,63м, але в цій довжині врахована довжина трубки ЛБТЗ.654А.50.330сб (поз.39 (на даний момент це поз.39)), тому 0,63м я дав на трубку …50.330сб</t>
  </si>
  <si>
    <t>Шаблону нема. Довжина врахована в шаблоні трубки ЛБТЗ.654А.50.370сб</t>
  </si>
  <si>
    <t>по шаблону з 2-ох частин</t>
  </si>
  <si>
    <t>по КД подавав вже</t>
  </si>
  <si>
    <t>ПОВІДОМЛЕННЯ</t>
  </si>
  <si>
    <t>Print 14.08.2018р</t>
  </si>
  <si>
    <t>ЛБТЗ.654А.05.090  трубка</t>
  </si>
  <si>
    <t>ЛБТЗ.654А.05.100  кронштейн з арматурою</t>
  </si>
  <si>
    <t>ЛБТЗ.654А.05.110  кронштейн з арматурою</t>
  </si>
  <si>
    <t>ЛБТЗ.654А.05.120  трубка</t>
  </si>
  <si>
    <t>ЛБТЗ.654А.05.130  трубка</t>
  </si>
  <si>
    <t>ЛБТЗ.654А.05.140  трубка</t>
  </si>
  <si>
    <t>ЛБТЗ.654А.05.150  трубка</t>
  </si>
  <si>
    <t>ЛБТЗ.654А.05.160  трубка</t>
  </si>
  <si>
    <t>ЛБТЗ.654А.05.170  трубка</t>
  </si>
  <si>
    <t>ЛБТЗ.654А.05.180  трубка</t>
  </si>
  <si>
    <t>ЛБТЗ.654А.05.190  трубка</t>
  </si>
  <si>
    <t>ЛБТЗ.654А.05.200  трубка</t>
  </si>
  <si>
    <t>ЛБТЗ.654А.05.121  труба</t>
  </si>
  <si>
    <t>труба 16х1 ГОСТ 8734-75 20 ГОСТ 8733-87</t>
  </si>
  <si>
    <t>ЛБТЗ.654А.05.131  труба</t>
  </si>
  <si>
    <t>труба 8х1,4 ГОСТ 8734-75 20 ГОСТ 8733-87</t>
  </si>
  <si>
    <t>ЛБТЗ.654А.05.141  труба</t>
  </si>
  <si>
    <t>ЛБТЗ.654А.05.151  труба</t>
  </si>
  <si>
    <t>труба 17х2 ГОСТ 8734-75 20 ГОСТ 8733-87</t>
  </si>
  <si>
    <t>ЛБТЗ.654А.05.161  труба (б.к.)</t>
  </si>
  <si>
    <t>ЛБТЗ.654А.05.181  труба (б.к.)</t>
  </si>
  <si>
    <t>труба 10х1,4 ГОСТ 8734-75 20 ГОСТ 8733-87</t>
  </si>
  <si>
    <t>ЛБТЗ.654А.05.191  труба</t>
  </si>
  <si>
    <t>ЛБТЗ.654А.05.193  труба</t>
  </si>
  <si>
    <t>труба 10х1 ГОСТ 8734-75 20 ГОСТ 8733-87</t>
  </si>
  <si>
    <t>ЛБТЗ.654А.05.201  труба</t>
  </si>
  <si>
    <t>ЛБТЗ.654А.05.210  підставка</t>
  </si>
  <si>
    <t>кутник 40х40х4 ДСТУ 2251-93 Ст3 ДСТУ 4484:2005</t>
  </si>
  <si>
    <t>дріт КО ∅1,2 ГОСТ 792-67</t>
  </si>
  <si>
    <t>Розпорядження №129-2018р</t>
  </si>
  <si>
    <t>54.28.755А  петля</t>
  </si>
  <si>
    <t>05.С.028.95.070сб  пенал</t>
  </si>
  <si>
    <t>мастило солідол</t>
  </si>
  <si>
    <t>155.28.737сб  пенал для електроламп</t>
  </si>
  <si>
    <t>Print 27.08.2018р</t>
  </si>
  <si>
    <t xml:space="preserve">труба 16х1 ГОСТ 8734-75 20 ГОСТ 8733-87 </t>
  </si>
  <si>
    <t>54.02.397  трубка</t>
  </si>
  <si>
    <t xml:space="preserve">труба 30х1 ГОСТ 8734-75 10 ГОСТ 8733-87 </t>
  </si>
  <si>
    <t>ЛБТЗ.654А.05.239  впирач</t>
  </si>
  <si>
    <t>лист б=3 ДСТУ 8540:2015 10кп ДСТУ 2834-94</t>
  </si>
  <si>
    <t>54.05.295-А  втулка</t>
  </si>
  <si>
    <t>труба 27х3,5 ГОСТ 8734-75 20 ГОСТ 8733-87</t>
  </si>
  <si>
    <t>ЛБТЗ.654А.05.015  планка</t>
  </si>
  <si>
    <t>лист б=5 ДСТУ 8540:2015 Ст3 ГОСТ 14637-89</t>
  </si>
  <si>
    <t>ЛБТЗ.654А.05.060сб  бак компенсаційний</t>
  </si>
  <si>
    <t>ЛБТЗ.654А.05.062  денце</t>
  </si>
  <si>
    <t>ЛБТЗ.654А.05.063  дашок</t>
  </si>
  <si>
    <t>ЛБТЗ.654А.05.064  облямування</t>
  </si>
  <si>
    <t>ЛБТЗ.654А.05.065  патрубок</t>
  </si>
  <si>
    <t>ЛБТЗ.654А.05.067  планка</t>
  </si>
  <si>
    <t>ЛБТЗ.654А.05.068  кутник</t>
  </si>
  <si>
    <t>155.16.123  планка стопорна</t>
  </si>
  <si>
    <t>155.16.124  шайба</t>
  </si>
  <si>
    <t>лист б=4 сатль дискова 85 ТУ14-1-1022-74</t>
  </si>
  <si>
    <t>лист б=4 30ХГСА-3 ГОСТ 11269-76</t>
  </si>
  <si>
    <t>54.16.015  шайба</t>
  </si>
  <si>
    <t>54.11.011  шайба</t>
  </si>
  <si>
    <t>Розпорядження №129-2018р дод. №13</t>
  </si>
  <si>
    <t xml:space="preserve">труба 10х1,5 ГОСТ 8734-75 10 ГОСТ 8733-87 </t>
  </si>
  <si>
    <t>кутник 30х30х4 ДСТУ 2254-93 Ст3 ГОСТ11474-76</t>
  </si>
  <si>
    <t>кутник 32х32х4 ДСТУ 2254-93 Ст3 ГОСТ11474-76</t>
  </si>
  <si>
    <t>ЛБТЗ.654А.05.072  планка</t>
  </si>
  <si>
    <t>ЛБТЗ.654А.05.073  планка</t>
  </si>
  <si>
    <t>ЛБТЗ.654А.05.074  загорожа</t>
  </si>
  <si>
    <t>05.44.05.6201А  планка</t>
  </si>
  <si>
    <t>05.44.05.6202  планка</t>
  </si>
  <si>
    <t>05.44.05.6204  планка</t>
  </si>
  <si>
    <t>05.44.05.6205  планка</t>
  </si>
  <si>
    <t>05.44.05.6207  планка</t>
  </si>
  <si>
    <t>54.29.300-5А  кутник</t>
  </si>
  <si>
    <t>кутник 40х40х4 ГОСТ 8509-93 09Г2-2 ГОСТ 19281-73</t>
  </si>
  <si>
    <t>кутник 40х40х4 ГОСТ 8509-93 сталь 20 ГОСТ 1050-60</t>
  </si>
  <si>
    <t>Службова записка Медведя М.П. 27.08.2018р.</t>
  </si>
  <si>
    <t>Print 28.08.18</t>
  </si>
  <si>
    <t>05.44.05.6741  планка</t>
  </si>
  <si>
    <t>лист б=2 ГОСТ 19903-74 Ст3 ГОСТ 16523-70</t>
  </si>
  <si>
    <t>лист б=1 ГОСТ 19903-74 Ст3 ГОСТ 16523-70</t>
  </si>
  <si>
    <t>ЛБТЗ.654А.05.091  труба</t>
  </si>
  <si>
    <t>05.54.05.6131-1  трубка</t>
  </si>
  <si>
    <t>рукав 40У16-13 або 40У16-7 ТУ 005-6016-80</t>
  </si>
  <si>
    <t>65.54.29.1497А-1  сітка</t>
  </si>
  <si>
    <t>сітка 15-2 ГОСТ 5336-80</t>
  </si>
  <si>
    <t>сітка 15-1,8 ГОСТ 5336-80</t>
  </si>
  <si>
    <t>Print 28.08.2018р</t>
  </si>
  <si>
    <t>Юра дав написати. Не знаю навіщо.</t>
  </si>
  <si>
    <t>рукав 40У8-13 або 40У8-7 ТУ 005-6016-80</t>
  </si>
  <si>
    <t>05.44.05.6080А  паливорозподільчий кран</t>
  </si>
  <si>
    <t>05.44.05.6090А  пробка крана</t>
  </si>
  <si>
    <t>05.44.05.6091А  заглушка</t>
  </si>
  <si>
    <t>155.05.162сб  копус крана</t>
  </si>
  <si>
    <t>155.05.624  защіпка до крана</t>
  </si>
  <si>
    <t>520.06.001-10  прокладка</t>
  </si>
  <si>
    <t>лист б=2 фібра КГФ ГОСТ 14613-69</t>
  </si>
  <si>
    <t>05.44.05.6150А  патрубок верхній</t>
  </si>
  <si>
    <t>05.44.05.6023А  трубка</t>
  </si>
  <si>
    <t xml:space="preserve">155.05.25сб  кронштейн </t>
  </si>
  <si>
    <t xml:space="preserve">155.05.110  кронштейн </t>
  </si>
  <si>
    <t>155.05.629  косинка</t>
  </si>
  <si>
    <t>лист б=4 Сталь15 ГОСТ 380-60</t>
  </si>
  <si>
    <t>лист б=3 Сталь15 ГОСТ 16523-74</t>
  </si>
  <si>
    <t>ЛБТЗ.654А.05.101  турбка</t>
  </si>
  <si>
    <t>ЛБТЗ.654А.05.300сб  кронштейн</t>
  </si>
  <si>
    <t>ЛБТЗ.654А.05.301  стінка</t>
  </si>
  <si>
    <t>ЛБТЗ.654А.05.302  полиця</t>
  </si>
  <si>
    <t>ЛБТЗ.654А.05.303  ребро</t>
  </si>
  <si>
    <t>ЛБТЗ.654А.05.310сб  патрубок</t>
  </si>
  <si>
    <t>ЛБТЗ.654А.05.311  труба</t>
  </si>
  <si>
    <t>ЛБТЗ.654А.05.320сб  трубка</t>
  </si>
  <si>
    <t>ЛБТЗ.654А.05.321  труба</t>
  </si>
  <si>
    <t>ЛБТЗ.654А.05.114  скоба</t>
  </si>
  <si>
    <t>ЛБТЗ.654А.05.290сб  планка притискна</t>
  </si>
  <si>
    <t>54.05.92сб-1  зажим в зборі</t>
  </si>
  <si>
    <t>54.05.96сб-1  планка притискна</t>
  </si>
  <si>
    <t>54.05.294-1  планка прижимна</t>
  </si>
  <si>
    <t>05.С.028.76.880сб  зрошувач</t>
  </si>
  <si>
    <t>54.83.5сб-1  стелаж двигуна</t>
  </si>
  <si>
    <t>3335-20-5  планка</t>
  </si>
  <si>
    <t>05.С.028.76.013  поручень</t>
  </si>
  <si>
    <t>Сб.420-02-7  труба від масляного насосу до фільтру</t>
  </si>
  <si>
    <t>Сб.420-01-21  труба від фільтру до картеру</t>
  </si>
  <si>
    <t>353-04-1  шайба</t>
  </si>
  <si>
    <t>353-05-1  шайба</t>
  </si>
  <si>
    <t>труба 20 (26,8х3,2) ГОСТ 3262-75</t>
  </si>
  <si>
    <t>емаль ПФ-223  світло-сіро-голуба</t>
  </si>
  <si>
    <t>54.83.109-2  фланець</t>
  </si>
  <si>
    <t>54.83.110  дужка</t>
  </si>
  <si>
    <t>54.83.111  планка</t>
  </si>
  <si>
    <t>лист б=4 Сталь15 ГОСт 1577-70</t>
  </si>
  <si>
    <t>лист б=1 Ст10кп ГОСТ 16523-70</t>
  </si>
  <si>
    <t>лист б=1,5 Ст10кп ГОСТ 16523-70</t>
  </si>
  <si>
    <t>Згідно актів дефектування ГПМ-54 зам. №323</t>
  </si>
  <si>
    <t>Print 01.09.2018р</t>
  </si>
  <si>
    <t>54.08.083-А  шайба первинного валу</t>
  </si>
  <si>
    <t>лист б=2 Сталь10кп ГОСТ 16523-70</t>
  </si>
  <si>
    <t>Розпорядження №95-2018р дод. №7, 8</t>
  </si>
  <si>
    <t>ЛБТЗ.654А.05.014  планка</t>
  </si>
  <si>
    <t>лист б=5 ДСТУ 8540:2016 Ст3 ГОСТ 14637-89</t>
  </si>
  <si>
    <t>54.05.493  трубка</t>
  </si>
  <si>
    <t>ЛБТЗ.654А.05.040сб  бак паливний задній</t>
  </si>
  <si>
    <t>ЛБТЗ.654А.05.260сб  трубка</t>
  </si>
  <si>
    <t>ЛБТЗ.654А.05.261  труба</t>
  </si>
  <si>
    <t xml:space="preserve">труба 8х1,5 ГОСТ 8734-75 20 ГОСТ 8733-87 </t>
  </si>
  <si>
    <t>05.44.05.6010  трубка</t>
  </si>
  <si>
    <t>05.44.05.6011  трубка (б.к.)</t>
  </si>
  <si>
    <t>05.44.05.6012  трубка (б.к.)</t>
  </si>
  <si>
    <t>905.180  трубка (б.к.)</t>
  </si>
  <si>
    <t>54.05.103  наконечник (б.к.)</t>
  </si>
  <si>
    <t>05.44.05.6020сб  трубка</t>
  </si>
  <si>
    <t>05.44.05.6030сб  горловина заливна</t>
  </si>
  <si>
    <t>05.44.05.6040А  заливна горловина</t>
  </si>
  <si>
    <t>905.039-2  трубка</t>
  </si>
  <si>
    <t>905.126  патрубок</t>
  </si>
  <si>
    <t>05.54.05.010  переробка кришки фільтра</t>
  </si>
  <si>
    <t>520.06.001-11  прокладка</t>
  </si>
  <si>
    <t>905.32сб-1  трубка</t>
  </si>
  <si>
    <t>905.102-1  трубка (б.к.)</t>
  </si>
  <si>
    <t>905.33сб-2  трубка</t>
  </si>
  <si>
    <t>905.103-2  трубка (б.к.)</t>
  </si>
  <si>
    <t>ЛБТЗ.654А.05.001  трубка</t>
  </si>
  <si>
    <t>ЛБТЗ.654А.05.002  трубка</t>
  </si>
  <si>
    <t>ЛБТЗ.654А.05.003  трубка</t>
  </si>
  <si>
    <t>ЛБТЗ.654А.05.004  трубка</t>
  </si>
  <si>
    <t>ЛБТЗ.654А.05.005  трубка</t>
  </si>
  <si>
    <t>ЛБТЗ.654А.05.006  трубка</t>
  </si>
  <si>
    <t>ЛБТЗ.654А.05.009  кронштейн фільтру</t>
  </si>
  <si>
    <t>05.44.05.6002А  трубка</t>
  </si>
  <si>
    <t>05.44.05.6004  трубка</t>
  </si>
  <si>
    <t xml:space="preserve">труба 10х1,5 ГОСТ 8734-75 20 ГОСТ 8733-87 </t>
  </si>
  <si>
    <t xml:space="preserve">труба 10х1 ГОСТ 8734-75 20 ГОСТ 8733-87 </t>
  </si>
  <si>
    <t>05.44.05.6701  трубка</t>
  </si>
  <si>
    <t>05.54.05.6002  трубка</t>
  </si>
  <si>
    <t>лист б=0,8 сталь кровельна ГОСТ 1393-40</t>
  </si>
  <si>
    <t>165.05.095  кронштейн</t>
  </si>
  <si>
    <t xml:space="preserve">труба 12х1 ГОСТ 8734-75 20 ГОСТ 8733-87 </t>
  </si>
  <si>
    <t>лист б=1 Л62 1М ГОСТ 931-52</t>
  </si>
  <si>
    <t xml:space="preserve">труба 8х1,4 ГОСТ 8734-75 20 ГОСТ 8733-87 </t>
  </si>
  <si>
    <t>05.44.05.6044  денце</t>
  </si>
  <si>
    <t>труба 30х1 ГОСТ 8734-75 20 ГОСТ 8733-87</t>
  </si>
  <si>
    <t>в папці пише що КД взяв Швець для Нечепоренка</t>
  </si>
  <si>
    <t>труба 10х1 12Х18Н10Т</t>
  </si>
  <si>
    <t>труба 16х1 12Х18Н10Т</t>
  </si>
  <si>
    <t>905.115  трубка (б.к.)</t>
  </si>
  <si>
    <t xml:space="preserve">труба 48х1,5 ГОСТ 8734-75 20 ГОСТ 8733-87 </t>
  </si>
  <si>
    <t>,</t>
  </si>
  <si>
    <t>Розпорядження №95-2018р дод. №5</t>
  </si>
  <si>
    <r>
      <t>L</t>
    </r>
    <r>
      <rPr>
        <sz val="8"/>
        <color theme="1"/>
        <rFont val="Calibri"/>
        <family val="2"/>
        <charset val="204"/>
        <scheme val="minor"/>
      </rPr>
      <t>кд</t>
    </r>
    <r>
      <rPr>
        <sz val="11"/>
        <color theme="1"/>
        <rFont val="Calibri"/>
        <family val="2"/>
        <charset val="204"/>
        <scheme val="minor"/>
      </rPr>
      <t>=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</si>
  <si>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</si>
  <si>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</si>
  <si>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</si>
  <si>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рукав 40У16 ТУ 38-0056016-72</t>
  </si>
  <si>
    <t xml:space="preserve">труба 17х2 ГОСТ 8734-75 20 ГОСТ 8733-87 </t>
  </si>
  <si>
    <t xml:space="preserve">труба 20х1 ГОСТ 8734-75 20 ГОСТ 8733-87 </t>
  </si>
  <si>
    <t>від фанаряв писав</t>
  </si>
  <si>
    <t>ту на фарбу нема</t>
  </si>
  <si>
    <t>05.С.095.85.130сб  трубка</t>
  </si>
  <si>
    <t>05.С.095.85.140сб  трубка</t>
  </si>
  <si>
    <t>05.С.095.85.150сб  трубка</t>
  </si>
  <si>
    <t>05.С.095.85.160сб  трубка</t>
  </si>
  <si>
    <t>05.С.095.85.170сб  трубка</t>
  </si>
  <si>
    <t>05.С.095.85.180сб  трубка</t>
  </si>
  <si>
    <t>05.С.095.85.210сб  трубка</t>
  </si>
  <si>
    <t>05.С.095.85.220сб  трубка</t>
  </si>
  <si>
    <t>05.С.095.85.250сб  трубка</t>
  </si>
  <si>
    <t>05.С.095.85.260сб  трубка</t>
  </si>
  <si>
    <t>05.С.095.85.270сб  трубка</t>
  </si>
  <si>
    <t>05.С.095.85.280сб  трубка</t>
  </si>
  <si>
    <t>05.С.095.85.290сб  трубка</t>
  </si>
  <si>
    <t>05.С.095.85.310сб  трубка</t>
  </si>
  <si>
    <t>05.С.095.85.320сб  трубка</t>
  </si>
  <si>
    <t>05.С.095.85.330сб  трубка</t>
  </si>
  <si>
    <t>05.С.095.85.340сб  трубка</t>
  </si>
  <si>
    <t>05.С.095.85.350сб  трубка</t>
  </si>
  <si>
    <t>05.С.095.85.360сб  трубка</t>
  </si>
  <si>
    <t>05.С.095.85.370сб  трубка</t>
  </si>
  <si>
    <t>05.С.095.85.410сб  трубка</t>
  </si>
  <si>
    <t>05.С.095.85.420сб  трубка</t>
  </si>
  <si>
    <t>05.С.095.85.430сб  трубка</t>
  </si>
  <si>
    <t>05.С.095.85.440сб  трубка</t>
  </si>
  <si>
    <t>05.С.095.85.450сб  трубка</t>
  </si>
  <si>
    <t>05.С.095.85.460сб  трубка</t>
  </si>
  <si>
    <t>05.С.095.85.470сб  трубка</t>
  </si>
  <si>
    <t>05.С.095.85.480сб  трубка</t>
  </si>
  <si>
    <t>05.С.095.85.520сб  трубка</t>
  </si>
  <si>
    <t>05.С.095.85.530сб  трубка</t>
  </si>
  <si>
    <t>05.С.095.85.550сб  трубка</t>
  </si>
  <si>
    <t>05.С.095.85.560сб  трубка</t>
  </si>
  <si>
    <t>05.С.095.85.570сб  трубка</t>
  </si>
  <si>
    <t>05.С.095.85.580сб  трубка</t>
  </si>
  <si>
    <t>05.С.095.85.590сб  трубка</t>
  </si>
  <si>
    <t>05.С.095.85.610сб  трубка</t>
  </si>
  <si>
    <t>05.С.095.85.620сб  трубка</t>
  </si>
  <si>
    <t>05.С.095.85.630сб  трубка</t>
  </si>
  <si>
    <t>05.С.095.85.640сб  трубка</t>
  </si>
  <si>
    <t>05.С.095.85.650сб  трубка</t>
  </si>
  <si>
    <t>05.С.095.85.660сб  трубка</t>
  </si>
  <si>
    <t>05.С.095.85.670сб  трубка</t>
  </si>
  <si>
    <t>Print 03.09.2018р</t>
  </si>
  <si>
    <t>Розпорядження №140-2018р</t>
  </si>
  <si>
    <t>ЛБТЗ.654А.67.013  пластина</t>
  </si>
  <si>
    <t>ЛБТЗ.654А.67.014  ребро</t>
  </si>
  <si>
    <t>ЛБТЗ.654А.67.021  планка</t>
  </si>
  <si>
    <t>ЛБТЗ.654А.67.041  ребро</t>
  </si>
  <si>
    <t>54.29.1833  ребро</t>
  </si>
  <si>
    <t>967.027-4  стійка кутова</t>
  </si>
  <si>
    <t>967.035-5  щиток</t>
  </si>
  <si>
    <t>05.44.67.6053  стійка бортова</t>
  </si>
  <si>
    <t>967.165  планка</t>
  </si>
  <si>
    <t>труба 6х1 12Х18Н10Т</t>
  </si>
  <si>
    <t>труба 10х1 12Х18Н10Т ГОСТ 9941-81</t>
  </si>
  <si>
    <t>труба 6х1 12Х18Н10Т ГОСТ 9941-81</t>
  </si>
  <si>
    <t>труба 16х1 12Х18Н10Т ГОСТ 9941-81</t>
  </si>
  <si>
    <t>Труби гідросистеми ГПМ-54 (підключення бульдозера)</t>
  </si>
  <si>
    <t>лист б=3 Ст3 ГОСТ 16523-70</t>
  </si>
  <si>
    <t>кутник 32х32х4 Сталь3 ГОСТ 380-2005</t>
  </si>
  <si>
    <t>05.44.83.6214  накладка</t>
  </si>
  <si>
    <t>05.44.83.6212  шайба</t>
  </si>
  <si>
    <t>лист б=5 ГОСТ 5681-57 Ст3 ГОСТ 500-58</t>
  </si>
  <si>
    <t>лист б=4 ГОСТ 19904-74 Ст3 ГОСТ14637-79</t>
  </si>
  <si>
    <t>05.44.83.6273  накладка</t>
  </si>
  <si>
    <t>05.44.83.6202  накладка</t>
  </si>
  <si>
    <t>лист б=5 ГОСТ 19904-74 Ст3 ГОСТ14637-79</t>
  </si>
  <si>
    <t>05.44.29.6690сб  ланцюжок</t>
  </si>
  <si>
    <t>05.44.29.6691  зацеп</t>
  </si>
  <si>
    <t>дріт ∅2 ГОСТ 3282-46</t>
  </si>
  <si>
    <t>Розпорядження №139-2018р</t>
  </si>
  <si>
    <t>905.114-1  трубка</t>
  </si>
  <si>
    <t>Службова записка Щедлівського М.В. 06.09.18р.</t>
  </si>
  <si>
    <t>інв. 23194</t>
  </si>
  <si>
    <t>65.Т.3Р.843.00  трубопровід для заряджання балонів 155.59.198сб  вуглекислотою</t>
  </si>
  <si>
    <t>65.Т.3Р.843.05  трубка (б.к.)</t>
  </si>
  <si>
    <t xml:space="preserve">труба 8х1,4 ГОСТ 8734-75 10 ГОСТ 8733-87 </t>
  </si>
  <si>
    <t>12Х18Н10Т</t>
  </si>
  <si>
    <t>12х1</t>
  </si>
  <si>
    <t>Цех 4</t>
  </si>
  <si>
    <t>Нержавійка</t>
  </si>
  <si>
    <t>25х1</t>
  </si>
  <si>
    <t>25х3</t>
  </si>
  <si>
    <t>Труба безшовна</t>
  </si>
  <si>
    <t>8х1</t>
  </si>
  <si>
    <t>14х1</t>
  </si>
  <si>
    <t>Розчинник, Розчинник</t>
  </si>
  <si>
    <t>Уайт-спірит, Уайт-спірит</t>
  </si>
  <si>
    <t>ГОСТ 3134-78</t>
  </si>
  <si>
    <t xml:space="preserve">Розчинник органічний, </t>
  </si>
  <si>
    <t>ДСТУ 4221:2003</t>
  </si>
  <si>
    <t>Дріб, Дріб</t>
  </si>
  <si>
    <t>d=1,4</t>
  </si>
  <si>
    <t xml:space="preserve">Лак бакелітовий, </t>
  </si>
  <si>
    <t>ЛБС-1</t>
  </si>
  <si>
    <t>ГОСТ 901-78</t>
  </si>
  <si>
    <t>Емаль захисна, Емаль захисна</t>
  </si>
  <si>
    <t>ПФ-115</t>
  </si>
  <si>
    <t>ГОСТ 6465-76</t>
  </si>
  <si>
    <t xml:space="preserve">Грунт, </t>
  </si>
  <si>
    <t>ГОСТ 9109-81</t>
  </si>
  <si>
    <t xml:space="preserve">Сольвент, </t>
  </si>
  <si>
    <t>ГОСТ 1928-79</t>
  </si>
  <si>
    <t xml:space="preserve">Лак термостійкий, </t>
  </si>
  <si>
    <t>КО-815</t>
  </si>
  <si>
    <t>ГОСТ 11066-74</t>
  </si>
  <si>
    <t xml:space="preserve">Пудра алюмінієва, </t>
  </si>
  <si>
    <t>ПАК-3</t>
  </si>
  <si>
    <t>ГОСТ 5494-95</t>
  </si>
  <si>
    <t xml:space="preserve">Сода каустична (натрій їдкий), </t>
  </si>
  <si>
    <t>ГОСТ 2263-79</t>
  </si>
  <si>
    <t xml:space="preserve">Сода кальцинована, </t>
  </si>
  <si>
    <t>ГОСТ 5100-85</t>
  </si>
  <si>
    <t xml:space="preserve">Скло рідке, </t>
  </si>
  <si>
    <t>ГОСТ 13078-81</t>
  </si>
  <si>
    <t>Дріт зварний, Алюміній</t>
  </si>
  <si>
    <t>СвАК5</t>
  </si>
  <si>
    <t>d=3</t>
  </si>
  <si>
    <t xml:space="preserve">Аргон газоподібний, </t>
  </si>
  <si>
    <t>Кран-стріла ЛБТЗ.654А.52.000сб</t>
  </si>
  <si>
    <t>2,545</t>
  </si>
  <si>
    <t>12х3,0</t>
  </si>
  <si>
    <t>0,146</t>
  </si>
  <si>
    <t>1,152</t>
  </si>
  <si>
    <t>8,543</t>
  </si>
  <si>
    <t>Труби на БТС-4 ЛБТЗ</t>
  </si>
  <si>
    <t>Гідравліка ЛБТЗ.654А.50.000сб</t>
  </si>
  <si>
    <t>лист б=4 Ст3 ГОСТ 380-60</t>
  </si>
  <si>
    <t>447А.08.010сб-1 встановлення контейнерів на носових листах</t>
  </si>
  <si>
    <t>447А.08.020сб-2  Встановлення контейнерів на полицях</t>
  </si>
  <si>
    <t>447А.14сб-3  встановлення контейнерів на башті</t>
  </si>
  <si>
    <t>155.29.746сб</t>
  </si>
  <si>
    <t>155.29.747сб</t>
  </si>
  <si>
    <t>d=6,0</t>
  </si>
  <si>
    <t>Дріт зварний</t>
  </si>
  <si>
    <t>Емаль червона</t>
  </si>
  <si>
    <t>Мастило солідол</t>
  </si>
  <si>
    <t>УС-2</t>
  </si>
  <si>
    <t>Дріт</t>
  </si>
  <si>
    <t>ОЧ</t>
  </si>
  <si>
    <t>Суміш зварна</t>
  </si>
  <si>
    <t>СО2Ar</t>
  </si>
  <si>
    <t>Дріт пруж.</t>
  </si>
  <si>
    <t>d=6</t>
  </si>
  <si>
    <t>05.С.028.95.070сб  пенал всмоктуючого рукава</t>
  </si>
  <si>
    <t>05.С.028.95.070сб</t>
  </si>
  <si>
    <t>05.С.028.95.070сб-1</t>
  </si>
  <si>
    <t>СУМА</t>
  </si>
  <si>
    <t>Емаль черв.</t>
  </si>
  <si>
    <t>65.123.11.100сб  Трубка</t>
  </si>
  <si>
    <t>65.123.11.101  Трубка (б.к.)</t>
  </si>
  <si>
    <t>65.123.12.100сб  Паливна трубка</t>
  </si>
  <si>
    <t>65.123.12.101  Трубка (б.к.)</t>
  </si>
  <si>
    <t>65.123.13.100сб  Трубка</t>
  </si>
  <si>
    <t>65.123.13.101  Труба</t>
  </si>
  <si>
    <t>65.123.14.10.00сб  Шланг</t>
  </si>
  <si>
    <t>65.123.14.20.00сб  Шланг</t>
  </si>
  <si>
    <t>65.123.14.30.03  Трубка (б.к.)</t>
  </si>
  <si>
    <t>65.123.14.40.00сб  Трубка</t>
  </si>
  <si>
    <t>65.123.14.40.02  Трубка (б.к.)</t>
  </si>
  <si>
    <t>65.123.14.100сб  Трубка</t>
  </si>
  <si>
    <t>65.123.14.101  Трубка (б.к.)</t>
  </si>
  <si>
    <t>65.123.14.105  Трубка (б.к.)</t>
  </si>
  <si>
    <t>труба 18х1 ГОСТ 8734-75 10 ГОСТ 8733-87</t>
  </si>
  <si>
    <t>мастило МТ-16-П ГОСТ 6360</t>
  </si>
  <si>
    <t>65.123.14.30.00сб  кутник поворотний</t>
  </si>
  <si>
    <t>труба 12х1 ГОСТ 8734-75 10 ГОСТ 8733-87</t>
  </si>
  <si>
    <t>Розпорядження №146-2018р</t>
  </si>
  <si>
    <t>Роздрукував 11.09.2018р</t>
  </si>
  <si>
    <t>Розпорядження №146-2018р НОРМА</t>
  </si>
  <si>
    <t>Print --.09.2018р до 11числа+-</t>
  </si>
  <si>
    <t>172.70.295-2  кронштейн</t>
  </si>
  <si>
    <t>608.70.196-1  кронштейн</t>
  </si>
  <si>
    <t>КАБЕЛІ</t>
  </si>
  <si>
    <t>432.70.576  наконечник</t>
  </si>
  <si>
    <t>лист б=1 ДПРХМ 1Л63 ГОСТ 931-78</t>
  </si>
  <si>
    <t>2,5х4 наконечник глухий ОСТ В3-4050-78</t>
  </si>
  <si>
    <t>2,5х6 наконечник глухий ОСТ В3-4050-78</t>
  </si>
  <si>
    <t>2,5х3  наконечник глухий ОСТ В3-4050-78</t>
  </si>
  <si>
    <t>60.56.055  втулка</t>
  </si>
  <si>
    <t>434.70.323  кронштейн</t>
  </si>
  <si>
    <t>лист б=6 АМг6БМ ГОСТ 21631-76</t>
  </si>
  <si>
    <t>432.70.629-1  скоба</t>
  </si>
  <si>
    <t>60.56.051</t>
  </si>
  <si>
    <t>60.56.052</t>
  </si>
  <si>
    <t>60.56.053</t>
  </si>
  <si>
    <t>60.56.054</t>
  </si>
  <si>
    <t>60.56.055</t>
  </si>
  <si>
    <t>60.56.057</t>
  </si>
  <si>
    <t>60.56.059</t>
  </si>
  <si>
    <t>60.56.061</t>
  </si>
  <si>
    <t>60.56.062</t>
  </si>
  <si>
    <t>є</t>
  </si>
  <si>
    <t>нема</t>
  </si>
  <si>
    <t>432.70.328  втулка</t>
  </si>
  <si>
    <t>432.70.529  втулка зовнішня</t>
  </si>
  <si>
    <t>лист б=0,5 ГОСТ 19904-70 08кп ГОСТ 16523-70</t>
  </si>
  <si>
    <t>60.56.061  втулка</t>
  </si>
  <si>
    <t>434.70.217  кронштейн</t>
  </si>
  <si>
    <t>434.70.504  наконечник</t>
  </si>
  <si>
    <t>лист б=1 ДПРМ Л63 ГОСТ 931-78</t>
  </si>
  <si>
    <t>434.71.158  кульце</t>
  </si>
  <si>
    <t>3х6.36  заклепка ГОСТ 10299-80</t>
  </si>
  <si>
    <t>434.71.082сб  кронштейн</t>
  </si>
  <si>
    <t>2х4.36  заклепка ГОСТ 10299-80</t>
  </si>
  <si>
    <t>434.71.176  кронштейн</t>
  </si>
  <si>
    <t>432.71.375  кронштейн кнопки</t>
  </si>
  <si>
    <t>лист б=0,5 ГОСТ 19904-74 10кп ГОСТ 16523-70</t>
  </si>
  <si>
    <t>432.71.376  накладка</t>
  </si>
  <si>
    <t>432.71.224-1  кронштейн</t>
  </si>
  <si>
    <t>лист б=2,5 АМгБМ ГОСТ 21631-76</t>
  </si>
  <si>
    <t>60.56.053  втулка</t>
  </si>
  <si>
    <t xml:space="preserve">труба 14х1 ГОСТ 8734-75 20 ГОСТ 8733-87 </t>
  </si>
  <si>
    <t>60.56.057  втулка</t>
  </si>
  <si>
    <t>447А.71.014  втулка</t>
  </si>
  <si>
    <t>труба 16х2 ГОСТ 8734-75 20 ГОСТ 8733-87</t>
  </si>
  <si>
    <t>432.82.030сб  кронштейн</t>
  </si>
  <si>
    <t>432.82.098  кронштейн</t>
  </si>
  <si>
    <t>434.72.021</t>
  </si>
  <si>
    <t>лист б=3 ГОСТ 19904-74 10кп ГОСТ 16523-70</t>
  </si>
  <si>
    <t>434.70.505  наконечник</t>
  </si>
  <si>
    <t>цех 4</t>
  </si>
  <si>
    <t>Print 14.09.2018</t>
  </si>
  <si>
    <t>432.87.072  трубка</t>
  </si>
  <si>
    <t xml:space="preserve">труба 13х2 ГОСТ 8734-75 20 ГОСТ 8733-87 </t>
  </si>
  <si>
    <t>437.21.060сб-1  очищувач</t>
  </si>
  <si>
    <t>437.21.036-1  оправа очищувача</t>
  </si>
  <si>
    <t>447.77.144  кронштейн</t>
  </si>
  <si>
    <t>лист б=2 АМг6БМ ГОСТ 12592-67</t>
  </si>
  <si>
    <t>432.70.585  наконечник</t>
  </si>
  <si>
    <t>лист б=1 ДПРХМ Л63 ГОСТ 931-78</t>
  </si>
  <si>
    <t>лист б=0,7 Л63</t>
  </si>
  <si>
    <t>Print 24.09.2018</t>
  </si>
  <si>
    <t>10х6 наконечник глухий ОСТ В3-4050-78</t>
  </si>
  <si>
    <t>434.29.385сб  шланг</t>
  </si>
  <si>
    <t>мастило МС-20 ГОСТ 21743-76</t>
  </si>
  <si>
    <t>434.29.386  рукав</t>
  </si>
  <si>
    <t xml:space="preserve">рукав 4Т6-115  ТУ005280-76 </t>
  </si>
  <si>
    <t>434.66.014сб  рукав</t>
  </si>
  <si>
    <t>434.66.015сб  рукав</t>
  </si>
  <si>
    <t>434.66.017сб  рукав</t>
  </si>
  <si>
    <t>мастило УСсА ГОСТ 3333-80</t>
  </si>
  <si>
    <t>434.66.054  рукав</t>
  </si>
  <si>
    <t>рукав 4Т16-100 ТУ005280-76</t>
  </si>
  <si>
    <t>434.66.059  рукав</t>
  </si>
  <si>
    <t>лист б=1 Л63</t>
  </si>
  <si>
    <t>Деталі на кабелі (та інше )Т-64</t>
  </si>
  <si>
    <t>155.29.615сб-1  кронштейн</t>
  </si>
  <si>
    <t>155.29.2750  кронштейн</t>
  </si>
  <si>
    <t>54.29.1274-А  кутник</t>
  </si>
  <si>
    <t>кутник 32х32х4 ГОСТ 8509-57 09Г2-2 ГОСТ 5058-65 / Ст20</t>
  </si>
  <si>
    <t>54.29.499-6 лист полки лівий передній і середній</t>
  </si>
  <si>
    <t>54.29.501-7  лист полки лівий задній</t>
  </si>
  <si>
    <t>54.29.498-6  лист полки правий</t>
  </si>
  <si>
    <t>54.36.086-1  прокладка регулювальна</t>
  </si>
  <si>
    <t>54.36.151  планка</t>
  </si>
  <si>
    <t>лист б=2 Сталь 15 ГОСТ 16523-70</t>
  </si>
  <si>
    <t>155.25.13сб-Б</t>
  </si>
  <si>
    <t>Валик</t>
  </si>
  <si>
    <t>155.02.9сб</t>
  </si>
  <si>
    <t>трос</t>
  </si>
  <si>
    <t>54.02.45сб-7-Б</t>
  </si>
  <si>
    <t>Труба від водяної помпи</t>
  </si>
  <si>
    <t>54.02.019-1</t>
  </si>
  <si>
    <t>54.02.073</t>
  </si>
  <si>
    <t>Прокладка задня</t>
  </si>
  <si>
    <t>902.009-2</t>
  </si>
  <si>
    <t>54.03.59сб-А</t>
  </si>
  <si>
    <t>54.03.024-1</t>
  </si>
  <si>
    <t>155.02.111сб</t>
  </si>
  <si>
    <t>155.02.113сб-А</t>
  </si>
  <si>
    <t>155.02.114сб</t>
  </si>
  <si>
    <t>54.03.24сб-5</t>
  </si>
  <si>
    <t>Трубка від двигуна</t>
  </si>
  <si>
    <t>54.02.021</t>
  </si>
  <si>
    <t>169.02.025сб</t>
  </si>
  <si>
    <t>Клапан редукційний</t>
  </si>
  <si>
    <t>155.36.8сб</t>
  </si>
  <si>
    <t>сопло</t>
  </si>
  <si>
    <t>155.38.134сб</t>
  </si>
  <si>
    <t>155.38.131сб-А</t>
  </si>
  <si>
    <t>958.013</t>
  </si>
  <si>
    <t>958.014-1</t>
  </si>
  <si>
    <t>639.03.009сб</t>
  </si>
  <si>
    <t>155.02.115сб-1</t>
  </si>
  <si>
    <t>Трубка від двигуна до змійовика</t>
  </si>
  <si>
    <t>639.03.017</t>
  </si>
  <si>
    <t>155.36.23сб</t>
  </si>
  <si>
    <t>54.30.64сб</t>
  </si>
  <si>
    <t>Хомут</t>
  </si>
  <si>
    <t>155.38.133</t>
  </si>
  <si>
    <t>54.02.88сб-4</t>
  </si>
  <si>
    <t>54.02.020-1</t>
  </si>
  <si>
    <t>3.28.009сб</t>
  </si>
  <si>
    <t>Труба наставка</t>
  </si>
  <si>
    <t>05.44.59.6030сб</t>
  </si>
  <si>
    <t>Стрічка в зборі</t>
  </si>
  <si>
    <t>959.37сб</t>
  </si>
  <si>
    <t>98.155.26.307А</t>
  </si>
  <si>
    <t>Труба для кабелів</t>
  </si>
  <si>
    <t>155.26.4сб-1</t>
  </si>
  <si>
    <t>Кожух блока</t>
  </si>
  <si>
    <t>22.44.39.6010сб</t>
  </si>
  <si>
    <t>Кронштейн в зборі</t>
  </si>
  <si>
    <t>21-26-1</t>
  </si>
  <si>
    <t>902.14сб-2</t>
  </si>
  <si>
    <t>Трубка до насосу</t>
  </si>
  <si>
    <t>169.02.010сб</t>
  </si>
  <si>
    <t>54.05.050-1</t>
  </si>
  <si>
    <t>ЛБТЗ.655А.29.530сб</t>
  </si>
  <si>
    <t>Трійник</t>
  </si>
  <si>
    <t>ЛБТЗ.655А.29.009</t>
  </si>
  <si>
    <t>05.44.26.6002</t>
  </si>
  <si>
    <t>926.26-1</t>
  </si>
  <si>
    <t>Труба для проводів</t>
  </si>
  <si>
    <t>98.926.26-1</t>
  </si>
  <si>
    <t>Трубка для проводів</t>
  </si>
  <si>
    <t>05.44.26.6029</t>
  </si>
  <si>
    <t>05.44.29.6680сб</t>
  </si>
  <si>
    <t>Заглушка в зборі</t>
  </si>
  <si>
    <t>54.03.57сб-4</t>
  </si>
  <si>
    <t>155.38.130сб</t>
  </si>
  <si>
    <t>Трубка з манометром</t>
  </si>
  <si>
    <t>155.58.37сб</t>
  </si>
  <si>
    <t>Кронштейн</t>
  </si>
  <si>
    <t>54.03.023-1</t>
  </si>
  <si>
    <t>155.06.1сб</t>
  </si>
  <si>
    <t>Денце праве</t>
  </si>
  <si>
    <t>155.02.105сб-1Б</t>
  </si>
  <si>
    <t>959.31сб-2</t>
  </si>
  <si>
    <t>54.59.407А</t>
  </si>
  <si>
    <t>959.015</t>
  </si>
  <si>
    <t>137.59.408-1</t>
  </si>
  <si>
    <t>926.023-2</t>
  </si>
  <si>
    <t>Наконечник</t>
  </si>
  <si>
    <t>155.25.20сб-1</t>
  </si>
  <si>
    <t>Рамка боковина</t>
  </si>
  <si>
    <t>958.012</t>
  </si>
  <si>
    <t>902.008-2</t>
  </si>
  <si>
    <t>ЛБТЗ.654А.03.010сб</t>
  </si>
  <si>
    <t>165.03.017сб</t>
  </si>
  <si>
    <t>639.03.010сб</t>
  </si>
  <si>
    <t>05.44.59.6040сб</t>
  </si>
  <si>
    <t>Трубка в зборі</t>
  </si>
  <si>
    <t>05.44.59.6013</t>
  </si>
  <si>
    <t>ЛБТЗ.654А.50.350сб</t>
  </si>
  <si>
    <t>05.44.26.6171</t>
  </si>
  <si>
    <t>926.150-2</t>
  </si>
  <si>
    <t>54.38.2сб-2</t>
  </si>
  <si>
    <t>ЛБТЗ.654А.26.250сб</t>
  </si>
  <si>
    <t>Кронштейн кріплення коробки К2</t>
  </si>
  <si>
    <t>ЛБТЗ.654А.26.070сб</t>
  </si>
  <si>
    <t>155.58.44сб</t>
  </si>
  <si>
    <t>155.38.128сб</t>
  </si>
  <si>
    <t>54.59.420</t>
  </si>
  <si>
    <t>05.54.05.13сб-6</t>
  </si>
  <si>
    <t>Паливний фільтр грубої очистки</t>
  </si>
  <si>
    <t>05.44.38.6050сб</t>
  </si>
  <si>
    <t>959.32сб</t>
  </si>
  <si>
    <t>54.59.408</t>
  </si>
  <si>
    <t>05.44.59.6050сб</t>
  </si>
  <si>
    <t>05.44.59.6060сб</t>
  </si>
  <si>
    <t>54.83.36сб</t>
  </si>
  <si>
    <t>155.25.157</t>
  </si>
  <si>
    <t>166.42.12сб</t>
  </si>
  <si>
    <t>166.42.18сб</t>
  </si>
  <si>
    <t>155.58.157</t>
  </si>
  <si>
    <t>155.58.129</t>
  </si>
  <si>
    <t>54.03.60сб-А</t>
  </si>
  <si>
    <t>Труба від радіатора до бака</t>
  </si>
  <si>
    <t>05.44.59.6010сб</t>
  </si>
  <si>
    <t>959.27сб-1</t>
  </si>
  <si>
    <t>959.29сб-1</t>
  </si>
  <si>
    <t>155.38.85сб</t>
  </si>
  <si>
    <t>ЛБТЗ.654А.38.060сб</t>
  </si>
  <si>
    <t>ЛБТЗ.654А.50.780сб</t>
  </si>
  <si>
    <t>Гідропанель (доробка до 608.29.208сб-2)</t>
  </si>
  <si>
    <t>05.44.26.6001</t>
  </si>
  <si>
    <t>54.26.222сб</t>
  </si>
  <si>
    <t>3.28.010сб</t>
  </si>
  <si>
    <t>Труба в зборі</t>
  </si>
  <si>
    <t>355-10</t>
  </si>
  <si>
    <t>Кільце ущільнююче 24х30 МН 4152-62</t>
  </si>
  <si>
    <t>54.83.175</t>
  </si>
  <si>
    <t>Поручень</t>
  </si>
  <si>
    <t>54.83.170</t>
  </si>
  <si>
    <t>Скоба</t>
  </si>
  <si>
    <t>434.27.014сб</t>
  </si>
  <si>
    <t>Привід тросовий</t>
  </si>
  <si>
    <t>Т-64БВ</t>
  </si>
  <si>
    <t>434.31.019сб</t>
  </si>
  <si>
    <t>434.31.023сб</t>
  </si>
  <si>
    <t>434.31.038сб</t>
  </si>
  <si>
    <t>434.31.041сб</t>
  </si>
  <si>
    <t>434.31.309сб-1</t>
  </si>
  <si>
    <t>476.31.150сб</t>
  </si>
  <si>
    <t>Клапан паровоздушный</t>
  </si>
  <si>
    <t>432.31.028сб</t>
  </si>
  <si>
    <t>434.31.125</t>
  </si>
  <si>
    <t>Фланец</t>
  </si>
  <si>
    <t>434.32.009сб-1</t>
  </si>
  <si>
    <t>Корпус заливной горловины</t>
  </si>
  <si>
    <t>432.32.048сб</t>
  </si>
  <si>
    <t>432.32.060сб-1</t>
  </si>
  <si>
    <t>Труба від двигуна до баку</t>
  </si>
  <si>
    <t>432.32.061сб-1</t>
  </si>
  <si>
    <t>Труба дренажна</t>
  </si>
  <si>
    <t>432.32.268-1</t>
  </si>
  <si>
    <t>Фланець</t>
  </si>
  <si>
    <t>432.32.386-2</t>
  </si>
  <si>
    <t>432.32.429</t>
  </si>
  <si>
    <t>434.67.001сб</t>
  </si>
  <si>
    <t>434.67.003сб-3</t>
  </si>
  <si>
    <t>434.67.004сб-2</t>
  </si>
  <si>
    <t>434.67.007сб</t>
  </si>
  <si>
    <t>434.67.008сб</t>
  </si>
  <si>
    <t>434.22.011сб</t>
  </si>
  <si>
    <t>Уловлювач</t>
  </si>
  <si>
    <t>434.91.109сб</t>
  </si>
  <si>
    <t>54.03.32сб-3</t>
  </si>
  <si>
    <t>54.03.34сб-1</t>
  </si>
  <si>
    <t>54.03.45сб</t>
  </si>
  <si>
    <t>155.03.243-1</t>
  </si>
  <si>
    <t>54.04.88сб</t>
  </si>
  <si>
    <t>Трос</t>
  </si>
  <si>
    <t>54.03.109</t>
  </si>
  <si>
    <t>34.08.055-1</t>
  </si>
  <si>
    <t>Прокладка регулювальна</t>
  </si>
  <si>
    <t>54.03.021-1</t>
  </si>
  <si>
    <t>Прокладка масляного радіатора</t>
  </si>
  <si>
    <t>155.04.371-1</t>
  </si>
  <si>
    <t>155.04.373</t>
  </si>
  <si>
    <t>Лапка</t>
  </si>
  <si>
    <t>155.04.377-1</t>
  </si>
  <si>
    <t>54.30.672</t>
  </si>
  <si>
    <t>54.04.83сб</t>
  </si>
  <si>
    <t>54.29.498-6</t>
  </si>
  <si>
    <t>Лист полки правий</t>
  </si>
  <si>
    <t>05.С.028.05.020сб</t>
  </si>
  <si>
    <t>05.С.028.05.007</t>
  </si>
  <si>
    <t>05.С.028.05.106</t>
  </si>
  <si>
    <t>Подкладка</t>
  </si>
  <si>
    <t>05.С.028.05.112</t>
  </si>
  <si>
    <t>05.С.028.76.025</t>
  </si>
  <si>
    <t>05.120-02х15</t>
  </si>
  <si>
    <t>Ланцюжок</t>
  </si>
  <si>
    <t>05.С.028.95.273</t>
  </si>
  <si>
    <t>Перекладина</t>
  </si>
  <si>
    <t>05.С.028.95.274</t>
  </si>
  <si>
    <t>Упор</t>
  </si>
  <si>
    <t>54.29.499-6</t>
  </si>
  <si>
    <t>Лист полки лівий</t>
  </si>
  <si>
    <t>54.29.501-7</t>
  </si>
  <si>
    <t>Лист полки</t>
  </si>
  <si>
    <t>54.29.1274А</t>
  </si>
  <si>
    <t>Кутник</t>
  </si>
  <si>
    <t>Х01 24х9</t>
  </si>
  <si>
    <t>434.31.015сб-1</t>
  </si>
  <si>
    <t>447А.31.030сб</t>
  </si>
  <si>
    <t>434.22.017сб</t>
  </si>
  <si>
    <t>Лоток</t>
  </si>
  <si>
    <t>434.22.063</t>
  </si>
  <si>
    <t>434.32.029сб</t>
  </si>
  <si>
    <t>Щиток передній</t>
  </si>
  <si>
    <t>434.32.030сб</t>
  </si>
  <si>
    <t>Щиток задній</t>
  </si>
  <si>
    <t>434.32.031сб</t>
  </si>
  <si>
    <t>434.32.032сб</t>
  </si>
  <si>
    <t>520.06.001-04</t>
  </si>
  <si>
    <t>Прокладка 22х30</t>
  </si>
  <si>
    <t>54.02.109сб-В</t>
  </si>
  <si>
    <t>972сб-2</t>
  </si>
  <si>
    <t>Сидіння праве</t>
  </si>
  <si>
    <t>155.36.21сб</t>
  </si>
  <si>
    <t>Ежектор</t>
  </si>
  <si>
    <t>155.36.073</t>
  </si>
  <si>
    <t>05.44.73.6000сб</t>
  </si>
  <si>
    <t>Сидіння заднє</t>
  </si>
  <si>
    <t>05.44.59.6020сб</t>
  </si>
  <si>
    <t>ЛБТЗ.654А.05.030сб</t>
  </si>
  <si>
    <t>Баки задні</t>
  </si>
  <si>
    <t>05.44.05.6140</t>
  </si>
  <si>
    <t>Заливна горловина (сб)</t>
  </si>
  <si>
    <t>926.015-2</t>
  </si>
  <si>
    <t>Кожух для проводів</t>
  </si>
  <si>
    <t>54.26.305сб</t>
  </si>
  <si>
    <t>155.83.027сб</t>
  </si>
  <si>
    <t>Стійка</t>
  </si>
  <si>
    <t>155.83.002</t>
  </si>
  <si>
    <t>Плита</t>
  </si>
  <si>
    <t>54.83.165</t>
  </si>
  <si>
    <t>54.83.168</t>
  </si>
  <si>
    <t>155.83.056</t>
  </si>
  <si>
    <t>54.83.173</t>
  </si>
  <si>
    <t>ЛБТЗ.654А.03.043</t>
  </si>
  <si>
    <t>ЛБТЗ.654А.03.044</t>
  </si>
  <si>
    <t>ЛБТЗ.654А.03.045</t>
  </si>
  <si>
    <t>155.29.615сб-1</t>
  </si>
  <si>
    <t>155.05.126сб</t>
  </si>
  <si>
    <t>Клапан випуску повітря</t>
  </si>
  <si>
    <t>434.83.028сб</t>
  </si>
  <si>
    <t>Ящик</t>
  </si>
  <si>
    <t>432.37.001сб-2</t>
  </si>
  <si>
    <t>Електроперемикач ТДА</t>
  </si>
  <si>
    <t>54.28.722сб</t>
  </si>
  <si>
    <t>Ящик для  ЗІПа</t>
  </si>
  <si>
    <t>54.36.086-1</t>
  </si>
  <si>
    <t>54.36.152</t>
  </si>
  <si>
    <t>54.06.24сб</t>
  </si>
  <si>
    <t>Патрубок</t>
  </si>
  <si>
    <t>155.06.2сб</t>
  </si>
  <si>
    <t>Денце ліве</t>
  </si>
  <si>
    <t>54.06.101</t>
  </si>
  <si>
    <t>Донишко</t>
  </si>
  <si>
    <t>54.06.18сб-А</t>
  </si>
  <si>
    <t>Денце</t>
  </si>
  <si>
    <t>155.06.001</t>
  </si>
  <si>
    <t>І 57-73</t>
  </si>
  <si>
    <t>54.36.087-1</t>
  </si>
  <si>
    <t>155.36.34сб</t>
  </si>
  <si>
    <t>Кран</t>
  </si>
  <si>
    <t>ОСТ3-408-70 СХ</t>
  </si>
  <si>
    <t>стрічка хомута 3м</t>
  </si>
  <si>
    <t>Т-72А</t>
  </si>
  <si>
    <t>26-33-1с</t>
  </si>
  <si>
    <t>Стрічка хомута</t>
  </si>
  <si>
    <t>54.05.9сбА</t>
  </si>
  <si>
    <t>Фільтр</t>
  </si>
  <si>
    <t>307-12</t>
  </si>
  <si>
    <t>Замок</t>
  </si>
  <si>
    <t>432.34.009сб</t>
  </si>
  <si>
    <t>432.34.010сб-4</t>
  </si>
  <si>
    <t>432.31.049сб</t>
  </si>
  <si>
    <t>432.35.022сб</t>
  </si>
  <si>
    <t>432.35.023сб-1</t>
  </si>
  <si>
    <t>432.37.002сб-3</t>
  </si>
  <si>
    <t>432.37.007сб</t>
  </si>
  <si>
    <t>Трубка з гайкою</t>
  </si>
  <si>
    <t>432.37.011-3</t>
  </si>
  <si>
    <t>432.37.020-2</t>
  </si>
  <si>
    <t>434.70.194сб</t>
  </si>
  <si>
    <t>корзина аккумулятора</t>
  </si>
  <si>
    <t>434.39.011сб</t>
  </si>
  <si>
    <t>Кільце</t>
  </si>
  <si>
    <t>432.39.014сб-4</t>
  </si>
  <si>
    <t>432.33.042сб-4</t>
  </si>
  <si>
    <t>Фільтр паливний грубої очистки</t>
  </si>
  <si>
    <t>434.32.002сб</t>
  </si>
  <si>
    <t>Клапан предохранительный</t>
  </si>
  <si>
    <t>434.32.135-1</t>
  </si>
  <si>
    <t>Манжета</t>
  </si>
  <si>
    <t>432.32.225-1</t>
  </si>
  <si>
    <t>432.33.195-1</t>
  </si>
  <si>
    <t>Пробка</t>
  </si>
  <si>
    <t>434.83.033сб</t>
  </si>
  <si>
    <t>434.33.032сб-4</t>
  </si>
  <si>
    <t>434.33.033сб-4</t>
  </si>
  <si>
    <t>434.33.088сб</t>
  </si>
  <si>
    <t>434.33.089сб</t>
  </si>
  <si>
    <t>434.33.106сб</t>
  </si>
  <si>
    <t>434.33.108сб</t>
  </si>
  <si>
    <t>434.33.110сб</t>
  </si>
  <si>
    <t>434.33.111сб</t>
  </si>
  <si>
    <t>434.33.112сб</t>
  </si>
  <si>
    <t>434.33.113сб</t>
  </si>
  <si>
    <t>432.33.031сб-1</t>
  </si>
  <si>
    <t>432.33.051сб-1</t>
  </si>
  <si>
    <t>432.33.067сб-2</t>
  </si>
  <si>
    <t>432.33.069сб-1</t>
  </si>
  <si>
    <t>432.33.072сб-2</t>
  </si>
  <si>
    <t>Клапан відключення підігрівача</t>
  </si>
  <si>
    <t>434.33.253-1</t>
  </si>
  <si>
    <t>434.33.255-1</t>
  </si>
  <si>
    <t>434.33.258-2</t>
  </si>
  <si>
    <t>434.33.260-1</t>
  </si>
  <si>
    <t>434.33.262-2</t>
  </si>
  <si>
    <t>434.33.276-1</t>
  </si>
  <si>
    <t>434.33.342-1</t>
  </si>
  <si>
    <t>434.66.008сб</t>
  </si>
  <si>
    <t>434.66.016сб</t>
  </si>
  <si>
    <t>434.33.379</t>
  </si>
  <si>
    <t>432.66.005сб-3</t>
  </si>
  <si>
    <t>434.33.553</t>
  </si>
  <si>
    <t>432.66.018сб-2</t>
  </si>
  <si>
    <t>434.33.677-1</t>
  </si>
  <si>
    <t>432.66.075-1</t>
  </si>
  <si>
    <t>434.60.002сб-4</t>
  </si>
  <si>
    <t>ТРУБКА</t>
  </si>
  <si>
    <t>434.85.003сб-3</t>
  </si>
  <si>
    <t>434.85.008сб-4</t>
  </si>
  <si>
    <t>Трубка с тройником</t>
  </si>
  <si>
    <t>434.85.010сб-2</t>
  </si>
  <si>
    <t>Трубка (від клапана до  дозатора)</t>
  </si>
  <si>
    <t>434.85.012сб</t>
  </si>
  <si>
    <t>434.60.003сб-3</t>
  </si>
  <si>
    <t>434.60.004сб-4</t>
  </si>
  <si>
    <t>434.60.005сб-2</t>
  </si>
  <si>
    <t>434.60.011сб-1</t>
  </si>
  <si>
    <t>трубка з монометра</t>
  </si>
  <si>
    <t>434.60.013сб-2</t>
  </si>
  <si>
    <t>434.60.014сб-2</t>
  </si>
  <si>
    <t>434.85.038</t>
  </si>
  <si>
    <t>434.60.053сб-4</t>
  </si>
  <si>
    <t>434.60.059сб</t>
  </si>
  <si>
    <t>434.60.105сб-1</t>
  </si>
  <si>
    <t>434.60.113сб</t>
  </si>
  <si>
    <t>434.60.114сб</t>
  </si>
  <si>
    <t>434.60.115сб</t>
  </si>
  <si>
    <t>434.60.117сб</t>
  </si>
  <si>
    <t>434.60.118сб</t>
  </si>
  <si>
    <t>432.60.009сб-2</t>
  </si>
  <si>
    <t>434.86.250сб-3</t>
  </si>
  <si>
    <t>437.86.014сб</t>
  </si>
  <si>
    <t>447А.86.010сб-2</t>
  </si>
  <si>
    <t>447А.86.020сб-2</t>
  </si>
  <si>
    <t>447А.86.030сб-2</t>
  </si>
  <si>
    <t>447А.86.040сб-1</t>
  </si>
  <si>
    <t>447.86.090сб-2</t>
  </si>
  <si>
    <t>447А.86.430сб-1</t>
  </si>
  <si>
    <t>447А.86.660сб</t>
  </si>
  <si>
    <t>447А.86.670сб</t>
  </si>
  <si>
    <t>447А.86.690сб</t>
  </si>
  <si>
    <t>447А.86.700сб</t>
  </si>
  <si>
    <t>447А.86.710сб</t>
  </si>
  <si>
    <t>447А.86.720сб</t>
  </si>
  <si>
    <t>447А.86.730сб</t>
  </si>
  <si>
    <t>447А.86.740сб-1</t>
  </si>
  <si>
    <t>447А.86.750сб</t>
  </si>
  <si>
    <t>447А.86.760сб</t>
  </si>
  <si>
    <t>447А.86.770сб</t>
  </si>
  <si>
    <t>447А.86.780сб</t>
  </si>
  <si>
    <t>434.71.179</t>
  </si>
  <si>
    <t>Кронштейн правий</t>
  </si>
  <si>
    <t>434.71.180</t>
  </si>
  <si>
    <t>Кронштейн лівий</t>
  </si>
  <si>
    <t>447А.71.002</t>
  </si>
  <si>
    <t>8.01.019 ГОСТ 11371-78</t>
  </si>
  <si>
    <t>05.44.59.6081</t>
  </si>
  <si>
    <t>54.29.1543</t>
  </si>
  <si>
    <t>54.05.43сб-4В</t>
  </si>
  <si>
    <t>Бак для масла</t>
  </si>
  <si>
    <t>54.29.738-1</t>
  </si>
  <si>
    <t>Упор тосіона</t>
  </si>
  <si>
    <t>959.025</t>
  </si>
  <si>
    <t>155.25.003</t>
  </si>
  <si>
    <t>Кутник передній</t>
  </si>
  <si>
    <t>54.02.13сб-3В</t>
  </si>
  <si>
    <t>Боковий щиток</t>
  </si>
  <si>
    <t>54.02.57сб-1</t>
  </si>
  <si>
    <t>353-20-2</t>
  </si>
  <si>
    <t>Шайба пластинчаста</t>
  </si>
  <si>
    <t>155.38.29сб-1А</t>
  </si>
  <si>
    <t>155.36.7сб-4</t>
  </si>
  <si>
    <t>54.26.299сб</t>
  </si>
  <si>
    <t>Стрічка хомута в зборі</t>
  </si>
  <si>
    <t>972.002</t>
  </si>
  <si>
    <t>155.36.32сб</t>
  </si>
  <si>
    <t>155.36.31сб</t>
  </si>
  <si>
    <t>54.36.322</t>
  </si>
  <si>
    <t>54.02.66сб</t>
  </si>
  <si>
    <t>Заливна горловина</t>
  </si>
  <si>
    <t>54.02.113сб-А</t>
  </si>
  <si>
    <t>434.82.015сб-3</t>
  </si>
  <si>
    <t>Стелаж</t>
  </si>
  <si>
    <t>432.33.112-1</t>
  </si>
  <si>
    <t>434.82.017сб-5</t>
  </si>
  <si>
    <t>Лента</t>
  </si>
  <si>
    <t>434.82.137сб</t>
  </si>
  <si>
    <t>447А.82.010сб</t>
  </si>
  <si>
    <t>447А.82.020сб</t>
  </si>
  <si>
    <t>434.85.002сб-3</t>
  </si>
  <si>
    <t>219-96сб-176</t>
  </si>
  <si>
    <t>447.70.014-1</t>
  </si>
  <si>
    <t>447.77.060сб-2</t>
  </si>
  <si>
    <t>Панель</t>
  </si>
  <si>
    <t>54.36.151</t>
  </si>
  <si>
    <t>05.44.05.6030</t>
  </si>
  <si>
    <t>Горловина заливна (сб)</t>
  </si>
  <si>
    <t>ЛБТЗ.654А.05.110сб(анульов)</t>
  </si>
  <si>
    <t>ЛБТЗ.654А.91.30.02</t>
  </si>
  <si>
    <t>ЛБТЗ.655А.70.011</t>
  </si>
  <si>
    <t>54.25.057-1</t>
  </si>
  <si>
    <t>155.38.60сб</t>
  </si>
  <si>
    <t>155.38.112сб</t>
  </si>
  <si>
    <t>Трубка з амортизатором</t>
  </si>
  <si>
    <t>54.26.154-5</t>
  </si>
  <si>
    <t>05.44.67.6040сб</t>
  </si>
  <si>
    <t>Борт передній</t>
  </si>
  <si>
    <t>54.25.056-А</t>
  </si>
  <si>
    <t>926.026-1</t>
  </si>
  <si>
    <t>155.38.79сб-Г</t>
  </si>
  <si>
    <t>155.02.111сб  щиток</t>
  </si>
  <si>
    <t>5х16.37.10  заклепка ГОСТ 10299-68</t>
  </si>
  <si>
    <t>4х10.37.10  заклепка ГОСТ 10299-68</t>
  </si>
  <si>
    <t>155.02.483  лист щитка</t>
  </si>
  <si>
    <t>155.02.485  планка</t>
  </si>
  <si>
    <t>155.02.113сб-А  щиток</t>
  </si>
  <si>
    <t>155.02.501-А  щиток ущільнюючий</t>
  </si>
  <si>
    <t>лист б=1 Сталь 15 ГОСТ 16523-70</t>
  </si>
  <si>
    <t>155.02.502-А  щиток ущільнюючий</t>
  </si>
  <si>
    <t>155.02.114сб  щиток</t>
  </si>
  <si>
    <t>54.02.234  ущільнюючий щиток</t>
  </si>
  <si>
    <t>54.02.399  ущільнюючий щиток</t>
  </si>
  <si>
    <t>155.02.115сб-1  труба від двигуна</t>
  </si>
  <si>
    <t>ЛБТЗ.654А.02.150сб  раструб трубопровода до радіатора</t>
  </si>
  <si>
    <t>ЛБТЗ.654А.02.152  патрубок</t>
  </si>
  <si>
    <t>лист б=1 ГОСТ 19904-90 12Х18Н10Т ГОСТ 5582-75</t>
  </si>
  <si>
    <t>ЛБТЗ.654А.02.153  патрубок</t>
  </si>
  <si>
    <t>ЛБТЗ.654А.02.141  труба</t>
  </si>
  <si>
    <t>труба 48х1,5 12Х18Н10Т ГОСТ 19941-72</t>
  </si>
  <si>
    <t>Подати коли треба буде</t>
  </si>
  <si>
    <t>155.02.097-3  труба</t>
  </si>
  <si>
    <t>труба 25х1 ГОСТ 8734-75 10 ГОСТ 8733-87</t>
  </si>
  <si>
    <t>155.02.9сб  трос</t>
  </si>
  <si>
    <t>дріт ∅0,5 ГОСТ 3282-46</t>
  </si>
  <si>
    <t>155.02.471  трос</t>
  </si>
  <si>
    <t>канат ∅2,2 або 2,5 ГОСТ 2172-71</t>
  </si>
  <si>
    <t>155.05.126сб  клапан випуск повітря</t>
  </si>
  <si>
    <t>дріт КО ∅1,2 ГОСТ 792-41</t>
  </si>
  <si>
    <t>155.06.1сб  денце праве</t>
  </si>
  <si>
    <t>155.06.001  трубка</t>
  </si>
  <si>
    <t>54.06.069  денце</t>
  </si>
  <si>
    <t xml:space="preserve">труба 38х1,5 ГОСТ 8734-75 20 ГОСТ 8733-87 </t>
  </si>
  <si>
    <t>155.06.2сб  денце ліве</t>
  </si>
  <si>
    <t>54.06.24сб  патрубок</t>
  </si>
  <si>
    <t>54.06.102  патрубок</t>
  </si>
  <si>
    <t>54.06.101  денце</t>
  </si>
  <si>
    <t>155.25.13сб-Б  валик</t>
  </si>
  <si>
    <t>155.25.157  планка</t>
  </si>
  <si>
    <t>155.25.20сб-1  рамка боковини</t>
  </si>
  <si>
    <t>54.25.026-2  лист боковини</t>
  </si>
  <si>
    <t>155.25.003  кутник передній</t>
  </si>
  <si>
    <t>кутник 32х20х3 Ст3сп ГОСТ 380-71</t>
  </si>
  <si>
    <t>155.36.21сб  ежектор</t>
  </si>
  <si>
    <t>155.26.023  трубка</t>
  </si>
  <si>
    <t>труба 10х1 М3 ГОСТ 617-53</t>
  </si>
  <si>
    <t>труба 5х1 М3 ГОСТ 617-74</t>
  </si>
  <si>
    <t>155.36.23сб  сопло</t>
  </si>
  <si>
    <t>155.36.031  скоба</t>
  </si>
  <si>
    <t>155.36.31сб  трубка</t>
  </si>
  <si>
    <t>155.36.088  трубка</t>
  </si>
  <si>
    <t xml:space="preserve">труба 8х1 ГОСТ 8734-75 20 ГОСТ 8733-87 </t>
  </si>
  <si>
    <t>155.36.32сб  трубка</t>
  </si>
  <si>
    <t>155.36.089  трубка</t>
  </si>
  <si>
    <t>155.36.34сб  кран</t>
  </si>
  <si>
    <t>циатим 201 ГОСТ 6267-74</t>
  </si>
  <si>
    <t>155.36.33сб-А  корпус крана</t>
  </si>
  <si>
    <t>155.36.095-А  трубка</t>
  </si>
  <si>
    <t>155.36.074-1А  трубка</t>
  </si>
  <si>
    <t>труба 8х1 Х18Н10Т ТУ14-3-138-73</t>
  </si>
  <si>
    <t>155.36.7сб-4   трубка</t>
  </si>
  <si>
    <t>155.36.25сб  зворотній клапан</t>
  </si>
  <si>
    <t>155.36.8сб  сопло</t>
  </si>
  <si>
    <t>155.36.025  трубка</t>
  </si>
  <si>
    <t>155.36.026  скоба</t>
  </si>
  <si>
    <t>155.36.073  трубка</t>
  </si>
  <si>
    <t>155.38.112сб  трубка з амортизатором</t>
  </si>
  <si>
    <t>155.38.111сб-А  трубка</t>
  </si>
  <si>
    <t>155.38.398  кронштейн</t>
  </si>
  <si>
    <t>лист б=3 Сталь10кп ГОСТ 16523-70</t>
  </si>
  <si>
    <t>155.38.403  трубка</t>
  </si>
  <si>
    <t>155.38.128сб  трубка</t>
  </si>
  <si>
    <t xml:space="preserve">рукав 40У8-13 або 40У8-7 </t>
  </si>
  <si>
    <t>155.38.443  трубка</t>
  </si>
  <si>
    <t>Print 28.09.2018р</t>
  </si>
  <si>
    <t>155.38.454А  трубка</t>
  </si>
  <si>
    <t xml:space="preserve">труба 6х1 ГОСТ 8734-75 20 ГОСТ 8733-87 </t>
  </si>
  <si>
    <t>155.38.115-2  трубка (б.к.)</t>
  </si>
  <si>
    <t>155.38.29сб-1А  трубка</t>
  </si>
  <si>
    <t>155.38.60сб  трубка</t>
  </si>
  <si>
    <t>155.38.215  трубка (б.к.)</t>
  </si>
  <si>
    <t>155.38.79сб-Г  трубка</t>
  </si>
  <si>
    <t>155.38.296-2А  трубка (б.к.)</t>
  </si>
  <si>
    <t>труба 6х1 12Х18Н10Т ГОСТ 9941-72</t>
  </si>
  <si>
    <t>155.38.85сб  трубка</t>
  </si>
  <si>
    <t>155.38.320  трубка</t>
  </si>
  <si>
    <t>155.38.321  трубка</t>
  </si>
  <si>
    <t>155.38.133  трубка</t>
  </si>
  <si>
    <t xml:space="preserve">труба 20х1 ГОСТ 8734-75 10 ГОСТ 8733-87 </t>
  </si>
  <si>
    <t>155.58.37сб  кронштейн</t>
  </si>
  <si>
    <t>емаль ПФ-223 світло-сіро голуба</t>
  </si>
  <si>
    <t>155.58.104  планка</t>
  </si>
  <si>
    <t>155.58.105  планка</t>
  </si>
  <si>
    <t>155.58.44сб  шланг</t>
  </si>
  <si>
    <t>155.58.129  шланг</t>
  </si>
  <si>
    <t>рукав 1Т8-60 ТУ005280-76</t>
  </si>
  <si>
    <t>54.02.458В  Стрічка</t>
  </si>
  <si>
    <t>54.02.479  накладка</t>
  </si>
  <si>
    <t>лист б=1 ГОСТ 19903-74 Ст3кп ГОСТ 16523-74</t>
  </si>
  <si>
    <t>54.02.109сб-В  хомут в зборі</t>
  </si>
  <si>
    <t>155.02.476-1  прокладка</t>
  </si>
  <si>
    <t>тканина азбестова АТ-4 ГОСТ 6102-67</t>
  </si>
  <si>
    <t xml:space="preserve">54.02.45сб-7Б  труба від водяного насосу </t>
  </si>
  <si>
    <t>54.02.045-11  трубка</t>
  </si>
  <si>
    <t>54.02.66сб  заливна горловина</t>
  </si>
  <si>
    <t>54.02.265А  козирьок горловини</t>
  </si>
  <si>
    <t>лист б=2 ГОСТ 19904-74 12Х18Н10Т ГОСТ 5582-75</t>
  </si>
  <si>
    <t>54.03.24сб-5  трубка від двигуна</t>
  </si>
  <si>
    <t>емаль ПФ-115  коричнева</t>
  </si>
  <si>
    <t>54.03.024-1  прокладка</t>
  </si>
  <si>
    <t>54.03.023-1  прокладка</t>
  </si>
  <si>
    <t>54.03.57сб-4  труба від МЗН-2</t>
  </si>
  <si>
    <t>54.03.239Б  труба від радіатора до баку</t>
  </si>
  <si>
    <t xml:space="preserve">труба 25х1 ГОСТ 8734-75 10 ГОСТ 8733-87 </t>
  </si>
  <si>
    <t>54.03.214-5  трубка</t>
  </si>
  <si>
    <t>54.03.59сб-А  стрічка в зборі</t>
  </si>
  <si>
    <t>емаль ПФ-115 світло-сіро-голуба</t>
  </si>
  <si>
    <t>54.03.217-А  стрічка</t>
  </si>
  <si>
    <t>54.03.60сб-А  труба від радіатора до баку</t>
  </si>
  <si>
    <t>54.03.227  труба від радіатора до баку</t>
  </si>
  <si>
    <t xml:space="preserve">труба 25х1 ГОСТ 8734-75 20 ГОСТ 8733-87 </t>
  </si>
  <si>
    <t>54.05.050-1  сітка фільтру</t>
  </si>
  <si>
    <t>сітка №028 ГОСТ 6613-53 Л80 ГОСТ 1947-56</t>
  </si>
  <si>
    <t>54.05.9сб-А  фільтр</t>
  </si>
  <si>
    <t>175.87.111  пружина</t>
  </si>
  <si>
    <t>лист б=0,3 У7АС ГОСТ 1435-74</t>
  </si>
  <si>
    <t>Василь дав написати калькуляцію і вписав у свою 28.09.2018</t>
  </si>
  <si>
    <t>54.06.18сб-А  денце в зборі</t>
  </si>
  <si>
    <t>54.06.070А  трубка</t>
  </si>
  <si>
    <t>54.25.056-А  кутник</t>
  </si>
  <si>
    <t>кутник 32х20х3 ГОСТ 8510-57 Ст3 ГОСТ 380-71</t>
  </si>
  <si>
    <t>54.26.154-5  труба для проводів</t>
  </si>
  <si>
    <t>54.26.222сб  кронштейн в зборі</t>
  </si>
  <si>
    <t>54.26.300  планка</t>
  </si>
  <si>
    <t>54.26.299сб  лента хомута в зборі</t>
  </si>
  <si>
    <t>54.26.101А  лента хомута</t>
  </si>
  <si>
    <t>54.26.305сб  кронштейн</t>
  </si>
  <si>
    <t>54.26.110-1  кронштейн</t>
  </si>
  <si>
    <t>54.30.685  кронштейн виключателя</t>
  </si>
  <si>
    <t>лист б=2 Ст3 ГОСТ 380-60</t>
  </si>
  <si>
    <t>54.30.64сб  хомут</t>
  </si>
  <si>
    <t>54.30.237  хомут</t>
  </si>
  <si>
    <t>лист б=3 Ст3 ГОСТ 380-60</t>
  </si>
  <si>
    <t>54.36.086-1  прокладка</t>
  </si>
  <si>
    <t>54.36.087-1  шайба</t>
  </si>
  <si>
    <t>54.36.152  планка</t>
  </si>
  <si>
    <t>54.36.322  планка</t>
  </si>
  <si>
    <t>лист б=0,7 СТК-1 ГОСТ 17715-72</t>
  </si>
  <si>
    <t>54.38.2сб-2  стрічка</t>
  </si>
  <si>
    <t>54.38.006-1  стрічка</t>
  </si>
  <si>
    <t>лист б=1,5 Сталь20 ГОСТ 16523-70</t>
  </si>
  <si>
    <t>54.06.021  лапка</t>
  </si>
  <si>
    <t>54.29.1543  труба для проводів</t>
  </si>
  <si>
    <t>54.29.738-1  упор торсіона</t>
  </si>
  <si>
    <t>155.26.4сб-1  кожух блоку</t>
  </si>
  <si>
    <t>54.26.032-3  кожух блоку</t>
  </si>
  <si>
    <t>54.26.033-2  кришка</t>
  </si>
  <si>
    <t>54.26.034  защіпка</t>
  </si>
  <si>
    <t>лист б=0,75 У7А ГОСТ 1435-54</t>
  </si>
  <si>
    <t>54.29.1022  планка</t>
  </si>
  <si>
    <t>3х6 заклепка ГОСТ 10299-68</t>
  </si>
  <si>
    <t>3х6 заклепка ГОСТ 10302-68</t>
  </si>
  <si>
    <t>ЛБТЗ.654А.50.030сб</t>
  </si>
  <si>
    <t>ЛБТЗ.655А.29.760сб</t>
  </si>
  <si>
    <t>ЛБТЗ.655А.29.770сб-1</t>
  </si>
  <si>
    <t>Основа</t>
  </si>
  <si>
    <t>лист б=5 ГОСТ 19903-74 20 ГОСТ 1577-70</t>
  </si>
  <si>
    <t>Пристосування для зшивки технічної документації</t>
  </si>
  <si>
    <t>Кришка + 3 Боковини</t>
  </si>
  <si>
    <t>цех №4</t>
  </si>
  <si>
    <t>Гайка М10 ГОСТ 5915-70</t>
  </si>
  <si>
    <t>Print 02.10.2018р</t>
  </si>
  <si>
    <t>Акти дефектування Т-64</t>
  </si>
  <si>
    <t>219-96сб-176  трубка</t>
  </si>
  <si>
    <t>432.31.049сб  Хомут</t>
  </si>
  <si>
    <t>432.32.048сб  Стрічка</t>
  </si>
  <si>
    <t>432.32.060сб-1  Труба від двигуна до баку</t>
  </si>
  <si>
    <t>432.32.061сб-1  Труба дренажна</t>
  </si>
  <si>
    <t>432.32.225-1  Прокладка</t>
  </si>
  <si>
    <t>432.32.268-1  Фланець</t>
  </si>
  <si>
    <t>432.32.386-2  Труба</t>
  </si>
  <si>
    <t>432.32.429  Щиток</t>
  </si>
  <si>
    <t>432.33.031сб-1  Стрічка</t>
  </si>
  <si>
    <t>432.33.042сб-4  Фільтр паливний грубої очистки</t>
  </si>
  <si>
    <t>432.33.051сб-1  Труба</t>
  </si>
  <si>
    <t>432.33.067сб-2  Труба</t>
  </si>
  <si>
    <t>432.33.069сб-1  Трубка</t>
  </si>
  <si>
    <t>432.33.072сб-2  Клапан відключення підігрівача</t>
  </si>
  <si>
    <t>432.33.112-1  Прокладка</t>
  </si>
  <si>
    <t>432.33.195-1  Пробка</t>
  </si>
  <si>
    <t>432.34.009сб  Патрубок</t>
  </si>
  <si>
    <t>432.34.010сб-4  Хомут</t>
  </si>
  <si>
    <t>432.35.022сб  Прокладка</t>
  </si>
  <si>
    <t>432.35.023сб-1  Прокладка</t>
  </si>
  <si>
    <t>432.37.001сб-2  Електроперемикач ТДА</t>
  </si>
  <si>
    <t>432.37.007сб  Трубка з гайкою</t>
  </si>
  <si>
    <t>432.37.011-3  Труба</t>
  </si>
  <si>
    <t>432.37.020-2  Труба</t>
  </si>
  <si>
    <t>432.39.014сб-4  Щиток</t>
  </si>
  <si>
    <t>432.60.009сб-2  трубка</t>
  </si>
  <si>
    <t>432.66.018сб-2  трубка</t>
  </si>
  <si>
    <t>432.66.075-1  Прокладка</t>
  </si>
  <si>
    <t>434.22.011сб  Уловлювач</t>
  </si>
  <si>
    <t>434.22.017сб  Лоток</t>
  </si>
  <si>
    <t>434.27.014сб  Привід тросовий</t>
  </si>
  <si>
    <t>434.31.015сб-1  Труба</t>
  </si>
  <si>
    <t>434.31.019сб  Шланг</t>
  </si>
  <si>
    <t>434.31.023сб  Шланг</t>
  </si>
  <si>
    <t>434.31.038сб  Трубка</t>
  </si>
  <si>
    <t>434.31.041сб  Трубка</t>
  </si>
  <si>
    <t>434.31.125  Фланец</t>
  </si>
  <si>
    <t>434.31.309сб-1  Шланг</t>
  </si>
  <si>
    <t>434.32.002сб  Клапан предохранительный</t>
  </si>
  <si>
    <t>434.32.009сб-1  Корпус заливной горловины</t>
  </si>
  <si>
    <t>434.32.029сб  Щиток передній</t>
  </si>
  <si>
    <t>434.32.030сб  Щиток задній</t>
  </si>
  <si>
    <t>434.32.031сб  Щиток передній</t>
  </si>
  <si>
    <t>434.32.032сб  Щиток задній</t>
  </si>
  <si>
    <t>434.32.135-1  Манжета</t>
  </si>
  <si>
    <t>434.33.032сб-4  Стрічка</t>
  </si>
  <si>
    <t>434.33.033сб-4  Стрічка</t>
  </si>
  <si>
    <t>434.33.088сб  Труба</t>
  </si>
  <si>
    <t>434.33.089сб  Труба</t>
  </si>
  <si>
    <t>434.33.106сб  Стрічка</t>
  </si>
  <si>
    <t>434.33.108сб  Стрічка</t>
  </si>
  <si>
    <t>434.33.110сб  Щиток</t>
  </si>
  <si>
    <t>434.33.111сб  Щиток</t>
  </si>
  <si>
    <t>434.33.112сб  Щиток</t>
  </si>
  <si>
    <t>434.33.113сб  Щиток</t>
  </si>
  <si>
    <t>434.33.253-1  Труба</t>
  </si>
  <si>
    <t>434.33.255-1  Труба</t>
  </si>
  <si>
    <t>434.33.258-2  Труба</t>
  </si>
  <si>
    <t>434.33.260-1  Трубка</t>
  </si>
  <si>
    <t>434.33.262-2  Труба</t>
  </si>
  <si>
    <t>434.33.276-1  Труба</t>
  </si>
  <si>
    <t>434.33.342-1  Труба</t>
  </si>
  <si>
    <t>434.33.379  Труба</t>
  </si>
  <si>
    <t>434.33.553  Щиток</t>
  </si>
  <si>
    <t>434.33.677-1  Труба</t>
  </si>
  <si>
    <t>434.39.011сб  Кільце</t>
  </si>
  <si>
    <t>434.60.003сб-3  трубка</t>
  </si>
  <si>
    <t>434.60.004сб-4  трубка</t>
  </si>
  <si>
    <t>434.60.005сб-2  трубка</t>
  </si>
  <si>
    <t>434.60.011сб-1  трубка з монометра</t>
  </si>
  <si>
    <t>434.60.013сб-2  трубка</t>
  </si>
  <si>
    <t>434.60.014сб-2  трубка</t>
  </si>
  <si>
    <t>434.60.053сб-4  трубка</t>
  </si>
  <si>
    <t>434.60.059сб  трубка</t>
  </si>
  <si>
    <t>434.60.105сб-1  трубка</t>
  </si>
  <si>
    <t>434.60.113сб  трубка</t>
  </si>
  <si>
    <t>434.60.114сб  трубка</t>
  </si>
  <si>
    <t>434.60.115сб  трубка</t>
  </si>
  <si>
    <t>434.60.117сб  трубка</t>
  </si>
  <si>
    <t>434.60.118сб  трубка</t>
  </si>
  <si>
    <t>434.66.008сб  Трубка</t>
  </si>
  <si>
    <t>434.66.016сб  Трубка</t>
  </si>
  <si>
    <t>434.67.001сб  Трубка</t>
  </si>
  <si>
    <t>434.67.003сб-3  Трубка</t>
  </si>
  <si>
    <t>434.67.004сб-2  Трубка</t>
  </si>
  <si>
    <t>434.67.007сб  Трубка</t>
  </si>
  <si>
    <t>434.67.008сб  Трубка</t>
  </si>
  <si>
    <t>434.70.194сб  корзина аккумулятора</t>
  </si>
  <si>
    <t>434.71.179  Кронштейн правий</t>
  </si>
  <si>
    <t>434.71.180  Кронштейн лівий</t>
  </si>
  <si>
    <t>434.82.015сб-3  Стелаж</t>
  </si>
  <si>
    <t>434.82.017сб-5  Лента</t>
  </si>
  <si>
    <t>434.82.137сб  Трубка</t>
  </si>
  <si>
    <t>434.83.028сб  Ящик</t>
  </si>
  <si>
    <t>434.83.033сб  Стрічка</t>
  </si>
  <si>
    <t>434.85.002сб-3  сопло</t>
  </si>
  <si>
    <t>434.85.003сб-3  Трубка</t>
  </si>
  <si>
    <t>434.85.008сб-4  Трубка с тройником</t>
  </si>
  <si>
    <t>434.85.010сб-2  Трубка (від клапана до  дозатора)</t>
  </si>
  <si>
    <t>434.85.012сб  Фільтр</t>
  </si>
  <si>
    <t>434.85.038  Прокладка</t>
  </si>
  <si>
    <t>434.86.250сб-3  Трубка</t>
  </si>
  <si>
    <t>434.91.109сб  Стрічка</t>
  </si>
  <si>
    <t>437.86.014сб  Щиток</t>
  </si>
  <si>
    <t>447.70.014-1  Наконечник</t>
  </si>
  <si>
    <t>447.77.060сб-2  Панель</t>
  </si>
  <si>
    <t>447.86.090сб-2  Трубка</t>
  </si>
  <si>
    <t>447А.31.030сб  Труба</t>
  </si>
  <si>
    <t>447А.71.002  Кронштейн</t>
  </si>
  <si>
    <t>447А.82.010сб  Трубка</t>
  </si>
  <si>
    <t>447А.82.020сб  Трубка</t>
  </si>
  <si>
    <t>447А.86.010сб-2  Трубка</t>
  </si>
  <si>
    <t>447А.86.020сб-2  Трубка</t>
  </si>
  <si>
    <t>447А.86.030сб-2  Трубка</t>
  </si>
  <si>
    <t>447А.86.040сб-1  Трубка</t>
  </si>
  <si>
    <t>447А.86.430сб-1  Трубка</t>
  </si>
  <si>
    <t>447А.86.660сб  Трубка</t>
  </si>
  <si>
    <t>447А.86.670сб  Трубка</t>
  </si>
  <si>
    <t>447А.86.690сб  Трубка</t>
  </si>
  <si>
    <t>447А.86.700сб  Трубка</t>
  </si>
  <si>
    <t>447А.86.710сб  Трубка</t>
  </si>
  <si>
    <t>447А.86.720сб  Трубка</t>
  </si>
  <si>
    <t>447А.86.730сб  Трубка</t>
  </si>
  <si>
    <t>447А.86.740сб-1  Трубка</t>
  </si>
  <si>
    <t>447А.86.750сб  Трубка</t>
  </si>
  <si>
    <t>447А.86.760сб  Трубка</t>
  </si>
  <si>
    <t>447А.86.770сб  Трубка</t>
  </si>
  <si>
    <t>447А.86.780сб  Трубка</t>
  </si>
  <si>
    <t>476.31.150сб  Клапан паровоздушный</t>
  </si>
  <si>
    <t>8.01.019 ГОСТ 11371-78  Шайба</t>
  </si>
  <si>
    <t>ОСТ3-408-70 СХ  стрічка хомута 3м</t>
  </si>
  <si>
    <t>Х01 24х9  Хомут</t>
  </si>
  <si>
    <t>307-12  Замок</t>
  </si>
  <si>
    <t>353-20-2  Шайба пластинчаста</t>
  </si>
  <si>
    <t>355-10  Кільце ущільнююче 24х30 МН 4152-62</t>
  </si>
  <si>
    <t>432.32.275  стріка</t>
  </si>
  <si>
    <t>лист б=1,5 ГОСТ 19904-75 10кп ГОСТ 16523-70</t>
  </si>
  <si>
    <t>432.32.175-1  труба</t>
  </si>
  <si>
    <t>труба 12х1 Сталь20 ГОСТ 21729-76</t>
  </si>
  <si>
    <t>432.32.146-1  труба</t>
  </si>
  <si>
    <t>труба 20х1 Сталь20 ГОСТ 19277-73</t>
  </si>
  <si>
    <t>лист б=2 пароніт ПМБ ГОСТ 481-80</t>
  </si>
  <si>
    <t>лист б=3,9 ГОСТ 19903-74 20 ГОСТ 16523-70</t>
  </si>
  <si>
    <t>труба 20х1,5 АМг6МКр ОСТ192096-83</t>
  </si>
  <si>
    <t>стрічка 08кп ВН-3-НО-0,3 ГОСТ 503-81</t>
  </si>
  <si>
    <t>болт М6-6hх45.66.019 ГОСТ 7805-70</t>
  </si>
  <si>
    <t>432.31.226  стрічка</t>
  </si>
  <si>
    <t>432.31.227  накладка</t>
  </si>
  <si>
    <t>432.33.251  стрічка</t>
  </si>
  <si>
    <t>432.33.315-1  труба</t>
  </si>
  <si>
    <t>труба 25х1 20 ГОСТ 21792-76</t>
  </si>
  <si>
    <t>432.33.424-2  трубка</t>
  </si>
  <si>
    <t>труба 8х1 20 ГОСТ 21729-76</t>
  </si>
  <si>
    <t>6.65Г.05 Шайба ГОСТ 6402-70</t>
  </si>
  <si>
    <t>В.М6-8hх12.58.С.019  Гвинт ГОСТ 1491-80</t>
  </si>
  <si>
    <t>432.33.073сб-2  корпус клапана</t>
  </si>
  <si>
    <t>432.33.387-1  патрубок</t>
  </si>
  <si>
    <t>432.33.389  кронштейн</t>
  </si>
  <si>
    <t>432.33.689  патрубок</t>
  </si>
  <si>
    <t>60.07.096  шайба</t>
  </si>
  <si>
    <t>432.33.112-2  Прокладка</t>
  </si>
  <si>
    <t>432.34.058  патрубок</t>
  </si>
  <si>
    <t>38х1,4 ГОСТ 8733-75 20 ГОСТ 8733-74</t>
  </si>
  <si>
    <t>432.34.026сб-1  хомут</t>
  </si>
  <si>
    <t>432.34.127  вушко</t>
  </si>
  <si>
    <t>432.34.130-1  стрічка хомута</t>
  </si>
  <si>
    <t>432.34.129-1  накладка</t>
  </si>
  <si>
    <t>432.35.139  прокладка</t>
  </si>
  <si>
    <t>432.35.140  оболонка</t>
  </si>
  <si>
    <t>432.35.141  оболонка</t>
  </si>
  <si>
    <t>лист б=3 картон азбестовий КАОН-1-3 ГОСТ 2850</t>
  </si>
  <si>
    <t>лист б=0,4 ДПРНМ 0,4М3 ГОСТ 495-77</t>
  </si>
  <si>
    <t>бляха біла ГЖР №36 ГОСТ 17718-72</t>
  </si>
  <si>
    <t>КД без СБ-1 є</t>
  </si>
  <si>
    <t>432.37.002сб-3  труба</t>
  </si>
  <si>
    <t>432.37.016-3  труба</t>
  </si>
  <si>
    <t>434.01.041сб-3  дашок</t>
  </si>
  <si>
    <t>432.01.262  прокладка</t>
  </si>
  <si>
    <t>432.01.263  прокладка</t>
  </si>
  <si>
    <t>432.01.265  прокладка</t>
  </si>
  <si>
    <t>432.01.266  прокладка</t>
  </si>
  <si>
    <t>432.01.264  прокладка</t>
  </si>
  <si>
    <t>ЛКД подати щоб порахували</t>
  </si>
  <si>
    <t>434.01.144  дашок правий</t>
  </si>
  <si>
    <t>лист б=2 ГОСТ 19904-74 10ка ГОСТ 16523-70</t>
  </si>
  <si>
    <t>434.01.228  кришка відсосу</t>
  </si>
  <si>
    <t>434.01.289  обечайка</t>
  </si>
  <si>
    <t>434.01.155  лист перегородки правий</t>
  </si>
  <si>
    <t>лист б=3 ГОСТ 19903-74  10кп ГОСТ 16523-70</t>
  </si>
  <si>
    <t>434.01.156  лист перегородки лівий</t>
  </si>
  <si>
    <t>432.01.160-1  планка</t>
  </si>
  <si>
    <t>447А.01.018  прокладка</t>
  </si>
  <si>
    <t>447А.01.019  прокладка</t>
  </si>
  <si>
    <t>447А.01.021  прокладка</t>
  </si>
  <si>
    <t>447А.01.022  прокладка</t>
  </si>
  <si>
    <t>434.01.293  прокладка</t>
  </si>
  <si>
    <t>Розпорядження №134-2018р Додаток №1</t>
  </si>
  <si>
    <t>Розпорядження №134-2018р Додаток №2</t>
  </si>
  <si>
    <t>434.02.502  обечайка</t>
  </si>
  <si>
    <t>353-20-2  шайба пластинчаста</t>
  </si>
  <si>
    <t>432.37.27  труба</t>
  </si>
  <si>
    <t>дріт ∅2 КО ГОСТ 792-67</t>
  </si>
  <si>
    <t>432.39.094-4    щиток</t>
  </si>
  <si>
    <t>лист б=0,8 ГОСТ 19904-74 08кп ГОСТ 16523-70</t>
  </si>
  <si>
    <t>432.39.095-4    прокладка</t>
  </si>
  <si>
    <t>тканина азбестова АТ-3Х ГОСТ 6102-73</t>
  </si>
  <si>
    <t>432.39.101-2  лапа</t>
  </si>
  <si>
    <t>432.60.036-2  трубка</t>
  </si>
  <si>
    <t>432.66.090-2  трубка</t>
  </si>
  <si>
    <t>6цех 0,6 пароніт</t>
  </si>
  <si>
    <t>припій ПОССу-30-2</t>
  </si>
  <si>
    <t>434.31.085  патрубок</t>
  </si>
  <si>
    <t xml:space="preserve">труба 25х2 ГОСТ 8734-75 20 ГОСТ 8733-87 </t>
  </si>
  <si>
    <t>434.31.102  рукав</t>
  </si>
  <si>
    <t>рукав 2Т25-50 ТУ005280-76</t>
  </si>
  <si>
    <t>434.31.024сб-1  труба</t>
  </si>
  <si>
    <t>434.31.025сб  ніпель</t>
  </si>
  <si>
    <t xml:space="preserve">труба 25х1,6 ГОСТ 8734-75 20 ГОСТ 8733-87 </t>
  </si>
  <si>
    <t>434.31.081  фланець</t>
  </si>
  <si>
    <t>434.31.086-2  кронштейн</t>
  </si>
  <si>
    <t>434.31.109  фалнець</t>
  </si>
  <si>
    <t>Print 05.10.2018</t>
  </si>
  <si>
    <t>437.29.005сб  трубка 28-2</t>
  </si>
  <si>
    <t>437.29.007  трубка</t>
  </si>
  <si>
    <t>437.29.006сб  трубка 27-3</t>
  </si>
  <si>
    <t>437.29.008  трубка</t>
  </si>
  <si>
    <t>447.29.048сб  трубка 29-1</t>
  </si>
  <si>
    <t>434.29.194-1  трубка</t>
  </si>
  <si>
    <t>447.29.051сб  трубка 7-К2</t>
  </si>
  <si>
    <t>434.29.052  трубка</t>
  </si>
  <si>
    <t>447.29.058сб  трубка 6-К1</t>
  </si>
  <si>
    <t>434.29.059  трубка</t>
  </si>
  <si>
    <t>434.29.182сб-1  трубка 13-30-8-33</t>
  </si>
  <si>
    <t>434.29.197-1  трубка (б.к.)</t>
  </si>
  <si>
    <t>434.29.198-1  трубка (б.к.)</t>
  </si>
  <si>
    <t>434.29.199-1  трубка (б.к.)</t>
  </si>
  <si>
    <t>434.29.341  трубка (б.к.)</t>
  </si>
  <si>
    <t>434.29.183сб-1  трубка 32-31-К10</t>
  </si>
  <si>
    <t>434.29.211  трубка (б.к.)</t>
  </si>
  <si>
    <t>434.29.212  трубка (б.к.)</t>
  </si>
  <si>
    <t>434.29.217сб-1  трубка 18-У3</t>
  </si>
  <si>
    <t>434.29.236-1  трубка</t>
  </si>
  <si>
    <t>434.29.229сб-3  трубка 10-14</t>
  </si>
  <si>
    <t>434.29.246-3  трубка</t>
  </si>
  <si>
    <t>434.29.230сб-2  трубка 20-32</t>
  </si>
  <si>
    <t>434.29.247-1  трубка</t>
  </si>
  <si>
    <t>труба 6х1 20 ГОСТ 21729-76</t>
  </si>
  <si>
    <t>Список дала Марія</t>
  </si>
  <si>
    <t xml:space="preserve">65.6Г.3А.958.00.00сб  трубопровід для стенду випробування </t>
  </si>
  <si>
    <t>клапанних пристроїв 98.6Т.3А.404.00.00сб</t>
  </si>
  <si>
    <t>рукав 5У16-70 ТУ 38-0051515-92</t>
  </si>
  <si>
    <t>масло Мт-16-П ГОСТ 6360-83</t>
  </si>
  <si>
    <t>інв. 23205</t>
  </si>
  <si>
    <t>∅8</t>
  </si>
  <si>
    <t>∅12</t>
  </si>
  <si>
    <t>сума</t>
  </si>
  <si>
    <t>∅14</t>
  </si>
  <si>
    <t>0,645</t>
  </si>
  <si>
    <t>3,73</t>
  </si>
  <si>
    <t>2,776</t>
  </si>
  <si>
    <t>10,25</t>
  </si>
  <si>
    <t>1,823</t>
  </si>
  <si>
    <t>5,68</t>
  </si>
  <si>
    <t>кран стріла (поміряно по шаблонах в цехну 08.10.18р)</t>
  </si>
  <si>
    <t>На машину</t>
  </si>
  <si>
    <t>На кран-стрілу</t>
  </si>
  <si>
    <t>СУМАРНО</t>
  </si>
  <si>
    <t>Труби на БТС-4 ЛБТЗ (гідросистема +кран)</t>
  </si>
  <si>
    <t>432.73.007сб-1</t>
  </si>
  <si>
    <t>Кришка</t>
  </si>
  <si>
    <t>434.32.155</t>
  </si>
  <si>
    <t>432.32.314-1</t>
  </si>
  <si>
    <t>Рукав</t>
  </si>
  <si>
    <t>447А.23.070сб</t>
  </si>
  <si>
    <t>432.37.004сб-1</t>
  </si>
  <si>
    <t>Корпус з патрубками</t>
  </si>
  <si>
    <t>432.37.005сб</t>
  </si>
  <si>
    <t>Пробка з патрубком</t>
  </si>
  <si>
    <t>432.37.006сб-1</t>
  </si>
  <si>
    <t>434.94.160сб-1</t>
  </si>
  <si>
    <t>Магазин для стрічок НСВ</t>
  </si>
  <si>
    <t>434.31.075-1</t>
  </si>
  <si>
    <t>Корпус</t>
  </si>
  <si>
    <t>434.31.127</t>
  </si>
  <si>
    <t>434.33.205</t>
  </si>
  <si>
    <t>434.33.343</t>
  </si>
  <si>
    <t>432.33.175-1</t>
  </si>
  <si>
    <t>432.33.383-1</t>
  </si>
  <si>
    <t>432.33.597</t>
  </si>
  <si>
    <t>447А.14.050сб</t>
  </si>
  <si>
    <t>Каркас нижній правий</t>
  </si>
  <si>
    <t>447А.14.060сб</t>
  </si>
  <si>
    <t>Каркас верхній правий</t>
  </si>
  <si>
    <t>447А.14.070сб</t>
  </si>
  <si>
    <t>Каркас верхній лівий</t>
  </si>
  <si>
    <t>447А.14.080сб</t>
  </si>
  <si>
    <t>Каркас нижній лівий</t>
  </si>
  <si>
    <t>432.32.078сб</t>
  </si>
  <si>
    <t>432.33.551</t>
  </si>
  <si>
    <t>447А.20.110сб</t>
  </si>
  <si>
    <t>434.31.096</t>
  </si>
  <si>
    <t>447А.31.004</t>
  </si>
  <si>
    <t>434.31.136-1</t>
  </si>
  <si>
    <t>432.31.244</t>
  </si>
  <si>
    <t>Муфта</t>
  </si>
  <si>
    <t>ОСТ3-409-70</t>
  </si>
  <si>
    <t>Накладка хомута 42</t>
  </si>
  <si>
    <t>447А.28.010сб-1</t>
  </si>
  <si>
    <t>447А.77.337</t>
  </si>
  <si>
    <t>Кожух</t>
  </si>
  <si>
    <t>434.31.153</t>
  </si>
  <si>
    <t>Трубка (б/к)</t>
  </si>
  <si>
    <t>447А.77.338</t>
  </si>
  <si>
    <t>434.31.310сб-1</t>
  </si>
  <si>
    <t>432.31.356сб-1</t>
  </si>
  <si>
    <t>Ніпель</t>
  </si>
  <si>
    <t>432.83.080сб</t>
  </si>
  <si>
    <t>Стяжки з тросом</t>
  </si>
  <si>
    <t>432.33.415-1</t>
  </si>
  <si>
    <t>60.42.264</t>
  </si>
  <si>
    <t>447А.65.040сб</t>
  </si>
  <si>
    <t>Подушка сидіння</t>
  </si>
  <si>
    <t>447А.65.130сб</t>
  </si>
  <si>
    <t>Дужка</t>
  </si>
  <si>
    <t>447А.65.150сб</t>
  </si>
  <si>
    <t>Спинка сидіння</t>
  </si>
  <si>
    <t>434.87.032сб</t>
  </si>
  <si>
    <t>432.33.142-1</t>
  </si>
  <si>
    <t>432.32.269-1</t>
  </si>
  <si>
    <t>432.32.052сб</t>
  </si>
  <si>
    <t>Сапун</t>
  </si>
  <si>
    <t>432.85.016сб</t>
  </si>
  <si>
    <t>Print 01…05.10.2018р</t>
  </si>
  <si>
    <t>175.45.003сб-1  кожух</t>
  </si>
  <si>
    <t>дріт СВАК-5 D=1,2</t>
  </si>
  <si>
    <t>175.45.007сб-1  корпус</t>
  </si>
  <si>
    <t>Print 16.10.2018</t>
  </si>
  <si>
    <t>Розпорядження №159-2018</t>
  </si>
  <si>
    <t>432.31.244  Муфта</t>
  </si>
  <si>
    <t>432.31.356сб-1  Ніпель</t>
  </si>
  <si>
    <t>432.32.052сб  Сапун</t>
  </si>
  <si>
    <t>432.32.269-1  Манжета</t>
  </si>
  <si>
    <t>432.32.314-1  Рукав</t>
  </si>
  <si>
    <t>432.33.142-1  Прокладка</t>
  </si>
  <si>
    <t>432.33.175-1  Прокладка</t>
  </si>
  <si>
    <t>432.33.383-1  Прокладка</t>
  </si>
  <si>
    <t>432.33.415-1  Скоба</t>
  </si>
  <si>
    <t>432.33.551  Кільце</t>
  </si>
  <si>
    <t>432.33.597  Прокладка</t>
  </si>
  <si>
    <t>432.37.004сб-1  Корпус з патрубками</t>
  </si>
  <si>
    <t>432.37.005сб  Пробка з патрубком</t>
  </si>
  <si>
    <t>432.37.006сб-1  Кронштейн</t>
  </si>
  <si>
    <t>432.73.007сб-1  Кришка</t>
  </si>
  <si>
    <t>432.83.080сб  Стяжки з тросом</t>
  </si>
  <si>
    <t>432.85.016сб  Фланець</t>
  </si>
  <si>
    <t>434.31.136-1  Трубка</t>
  </si>
  <si>
    <t>434.31.153  Трубка (б/к)</t>
  </si>
  <si>
    <t>434.31.310сб-1  Труба</t>
  </si>
  <si>
    <t>434.32.155  Манжета</t>
  </si>
  <si>
    <t>434.33.205  Прокладка</t>
  </si>
  <si>
    <t>434.33.343  Прокладка</t>
  </si>
  <si>
    <t>434.87.032сб  Трос</t>
  </si>
  <si>
    <t>447А.14.050сб  Каркас нижній правий</t>
  </si>
  <si>
    <t>447А.14.060сб  Каркас верхній правий</t>
  </si>
  <si>
    <t>447А.14.070сб  Каркас верхній лівий</t>
  </si>
  <si>
    <t>447А.14.080сб  Каркас нижній лівий</t>
  </si>
  <si>
    <t>447А.20.110сб  Трос</t>
  </si>
  <si>
    <t>447А.23.070сб  Плита</t>
  </si>
  <si>
    <t>447А.28.010сб-1  Лоток</t>
  </si>
  <si>
    <t>447А.31.004  Труба</t>
  </si>
  <si>
    <t>447А.65.040сб  Подушка сидіння</t>
  </si>
  <si>
    <t>447А.65.130сб  Дужка</t>
  </si>
  <si>
    <t>447А.65.150сб  Спинка сидіння</t>
  </si>
  <si>
    <t>447А.77.337  Кожух</t>
  </si>
  <si>
    <t>447А.77.338  Хомут</t>
  </si>
  <si>
    <t>ОСТ3-409-70  Накладка хомута 42</t>
  </si>
  <si>
    <t>КД подивитися в архіві бо погано видно</t>
  </si>
  <si>
    <t>сітка напівтомпакова №1 ГОСТ 6613-73</t>
  </si>
  <si>
    <t>дріт ∅1 КО ГОСТ 3282-74</t>
  </si>
  <si>
    <t>432.32.053сб  гайка</t>
  </si>
  <si>
    <t>432.32.285  кільце</t>
  </si>
  <si>
    <t>432.32.054сб  стержень</t>
  </si>
  <si>
    <t>432.32.290-1  щиток</t>
  </si>
  <si>
    <t>432.32.283  стержень</t>
  </si>
  <si>
    <t>432.32.287-1  трубка</t>
  </si>
  <si>
    <t>432.32.288  ковпачок</t>
  </si>
  <si>
    <t>полотно 1-32-1,0 ГОСТ 214-83 10кп ГОСТ 16523-70</t>
  </si>
  <si>
    <t>6цех</t>
  </si>
  <si>
    <t>рукав 40У30-13 Ту 005-6016-18</t>
  </si>
  <si>
    <t>лист б=3 АМг6М ГОСТ 21631-76</t>
  </si>
  <si>
    <t>КД глянути в архіві</t>
  </si>
  <si>
    <t>солвьент</t>
  </si>
  <si>
    <t>432.37.018-1  патрубок</t>
  </si>
  <si>
    <t>дріт ОЧ ∅0,5 ГОСТ 3282-74</t>
  </si>
  <si>
    <t>лист б=1 АМг6Б ГОСТ 21631-76</t>
  </si>
  <si>
    <t>шплінт 3,2х25.016 ГОСТ 397-79</t>
  </si>
  <si>
    <t>447А.23.080сб  Плита</t>
  </si>
  <si>
    <t>447А.23.061  плита</t>
  </si>
  <si>
    <t>447А.23.062  плита</t>
  </si>
  <si>
    <t>447А.23.090сб  Хомут</t>
  </si>
  <si>
    <t>447А.23.100сб  Петля</t>
  </si>
  <si>
    <t>434.27.100  планка</t>
  </si>
  <si>
    <t>60.42.264  хомут</t>
  </si>
  <si>
    <t>лист б=0,8 ГОСТ 19904-74 10кп ГОСТ 16523-70</t>
  </si>
  <si>
    <t>канат 1,8С ГОСТ 2171-80</t>
  </si>
  <si>
    <t>припій ПОССу30-2 ГОСТ 21930-76</t>
  </si>
  <si>
    <t>Print 22.10.2018</t>
  </si>
  <si>
    <t>432.37.017-2  кронштейн</t>
  </si>
  <si>
    <t>432.37.022  лист</t>
  </si>
  <si>
    <t>65.ГПМ-54.61.109  ребро</t>
  </si>
  <si>
    <t>65.ГПМ-54.61.111  скоба</t>
  </si>
  <si>
    <t>54.08.084  кришка втулок приводу</t>
  </si>
  <si>
    <t>961.074  шайба</t>
  </si>
  <si>
    <t>65.ГПМ-54.61.019  кільце стопорне</t>
  </si>
  <si>
    <t>лист б=2 65Г ГОСТ 14959-79</t>
  </si>
  <si>
    <t>лист б=3,5 Сталь15 ГОСТ 1577-70</t>
  </si>
  <si>
    <t>лист б=4 ГОСТ 19903-74 Ст3 ГОСТ 1577-70</t>
  </si>
  <si>
    <t>Print 22.10.2018р</t>
  </si>
  <si>
    <t>434.31.127  прокладка</t>
  </si>
  <si>
    <t>лист б=2 Пароніт ПМБ ГОСТ 481-80</t>
  </si>
  <si>
    <t>434.22.063  планка</t>
  </si>
  <si>
    <t>447А.28.010сб  лоток</t>
  </si>
  <si>
    <t>емаль грунтовка ЄФ-086</t>
  </si>
  <si>
    <t>розчинник РЄ-11В</t>
  </si>
  <si>
    <r>
      <t xml:space="preserve">грунт наносити в </t>
    </r>
    <r>
      <rPr>
        <b/>
        <sz val="11"/>
        <color theme="1"/>
        <rFont val="Calibri"/>
        <family val="2"/>
        <charset val="204"/>
        <scheme val="minor"/>
      </rPr>
      <t xml:space="preserve">ДВА </t>
    </r>
    <r>
      <rPr>
        <sz val="11"/>
        <color theme="1"/>
        <rFont val="Calibri"/>
        <family val="2"/>
        <charset val="204"/>
        <scheme val="minor"/>
      </rPr>
      <t>шари</t>
    </r>
  </si>
  <si>
    <t>65.ГПМ-54.29.261  планка</t>
  </si>
  <si>
    <t>65.ГПМ-54.29.150.01  щиток</t>
  </si>
  <si>
    <t>65.ГПМ-54.29.260сб  планка</t>
  </si>
  <si>
    <t>65.ГПМ-54.29.708-03  скоба</t>
  </si>
  <si>
    <t>лист б=4 ГОСТ 19904-74 Ст3пс</t>
  </si>
  <si>
    <t>лист б=3 ГОСТ 19903-74 Ст3 ГОСТ 16523-70</t>
  </si>
  <si>
    <t>4/2</t>
  </si>
  <si>
    <t>Бак</t>
  </si>
  <si>
    <t>Шайба стопорна</t>
  </si>
  <si>
    <t>Тяга</t>
  </si>
  <si>
    <t>65.ГПМ-54.29.210сб</t>
  </si>
  <si>
    <t>Лист перегородки</t>
  </si>
  <si>
    <t>65.ГПМ-54.29.290сб</t>
  </si>
  <si>
    <t>Лист правий</t>
  </si>
  <si>
    <t>65.ГПМ-54.29.291</t>
  </si>
  <si>
    <t>65.ГПМ-54.29.320сб</t>
  </si>
  <si>
    <t>Лист лівий</t>
  </si>
  <si>
    <t>65.ГПМ-54.29.321</t>
  </si>
  <si>
    <t>65.ГПМ-54.29.350сб</t>
  </si>
  <si>
    <t>65.ГПМ-54.29.351</t>
  </si>
  <si>
    <t>65.ГПМ-54.29.352</t>
  </si>
  <si>
    <t>65.ГПМ-54.29.353</t>
  </si>
  <si>
    <t>65.ГПМ-54.29.430сб</t>
  </si>
  <si>
    <t>Застібка</t>
  </si>
  <si>
    <t>65.ГПМ-54.29.570сб</t>
  </si>
  <si>
    <t>Підлога передня</t>
  </si>
  <si>
    <t>65.ГПМ-54.29.572</t>
  </si>
  <si>
    <t>Стінка</t>
  </si>
  <si>
    <t>Боковина</t>
  </si>
  <si>
    <t>Ребро</t>
  </si>
  <si>
    <t>65.ГПМ-54.61.054</t>
  </si>
  <si>
    <t>65.ГПМ-54.61.065</t>
  </si>
  <si>
    <t>65.ГПМ-54.61.020сб</t>
  </si>
  <si>
    <t>Кожух фрикціона</t>
  </si>
  <si>
    <t>65.ГПМ-54.61.021</t>
  </si>
  <si>
    <t>Стінка передня</t>
  </si>
  <si>
    <t>65.ГПМ-54.61.022</t>
  </si>
  <si>
    <t>Дашок</t>
  </si>
  <si>
    <t>65.ГПМ-54.61.023</t>
  </si>
  <si>
    <t>Лапка передня</t>
  </si>
  <si>
    <t>65.ГПМ-54.61.024</t>
  </si>
  <si>
    <t>Стінка задня</t>
  </si>
  <si>
    <t>65.ГПМ-54.61.025</t>
  </si>
  <si>
    <t>Лапка задня</t>
  </si>
  <si>
    <t>65.ГПМ-54.61.030сб</t>
  </si>
  <si>
    <t>Кожух кардана</t>
  </si>
  <si>
    <t>65.ГПМ-54.61.031</t>
  </si>
  <si>
    <t>Жолоб (3 ГОСТ 1903-74)/(Ст 3 ГОСТ 16523-74)</t>
  </si>
  <si>
    <t>65.ГПМ-54.61.032</t>
  </si>
  <si>
    <t>65.ГПМ-54.61.005</t>
  </si>
  <si>
    <t>65.ГПМ-54. 66.115</t>
  </si>
  <si>
    <t>65.ГПМ-54. 66.023</t>
  </si>
  <si>
    <t>Фіксатор</t>
  </si>
  <si>
    <t>65.ГПМ-54.66.173</t>
  </si>
  <si>
    <t>65.ГПМ-54.66.051</t>
  </si>
  <si>
    <t>65.ГПМ-54. 66.061</t>
  </si>
  <si>
    <t>65.ГПМ-54. 66.071</t>
  </si>
  <si>
    <t>65.ГПМ-54. 66.082</t>
  </si>
  <si>
    <t xml:space="preserve">Тяга </t>
  </si>
  <si>
    <t>65.ГПМ-54. 66.091</t>
  </si>
  <si>
    <t>65.ГПМ-54. 66.101</t>
  </si>
  <si>
    <t>Каркас</t>
  </si>
  <si>
    <t>Косинка</t>
  </si>
  <si>
    <t>Циліндр</t>
  </si>
  <si>
    <t>65.ГПМ-54.79.912</t>
  </si>
  <si>
    <t>65.ГПМ-54.79.922</t>
  </si>
  <si>
    <t>65.ГПМ-54.79.001</t>
  </si>
  <si>
    <t>Труба (20х1 ГОСТ 8734-75)/(В20 ГОСТ 8733-87)</t>
  </si>
  <si>
    <t>65.ГПМ-54.84.020сб</t>
  </si>
  <si>
    <t>65.ГПМ-54.84.022</t>
  </si>
  <si>
    <t>Трубка(8х1 ГОСТ 8734-70)/(В20 ГОСТ 8733-74)</t>
  </si>
  <si>
    <t>65.ГПМ-54.84.030сб</t>
  </si>
  <si>
    <t>65.ГПМ-54.84.032</t>
  </si>
  <si>
    <t>65.ГПМ-54.85.10сб</t>
  </si>
  <si>
    <t>65.ГПМ-54.85.10.10сб</t>
  </si>
  <si>
    <t>Корпус баку</t>
  </si>
  <si>
    <t>65.ГПМ-54.85.10.10.10сб</t>
  </si>
  <si>
    <t>Гніздо люку</t>
  </si>
  <si>
    <t>65.ГПМ-54.85.10.10.10.01</t>
  </si>
  <si>
    <t>Кутик</t>
  </si>
  <si>
    <t>65.ГПМ-54.85.10.10.10.02</t>
  </si>
  <si>
    <t>65.ГПМ-54.85.10.10.03</t>
  </si>
  <si>
    <t>65.ГПМ-54.85.10.10.04</t>
  </si>
  <si>
    <t>Короб</t>
  </si>
  <si>
    <t>65.ГПМ-54.85.10.10.05</t>
  </si>
  <si>
    <t>Перегородка</t>
  </si>
  <si>
    <t>65.ГПМ-54.85.10.10.06</t>
  </si>
  <si>
    <t>65.ГПМ-54.85.10.10.07</t>
  </si>
  <si>
    <t>65.ГПМ-54.85.10.10.12</t>
  </si>
  <si>
    <t>65.ГПМ-54.85.10.14.13</t>
  </si>
  <si>
    <t>65.ГПМ-54.85.10.20сб</t>
  </si>
  <si>
    <t>Люк баку</t>
  </si>
  <si>
    <t>65.ГПМ-54.85.10.20.01</t>
  </si>
  <si>
    <t>4/ЛКД/4</t>
  </si>
  <si>
    <t>65.ГПМ-54.85.10.110сб</t>
  </si>
  <si>
    <t>Кришка отвору Ø88,5</t>
  </si>
  <si>
    <t>65.ГПМ-54.85.10.120сб</t>
  </si>
  <si>
    <t>Кришка отвору Ø51</t>
  </si>
  <si>
    <t>65.ГПМ-54.85.10.130сб</t>
  </si>
  <si>
    <t>Корок 1/2"</t>
  </si>
  <si>
    <t>65.ГПМ-54.85.10.140сб</t>
  </si>
  <si>
    <t>Корок 1"</t>
  </si>
  <si>
    <t>65.ГПМ-54.85.10.150сб</t>
  </si>
  <si>
    <t>Заглушка отвору Ø10,5</t>
  </si>
  <si>
    <t>65.ГПМ-54.85.130.01</t>
  </si>
  <si>
    <t xml:space="preserve">Труба R18х1,5 </t>
  </si>
  <si>
    <t>65.ГПМ-54.85.140.01</t>
  </si>
  <si>
    <t>65.ГПМ-54.85.150.01</t>
  </si>
  <si>
    <t>65.ГПМ-54.85.160.01</t>
  </si>
  <si>
    <t>65.ГПМ-54.85.170.01</t>
  </si>
  <si>
    <t>65.ГПМ-54.85.180.01</t>
  </si>
  <si>
    <t>65.ГПМ-54.85.210.01</t>
  </si>
  <si>
    <t>65.ГПМ-54.85.220.01</t>
  </si>
  <si>
    <t>65.ГПМ-54.85.250.01</t>
  </si>
  <si>
    <t xml:space="preserve">Труба R12х1,5 </t>
  </si>
  <si>
    <t>65.ГПМ-54.85.260.01</t>
  </si>
  <si>
    <t>65.ГПМ-54.85.270.01</t>
  </si>
  <si>
    <t>65.ГПМ-54.85.280.01</t>
  </si>
  <si>
    <t>65.ГПМ-54.85.290.01</t>
  </si>
  <si>
    <t>65.ГПМ-54.85.310.01</t>
  </si>
  <si>
    <t>65.ГПМ-54.85.320.01</t>
  </si>
  <si>
    <t>65.ГПМ-54.85.330.01</t>
  </si>
  <si>
    <t>65.ГПМ-54.85.340.01</t>
  </si>
  <si>
    <t>65.ГПМ-54.85.350.01</t>
  </si>
  <si>
    <t>65.ГПМ-54.85.360.01</t>
  </si>
  <si>
    <t>65.ГПМ-54.85.370.01</t>
  </si>
  <si>
    <t>65.ГПМ-54.85.380.01</t>
  </si>
  <si>
    <t>65.ГПМ-54.85.410.01</t>
  </si>
  <si>
    <t xml:space="preserve">Труба R08х1 </t>
  </si>
  <si>
    <t>65.ГПМ-54.85.420.01</t>
  </si>
  <si>
    <t>65.ГПМ-54.85.430.01</t>
  </si>
  <si>
    <t>65.ГПМ-54.85.440.01</t>
  </si>
  <si>
    <t>65.ГПМ-54.85.450.01</t>
  </si>
  <si>
    <t>65.ГПМ-54.85.460.01</t>
  </si>
  <si>
    <t>65.ГПМ-54.85.470.01</t>
  </si>
  <si>
    <t>65.ГПМ-54.85.480.01</t>
  </si>
  <si>
    <t>65.ГПМ-54.85.490.01</t>
  </si>
  <si>
    <t>65.ГПМ-54.85.510.01</t>
  </si>
  <si>
    <t>65.ГПМ-54.85.520.01</t>
  </si>
  <si>
    <t>65.ГПМ-54.85.530.01</t>
  </si>
  <si>
    <t>65.ГПМ-54.85.550.01</t>
  </si>
  <si>
    <t xml:space="preserve">Труба R15х1,5 </t>
  </si>
  <si>
    <t>65.ГПМ-54.85.560.01</t>
  </si>
  <si>
    <t>65.ГПМ-54.85.570.01</t>
  </si>
  <si>
    <t>65.ГПМ-54.85.580.01</t>
  </si>
  <si>
    <t>65.ГПМ-54.85.590.01</t>
  </si>
  <si>
    <t>65.ГПМ-54.85.610.01</t>
  </si>
  <si>
    <t>65.ГПМ-54.85.620.01</t>
  </si>
  <si>
    <t>65.ГПМ-54.85.630.01</t>
  </si>
  <si>
    <t>65.ГПМ-54.85.640.01</t>
  </si>
  <si>
    <t>65.ГПМ-54.85.650.01</t>
  </si>
  <si>
    <t>65.ГПМ-54.85.660.01</t>
  </si>
  <si>
    <t>65.ГПМ-54.85.670.01</t>
  </si>
  <si>
    <t>Труба R15х1,5</t>
  </si>
  <si>
    <t>65.ГПМ-54.85.1000сб</t>
  </si>
  <si>
    <t>Гідросистема бульдозера</t>
  </si>
  <si>
    <t>65.ГПМ-54.85.1010сб</t>
  </si>
  <si>
    <t>Трубка 10</t>
  </si>
  <si>
    <t>65.ГПМ-54.85.1020сб</t>
  </si>
  <si>
    <t>65.ГПМ-54.85.1030сб</t>
  </si>
  <si>
    <t>Трубка 15</t>
  </si>
  <si>
    <t>65.ГПМ-54.85.1030</t>
  </si>
  <si>
    <t>65.ГПМ-54.85.1040сб</t>
  </si>
  <si>
    <t>65.ГПМ-54.85.1050сб</t>
  </si>
  <si>
    <t>65.ГПМ-54.85.1060сб</t>
  </si>
  <si>
    <t>65.ГПМ-54.85.1070сб</t>
  </si>
  <si>
    <t>65.ГПМ-54.85.1080сб</t>
  </si>
  <si>
    <t>65.ГПМ-54.85.1090сб</t>
  </si>
  <si>
    <t>65.ГПМ-54.85.1100сб</t>
  </si>
  <si>
    <t>65.ГПМ-54.85.1120сб</t>
  </si>
  <si>
    <t>65.ГПМ-54.85.1130сб</t>
  </si>
  <si>
    <t>65.ГПМ-54.85.1140сб</t>
  </si>
  <si>
    <t>Трубка 16</t>
  </si>
  <si>
    <t>65.ГПМ-54.85.1150сб</t>
  </si>
  <si>
    <t>65.ГПМ-54.85.1013</t>
  </si>
  <si>
    <t>65.ГПМ-54.85.1032</t>
  </si>
  <si>
    <t>65.ГПМ-54.85.1170сб</t>
  </si>
  <si>
    <t>65.ГПМ-54.85.1180сб</t>
  </si>
  <si>
    <t>65.ГПМ-54.85.1058</t>
  </si>
  <si>
    <t>65.ГПМ-54.85.1200сб</t>
  </si>
  <si>
    <t>65.ГПМ-54.85.1210сб</t>
  </si>
  <si>
    <t>65.ГПМ-54.85.1230сб</t>
  </si>
  <si>
    <t>65.ГПМ-54.85.1240сб</t>
  </si>
  <si>
    <t>65.ГПМ-54.85.1250сб</t>
  </si>
  <si>
    <t>65.ГПМ-54.85.1260сб</t>
  </si>
  <si>
    <t>65.ГПМ-54.85.1270сб</t>
  </si>
  <si>
    <t>Трубка 6</t>
  </si>
  <si>
    <t>65.ГПМ-54.85.1280сб</t>
  </si>
  <si>
    <t>65.ГПМ-54.85.1290сб</t>
  </si>
  <si>
    <t>65.ГПМ-54.85.1310сб</t>
  </si>
  <si>
    <t>65.ГПМ-54.85.1320сб</t>
  </si>
  <si>
    <t>65.ГПМ-54.85.1330сб</t>
  </si>
  <si>
    <t>65.ГПМ-54.85.1350сб</t>
  </si>
  <si>
    <t>65.ГПМ-54.85.1390сб</t>
  </si>
  <si>
    <t>65.ГПМ-54.85.1400сб</t>
  </si>
  <si>
    <t>65.ГПМ-54.85.1410сб</t>
  </si>
  <si>
    <t>Стійка 1</t>
  </si>
  <si>
    <t>65.ГПМ-54.85.1033</t>
  </si>
  <si>
    <t>Стійка 2</t>
  </si>
  <si>
    <t>65.ГПМ-54.85.1034</t>
  </si>
  <si>
    <t>Стійка 3</t>
  </si>
  <si>
    <t>65.ГПМ-54.85.1035</t>
  </si>
  <si>
    <t>Кутик 1</t>
  </si>
  <si>
    <t>65.ГПМ-54.85.1036</t>
  </si>
  <si>
    <t>Кутик 2</t>
  </si>
  <si>
    <t>65.ГПМ-54.85.1037</t>
  </si>
  <si>
    <t>Кронштейн 1</t>
  </si>
  <si>
    <t>65.ГПМ-54.85.1038</t>
  </si>
  <si>
    <t>Кронштейн 2</t>
  </si>
  <si>
    <t>65.ГПМ-54.85.1039</t>
  </si>
  <si>
    <t>Планка 1</t>
  </si>
  <si>
    <t>65.ГПМ-54.85.1041</t>
  </si>
  <si>
    <t>Планка 2</t>
  </si>
  <si>
    <t>65.ГПМ-54.85.1043</t>
  </si>
  <si>
    <t>Кутик 3</t>
  </si>
  <si>
    <t>65.ГПМ-54.85.1044</t>
  </si>
  <si>
    <t>Кутик 4</t>
  </si>
  <si>
    <t>65.ГПМ-54.85.1004</t>
  </si>
  <si>
    <t>65.ГПМ-54.85.13</t>
  </si>
  <si>
    <t>Прокладка конічна</t>
  </si>
  <si>
    <t>65.ГПМ-54.93.160сб</t>
  </si>
  <si>
    <t>Хомут малий</t>
  </si>
  <si>
    <t>65.ГПМ-54.93.161</t>
  </si>
  <si>
    <t>Смуга</t>
  </si>
  <si>
    <t>65.ГПМ-54.93.162</t>
  </si>
  <si>
    <t>65.ГПМ-54.93.280сб</t>
  </si>
  <si>
    <t>Хомут великий лівий</t>
  </si>
  <si>
    <t>65.ГПМ-54.93.281</t>
  </si>
  <si>
    <t>65.ГПМ-54.93.282</t>
  </si>
  <si>
    <t>65.ГПМ-54.93.290сб</t>
  </si>
  <si>
    <t>Хомут великий правий</t>
  </si>
  <si>
    <t>65.ГПМ-54.93.361</t>
  </si>
  <si>
    <t>Ребро 4х19х58</t>
  </si>
  <si>
    <t>65.ГПМ-54.93.327</t>
  </si>
  <si>
    <t>Кліпса</t>
  </si>
  <si>
    <t>65.ГПМ-54.93.371</t>
  </si>
  <si>
    <t>Планка передня</t>
  </si>
  <si>
    <t>65.ГПМ-54.93.373</t>
  </si>
  <si>
    <t>65.ГПМ-54.93.379</t>
  </si>
  <si>
    <t>65.ГПМ-54.93.381</t>
  </si>
  <si>
    <t xml:space="preserve">Планка задня </t>
  </si>
  <si>
    <t>65.ГПМ-54.93.470сб</t>
  </si>
  <si>
    <t>Кожух внутрішній лівий гідроциліндру піднімання</t>
  </si>
  <si>
    <t>65.ГПМ-54.93.471</t>
  </si>
  <si>
    <t>65.ГПМ-54.93.472</t>
  </si>
  <si>
    <t>65.ГПМ-54.93.477</t>
  </si>
  <si>
    <t>65.ГПМ-54.93.478</t>
  </si>
  <si>
    <t>Планка гнута</t>
  </si>
  <si>
    <t>65.ГПМ-54.93.480сб</t>
  </si>
  <si>
    <t>Кожух внутрішній правий гідроциліндру піднімання</t>
  </si>
  <si>
    <t>65.ГПМ-54.93.481</t>
  </si>
  <si>
    <t>65.ГПМ-54.93.510сб</t>
  </si>
  <si>
    <t>Кожух внутрішній лівий гідроциліндру повороту</t>
  </si>
  <si>
    <t>65.ГПМ-54.93.511</t>
  </si>
  <si>
    <t>65.ГПМ-54.93.520сб</t>
  </si>
  <si>
    <t>Кожух внутрішній правий гідроциліндру повороту</t>
  </si>
  <si>
    <t>65.ГПМ-54.93.521</t>
  </si>
  <si>
    <t>65.ГПМ-54.93.530сб</t>
  </si>
  <si>
    <t>Кожух зовнішній лівий гідроциліндру повороту</t>
  </si>
  <si>
    <t>65.ГПМ-54.93.531</t>
  </si>
  <si>
    <t>65.ГПМ-54.93.533</t>
  </si>
  <si>
    <t>65.ГПМ-54.93.540сб</t>
  </si>
  <si>
    <t>Кожух зовнішній правий гідроциліндру повороту</t>
  </si>
  <si>
    <t>65.ГПМ-54.93.541</t>
  </si>
  <si>
    <t>65.ГПМ-54.93.490сб</t>
  </si>
  <si>
    <t>Кожух зовнішній лівий гідроциліндру піднімання</t>
  </si>
  <si>
    <t>65.ГПМ-54.93.500сб</t>
  </si>
  <si>
    <t>Кожух зовнішній правий гідроциліндру піднімання</t>
  </si>
  <si>
    <t>65.ГПМ-54.93.017</t>
  </si>
  <si>
    <t>65.ГПМ-54.93.057</t>
  </si>
  <si>
    <t>7</t>
  </si>
  <si>
    <t>4/3</t>
  </si>
  <si>
    <t>4/9</t>
  </si>
  <si>
    <t>4/8</t>
  </si>
  <si>
    <t>65.ГПМ-54.29.290сб  Лист правий</t>
  </si>
  <si>
    <t>65.ГПМ-54.29.291  Лист правий</t>
  </si>
  <si>
    <t>65.ГПМ-54.29.320сб  Лист лівий</t>
  </si>
  <si>
    <t>65.ГПМ-54.29.321  Лист лівий</t>
  </si>
  <si>
    <t>65.ГПМ-54.29.351  Кутник</t>
  </si>
  <si>
    <t>65.ГПМ-54.29.352  Накладка</t>
  </si>
  <si>
    <t>65.ГПМ-54.29.353  Накладка</t>
  </si>
  <si>
    <t>65.ГПМ-54.29.572  Плита</t>
  </si>
  <si>
    <t>65.ГПМ-54.85.10.10.03  Стінка</t>
  </si>
  <si>
    <t>65.ГПМ-54.85.10.10.04  Короб</t>
  </si>
  <si>
    <t>65.ГПМ-54.85.10.10.05  Перегородка</t>
  </si>
  <si>
    <t>65.ГПМ-54.85.10.10.06  Косинка</t>
  </si>
  <si>
    <t>65.ГПМ-54.85.10.10.07  Ребро</t>
  </si>
  <si>
    <t>65.ГПМ-54.85.10.10.10.01  Кутик</t>
  </si>
  <si>
    <t>65.ГПМ-54.85.10.10.10.02  Кутик</t>
  </si>
  <si>
    <t>65.ГПМ-54.85.10.10.10сб  Гніздо люку</t>
  </si>
  <si>
    <t>65.ГПМ-54.85.10.10.12  Стінка</t>
  </si>
  <si>
    <t>65.ГПМ-54.85.10.10сб  Корпус баку</t>
  </si>
  <si>
    <t>65.ГПМ-54.85.10.110сб  Кришка отвору Ø88,5</t>
  </si>
  <si>
    <t>65.ГПМ-54.85.10.120сб  Кришка отвору Ø51</t>
  </si>
  <si>
    <t>65.ГПМ-54.85.10.130сб  Корок 1/2"</t>
  </si>
  <si>
    <t>65.ГПМ-54.85.10.14.13  Стінка</t>
  </si>
  <si>
    <t>65.ГПМ-54.85.10.140сб  Корок 1"</t>
  </si>
  <si>
    <t>65.ГПМ-54.85.10.150сб  Заглушка отвору Ø10,5</t>
  </si>
  <si>
    <t>65.ГПМ-54.85.10.20сб  Люк баку</t>
  </si>
  <si>
    <t>65.ГПМ-54.85.1000сб  Гідросистема бульдозера</t>
  </si>
  <si>
    <t>65.ГПМ-54.85.1004  Скоба</t>
  </si>
  <si>
    <t>65.ГПМ-54.85.1010сб  Трубка 10</t>
  </si>
  <si>
    <t>65.ГПМ-54.85.1020сб  Трубка 10</t>
  </si>
  <si>
    <t>65.ГПМ-54.85.1030сб  Трубка 15</t>
  </si>
  <si>
    <t>65.ГПМ-54.85.1037  Кронштейн 1</t>
  </si>
  <si>
    <t>65.ГПМ-54.85.1038  Кронштейн 2</t>
  </si>
  <si>
    <t>65.ГПМ-54.85.1040сб  Трубка 15</t>
  </si>
  <si>
    <t>65.ГПМ-54.85.1041  Планка 2</t>
  </si>
  <si>
    <t>65.ГПМ-54.85.1050сб  Трубка 15</t>
  </si>
  <si>
    <t>65.ГПМ-54.85.1060сб  Трубка 15</t>
  </si>
  <si>
    <t>65.ГПМ-54.85.1070сб  Трубка 10</t>
  </si>
  <si>
    <t>65.ГПМ-54.85.1080сб  Трубка 10</t>
  </si>
  <si>
    <t>65.ГПМ-54.85.1090сб  Трубка 10</t>
  </si>
  <si>
    <t>65.ГПМ-54.85.1100сб  Трубка 10</t>
  </si>
  <si>
    <t>65.ГПМ-54.85.1120сб  Трубка 10</t>
  </si>
  <si>
    <t>65.ГПМ-54.85.1130сб  Трубка 10</t>
  </si>
  <si>
    <t>65.ГПМ-54.85.1140сб  Трубка 16</t>
  </si>
  <si>
    <t>65.ГПМ-54.85.1150сб  Трубка 10</t>
  </si>
  <si>
    <t>65.ГПМ-54.85.1170сб  Трубка 16</t>
  </si>
  <si>
    <t>65.ГПМ-54.85.1180сб  Трубка 10</t>
  </si>
  <si>
    <t>65.ГПМ-54.85.1200сб  Трубка 10</t>
  </si>
  <si>
    <t>65.ГПМ-54.85.1210сб  Трубка 10</t>
  </si>
  <si>
    <t>65.ГПМ-54.85.1230сб  Трубка 10</t>
  </si>
  <si>
    <t>65.ГПМ-54.85.1240сб  Трубка 10</t>
  </si>
  <si>
    <t>65.ГПМ-54.85.1250сб  Трубка 10</t>
  </si>
  <si>
    <t>65.ГПМ-54.85.1260сб  Трубка 10</t>
  </si>
  <si>
    <t>65.ГПМ-54.85.1270сб  Трубка 6</t>
  </si>
  <si>
    <t>65.ГПМ-54.85.1280сб  Трубка 10</t>
  </si>
  <si>
    <t>65.ГПМ-54.85.1290сб  Трубка 6</t>
  </si>
  <si>
    <t>65.ГПМ-54.85.13  Прокладка конічна</t>
  </si>
  <si>
    <t>65.ГПМ-54.85.1310сб  Трубка 10</t>
  </si>
  <si>
    <t>65.ГПМ-54.85.1320сб  Трубка 10</t>
  </si>
  <si>
    <t>65.ГПМ-54.85.1330сб  Трубка 10</t>
  </si>
  <si>
    <t>65.ГПМ-54.85.1350сб  Трубка 10</t>
  </si>
  <si>
    <t>65.ГПМ-54.85.1390сб  Трубка 10</t>
  </si>
  <si>
    <t>65.ГПМ-54.85.1400сб  Трубка 10</t>
  </si>
  <si>
    <t>65.ГПМ-54.85.1410сб  Каркас</t>
  </si>
  <si>
    <t>65.ГПМ-54.29.210сб  Лист перегородки</t>
  </si>
  <si>
    <t>65.ГПМ-54.29.350сб  Кожух</t>
  </si>
  <si>
    <t>65.ГПМ-54.29.430сб  Застібка</t>
  </si>
  <si>
    <t>65.ГПМ-54.29.570сб  Підлога передня</t>
  </si>
  <si>
    <t>65.ГПМ-54.61.005  Прокладка регулювальна</t>
  </si>
  <si>
    <t>65.ГПМ-54.85.10сб  Бак</t>
  </si>
  <si>
    <t>65.ГПМ-54.66.173  Труба</t>
  </si>
  <si>
    <t>65.ГПМ-54.85.1013  Накладка</t>
  </si>
  <si>
    <t>65.ГПМ-54.85.1032  Гайка</t>
  </si>
  <si>
    <t>65.ГПМ-54.85.1058  Циліндр</t>
  </si>
  <si>
    <t>65.ГПМ-54.93.327  Кліпса</t>
  </si>
  <si>
    <t>65.ГПМ-54.93.361  Ребро 4х19х58</t>
  </si>
  <si>
    <t>65.ГПМ-54.93.371  Планка передня</t>
  </si>
  <si>
    <t>65.ГПМ-54.93.373  Боковина</t>
  </si>
  <si>
    <t>65.ГПМ-54.93.379  Скоба</t>
  </si>
  <si>
    <t>65.ГПМ-54.61.054  Прокладка</t>
  </si>
  <si>
    <t>65.ГПМ-54.61.065  Прокладка</t>
  </si>
  <si>
    <t>65.ГПМ-54.85.10.20.01  Плита</t>
  </si>
  <si>
    <t>65.ГПМ-54.85.1032  Стійка 1</t>
  </si>
  <si>
    <t>65.ГПМ-54.85.1033  Стійка 2</t>
  </si>
  <si>
    <t>65.ГПМ-54.85.1034  Стійка 3</t>
  </si>
  <si>
    <t>65.ГПМ-54.85.1035  Кутик 1</t>
  </si>
  <si>
    <t>65.ГПМ-54.85.1036  Кутик 2</t>
  </si>
  <si>
    <t>65.ГПМ-54.85.1043  Кутик 3</t>
  </si>
  <si>
    <t>65.ГПМ-54.85.1044  Кутик 4</t>
  </si>
  <si>
    <t xml:space="preserve">65.ГПМ-54.85.1030  Труба R15х1,5 </t>
  </si>
  <si>
    <t xml:space="preserve">65.ГПМ-54.85.130.01  Труба R18х1,5 </t>
  </si>
  <si>
    <t xml:space="preserve">65.ГПМ-54.85.140.01  Труба R18х1,5 </t>
  </si>
  <si>
    <t xml:space="preserve">65.ГПМ-54.85.150.01  Труба R18х1,5 </t>
  </si>
  <si>
    <t xml:space="preserve">65.ГПМ-54.85.160.01  Труба R18х1,5 </t>
  </si>
  <si>
    <t xml:space="preserve">65.ГПМ-54.85.170.01  Труба R18х1,5 </t>
  </si>
  <si>
    <t xml:space="preserve">65.ГПМ-54.85.180.01  Труба R18х1,5 </t>
  </si>
  <si>
    <t xml:space="preserve">65.ГПМ-54.85.210.01  Труба R18х1,5 </t>
  </si>
  <si>
    <t xml:space="preserve">65.ГПМ-54.85.220.01  Труба R18х1,5 </t>
  </si>
  <si>
    <t xml:space="preserve">65.ГПМ-54.85.250.01  Труба R12х1,5 </t>
  </si>
  <si>
    <t xml:space="preserve">65.ГПМ-54.85.260.01  Труба R12х1,5 </t>
  </si>
  <si>
    <t xml:space="preserve">65.ГПМ-54.85.270.01  Труба R12х1,5 </t>
  </si>
  <si>
    <t xml:space="preserve">65.ГПМ-54.85.280.01  Труба R12х1,5 </t>
  </si>
  <si>
    <t xml:space="preserve">65.ГПМ-54.85.290.01  Труба R12х1,5 </t>
  </si>
  <si>
    <t xml:space="preserve">65.ГПМ-54.85.310.01  Труба R12х1,5 </t>
  </si>
  <si>
    <t xml:space="preserve">65.ГПМ-54.85.320.01  Труба R12х1,5 </t>
  </si>
  <si>
    <t xml:space="preserve">65.ГПМ-54.85.330.01  Труба R12х1,5 </t>
  </si>
  <si>
    <t xml:space="preserve">65.ГПМ-54.85.340.01  Труба R12х1,5 </t>
  </si>
  <si>
    <t xml:space="preserve">65.ГПМ-54.85.350.01  Труба R12х1,5 </t>
  </si>
  <si>
    <t xml:space="preserve">65.ГПМ-54.85.360.01  Труба R12х1,5 </t>
  </si>
  <si>
    <t xml:space="preserve">65.ГПМ-54.85.370.01  Труба R12х1,5 </t>
  </si>
  <si>
    <t xml:space="preserve">65.ГПМ-54.85.380.01  Труба R12х1,5 </t>
  </si>
  <si>
    <t xml:space="preserve">65.ГПМ-54.85.410.01  Труба R08х1 </t>
  </si>
  <si>
    <t xml:space="preserve">65.ГПМ-54.85.420.01  Труба R08х1 </t>
  </si>
  <si>
    <t xml:space="preserve">65.ГПМ-54.85.430.01  Труба R08х1 </t>
  </si>
  <si>
    <t xml:space="preserve">65.ГПМ-54.85.440.01  Труба R08х1 </t>
  </si>
  <si>
    <t xml:space="preserve">65.ГПМ-54.85.450.01  Труба R08х1 </t>
  </si>
  <si>
    <t xml:space="preserve">65.ГПМ-54.85.460.01  Труба R08х1 </t>
  </si>
  <si>
    <t xml:space="preserve">65.ГПМ-54.85.470.01  Труба R08х1 </t>
  </si>
  <si>
    <t xml:space="preserve">65.ГПМ-54.85.480.01  Труба R08х1 </t>
  </si>
  <si>
    <t xml:space="preserve">65.ГПМ-54.85.490.01  Труба R08х1 </t>
  </si>
  <si>
    <t xml:space="preserve">65.ГПМ-54.85.510.01  Труба R08х1 </t>
  </si>
  <si>
    <t xml:space="preserve">65.ГПМ-54.85.520.01  Труба R08х1 </t>
  </si>
  <si>
    <t xml:space="preserve">65.ГПМ-54.85.530.01  Труба R08х1 </t>
  </si>
  <si>
    <t xml:space="preserve">65.ГПМ-54.85.550.01  Труба R15х1,5 </t>
  </si>
  <si>
    <t xml:space="preserve">65.ГПМ-54.85.560.01  Труба R15х1,5 </t>
  </si>
  <si>
    <t xml:space="preserve">65.ГПМ-54.85.570.01  Труба R15х1,5 </t>
  </si>
  <si>
    <t xml:space="preserve">65.ГПМ-54.85.580.01  Труба R15х1,5 </t>
  </si>
  <si>
    <t xml:space="preserve">65.ГПМ-54.85.590.01  Труба R15х1,5 </t>
  </si>
  <si>
    <t xml:space="preserve">65.ГПМ-54.85.610.01  Труба R15х1,5 </t>
  </si>
  <si>
    <t xml:space="preserve">65.ГПМ-54.85.620.01  Труба R15х1,5 </t>
  </si>
  <si>
    <t xml:space="preserve">65.ГПМ-54.85.630.01  Труба R15х1,5 </t>
  </si>
  <si>
    <t xml:space="preserve">65.ГПМ-54.85.640.01  Труба R15х1,5 </t>
  </si>
  <si>
    <t xml:space="preserve">65.ГПМ-54.85.650.01  Труба R15х1,5 </t>
  </si>
  <si>
    <t xml:space="preserve">65.ГПМ-54.85.660.01  Труба R15х1,5 </t>
  </si>
  <si>
    <t>65.ГПМ-54.85.670.01  Труба R15х1,5</t>
  </si>
  <si>
    <t xml:space="preserve">65.ГПМ-54.93.381  Планка задня </t>
  </si>
  <si>
    <t>65.ГПМ-54.26.020сб  Кожух щитка</t>
  </si>
  <si>
    <t>65.ГПМ-54.26.030сб  Боковина ліва</t>
  </si>
  <si>
    <t>65.ГПМ-54.26.002  Боковина ліва</t>
  </si>
  <si>
    <t>65.ГПМ-54.26.004  Вухо</t>
  </si>
  <si>
    <t>65.ГПМ-54.26.040сб  Боковина права</t>
  </si>
  <si>
    <t>65.ГПМ-54.26.003  Боковина права</t>
  </si>
  <si>
    <t>65.ГПМ-54.26.001  Щиток передній</t>
  </si>
  <si>
    <t>М4х10.58.019  гвинт ГОСТ 17473-72</t>
  </si>
  <si>
    <t>М4.58.019 гайка ГОСТ 5915-70</t>
  </si>
  <si>
    <t>4.65Г.019 шайба ГОСТ 6402-70</t>
  </si>
  <si>
    <t>4.019 шайба ГОСТ 11371-77</t>
  </si>
  <si>
    <t>емаль МЛ-152 сіра ГОСТ 18099-78</t>
  </si>
  <si>
    <t>лист б=1 ГОСТ 19904-90 ст3 ГОСТ 16523-97</t>
  </si>
  <si>
    <t xml:space="preserve">клейн 88НП </t>
  </si>
  <si>
    <t>лист б=0,5 ГОСТ 19903-74 Ст3 ГОСТ 16523-70</t>
  </si>
  <si>
    <t>Print 24.10.2018р</t>
  </si>
  <si>
    <t>лист б=4 ГОСТ 19903-74 Ст3 ГОСТ 16523-70</t>
  </si>
  <si>
    <t>лист б=2 ГОСТ 19903-74 Ст3 ГОСТ 14637-89</t>
  </si>
  <si>
    <t>лист б=4 ГОСТ 19903-74 Ст3 ГОСТ 14637-89</t>
  </si>
  <si>
    <t>лист б=3 ГОСТ 19903-74 20 ГОСТ 1577-81</t>
  </si>
  <si>
    <t>дріт КС 0,5 ГОСТ 762-67</t>
  </si>
  <si>
    <t>65.ГПМ-54.29.016  канат</t>
  </si>
  <si>
    <t>канат ЛК-0 ∅2,5 ГОСТ 2172-71</t>
  </si>
  <si>
    <t>клей 88Н ТУ 38-105-1061-82</t>
  </si>
  <si>
    <t>лист б=1 ГОСТ 19903-74 20 ГОСТ 16521-74</t>
  </si>
  <si>
    <t xml:space="preserve">65.ГПМ-54.79.001  Труба </t>
  </si>
  <si>
    <t>труба 20х1 ГОСТ 8734-75 В20 ГОСТ 8733-87</t>
  </si>
  <si>
    <t>труба 8х1 ГОСТ 8734-70 20 ГОСТ 8733-74</t>
  </si>
  <si>
    <t>65.ГПМ-54.84.022  трубка</t>
  </si>
  <si>
    <t>65.ГПМ-54.84.032  трубка</t>
  </si>
  <si>
    <t>ПО ШАБЛОНУ</t>
  </si>
  <si>
    <t>447А.82.001  трубка</t>
  </si>
  <si>
    <t>447А.82.002  трубка</t>
  </si>
  <si>
    <t>447А.82.003  трубка</t>
  </si>
  <si>
    <t>447А.82.004  трубка</t>
  </si>
  <si>
    <t>труба 10х1 Сталь20 ТУ 14-3-134-73</t>
  </si>
  <si>
    <t>447А.82.006  трубка</t>
  </si>
  <si>
    <t>447А.86.005-1  трубка</t>
  </si>
  <si>
    <t>труба 8х1 М3М ГОСТ 617-72</t>
  </si>
  <si>
    <t>447А.86.007-1  трубка</t>
  </si>
  <si>
    <t>434.33.392-1  стрічка</t>
  </si>
  <si>
    <t>434.33.393  стрічка</t>
  </si>
  <si>
    <t>434.33.582  патрубок</t>
  </si>
  <si>
    <t>434.33.584  патрубок</t>
  </si>
  <si>
    <t>434.33.585  труба</t>
  </si>
  <si>
    <t>труба 25х1 Сталь20 ГОСТ ГОСТ 21729-76</t>
  </si>
  <si>
    <t>труба 12х1 Сталь20 ГОСТ ГОСТ 21729-76</t>
  </si>
  <si>
    <t>труба 20х1 Сталь20 ГОСТ ГОСТ 21729-76</t>
  </si>
  <si>
    <t>434.33.570  труба</t>
  </si>
  <si>
    <t>434.33.672  стрічка</t>
  </si>
  <si>
    <t>434.33.670  стрічка</t>
  </si>
  <si>
    <t>434.60.002сб-4  труба</t>
  </si>
  <si>
    <t>434.39.117  кільце</t>
  </si>
  <si>
    <t>434.39.118  розпорка</t>
  </si>
  <si>
    <t>дріт ∅4св-08А ГОСТ 2246-70</t>
  </si>
  <si>
    <t>434.83.168  стрічка</t>
  </si>
  <si>
    <t>Print 26.10.2018</t>
  </si>
  <si>
    <t>канат ∅1,8С ГОСТ 2172-80</t>
  </si>
  <si>
    <t>дріт ∅0,5-0Ч ГОСТ 3282-74</t>
  </si>
  <si>
    <t>ВМТП</t>
  </si>
  <si>
    <t>емаль ПФ-115  голуба</t>
  </si>
  <si>
    <t>434.60.017-4  трубка</t>
  </si>
  <si>
    <t>434.60.018-3  трубка</t>
  </si>
  <si>
    <t>труба 8х1 Сталь20 ГОСТ ГОСТ 21729-76</t>
  </si>
  <si>
    <t>434.60.019-3  трубка</t>
  </si>
  <si>
    <t>434.60.012сб-1  трубка</t>
  </si>
  <si>
    <t>434.60.035-1  трубка</t>
  </si>
  <si>
    <t>труба 6х1 Сталь20 ГОСТ ГОСТ 21729-76</t>
  </si>
  <si>
    <t>434.60.036-2  трубка</t>
  </si>
  <si>
    <t>434.60.037-2  трубка</t>
  </si>
  <si>
    <t>434.60.038  трубка</t>
  </si>
  <si>
    <t>434.60.146  трубка</t>
  </si>
  <si>
    <t>432.60.029-2  трубка</t>
  </si>
  <si>
    <t>434.60.061  трубка</t>
  </si>
  <si>
    <t>434.60.109-1  трубка</t>
  </si>
  <si>
    <t>434.60.119  трубка</t>
  </si>
  <si>
    <t>434.60.120  трубка</t>
  </si>
  <si>
    <t>434.60.121  трубка</t>
  </si>
  <si>
    <t>434.60.123  трубка</t>
  </si>
  <si>
    <t>434.60.124  трубка</t>
  </si>
  <si>
    <t>434.66.029  трубка</t>
  </si>
  <si>
    <t>труба 18х1 Сталь20 ГОСТ ГОСТ 21729-76</t>
  </si>
  <si>
    <t>434.86.143-3  трубка</t>
  </si>
  <si>
    <t>434.86.144-2  трубка</t>
  </si>
  <si>
    <t>434.86.145-1  трубка</t>
  </si>
  <si>
    <t>труба 8х1 08Х18Н10Т ГОСТ 9941-81</t>
  </si>
  <si>
    <t>434.91.409  стрічка</t>
  </si>
  <si>
    <t>ЛБТЗ.654А.29.191  прокладка</t>
  </si>
  <si>
    <t>ЛБТЗ.654А.29.191-01  прокладка</t>
  </si>
  <si>
    <t>ЛБТЗ.654А.29.191-02  прокладка</t>
  </si>
  <si>
    <t>ЛБТЗ.654А.29.191-04  прокладка</t>
  </si>
  <si>
    <t>ЛБТЗ.654А.29.191-03  прокладка</t>
  </si>
  <si>
    <t>ЛБТЗ.654А.29.191-05  прокладка</t>
  </si>
  <si>
    <t>ЛБТЗ.654А.29.191-06  прокладка</t>
  </si>
  <si>
    <t>ЛБТЗ.654А.29.193  прокладка</t>
  </si>
  <si>
    <t>ЛБТЗ.654А.29.193-01  прокладка</t>
  </si>
  <si>
    <t>ЛБТЗ.654А.29.193-02  прокладка</t>
  </si>
  <si>
    <t>ЛБТЗ.654А.29.193-03  прокладка</t>
  </si>
  <si>
    <t>ЛБТЗ.654А.29.193-04  прокладка</t>
  </si>
  <si>
    <t>ЛБТЗ.654А.29.193-05  прокладка</t>
  </si>
  <si>
    <t>ЛБТЗ.654А.29.193-06  прокладка</t>
  </si>
  <si>
    <t>ЛБТЗ.654А.02.030сб  трубка</t>
  </si>
  <si>
    <t>ЛБТЗ.654А.02.031  трубка</t>
  </si>
  <si>
    <t>Print 29.10.2018р</t>
  </si>
  <si>
    <t xml:space="preserve">картон прокладочний Б-1,5 ГОСТ 9347-74 </t>
  </si>
  <si>
    <t xml:space="preserve">картон прокладочний Б-1 ГОСТ 9347-74 </t>
  </si>
  <si>
    <t>434.66.058  трубка (б.к.)</t>
  </si>
  <si>
    <t xml:space="preserve">труба 18х1 ГОСТ 8734-75 20 ГОСТ 8733-87 </t>
  </si>
  <si>
    <t>434.67.021  трубка (б.к.)</t>
  </si>
  <si>
    <t>434.67.023  трубка (б.к.)</t>
  </si>
  <si>
    <t>434.67.024-2  трубка (б.к.)</t>
  </si>
  <si>
    <t>434.31.041сб  трубка</t>
  </si>
  <si>
    <t>54.29.205  прокладка</t>
  </si>
  <si>
    <t>ЛБТЗ.654А.50.009</t>
  </si>
  <si>
    <t>ЛБТЗ.654А.50.491</t>
  </si>
  <si>
    <t>ПБТЗ.654А.50.121</t>
  </si>
  <si>
    <t>54.40.143  сітка сапуна</t>
  </si>
  <si>
    <t>сітка №028 ГОСТ 6613-53 Л80 ГОСТ 15527-70</t>
  </si>
  <si>
    <t>65.ГПМ-54.85.1039  Планка</t>
  </si>
  <si>
    <t>Print 05.11.2018р</t>
  </si>
  <si>
    <t>лист б=4 ГОСТ 19904-74 Ст3 ГОСТ 14637-89</t>
  </si>
  <si>
    <t>65.АЛ6.548.066.01  кільце зовнішнє</t>
  </si>
  <si>
    <t>лист б=1 АМг6 ГОСТ 17232-79</t>
  </si>
  <si>
    <t>Print 05.11.2018</t>
  </si>
  <si>
    <t>Розпорядження №132</t>
  </si>
  <si>
    <t>434.67.027  трубка</t>
  </si>
  <si>
    <t>труба 8х1 ГОСТ 8734-75 20 ГОСТ 21729-76</t>
  </si>
  <si>
    <t>434.67.028  трубка</t>
  </si>
  <si>
    <t>consist with two part</t>
  </si>
  <si>
    <t>труба 8х1 М3-М ГОСТ 617-72</t>
  </si>
  <si>
    <t>434.82.138  трубка (б.к.)</t>
  </si>
  <si>
    <t>434.85.041-3  трубка (б.к.)</t>
  </si>
  <si>
    <t>емаль ПФ-115  світло-зелена</t>
  </si>
  <si>
    <t>ЛБТЗ.654А.50.096</t>
  </si>
  <si>
    <t>ЛБТЗ.654А.50.097</t>
  </si>
  <si>
    <t>ЛБТЗ.654А.50.098</t>
  </si>
  <si>
    <t>ЛБТЗ.654А.50.099</t>
  </si>
  <si>
    <t>ЛБТЗ.654А.50.010сб</t>
  </si>
  <si>
    <t>ЛБТЗ.654А.05.220сб</t>
  </si>
  <si>
    <t>ЛБТЗ.654А.05.230сб</t>
  </si>
  <si>
    <t>Лист б=2</t>
  </si>
  <si>
    <t>54.28.722сб  ящик</t>
  </si>
  <si>
    <t>54.28.625сб  кришка</t>
  </si>
  <si>
    <t>54.28.975-1  корпус</t>
  </si>
  <si>
    <t>54.28.976  кришка</t>
  </si>
  <si>
    <t>СУМА на 1 машину:</t>
  </si>
  <si>
    <t>Лист б=1,5</t>
  </si>
  <si>
    <t>Щиток лівий</t>
  </si>
  <si>
    <t>Щиток правий</t>
  </si>
  <si>
    <t>Щиток середній</t>
  </si>
  <si>
    <t>Бак для палива зов. задн</t>
  </si>
  <si>
    <t>Бак для палива зов перед</t>
  </si>
  <si>
    <t>Ящик (2шт=)</t>
  </si>
  <si>
    <t>Лист б=3</t>
  </si>
  <si>
    <t>434.85.035-2  трубка</t>
  </si>
  <si>
    <t>434.85.036-2  трубка</t>
  </si>
  <si>
    <t>434.85.053-3  трубка</t>
  </si>
  <si>
    <t>54.28.977-1  боковина</t>
  </si>
  <si>
    <t>4шт=</t>
  </si>
  <si>
    <t>434.85.037-2  трубка (б.к.)</t>
  </si>
  <si>
    <t>ЛБТЗ.654А.05.070сб</t>
  </si>
  <si>
    <t>Встановлення ущільнення</t>
  </si>
  <si>
    <t>ЛБТЗ.654А.05.060сб</t>
  </si>
  <si>
    <t>Бак компенсаційний</t>
  </si>
  <si>
    <t>ЛБТЗ.654А.05.040сб</t>
  </si>
  <si>
    <t>Бак паливний задній</t>
  </si>
  <si>
    <t>54.28.1434  кутник</t>
  </si>
  <si>
    <t>54.28.1436  кутник</t>
  </si>
  <si>
    <t>Бак масляний</t>
  </si>
  <si>
    <t>ЛБТЗ.654А.29.921</t>
  </si>
  <si>
    <t>ЛБТЗ.654А.29.913</t>
  </si>
  <si>
    <t>434.86.016-2  трубка</t>
  </si>
  <si>
    <t>434.86.017-2  трубка</t>
  </si>
  <si>
    <t>434.86.018-2  трубка (б.к.)</t>
  </si>
  <si>
    <t>Print 07.11.2018</t>
  </si>
  <si>
    <t>З ПОМИЛКОЮ ДВІ ДОВГІ ТРУБИ ЗАПИСАНІ ЯК ∅12 А МАЄ БУТИ ∅14</t>
  </si>
  <si>
    <r>
      <t xml:space="preserve">З </t>
    </r>
    <r>
      <rPr>
        <u/>
        <sz val="11"/>
        <color theme="1"/>
        <rFont val="Calibri"/>
        <family val="2"/>
        <charset val="204"/>
        <scheme val="minor"/>
      </rPr>
      <t>ВИПРАВЛЕНОЮ</t>
    </r>
    <r>
      <rPr>
        <sz val="11"/>
        <color theme="1"/>
        <rFont val="Calibri"/>
        <family val="2"/>
        <charset val="204"/>
        <scheme val="minor"/>
      </rPr>
      <t xml:space="preserve"> ПОМИЛКОЮ ДВІ ДОВГІ ТРУБИ ЗАПИСАНІ ЯК ∅12 А МАЄ БУТИ ∅14</t>
    </r>
  </si>
  <si>
    <t>переоблено 07.11.18р.</t>
  </si>
  <si>
    <t>447А.86.007-1  Трубка</t>
  </si>
  <si>
    <t>447А.86.009-2  трубка</t>
  </si>
  <si>
    <t>447А.86.089  трубка</t>
  </si>
  <si>
    <t>447.86.065  трубка</t>
  </si>
  <si>
    <t>447А.86.004-1  трубка</t>
  </si>
  <si>
    <t>447А.86.091-2  трубка</t>
  </si>
  <si>
    <t>труба 10х1 08Х18Н10Т ГОСТ 9941-81</t>
  </si>
  <si>
    <t>447А.86.135  трубка</t>
  </si>
  <si>
    <t>447А.86.136  трубка</t>
  </si>
  <si>
    <t>447А.86.137  трубка</t>
  </si>
  <si>
    <t/>
  </si>
  <si>
    <t>447А.86.124  трубка</t>
  </si>
  <si>
    <t>447А.86.125  трубка</t>
  </si>
  <si>
    <t>447А.86.126-1  трубка</t>
  </si>
  <si>
    <t>447А.86.128  трубка</t>
  </si>
  <si>
    <t>Print 13.11.2018</t>
  </si>
  <si>
    <t>447А.86.129  трубка</t>
  </si>
  <si>
    <t>447А.86.131  трубка</t>
  </si>
  <si>
    <t>447А.86.132  трубка</t>
  </si>
  <si>
    <t>447А.86.097-1  трубка</t>
  </si>
  <si>
    <t>447А.86.099-1  трубка</t>
  </si>
  <si>
    <t>65.ГПМ-54.93.555  кожух зовнішній лівий гідроциліндра підйому</t>
  </si>
  <si>
    <t>65.ГПМ-54.93.556 кожух зовнішній правий гідроциліндра підйому</t>
  </si>
  <si>
    <t>лист б=5 ГОСТ 19903-74 Ст3пс ГОСТ 14637-89</t>
  </si>
  <si>
    <t xml:space="preserve">дріб ДЧК d=1,4 ГОСТ 11964-81 </t>
  </si>
  <si>
    <t>Print 14.11.2018р</t>
  </si>
  <si>
    <t>Додаток "Д" до розпорядження №35-2016р</t>
  </si>
  <si>
    <t>447А.86.133  трубка</t>
  </si>
  <si>
    <t>434.32.086-3  стрчка</t>
  </si>
  <si>
    <t>лист б=3 ГОСТ 19904-74 20 ГОСТ 16523-70</t>
  </si>
  <si>
    <t>Службова від нач. гаража Коробки ?.?. На виготовлення захисту балону до ГАЗельки</t>
  </si>
  <si>
    <t>емаль ПФ-115 зеленовато-сіра</t>
  </si>
  <si>
    <t>434.32.148  планка</t>
  </si>
  <si>
    <t>лист б=6 АМг6БМ ГОСТ 21631-70</t>
  </si>
  <si>
    <t>432.32.252  труба</t>
  </si>
  <si>
    <t>432.32.257  патрубок</t>
  </si>
  <si>
    <t>труба 38х1,5 АМг6МКр. ОСТ1 92906-83</t>
  </si>
  <si>
    <t>труба 48х2 АМг6Кр ОСТ1 92906-83</t>
  </si>
  <si>
    <t>434.70.195сб  обід корзини</t>
  </si>
  <si>
    <t>434.70.196сб  стяжка передня</t>
  </si>
  <si>
    <t>434.70.536  обод козини</t>
  </si>
  <si>
    <t>434.70.540  стяжка</t>
  </si>
  <si>
    <t>лист б=2,5 ГОСТ 19904-74 10кп ГОСТ 16523-70</t>
  </si>
  <si>
    <t>434.70.537  планка бокова</t>
  </si>
  <si>
    <t>434.70.538  планка задня</t>
  </si>
  <si>
    <t>434.70.539  планка</t>
  </si>
  <si>
    <t>447А.70.015-1  кутник</t>
  </si>
  <si>
    <t>кутник 20х20х3 ГОСТ 8509-89 Ст3сп ГОСТ 535- 88</t>
  </si>
  <si>
    <t>труба 30х1,5 АМг6Кр. ОСТ1 93096-83</t>
  </si>
  <si>
    <t xml:space="preserve">труба 25х1,5 АМг6Кр. ОСТ1 93096-83 </t>
  </si>
  <si>
    <t xml:space="preserve">труба 20х1,5 АМг6Кр. ОСТ1 93096-83 </t>
  </si>
  <si>
    <t xml:space="preserve">труба 12х1,5 АМг6Кр. ОСТ1 93096-83 </t>
  </si>
  <si>
    <t>Print 14.11.2018</t>
  </si>
  <si>
    <t>434.20.038</t>
  </si>
  <si>
    <t>планка</t>
  </si>
  <si>
    <t>434.34.173-1</t>
  </si>
  <si>
    <t>432.34.059-1</t>
  </si>
  <si>
    <t>432.34.061</t>
  </si>
  <si>
    <t>434.70.067сб</t>
  </si>
  <si>
    <t>434.70.084сб</t>
  </si>
  <si>
    <t>Рамка с сеткой</t>
  </si>
  <si>
    <t>434.94.163-1</t>
  </si>
  <si>
    <t>434.27.100</t>
  </si>
  <si>
    <t>432.50.037</t>
  </si>
  <si>
    <t>шайба стопорна</t>
  </si>
  <si>
    <t>434.28.201</t>
  </si>
  <si>
    <t>Планка стопорна</t>
  </si>
  <si>
    <t>432.56.047</t>
  </si>
  <si>
    <t>432.62.134</t>
  </si>
  <si>
    <t>Шайба замкова</t>
  </si>
  <si>
    <t>432.70.579сб</t>
  </si>
  <si>
    <t>Заглушка</t>
  </si>
  <si>
    <t>447А.73.580сб</t>
  </si>
  <si>
    <t>447.70.070сб</t>
  </si>
  <si>
    <t>Перемычка</t>
  </si>
  <si>
    <t>447.70.220сб</t>
  </si>
  <si>
    <t>447.70.300сб</t>
  </si>
  <si>
    <t>447.70.310сб</t>
  </si>
  <si>
    <t>434.70.225-5</t>
  </si>
  <si>
    <t>434.70.226-3</t>
  </si>
  <si>
    <t>434.70.227-1</t>
  </si>
  <si>
    <t>434.70.233-2</t>
  </si>
  <si>
    <t>432.53.022</t>
  </si>
  <si>
    <t>Шайба відгибна</t>
  </si>
  <si>
    <t>446.70.032-1</t>
  </si>
  <si>
    <t>434.70.371</t>
  </si>
  <si>
    <t>434.70.533</t>
  </si>
  <si>
    <t>432.70.226-1</t>
  </si>
  <si>
    <t>432.56.019</t>
  </si>
  <si>
    <t>Втулка</t>
  </si>
  <si>
    <t>30х38х2 МН 3138-62</t>
  </si>
  <si>
    <t>Прокладка ал.</t>
  </si>
  <si>
    <t>446.70.083</t>
  </si>
  <si>
    <t>кожух</t>
  </si>
  <si>
    <t>60.42.107-1</t>
  </si>
  <si>
    <t>447.70.035</t>
  </si>
  <si>
    <t>скоба</t>
  </si>
  <si>
    <t>60.42.105</t>
  </si>
  <si>
    <t>434.70.022</t>
  </si>
  <si>
    <t>434.87.037сб</t>
  </si>
  <si>
    <t>Трос з ковпачками</t>
  </si>
  <si>
    <t>432.70.407-1</t>
  </si>
  <si>
    <t>434.70.319</t>
  </si>
  <si>
    <t>447.70.027</t>
  </si>
  <si>
    <t>20х26х1,5 МН 3138-62</t>
  </si>
  <si>
    <t>Прокладка ал 20х26х1,5</t>
  </si>
  <si>
    <t>18х24х1,5 МН 3138-62</t>
  </si>
  <si>
    <t>Прокладка ал 18х24х1,5</t>
  </si>
  <si>
    <t>434.70.470</t>
  </si>
  <si>
    <t>447А.70.045</t>
  </si>
  <si>
    <t>щиток</t>
  </si>
  <si>
    <t>М8-Т.2/6hх20.66.05</t>
  </si>
  <si>
    <t>Шпилька</t>
  </si>
  <si>
    <t>447.70.200сб</t>
  </si>
  <si>
    <t>Перемичка</t>
  </si>
  <si>
    <t>447А.70.014</t>
  </si>
  <si>
    <t>Пластина</t>
  </si>
  <si>
    <t>447.77.240сб</t>
  </si>
  <si>
    <t>434.70.117сб-2</t>
  </si>
  <si>
    <t>Панель розетки</t>
  </si>
  <si>
    <t>10х16х1</t>
  </si>
  <si>
    <t>60.07.990</t>
  </si>
  <si>
    <t>434.70.042сб-3</t>
  </si>
  <si>
    <t>434.60.002сб-4  ТРУБКА</t>
  </si>
  <si>
    <t>05.С.028.95.270сб  Рама</t>
  </si>
  <si>
    <t>05.С.028.95.271  кутник</t>
  </si>
  <si>
    <t>05.С.028.95.272  кутник</t>
  </si>
  <si>
    <t>05.С.028.95.272-01  кутник</t>
  </si>
  <si>
    <t>05.С.028.95.273  перекладина</t>
  </si>
  <si>
    <t>05.С.028.95.274  упор</t>
  </si>
  <si>
    <t>05.С.028.95.274-01  упор</t>
  </si>
  <si>
    <t>05.С.028.95.275  кронштейн</t>
  </si>
  <si>
    <t>кутник 40х40х4 ГОСТ 8510-72 Ст3 ГОСТ 535-58</t>
  </si>
  <si>
    <t>лист б=5 Ст3 ГОСТ 380-71</t>
  </si>
  <si>
    <t>емаль ПФ-223 сіроголуба</t>
  </si>
  <si>
    <t>Print 16.11.2018р</t>
  </si>
  <si>
    <t>Марія дала порахувати</t>
  </si>
  <si>
    <t>331/45</t>
  </si>
  <si>
    <t>54.40.158  Шайба стопорна</t>
  </si>
  <si>
    <t>54.02.13сб  Щиток</t>
  </si>
  <si>
    <t>05.С.028.29.130сб  Дверка</t>
  </si>
  <si>
    <t>54.03.32сб-3  Щиток</t>
  </si>
  <si>
    <t>54.03.59сб-А  Стрічка</t>
  </si>
  <si>
    <t>54.03.021-1  Прокладка масляного радіатора</t>
  </si>
  <si>
    <t>54.04.83сб  Трос</t>
  </si>
  <si>
    <t>520.06.001-04  Прокладка 22х30</t>
  </si>
  <si>
    <t>54.02.021  Прокладка</t>
  </si>
  <si>
    <t>54.02.073  Прокладка задня</t>
  </si>
  <si>
    <t>54.41.008  Шайба замковая</t>
  </si>
  <si>
    <t>54.02.88сб-4  Щиток</t>
  </si>
  <si>
    <t>54.08.029  Шайба замкова</t>
  </si>
  <si>
    <t>54.08.153  Шайба замкова</t>
  </si>
  <si>
    <t>940.028  Шайба замкова</t>
  </si>
  <si>
    <t>166.42.18сб  Прокладка</t>
  </si>
  <si>
    <t>166.42.12сб  Прокладка</t>
  </si>
  <si>
    <t>65.ГПМ-54.29.200сб  Моторна перегородка</t>
  </si>
  <si>
    <t>155.02.105сб-1Б  Щиток</t>
  </si>
  <si>
    <t>155.02.111сб  Щиток</t>
  </si>
  <si>
    <t>155.02.113сб-А  Щиток</t>
  </si>
  <si>
    <t>155.02.114сб  Щиток</t>
  </si>
  <si>
    <t>05.С.028.29.130сб-01  Дверка</t>
  </si>
  <si>
    <t>05.С.028.02.010сб  Трубопровід</t>
  </si>
  <si>
    <t>05.С.028.02.020сб  Трубопровід</t>
  </si>
  <si>
    <t>05.С.028.02.050сб  Трубопровід</t>
  </si>
  <si>
    <t>65.05.С.028.95.250сб  Вісь в зборі</t>
  </si>
  <si>
    <t>Замовлення 331/44: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</si>
</sst>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"/>
    <numFmt numFmtId="165" formatCode="0.0000"/>
    <numFmt numFmtId="166" formatCode="[$-422]d\ mmmm\ yyyy&quot; р.&quot;"/>
    <numFmt numFmtId="167" formatCode="General&quot;шт&quot;"/>
    <numFmt numFmtId="168" formatCode="\ш\тGeneral"/>
    <numFmt numFmtId="169" formatCode="#,##0.000"/>
    <numFmt numFmtId="170" formatCode="#&quot; &quot;?/2"/>
    <numFmt numFmtId="171" formatCode="0.00000"/>
    <numFmt numFmtId="172" formatCode="\к\г"/>
    <numFmt numFmtId="173" formatCode="0.0"/>
    <numFmt numFmtId="174" formatCode="General\ \к\г"/>
  </numFmts>
  <fonts count="4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.5"/>
      <color theme="1"/>
      <name val="Calibri"/>
      <family val="2"/>
      <charset val="204"/>
      <scheme val="minor"/>
    </font>
    <font>
      <sz val="10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GOST type A"/>
      <family val="2"/>
      <charset val="204"/>
    </font>
    <font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u/>
      <sz val="15"/>
      <color theme="1"/>
      <name val="Calibri"/>
      <family val="2"/>
      <charset val="204"/>
      <scheme val="minor"/>
    </font>
    <font>
      <i/>
      <vertAlign val="superscript"/>
      <sz val="11"/>
      <color theme="1"/>
      <name val="Times New Roman"/>
      <family val="1"/>
      <charset val="204"/>
    </font>
    <font>
      <u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u/>
      <sz val="13"/>
      <color theme="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vertAlign val="superscript"/>
      <sz val="1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b/>
      <u/>
      <sz val="11.5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">
        <color indexed="64"/>
      </right>
      <top style="mediumDashDotDot">
        <color indexed="64"/>
      </top>
      <bottom/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2" fillId="0" borderId="0" applyFont="0" applyFill="0" applyBorder="0" applyAlignment="0" applyProtection="0"/>
    <xf numFmtId="0" fontId="31" fillId="0" borderId="0"/>
    <xf numFmtId="0" fontId="38" fillId="0" borderId="0" applyNumberFormat="0" applyFill="0" applyBorder="0" applyAlignment="0" applyProtection="0"/>
  </cellStyleXfs>
  <cellXfs count="1058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left"/>
    </xf>
    <xf numFmtId="164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Fill="1" applyAlignment="1">
      <alignment horizontal="left" indent="1"/>
    </xf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/>
    <xf numFmtId="164" fontId="8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left"/>
    </xf>
    <xf numFmtId="0" fontId="10" fillId="0" borderId="8" xfId="0" applyNumberFormat="1" applyFont="1" applyBorder="1" applyAlignment="1">
      <alignment horizontal="left"/>
    </xf>
    <xf numFmtId="165" fontId="0" fillId="0" borderId="0" xfId="0" applyNumberFormat="1"/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right"/>
    </xf>
    <xf numFmtId="164" fontId="0" fillId="0" borderId="5" xfId="0" applyNumberFormat="1" applyBorder="1"/>
    <xf numFmtId="164" fontId="0" fillId="0" borderId="5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NumberFormat="1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0" xfId="0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164" fontId="0" fillId="0" borderId="8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5" xfId="0" applyFont="1" applyBorder="1"/>
    <xf numFmtId="164" fontId="0" fillId="0" borderId="6" xfId="0" applyNumberFormat="1" applyFont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0" fontId="12" fillId="0" borderId="0" xfId="0" applyFont="1"/>
    <xf numFmtId="164" fontId="0" fillId="2" borderId="0" xfId="0" applyNumberFormat="1" applyFill="1"/>
    <xf numFmtId="164" fontId="0" fillId="2" borderId="0" xfId="0" applyNumberFormat="1" applyFill="1" applyAlignment="1">
      <alignment horizontal="left"/>
    </xf>
    <xf numFmtId="164" fontId="11" fillId="2" borderId="0" xfId="0" applyNumberFormat="1" applyFont="1" applyFill="1"/>
    <xf numFmtId="164" fontId="11" fillId="2" borderId="0" xfId="0" applyNumberFormat="1" applyFont="1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6" borderId="0" xfId="0" applyNumberFormat="1" applyFill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7" fillId="0" borderId="0" xfId="0" applyFont="1" applyBorder="1"/>
    <xf numFmtId="0" fontId="0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164" fontId="0" fillId="0" borderId="3" xfId="0" applyNumberFormat="1" applyFill="1" applyBorder="1" applyAlignment="1">
      <alignment horizontal="left"/>
    </xf>
    <xf numFmtId="164" fontId="10" fillId="0" borderId="8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Border="1"/>
    <xf numFmtId="0" fontId="7" fillId="0" borderId="9" xfId="0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4" fontId="0" fillId="0" borderId="9" xfId="0" applyNumberFormat="1" applyFont="1" applyBorder="1" applyAlignment="1">
      <alignment horizontal="left"/>
    </xf>
    <xf numFmtId="164" fontId="0" fillId="5" borderId="8" xfId="0" applyNumberFormat="1" applyFill="1" applyBorder="1" applyAlignment="1">
      <alignment horizontal="left"/>
    </xf>
    <xf numFmtId="165" fontId="0" fillId="0" borderId="8" xfId="0" applyNumberFormat="1" applyBorder="1" applyAlignment="1">
      <alignment horizontal="left"/>
    </xf>
    <xf numFmtId="17" fontId="0" fillId="0" borderId="8" xfId="0" applyNumberFormat="1" applyFill="1" applyBorder="1"/>
    <xf numFmtId="164" fontId="0" fillId="7" borderId="8" xfId="0" applyNumberForma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Font="1" applyFill="1"/>
    <xf numFmtId="0" fontId="0" fillId="0" borderId="0" xfId="0" applyAlignment="1">
      <alignment horizontal="center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left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2" fillId="0" borderId="2" xfId="0" applyFont="1" applyBorder="1"/>
    <xf numFmtId="0" fontId="0" fillId="3" borderId="7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64" fontId="13" fillId="0" borderId="0" xfId="0" applyNumberFormat="1" applyFont="1" applyBorder="1" applyAlignment="1">
      <alignment horizontal="left"/>
    </xf>
    <xf numFmtId="0" fontId="1" fillId="0" borderId="2" xfId="0" applyFont="1" applyBorder="1"/>
    <xf numFmtId="165" fontId="0" fillId="0" borderId="6" xfId="0" applyNumberFormat="1" applyBorder="1" applyAlignment="1">
      <alignment horizontal="left"/>
    </xf>
    <xf numFmtId="0" fontId="0" fillId="0" borderId="0" xfId="0" applyFont="1" applyFill="1" applyBorder="1"/>
    <xf numFmtId="0" fontId="17" fillId="0" borderId="0" xfId="0" applyFont="1" applyBorder="1"/>
    <xf numFmtId="0" fontId="12" fillId="0" borderId="0" xfId="0" applyFont="1" applyBorder="1"/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7" xfId="0" applyFill="1" applyBorder="1"/>
    <xf numFmtId="0" fontId="0" fillId="2" borderId="7" xfId="0" applyFont="1" applyFill="1" applyBorder="1"/>
    <xf numFmtId="0" fontId="0" fillId="0" borderId="7" xfId="0" applyFont="1" applyBorder="1"/>
    <xf numFmtId="16" fontId="0" fillId="0" borderId="7" xfId="0" applyNumberFormat="1" applyBorder="1"/>
    <xf numFmtId="0" fontId="0" fillId="0" borderId="5" xfId="0" applyFont="1" applyFill="1" applyBorder="1"/>
    <xf numFmtId="0" fontId="1" fillId="0" borderId="5" xfId="0" applyFont="1" applyFill="1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0" fontId="0" fillId="0" borderId="2" xfId="0" applyFont="1" applyFill="1" applyBorder="1"/>
    <xf numFmtId="0" fontId="12" fillId="0" borderId="0" xfId="0" applyFont="1" applyFill="1" applyBorder="1"/>
    <xf numFmtId="0" fontId="0" fillId="0" borderId="0" xfId="0" applyAlignment="1">
      <alignment horizontal="center"/>
    </xf>
    <xf numFmtId="2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11" fillId="2" borderId="7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3" fillId="0" borderId="8" xfId="0" applyNumberFormat="1" applyFont="1" applyBorder="1" applyAlignment="1">
      <alignment horizontal="left"/>
    </xf>
    <xf numFmtId="0" fontId="0" fillId="8" borderId="1" xfId="0" applyFill="1" applyBorder="1"/>
    <xf numFmtId="0" fontId="0" fillId="8" borderId="7" xfId="0" applyFill="1" applyBorder="1"/>
    <xf numFmtId="0" fontId="0" fillId="8" borderId="4" xfId="0" applyFill="1" applyBorder="1"/>
    <xf numFmtId="0" fontId="0" fillId="8" borderId="10" xfId="0" applyFill="1" applyBorder="1"/>
    <xf numFmtId="0" fontId="0" fillId="8" borderId="9" xfId="0" applyFill="1" applyBorder="1" applyAlignment="1">
      <alignment horizontal="left"/>
    </xf>
    <xf numFmtId="0" fontId="0" fillId="8" borderId="9" xfId="0" applyFill="1" applyBorder="1"/>
    <xf numFmtId="0" fontId="13" fillId="8" borderId="9" xfId="0" applyFont="1" applyFill="1" applyBorder="1" applyAlignment="1">
      <alignment horizontal="center"/>
    </xf>
    <xf numFmtId="164" fontId="0" fillId="8" borderId="11" xfId="0" applyNumberForma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8" xfId="0" applyFill="1" applyBorder="1"/>
    <xf numFmtId="0" fontId="1" fillId="0" borderId="5" xfId="0" applyFont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9" fontId="0" fillId="0" borderId="8" xfId="0" applyNumberFormat="1" applyBorder="1" applyAlignment="1">
      <alignment horizontal="left"/>
    </xf>
    <xf numFmtId="170" fontId="0" fillId="0" borderId="0" xfId="0" applyNumberFormat="1"/>
    <xf numFmtId="0" fontId="0" fillId="0" borderId="13" xfId="0" applyFill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2" xfId="0" applyNumberFormat="1" applyBorder="1" applyAlignment="1">
      <alignment horizontal="left"/>
    </xf>
    <xf numFmtId="49" fontId="1" fillId="0" borderId="0" xfId="0" applyNumberFormat="1" applyFont="1" applyAlignment="1">
      <alignment horizontal="left"/>
    </xf>
    <xf numFmtId="17" fontId="0" fillId="0" borderId="0" xfId="0" applyNumberFormat="1"/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164" fontId="0" fillId="0" borderId="14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0" fillId="2" borderId="3" xfId="0" applyFill="1" applyBorder="1"/>
    <xf numFmtId="0" fontId="19" fillId="0" borderId="0" xfId="0" applyFont="1" applyFill="1" applyBorder="1"/>
    <xf numFmtId="0" fontId="0" fillId="0" borderId="0" xfId="0" applyAlignment="1">
      <alignment horizontal="center"/>
    </xf>
    <xf numFmtId="164" fontId="13" fillId="0" borderId="8" xfId="0" applyNumberFormat="1" applyFont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0" fillId="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3" fillId="0" borderId="8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/>
    <xf numFmtId="0" fontId="1" fillId="0" borderId="7" xfId="0" applyFont="1" applyFill="1" applyBorder="1"/>
    <xf numFmtId="164" fontId="1" fillId="0" borderId="8" xfId="0" applyNumberFormat="1" applyFont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0" fillId="0" borderId="6" xfId="0" applyNumberForma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9" fillId="2" borderId="2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16" fillId="0" borderId="8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/>
    <xf numFmtId="0" fontId="13" fillId="0" borderId="0" xfId="0" applyFont="1" applyAlignment="1"/>
    <xf numFmtId="0" fontId="0" fillId="0" borderId="0" xfId="0" applyBorder="1" applyAlignment="1">
      <alignment horizontal="left" indent="1"/>
    </xf>
    <xf numFmtId="0" fontId="6" fillId="0" borderId="8" xfId="0" applyFont="1" applyBorder="1" applyAlignment="1">
      <alignment horizontal="left"/>
    </xf>
    <xf numFmtId="0" fontId="13" fillId="0" borderId="8" xfId="0" applyFont="1" applyBorder="1" applyAlignme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7" fillId="0" borderId="8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3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 applyAlignment="1"/>
    <xf numFmtId="14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 applyBorder="1" applyAlignment="1">
      <alignment horizontal="center"/>
    </xf>
    <xf numFmtId="164" fontId="0" fillId="2" borderId="8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center"/>
    </xf>
    <xf numFmtId="0" fontId="20" fillId="0" borderId="0" xfId="0" applyFont="1" applyFill="1" applyBorder="1"/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/>
    <xf numFmtId="49" fontId="0" fillId="0" borderId="0" xfId="0" applyNumberFormat="1" applyFill="1" applyBorder="1"/>
    <xf numFmtId="49" fontId="1" fillId="0" borderId="0" xfId="0" applyNumberFormat="1" applyFont="1" applyBorder="1"/>
    <xf numFmtId="49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Border="1" applyAlignment="1">
      <alignment horizontal="center"/>
    </xf>
    <xf numFmtId="171" fontId="0" fillId="0" borderId="0" xfId="0" applyNumberFormat="1" applyAlignment="1">
      <alignment horizontal="left"/>
    </xf>
    <xf numFmtId="0" fontId="1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164" fontId="0" fillId="6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wrapText="1"/>
    </xf>
    <xf numFmtId="0" fontId="0" fillId="3" borderId="0" xfId="0" applyFill="1" applyBorder="1" applyAlignment="1">
      <alignment horizontal="left"/>
    </xf>
    <xf numFmtId="164" fontId="0" fillId="3" borderId="8" xfId="0" applyNumberFormat="1" applyFill="1" applyBorder="1" applyAlignment="1">
      <alignment horizontal="left"/>
    </xf>
    <xf numFmtId="0" fontId="1" fillId="9" borderId="0" xfId="0" applyFont="1" applyFill="1" applyBorder="1"/>
    <xf numFmtId="0" fontId="0" fillId="9" borderId="0" xfId="0" applyFill="1" applyBorder="1"/>
    <xf numFmtId="165" fontId="0" fillId="0" borderId="8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15" xfId="0" applyFont="1" applyBorder="1"/>
    <xf numFmtId="0" fontId="0" fillId="0" borderId="16" xfId="0" applyFont="1" applyFill="1" applyBorder="1" applyAlignment="1">
      <alignment horizontal="left"/>
    </xf>
    <xf numFmtId="0" fontId="1" fillId="0" borderId="16" xfId="0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164" fontId="0" fillId="0" borderId="17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1" fillId="0" borderId="0" xfId="0" applyFont="1" applyBorder="1" applyAlignment="1">
      <alignment vertical="center" wrapText="1"/>
    </xf>
    <xf numFmtId="164" fontId="0" fillId="2" borderId="8" xfId="0" applyNumberFormat="1" applyFont="1" applyFill="1" applyBorder="1" applyAlignment="1">
      <alignment horizontal="left"/>
    </xf>
    <xf numFmtId="0" fontId="0" fillId="0" borderId="15" xfId="0" applyBorder="1"/>
    <xf numFmtId="0" fontId="0" fillId="0" borderId="16" xfId="0" applyFill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13" fillId="0" borderId="0" xfId="0" applyFont="1" applyBorder="1"/>
    <xf numFmtId="164" fontId="0" fillId="0" borderId="8" xfId="0" applyNumberFormat="1" applyBorder="1"/>
    <xf numFmtId="0" fontId="13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/>
    <xf numFmtId="0" fontId="19" fillId="0" borderId="0" xfId="0" applyFont="1" applyBorder="1"/>
    <xf numFmtId="164" fontId="0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/>
    <xf numFmtId="0" fontId="17" fillId="0" borderId="2" xfId="0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Fill="1" applyBorder="1" applyAlignment="1">
      <alignment horizontal="left"/>
    </xf>
    <xf numFmtId="0" fontId="1" fillId="0" borderId="19" xfId="0" applyFont="1" applyFill="1" applyBorder="1"/>
    <xf numFmtId="0" fontId="1" fillId="0" borderId="19" xfId="0" applyFont="1" applyBorder="1"/>
    <xf numFmtId="0" fontId="0" fillId="0" borderId="19" xfId="0" applyBorder="1"/>
    <xf numFmtId="0" fontId="0" fillId="0" borderId="19" xfId="0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0" fillId="0" borderId="2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25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6" fillId="0" borderId="0" xfId="0" applyFont="1" applyBorder="1"/>
    <xf numFmtId="164" fontId="0" fillId="0" borderId="6" xfId="0" applyNumberFormat="1" applyBorder="1"/>
    <xf numFmtId="0" fontId="10" fillId="0" borderId="0" xfId="0" applyFont="1" applyBorder="1"/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/>
    <xf numFmtId="0" fontId="0" fillId="0" borderId="23" xfId="0" applyFill="1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164" fontId="0" fillId="0" borderId="23" xfId="0" applyNumberFormat="1" applyBorder="1" applyAlignment="1">
      <alignment horizontal="left"/>
    </xf>
    <xf numFmtId="0" fontId="0" fillId="0" borderId="24" xfId="0" applyBorder="1"/>
    <xf numFmtId="0" fontId="0" fillId="0" borderId="0" xfId="0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/>
    <xf numFmtId="0" fontId="13" fillId="0" borderId="26" xfId="0" applyFont="1" applyBorder="1" applyAlignment="1">
      <alignment horizontal="right"/>
    </xf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left"/>
    </xf>
    <xf numFmtId="0" fontId="13" fillId="0" borderId="26" xfId="0" applyFont="1" applyBorder="1" applyAlignment="1">
      <alignment horizontal="center" vertical="center"/>
    </xf>
    <xf numFmtId="0" fontId="1" fillId="0" borderId="26" xfId="0" applyFont="1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6" xfId="0" applyFont="1" applyBorder="1"/>
    <xf numFmtId="0" fontId="13" fillId="0" borderId="26" xfId="0" applyFont="1" applyBorder="1"/>
    <xf numFmtId="0" fontId="1" fillId="0" borderId="26" xfId="0" applyFont="1" applyFill="1" applyBorder="1"/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2" xfId="0" applyFill="1" applyBorder="1"/>
    <xf numFmtId="0" fontId="0" fillId="0" borderId="0" xfId="0" applyAlignment="1">
      <alignment horizontal="center"/>
    </xf>
    <xf numFmtId="0" fontId="8" fillId="0" borderId="7" xfId="0" applyFont="1" applyBorder="1"/>
    <xf numFmtId="0" fontId="8" fillId="0" borderId="0" xfId="0" applyFont="1" applyBorder="1"/>
    <xf numFmtId="0" fontId="6" fillId="0" borderId="7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5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0" xfId="0" applyAlignment="1">
      <alignment horizontal="center"/>
    </xf>
    <xf numFmtId="165" fontId="0" fillId="0" borderId="8" xfId="0" applyNumberFormat="1" applyBorder="1"/>
    <xf numFmtId="0" fontId="13" fillId="0" borderId="8" xfId="0" applyFont="1" applyBorder="1"/>
    <xf numFmtId="0" fontId="1" fillId="0" borderId="8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0" fillId="2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 applyAlignment="1">
      <alignment horizontal="lef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3" fillId="0" borderId="0" xfId="0" applyFont="1" applyFill="1" applyBorder="1" applyAlignment="1"/>
    <xf numFmtId="164" fontId="1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4" fontId="13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0" borderId="0" xfId="0" applyNumberFormat="1" applyFill="1"/>
    <xf numFmtId="0" fontId="6" fillId="0" borderId="0" xfId="0" applyFont="1" applyFill="1"/>
    <xf numFmtId="2" fontId="1" fillId="0" borderId="0" xfId="0" applyNumberFormat="1" applyFont="1" applyFill="1" applyBorder="1"/>
    <xf numFmtId="164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Alignment="1"/>
    <xf numFmtId="0" fontId="0" fillId="0" borderId="0" xfId="0" applyFill="1" applyAlignment="1"/>
    <xf numFmtId="2" fontId="13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6" fillId="0" borderId="0" xfId="0" applyFont="1" applyAlignment="1">
      <alignment horizontal="center"/>
    </xf>
    <xf numFmtId="49" fontId="0" fillId="3" borderId="0" xfId="0" applyNumberFormat="1" applyFill="1" applyAlignment="1">
      <alignment horizontal="center"/>
    </xf>
    <xf numFmtId="49" fontId="7" fillId="0" borderId="0" xfId="0" applyNumberFormat="1" applyFont="1" applyAlignment="1">
      <alignment horizontal="center"/>
    </xf>
    <xf numFmtId="0" fontId="1" fillId="3" borderId="0" xfId="0" applyFont="1" applyFill="1"/>
    <xf numFmtId="0" fontId="13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8" fillId="0" borderId="0" xfId="0" applyFont="1" applyBorder="1"/>
    <xf numFmtId="0" fontId="13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0" xfId="0" applyFont="1" applyAlignment="1">
      <alignment horizontal="left" indent="1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164" fontId="0" fillId="0" borderId="27" xfId="0" applyNumberFormat="1" applyBorder="1" applyAlignment="1">
      <alignment horizontal="left"/>
    </xf>
    <xf numFmtId="164" fontId="0" fillId="2" borderId="27" xfId="0" applyNumberFormat="1" applyFill="1" applyBorder="1" applyAlignment="1">
      <alignment horizontal="left"/>
    </xf>
    <xf numFmtId="0" fontId="0" fillId="0" borderId="27" xfId="0" applyBorder="1" applyAlignment="1">
      <alignment horizontal="center"/>
    </xf>
    <xf numFmtId="49" fontId="0" fillId="0" borderId="29" xfId="0" applyNumberFormat="1" applyFill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30" xfId="0" applyNumberFormat="1" applyBorder="1"/>
    <xf numFmtId="0" fontId="1" fillId="0" borderId="27" xfId="0" applyFont="1" applyBorder="1"/>
    <xf numFmtId="0" fontId="1" fillId="0" borderId="27" xfId="0" applyFont="1" applyBorder="1" applyAlignment="1">
      <alignment horizontal="center"/>
    </xf>
    <xf numFmtId="164" fontId="0" fillId="0" borderId="27" xfId="0" applyNumberFormat="1" applyFill="1" applyBorder="1" applyAlignment="1">
      <alignment horizontal="left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164" fontId="0" fillId="0" borderId="28" xfId="0" applyNumberForma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Border="1"/>
    <xf numFmtId="0" fontId="7" fillId="0" borderId="0" xfId="0" applyFont="1" applyBorder="1" applyAlignment="1">
      <alignment horizontal="right"/>
    </xf>
    <xf numFmtId="0" fontId="0" fillId="0" borderId="31" xfId="0" applyBorder="1"/>
    <xf numFmtId="164" fontId="0" fillId="2" borderId="30" xfId="0" applyNumberFormat="1" applyFill="1" applyBorder="1" applyAlignment="1">
      <alignment horizontal="left"/>
    </xf>
    <xf numFmtId="0" fontId="0" fillId="0" borderId="29" xfId="0" applyBorder="1" applyAlignment="1">
      <alignment horizontal="center"/>
    </xf>
    <xf numFmtId="164" fontId="0" fillId="0" borderId="29" xfId="0" applyNumberFormat="1" applyBorder="1" applyAlignment="1">
      <alignment horizontal="left"/>
    </xf>
    <xf numFmtId="0" fontId="0" fillId="0" borderId="30" xfId="0" applyBorder="1"/>
    <xf numFmtId="164" fontId="0" fillId="0" borderId="2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0" fillId="0" borderId="16" xfId="0" applyFont="1" applyBorder="1"/>
    <xf numFmtId="164" fontId="31" fillId="0" borderId="0" xfId="2" applyNumberFormat="1" applyAlignment="1">
      <alignment horizontal="left"/>
    </xf>
    <xf numFmtId="0" fontId="1" fillId="0" borderId="0" xfId="2" applyFont="1" applyAlignment="1">
      <alignment horizontal="center"/>
    </xf>
    <xf numFmtId="0" fontId="1" fillId="0" borderId="0" xfId="2" applyFont="1"/>
    <xf numFmtId="0" fontId="17" fillId="0" borderId="0" xfId="2" applyFont="1" applyAlignment="1">
      <alignment horizontal="center"/>
    </xf>
    <xf numFmtId="164" fontId="31" fillId="0" borderId="0" xfId="2" applyNumberFormat="1" applyBorder="1" applyAlignment="1">
      <alignment horizontal="left"/>
    </xf>
    <xf numFmtId="0" fontId="31" fillId="0" borderId="0" xfId="2" applyBorder="1" applyAlignment="1">
      <alignment horizontal="center"/>
    </xf>
    <xf numFmtId="0" fontId="31" fillId="0" borderId="0" xfId="2" applyBorder="1"/>
    <xf numFmtId="0" fontId="1" fillId="0" borderId="0" xfId="2" applyFont="1" applyBorder="1"/>
    <xf numFmtId="0" fontId="17" fillId="0" borderId="0" xfId="2" applyFont="1" applyBorder="1" applyAlignment="1">
      <alignment horizontal="center"/>
    </xf>
    <xf numFmtId="0" fontId="31" fillId="0" borderId="0" xfId="2" applyFill="1" applyBorder="1"/>
    <xf numFmtId="0" fontId="1" fillId="0" borderId="0" xfId="2" applyFont="1" applyBorder="1" applyAlignment="1"/>
    <xf numFmtId="0" fontId="22" fillId="0" borderId="0" xfId="2" applyFont="1" applyBorder="1"/>
    <xf numFmtId="0" fontId="12" fillId="0" borderId="0" xfId="2" applyFont="1" applyBorder="1" applyAlignment="1">
      <alignment horizontal="center"/>
    </xf>
    <xf numFmtId="0" fontId="12" fillId="0" borderId="0" xfId="2" applyFont="1" applyBorder="1"/>
    <xf numFmtId="0" fontId="1" fillId="2" borderId="3" xfId="2" applyFont="1" applyFill="1" applyBorder="1"/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9" xfId="0" applyFont="1" applyBorder="1"/>
    <xf numFmtId="49" fontId="0" fillId="0" borderId="32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/>
    </xf>
    <xf numFmtId="49" fontId="0" fillId="2" borderId="33" xfId="0" applyNumberFormat="1" applyFill="1" applyBorder="1" applyAlignment="1">
      <alignment horizontal="center"/>
    </xf>
    <xf numFmtId="0" fontId="33" fillId="0" borderId="0" xfId="0" applyFont="1" applyBorder="1"/>
    <xf numFmtId="0" fontId="0" fillId="2" borderId="27" xfId="0" applyFill="1" applyBorder="1"/>
    <xf numFmtId="0" fontId="0" fillId="2" borderId="30" xfId="0" applyFill="1" applyBorder="1" applyAlignment="1">
      <alignment horizontal="left" vertical="center"/>
    </xf>
    <xf numFmtId="49" fontId="0" fillId="0" borderId="34" xfId="0" applyNumberFormat="1" applyFill="1" applyBorder="1" applyAlignment="1">
      <alignment horizontal="left"/>
    </xf>
    <xf numFmtId="164" fontId="13" fillId="0" borderId="0" xfId="0" applyNumberFormat="1" applyFont="1" applyAlignment="1">
      <alignment horizontal="center"/>
    </xf>
    <xf numFmtId="0" fontId="0" fillId="0" borderId="27" xfId="0" applyFill="1" applyBorder="1"/>
    <xf numFmtId="164" fontId="0" fillId="0" borderId="27" xfId="0" applyNumberFormat="1" applyBorder="1" applyAlignment="1">
      <alignment horizontal="left" vertical="center"/>
    </xf>
    <xf numFmtId="49" fontId="34" fillId="0" borderId="0" xfId="0" applyNumberFormat="1" applyFont="1" applyFill="1" applyAlignment="1">
      <alignment horizontal="center"/>
    </xf>
    <xf numFmtId="164" fontId="0" fillId="0" borderId="27" xfId="0" applyNumberFormat="1" applyBorder="1"/>
    <xf numFmtId="0" fontId="10" fillId="0" borderId="0" xfId="0" applyFont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0" fillId="0" borderId="0" xfId="0" applyAlignment="1"/>
    <xf numFmtId="2" fontId="0" fillId="0" borderId="27" xfId="0" applyNumberFormat="1" applyFill="1" applyBorder="1"/>
    <xf numFmtId="2" fontId="0" fillId="0" borderId="27" xfId="0" applyNumberFormat="1" applyBorder="1"/>
    <xf numFmtId="49" fontId="0" fillId="3" borderId="0" xfId="0" applyNumberFormat="1" applyFill="1"/>
    <xf numFmtId="0" fontId="0" fillId="3" borderId="27" xfId="0" applyFill="1" applyBorder="1"/>
    <xf numFmtId="0" fontId="13" fillId="0" borderId="27" xfId="0" applyFont="1" applyBorder="1" applyAlignment="1">
      <alignment horizontal="left"/>
    </xf>
    <xf numFmtId="49" fontId="0" fillId="0" borderId="27" xfId="0" applyNumberFormat="1" applyBorder="1" applyAlignment="1">
      <alignment horizontal="center"/>
    </xf>
    <xf numFmtId="0" fontId="13" fillId="0" borderId="0" xfId="0" applyFont="1" applyFill="1"/>
    <xf numFmtId="164" fontId="0" fillId="8" borderId="0" xfId="0" applyNumberForma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12" fillId="8" borderId="0" xfId="0" applyFont="1" applyFill="1"/>
    <xf numFmtId="0" fontId="2" fillId="3" borderId="0" xfId="0" applyFont="1" applyFill="1"/>
    <xf numFmtId="0" fontId="1" fillId="5" borderId="0" xfId="0" applyFont="1" applyFill="1" applyAlignment="1">
      <alignment horizontal="left"/>
    </xf>
    <xf numFmtId="0" fontId="0" fillId="0" borderId="35" xfId="0" applyBorder="1"/>
    <xf numFmtId="164" fontId="0" fillId="0" borderId="36" xfId="0" applyNumberFormat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2" fontId="0" fillId="0" borderId="0" xfId="0" applyNumberFormat="1"/>
    <xf numFmtId="173" fontId="0" fillId="0" borderId="0" xfId="0" applyNumberFormat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/>
    <xf numFmtId="0" fontId="1" fillId="0" borderId="35" xfId="0" applyFont="1" applyBorder="1"/>
    <xf numFmtId="0" fontId="13" fillId="0" borderId="2" xfId="0" applyFont="1" applyFill="1" applyBorder="1"/>
    <xf numFmtId="0" fontId="0" fillId="2" borderId="0" xfId="0" applyFill="1" applyBorder="1" applyAlignment="1">
      <alignment horizontal="center"/>
    </xf>
    <xf numFmtId="0" fontId="0" fillId="0" borderId="35" xfId="0" applyFill="1" applyBorder="1"/>
    <xf numFmtId="1" fontId="0" fillId="0" borderId="0" xfId="0" applyNumberFormat="1" applyBorder="1" applyAlignment="1">
      <alignment horizontal="left"/>
    </xf>
    <xf numFmtId="0" fontId="1" fillId="0" borderId="35" xfId="0" applyFont="1" applyFill="1" applyBorder="1"/>
    <xf numFmtId="0" fontId="11" fillId="0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7" xfId="0" applyBorder="1"/>
    <xf numFmtId="0" fontId="1" fillId="0" borderId="26" xfId="0" applyFont="1" applyBorder="1" applyProtection="1"/>
    <xf numFmtId="0" fontId="1" fillId="0" borderId="7" xfId="0" applyFont="1" applyFill="1" applyBorder="1" applyAlignment="1">
      <alignment horizontal="center"/>
    </xf>
    <xf numFmtId="164" fontId="0" fillId="0" borderId="35" xfId="0" applyNumberFormat="1" applyBorder="1"/>
    <xf numFmtId="0" fontId="1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35" xfId="0" applyFill="1" applyBorder="1"/>
    <xf numFmtId="164" fontId="0" fillId="0" borderId="35" xfId="0" applyNumberFormat="1" applyBorder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35" fillId="0" borderId="0" xfId="0" applyFont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7" xfId="0" applyBorder="1" applyAlignment="1">
      <alignment horizontal="left"/>
    </xf>
    <xf numFmtId="0" fontId="0" fillId="0" borderId="48" xfId="0" applyBorder="1"/>
    <xf numFmtId="0" fontId="0" fillId="0" borderId="45" xfId="0" applyBorder="1"/>
    <xf numFmtId="0" fontId="6" fillId="0" borderId="3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" fillId="0" borderId="45" xfId="0" applyFont="1" applyBorder="1"/>
    <xf numFmtId="174" fontId="0" fillId="0" borderId="31" xfId="0" applyNumberFormat="1" applyBorder="1"/>
    <xf numFmtId="174" fontId="0" fillId="0" borderId="26" xfId="0" applyNumberFormat="1" applyBorder="1"/>
    <xf numFmtId="174" fontId="0" fillId="0" borderId="37" xfId="0" applyNumberFormat="1" applyBorder="1"/>
    <xf numFmtId="0" fontId="1" fillId="0" borderId="34" xfId="0" applyFont="1" applyBorder="1"/>
    <xf numFmtId="0" fontId="0" fillId="0" borderId="49" xfId="0" applyBorder="1"/>
    <xf numFmtId="174" fontId="0" fillId="0" borderId="38" xfId="0" applyNumberFormat="1" applyBorder="1"/>
    <xf numFmtId="174" fontId="0" fillId="0" borderId="51" xfId="0" applyNumberFormat="1" applyBorder="1"/>
    <xf numFmtId="174" fontId="0" fillId="0" borderId="11" xfId="0" applyNumberFormat="1" applyBorder="1"/>
    <xf numFmtId="0" fontId="17" fillId="0" borderId="54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164" fontId="0" fillId="0" borderId="26" xfId="0" applyNumberFormat="1" applyBorder="1"/>
    <xf numFmtId="0" fontId="0" fillId="0" borderId="43" xfId="0" applyBorder="1" applyAlignment="1">
      <alignment wrapText="1"/>
    </xf>
    <xf numFmtId="164" fontId="0" fillId="0" borderId="26" xfId="0" applyNumberFormat="1" applyBorder="1" applyAlignment="1">
      <alignment horizontal="left" vertical="center"/>
    </xf>
    <xf numFmtId="164" fontId="0" fillId="0" borderId="26" xfId="0" applyNumberFormat="1" applyBorder="1" applyAlignment="1">
      <alignment horizontal="right" vertical="center"/>
    </xf>
    <xf numFmtId="0" fontId="0" fillId="0" borderId="42" xfId="0" applyBorder="1" applyAlignment="1">
      <alignment horizontal="left" vertical="center"/>
    </xf>
    <xf numFmtId="0" fontId="0" fillId="0" borderId="40" xfId="0" applyBorder="1" applyAlignment="1">
      <alignment horizontal="left"/>
    </xf>
    <xf numFmtId="164" fontId="0" fillId="0" borderId="40" xfId="0" applyNumberFormat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42" xfId="0" applyBorder="1" applyAlignment="1">
      <alignment vertical="center"/>
    </xf>
    <xf numFmtId="0" fontId="0" fillId="0" borderId="0" xfId="0" applyAlignment="1">
      <alignment horizontal="center"/>
    </xf>
    <xf numFmtId="164" fontId="17" fillId="0" borderId="0" xfId="0" applyNumberFormat="1" applyFont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29" xfId="0" applyFont="1" applyFill="1" applyBorder="1"/>
    <xf numFmtId="164" fontId="0" fillId="0" borderId="29" xfId="0" applyNumberFormat="1" applyFill="1" applyBorder="1" applyAlignment="1">
      <alignment horizontal="left"/>
    </xf>
    <xf numFmtId="0" fontId="0" fillId="0" borderId="28" xfId="0" applyFill="1" applyBorder="1"/>
    <xf numFmtId="164" fontId="1" fillId="0" borderId="0" xfId="2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0" xfId="2" applyFont="1" applyBorder="1"/>
    <xf numFmtId="0" fontId="0" fillId="0" borderId="0" xfId="0" applyAlignment="1">
      <alignment horizontal="center"/>
    </xf>
    <xf numFmtId="0" fontId="22" fillId="0" borderId="29" xfId="2" applyFont="1" applyBorder="1"/>
    <xf numFmtId="164" fontId="13" fillId="0" borderId="0" xfId="2" applyNumberFormat="1" applyFont="1" applyBorder="1" applyAlignment="1">
      <alignment horizontal="left"/>
    </xf>
    <xf numFmtId="0" fontId="12" fillId="0" borderId="0" xfId="2" applyFont="1" applyAlignment="1">
      <alignment horizontal="center"/>
    </xf>
    <xf numFmtId="0" fontId="32" fillId="2" borderId="30" xfId="2" applyFont="1" applyFill="1" applyBorder="1"/>
    <xf numFmtId="0" fontId="36" fillId="0" borderId="0" xfId="0" applyFont="1" applyFill="1" applyBorder="1"/>
    <xf numFmtId="0" fontId="7" fillId="0" borderId="0" xfId="0" applyFont="1" applyAlignment="1">
      <alignment horizontal="center"/>
    </xf>
    <xf numFmtId="0" fontId="1" fillId="0" borderId="0" xfId="2" applyFont="1" applyFill="1" applyBorder="1"/>
    <xf numFmtId="0" fontId="1" fillId="0" borderId="29" xfId="2" applyFont="1" applyBorder="1"/>
    <xf numFmtId="0" fontId="22" fillId="0" borderId="0" xfId="2" applyFont="1"/>
    <xf numFmtId="0" fontId="3" fillId="0" borderId="0" xfId="2" applyFont="1"/>
    <xf numFmtId="0" fontId="0" fillId="0" borderId="0" xfId="0" applyAlignment="1">
      <alignment horizontal="center"/>
    </xf>
    <xf numFmtId="164" fontId="13" fillId="0" borderId="0" xfId="2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2" applyFont="1" applyFill="1"/>
    <xf numFmtId="0" fontId="2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7" xfId="0" applyFont="1" applyFill="1" applyBorder="1"/>
    <xf numFmtId="0" fontId="3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0" fillId="0" borderId="29" xfId="0" applyFont="1" applyBorder="1"/>
    <xf numFmtId="0" fontId="0" fillId="0" borderId="0" xfId="0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3" fillId="0" borderId="38" xfId="0" applyNumberFormat="1" applyFont="1" applyBorder="1" applyAlignment="1">
      <alignment horizontal="center"/>
    </xf>
    <xf numFmtId="164" fontId="0" fillId="0" borderId="55" xfId="0" applyNumberFormat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49" fontId="1" fillId="0" borderId="0" xfId="0" applyNumberFormat="1" applyFont="1" applyAlignment="1">
      <alignment horizontal="left" indent="1"/>
    </xf>
    <xf numFmtId="0" fontId="0" fillId="2" borderId="30" xfId="0" applyFill="1" applyBorder="1"/>
    <xf numFmtId="0" fontId="38" fillId="0" borderId="0" xfId="3" applyAlignment="1">
      <alignment horizontal="left"/>
    </xf>
    <xf numFmtId="0" fontId="39" fillId="0" borderId="0" xfId="2" applyFont="1"/>
    <xf numFmtId="0" fontId="19" fillId="0" borderId="0" xfId="2" applyFont="1"/>
    <xf numFmtId="0" fontId="0" fillId="0" borderId="0" xfId="2" applyFont="1" applyAlignment="1">
      <alignment horizontal="center"/>
    </xf>
    <xf numFmtId="164" fontId="13" fillId="0" borderId="29" xfId="2" applyNumberFormat="1" applyFont="1" applyBorder="1" applyAlignment="1">
      <alignment horizontal="left"/>
    </xf>
    <xf numFmtId="164" fontId="22" fillId="0" borderId="0" xfId="2" applyNumberFormat="1" applyFont="1" applyBorder="1" applyAlignment="1">
      <alignment horizontal="left"/>
    </xf>
    <xf numFmtId="164" fontId="22" fillId="0" borderId="29" xfId="2" applyNumberFormat="1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0" fontId="22" fillId="0" borderId="0" xfId="2" applyFont="1" applyFill="1"/>
    <xf numFmtId="0" fontId="1" fillId="0" borderId="0" xfId="0" applyFont="1" applyAlignment="1">
      <alignment vertical="center"/>
    </xf>
    <xf numFmtId="164" fontId="22" fillId="0" borderId="0" xfId="2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164" fontId="22" fillId="0" borderId="0" xfId="2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1" fillId="0" borderId="0" xfId="2" applyFont="1" applyAlignment="1">
      <alignment horizontal="left" indent="1"/>
    </xf>
    <xf numFmtId="0" fontId="13" fillId="0" borderId="0" xfId="2" applyFont="1" applyFill="1"/>
    <xf numFmtId="0" fontId="31" fillId="0" borderId="0" xfId="2" applyFill="1" applyAlignment="1">
      <alignment horizontal="right"/>
    </xf>
    <xf numFmtId="164" fontId="31" fillId="0" borderId="0" xfId="2" applyNumberFormat="1" applyFill="1" applyAlignment="1">
      <alignment horizontal="center" vertical="center"/>
    </xf>
    <xf numFmtId="164" fontId="31" fillId="0" borderId="0" xfId="2" applyNumberFormat="1" applyAlignment="1">
      <alignment horizontal="center"/>
    </xf>
    <xf numFmtId="164" fontId="1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31" fillId="0" borderId="0" xfId="2" applyNumberFormat="1" applyFill="1" applyAlignment="1">
      <alignment horizontal="left" vertical="center"/>
    </xf>
    <xf numFmtId="164" fontId="0" fillId="0" borderId="0" xfId="0" applyNumberFormat="1" applyFill="1"/>
    <xf numFmtId="164" fontId="0" fillId="0" borderId="0" xfId="0" applyNumberFormat="1" applyFill="1" applyBorder="1" applyAlignment="1">
      <alignment horizontal="center"/>
    </xf>
    <xf numFmtId="164" fontId="0" fillId="0" borderId="29" xfId="0" applyNumberFormat="1" applyBorder="1"/>
    <xf numFmtId="164" fontId="0" fillId="0" borderId="0" xfId="0" applyNumberFormat="1" applyFill="1" applyBorder="1"/>
    <xf numFmtId="164" fontId="0" fillId="0" borderId="2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 applyAlignment="1">
      <alignment horizontal="center"/>
    </xf>
    <xf numFmtId="164" fontId="40" fillId="0" borderId="0" xfId="2" applyNumberFormat="1" applyFont="1" applyAlignment="1">
      <alignment horizontal="left"/>
    </xf>
    <xf numFmtId="0" fontId="13" fillId="0" borderId="0" xfId="2" applyFont="1"/>
    <xf numFmtId="0" fontId="0" fillId="0" borderId="0" xfId="0" applyAlignment="1">
      <alignment horizontal="center"/>
    </xf>
    <xf numFmtId="0" fontId="19" fillId="0" borderId="0" xfId="2" applyFont="1" applyFill="1"/>
    <xf numFmtId="0" fontId="39" fillId="0" borderId="0" xfId="2" applyFont="1" applyFill="1"/>
    <xf numFmtId="0" fontId="0" fillId="0" borderId="0" xfId="2" applyFont="1" applyFill="1"/>
    <xf numFmtId="0" fontId="17" fillId="0" borderId="0" xfId="0" applyFont="1" applyFill="1" applyBorder="1"/>
    <xf numFmtId="164" fontId="13" fillId="0" borderId="0" xfId="0" applyNumberFormat="1" applyFont="1" applyFill="1" applyBorder="1" applyAlignment="1">
      <alignment horizontal="left"/>
    </xf>
    <xf numFmtId="0" fontId="22" fillId="3" borderId="0" xfId="2" applyFont="1" applyFill="1"/>
    <xf numFmtId="0" fontId="22" fillId="0" borderId="1" xfId="2" applyFont="1" applyBorder="1"/>
    <xf numFmtId="0" fontId="22" fillId="0" borderId="2" xfId="2" applyFont="1" applyBorder="1"/>
    <xf numFmtId="0" fontId="22" fillId="0" borderId="2" xfId="2" applyFont="1" applyBorder="1" applyAlignment="1">
      <alignment horizontal="center"/>
    </xf>
    <xf numFmtId="164" fontId="22" fillId="0" borderId="2" xfId="2" applyNumberFormat="1" applyFont="1" applyBorder="1" applyAlignment="1">
      <alignment horizontal="left"/>
    </xf>
    <xf numFmtId="0" fontId="22" fillId="0" borderId="3" xfId="2" applyFont="1" applyBorder="1"/>
    <xf numFmtId="164" fontId="22" fillId="0" borderId="0" xfId="2" applyNumberFormat="1" applyFont="1" applyFill="1" applyAlignment="1">
      <alignment horizontal="center"/>
    </xf>
    <xf numFmtId="164" fontId="22" fillId="0" borderId="0" xfId="2" applyNumberFormat="1" applyFont="1" applyAlignment="1">
      <alignment horizontal="center"/>
    </xf>
    <xf numFmtId="0" fontId="22" fillId="0" borderId="7" xfId="2" applyFont="1" applyBorder="1"/>
    <xf numFmtId="0" fontId="22" fillId="0" borderId="0" xfId="2" applyFont="1" applyBorder="1" applyAlignment="1">
      <alignment horizontal="center"/>
    </xf>
    <xf numFmtId="0" fontId="22" fillId="0" borderId="8" xfId="2" applyFont="1" applyBorder="1"/>
    <xf numFmtId="0" fontId="22" fillId="0" borderId="4" xfId="2" applyFont="1" applyBorder="1"/>
    <xf numFmtId="0" fontId="22" fillId="0" borderId="5" xfId="2" applyFont="1" applyBorder="1"/>
    <xf numFmtId="0" fontId="22" fillId="0" borderId="5" xfId="2" applyFont="1" applyBorder="1" applyAlignment="1">
      <alignment horizontal="center"/>
    </xf>
    <xf numFmtId="164" fontId="22" fillId="0" borderId="5" xfId="2" applyNumberFormat="1" applyFont="1" applyBorder="1" applyAlignment="1">
      <alignment horizontal="left"/>
    </xf>
    <xf numFmtId="0" fontId="22" fillId="0" borderId="6" xfId="2" applyFont="1" applyBorder="1"/>
    <xf numFmtId="0" fontId="22" fillId="0" borderId="0" xfId="2" applyFont="1" applyFill="1" applyBorder="1"/>
    <xf numFmtId="0" fontId="22" fillId="0" borderId="0" xfId="2" applyFont="1" applyFill="1" applyBorder="1" applyAlignment="1">
      <alignment horizontal="left"/>
    </xf>
    <xf numFmtId="0" fontId="22" fillId="0" borderId="0" xfId="2" applyFont="1" applyAlignment="1">
      <alignment horizontal="center"/>
    </xf>
    <xf numFmtId="0" fontId="19" fillId="2" borderId="3" xfId="2" applyFont="1" applyFill="1" applyBorder="1"/>
    <xf numFmtId="0" fontId="22" fillId="0" borderId="0" xfId="2" applyFont="1" applyAlignment="1">
      <alignment horizontal="center" vertical="center"/>
    </xf>
    <xf numFmtId="165" fontId="22" fillId="0" borderId="0" xfId="2" applyNumberFormat="1" applyFont="1" applyBorder="1" applyAlignment="1">
      <alignment horizontal="left"/>
    </xf>
    <xf numFmtId="1" fontId="22" fillId="0" borderId="0" xfId="2" applyNumberFormat="1" applyFont="1" applyFill="1"/>
    <xf numFmtId="1" fontId="22" fillId="0" borderId="0" xfId="2" applyNumberFormat="1" applyFont="1"/>
    <xf numFmtId="0" fontId="22" fillId="0" borderId="27" xfId="2" applyFont="1" applyBorder="1"/>
    <xf numFmtId="0" fontId="22" fillId="0" borderId="0" xfId="0" applyFont="1" applyFill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29" xfId="2" applyFont="1" applyBorder="1" applyAlignment="1">
      <alignment horizontal="center"/>
    </xf>
    <xf numFmtId="0" fontId="22" fillId="0" borderId="28" xfId="2" applyFont="1" applyBorder="1"/>
    <xf numFmtId="0" fontId="19" fillId="2" borderId="30" xfId="2" applyFont="1" applyFill="1" applyBorder="1"/>
    <xf numFmtId="165" fontId="22" fillId="0" borderId="0" xfId="2" applyNumberFormat="1" applyFont="1" applyAlignment="1">
      <alignment horizontal="left"/>
    </xf>
    <xf numFmtId="0" fontId="22" fillId="0" borderId="0" xfId="2" applyFont="1" applyFill="1" applyBorder="1" applyAlignment="1">
      <alignment horizontal="center"/>
    </xf>
    <xf numFmtId="0" fontId="22" fillId="0" borderId="27" xfId="2" applyFont="1" applyFill="1" applyBorder="1"/>
    <xf numFmtId="164" fontId="22" fillId="0" borderId="0" xfId="0" applyNumberFormat="1" applyFont="1" applyFill="1" applyBorder="1" applyAlignment="1">
      <alignment horizontal="left"/>
    </xf>
    <xf numFmtId="0" fontId="22" fillId="0" borderId="0" xfId="2" applyFont="1" applyFill="1" applyAlignment="1">
      <alignment horizontal="center"/>
    </xf>
    <xf numFmtId="164" fontId="22" fillId="0" borderId="0" xfId="2" applyNumberFormat="1" applyFont="1" applyFill="1" applyAlignment="1">
      <alignment horizontal="left"/>
    </xf>
    <xf numFmtId="0" fontId="22" fillId="0" borderId="0" xfId="0" applyFont="1" applyFill="1" applyBorder="1" applyAlignment="1">
      <alignment horizontal="center"/>
    </xf>
    <xf numFmtId="164" fontId="22" fillId="0" borderId="27" xfId="2" applyNumberFormat="1" applyFont="1" applyBorder="1"/>
    <xf numFmtId="0" fontId="16" fillId="0" borderId="0" xfId="2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164" fontId="22" fillId="0" borderId="0" xfId="0" applyNumberFormat="1" applyFont="1" applyAlignment="1">
      <alignment horizontal="left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4" fontId="22" fillId="0" borderId="0" xfId="2" applyNumberFormat="1" applyFont="1" applyFill="1" applyAlignment="1">
      <alignment horizontal="center" vertical="center"/>
    </xf>
    <xf numFmtId="0" fontId="22" fillId="0" borderId="0" xfId="2" applyFont="1" applyAlignment="1">
      <alignment horizontal="left" indent="1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19" fillId="0" borderId="0" xfId="2" applyFont="1" applyAlignment="1">
      <alignment horizontal="center"/>
    </xf>
    <xf numFmtId="164" fontId="19" fillId="0" borderId="0" xfId="2" applyNumberFormat="1" applyFont="1" applyFill="1" applyAlignment="1">
      <alignment horizontal="left"/>
    </xf>
    <xf numFmtId="0" fontId="42" fillId="0" borderId="0" xfId="2" applyFont="1" applyAlignment="1">
      <alignment horizontal="center"/>
    </xf>
    <xf numFmtId="164" fontId="19" fillId="0" borderId="0" xfId="2" applyNumberFormat="1" applyFont="1" applyFill="1" applyBorder="1" applyAlignment="1">
      <alignment horizontal="left"/>
    </xf>
    <xf numFmtId="164" fontId="22" fillId="6" borderId="0" xfId="2" applyNumberFormat="1" applyFont="1" applyFill="1" applyAlignment="1">
      <alignment horizontal="center" vertical="center"/>
    </xf>
    <xf numFmtId="0" fontId="19" fillId="0" borderId="0" xfId="2" applyFont="1" applyFill="1" applyAlignment="1">
      <alignment horizontal="center"/>
    </xf>
    <xf numFmtId="0" fontId="22" fillId="0" borderId="0" xfId="2" applyFont="1" applyFill="1" applyAlignment="1">
      <alignment horizontal="right"/>
    </xf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left"/>
    </xf>
    <xf numFmtId="164" fontId="19" fillId="0" borderId="0" xfId="2" applyNumberFormat="1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29" xfId="2" applyFont="1" applyBorder="1"/>
    <xf numFmtId="0" fontId="19" fillId="0" borderId="29" xfId="2" applyFont="1" applyBorder="1" applyAlignment="1">
      <alignment horizontal="center"/>
    </xf>
    <xf numFmtId="164" fontId="19" fillId="0" borderId="29" xfId="2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Fill="1" applyBorder="1"/>
    <xf numFmtId="164" fontId="22" fillId="0" borderId="27" xfId="0" applyNumberFormat="1" applyFont="1" applyFill="1" applyBorder="1" applyAlignment="1">
      <alignment horizontal="left"/>
    </xf>
    <xf numFmtId="49" fontId="22" fillId="0" borderId="29" xfId="0" applyNumberFormat="1" applyFont="1" applyFill="1" applyBorder="1" applyAlignment="1">
      <alignment horizontal="center"/>
    </xf>
    <xf numFmtId="0" fontId="22" fillId="0" borderId="29" xfId="0" applyFont="1" applyBorder="1"/>
    <xf numFmtId="0" fontId="22" fillId="0" borderId="29" xfId="0" applyFont="1" applyFill="1" applyBorder="1"/>
    <xf numFmtId="0" fontId="22" fillId="0" borderId="29" xfId="0" applyFont="1" applyFill="1" applyBorder="1" applyAlignment="1">
      <alignment horizontal="center"/>
    </xf>
    <xf numFmtId="164" fontId="22" fillId="0" borderId="29" xfId="0" applyNumberFormat="1" applyFont="1" applyFill="1" applyBorder="1" applyAlignment="1">
      <alignment horizontal="left"/>
    </xf>
    <xf numFmtId="164" fontId="22" fillId="0" borderId="28" xfId="0" applyNumberFormat="1" applyFont="1" applyFill="1" applyBorder="1" applyAlignment="1">
      <alignment horizontal="left"/>
    </xf>
    <xf numFmtId="0" fontId="22" fillId="0" borderId="29" xfId="0" applyFont="1" applyBorder="1" applyAlignment="1">
      <alignment horizontal="center"/>
    </xf>
    <xf numFmtId="164" fontId="22" fillId="0" borderId="29" xfId="0" applyNumberFormat="1" applyFont="1" applyBorder="1" applyAlignment="1">
      <alignment horizontal="left"/>
    </xf>
    <xf numFmtId="164" fontId="22" fillId="0" borderId="0" xfId="0" applyNumberFormat="1" applyFont="1" applyFill="1" applyAlignment="1">
      <alignment horizontal="left"/>
    </xf>
    <xf numFmtId="0" fontId="22" fillId="0" borderId="0" xfId="0" applyFont="1" applyAlignment="1">
      <alignment horizontal="left" indent="1"/>
    </xf>
    <xf numFmtId="0" fontId="22" fillId="0" borderId="0" xfId="0" applyFont="1" applyFill="1" applyBorder="1" applyAlignment="1">
      <alignment horizontal="left"/>
    </xf>
    <xf numFmtId="0" fontId="22" fillId="0" borderId="0" xfId="2" applyFont="1" applyAlignment="1">
      <alignment horizontal="left"/>
    </xf>
    <xf numFmtId="164" fontId="0" fillId="0" borderId="0" xfId="2" applyNumberFormat="1" applyFont="1" applyFill="1" applyAlignment="1">
      <alignment horizontal="center" vertical="center"/>
    </xf>
    <xf numFmtId="164" fontId="22" fillId="0" borderId="27" xfId="0" applyNumberFormat="1" applyFont="1" applyBorder="1" applyAlignment="1">
      <alignment horizontal="left"/>
    </xf>
    <xf numFmtId="164" fontId="13" fillId="0" borderId="27" xfId="0" applyNumberFormat="1" applyFont="1" applyFill="1" applyBorder="1" applyAlignment="1">
      <alignment horizontal="left"/>
    </xf>
    <xf numFmtId="0" fontId="0" fillId="0" borderId="0" xfId="2" applyFont="1"/>
    <xf numFmtId="0" fontId="0" fillId="0" borderId="0" xfId="0" applyAlignment="1">
      <alignment horizontal="center"/>
    </xf>
    <xf numFmtId="49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49" fontId="0" fillId="0" borderId="5" xfId="0" applyNumberFormat="1" applyBorder="1"/>
    <xf numFmtId="49" fontId="17" fillId="0" borderId="0" xfId="0" applyNumberFormat="1" applyFont="1"/>
    <xf numFmtId="49" fontId="45" fillId="0" borderId="0" xfId="0" applyNumberFormat="1" applyFont="1"/>
    <xf numFmtId="164" fontId="0" fillId="0" borderId="26" xfId="0" applyNumberFormat="1" applyBorder="1" applyAlignment="1">
      <alignment horizontal="right"/>
    </xf>
    <xf numFmtId="49" fontId="0" fillId="0" borderId="26" xfId="0" applyNumberFormat="1" applyBorder="1"/>
    <xf numFmtId="49" fontId="0" fillId="0" borderId="26" xfId="0" applyNumberFormat="1" applyBorder="1" applyAlignment="1">
      <alignment horizontal="center"/>
    </xf>
    <xf numFmtId="2" fontId="0" fillId="0" borderId="26" xfId="0" applyNumberFormat="1" applyBorder="1"/>
    <xf numFmtId="49" fontId="1" fillId="0" borderId="26" xfId="0" applyNumberFormat="1" applyFont="1" applyBorder="1"/>
    <xf numFmtId="49" fontId="13" fillId="0" borderId="26" xfId="0" applyNumberFormat="1" applyFont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6" xfId="0" applyNumberFormat="1" applyBorder="1" applyAlignment="1">
      <alignment horizontal="center"/>
    </xf>
    <xf numFmtId="49" fontId="1" fillId="0" borderId="38" xfId="0" applyNumberFormat="1" applyFont="1" applyBorder="1"/>
    <xf numFmtId="49" fontId="0" fillId="0" borderId="48" xfId="0" applyNumberFormat="1" applyBorder="1"/>
    <xf numFmtId="49" fontId="0" fillId="0" borderId="47" xfId="0" applyNumberFormat="1" applyBorder="1"/>
    <xf numFmtId="164" fontId="0" fillId="0" borderId="47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49" fontId="0" fillId="0" borderId="43" xfId="0" applyNumberFormat="1" applyBorder="1"/>
    <xf numFmtId="164" fontId="0" fillId="0" borderId="42" xfId="0" applyNumberFormat="1" applyBorder="1" applyAlignment="1">
      <alignment horizontal="center"/>
    </xf>
    <xf numFmtId="49" fontId="0" fillId="0" borderId="41" xfId="0" applyNumberFormat="1" applyBorder="1"/>
    <xf numFmtId="49" fontId="0" fillId="0" borderId="40" xfId="0" applyNumberFormat="1" applyBorder="1"/>
    <xf numFmtId="164" fontId="0" fillId="0" borderId="40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49" fontId="46" fillId="0" borderId="38" xfId="0" applyNumberFormat="1" applyFont="1" applyBorder="1" applyAlignment="1">
      <alignment horizontal="center"/>
    </xf>
    <xf numFmtId="164" fontId="19" fillId="2" borderId="3" xfId="0" applyNumberFormat="1" applyFont="1" applyFill="1" applyBorder="1" applyAlignment="1">
      <alignment horizontal="left"/>
    </xf>
    <xf numFmtId="164" fontId="1" fillId="0" borderId="27" xfId="0" applyNumberFormat="1" applyFont="1" applyBorder="1" applyAlignment="1">
      <alignment horizontal="left"/>
    </xf>
    <xf numFmtId="164" fontId="0" fillId="0" borderId="28" xfId="0" applyNumberFormat="1" applyBorder="1" applyAlignment="1">
      <alignment horizontal="left"/>
    </xf>
    <xf numFmtId="0" fontId="0" fillId="0" borderId="0" xfId="0" applyAlignment="1">
      <alignment horizontal="center"/>
    </xf>
    <xf numFmtId="0" fontId="33" fillId="0" borderId="0" xfId="0" applyFont="1"/>
    <xf numFmtId="0" fontId="0" fillId="0" borderId="0" xfId="0" applyAlignment="1">
      <alignment horizontal="center"/>
    </xf>
    <xf numFmtId="0" fontId="19" fillId="2" borderId="2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4" fillId="0" borderId="0" xfId="2" applyFont="1"/>
    <xf numFmtId="164" fontId="0" fillId="0" borderId="0" xfId="2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2" applyFont="1" applyFill="1" applyBorder="1"/>
    <xf numFmtId="0" fontId="1" fillId="0" borderId="34" xfId="2" applyFont="1" applyBorder="1"/>
    <xf numFmtId="0" fontId="22" fillId="0" borderId="49" xfId="2" applyFont="1" applyBorder="1"/>
    <xf numFmtId="0" fontId="22" fillId="0" borderId="49" xfId="2" applyFont="1" applyBorder="1" applyAlignment="1">
      <alignment horizontal="center"/>
    </xf>
    <xf numFmtId="164" fontId="22" fillId="0" borderId="49" xfId="2" applyNumberFormat="1" applyFont="1" applyBorder="1" applyAlignment="1">
      <alignment horizontal="left"/>
    </xf>
    <xf numFmtId="0" fontId="22" fillId="0" borderId="49" xfId="2" applyFont="1" applyFill="1" applyBorder="1"/>
    <xf numFmtId="164" fontId="22" fillId="0" borderId="49" xfId="2" applyNumberFormat="1" applyFont="1" applyFill="1" applyBorder="1" applyAlignment="1">
      <alignment horizontal="center" vertical="center"/>
    </xf>
    <xf numFmtId="0" fontId="22" fillId="0" borderId="30" xfId="2" applyFont="1" applyBorder="1"/>
    <xf numFmtId="0" fontId="0" fillId="0" borderId="33" xfId="2" applyFont="1" applyFill="1" applyBorder="1"/>
    <xf numFmtId="164" fontId="22" fillId="0" borderId="0" xfId="2" applyNumberFormat="1" applyFont="1" applyFill="1" applyBorder="1" applyAlignment="1">
      <alignment horizontal="center" vertical="center"/>
    </xf>
    <xf numFmtId="0" fontId="22" fillId="0" borderId="33" xfId="2" applyFont="1" applyFill="1" applyBorder="1"/>
    <xf numFmtId="0" fontId="22" fillId="0" borderId="33" xfId="2" applyFont="1" applyBorder="1"/>
    <xf numFmtId="0" fontId="0" fillId="0" borderId="0" xfId="2" applyFont="1" applyBorder="1" applyAlignment="1">
      <alignment horizontal="center"/>
    </xf>
    <xf numFmtId="0" fontId="1" fillId="0" borderId="33" xfId="2" applyFont="1" applyBorder="1"/>
    <xf numFmtId="0" fontId="0" fillId="0" borderId="32" xfId="2" applyFont="1" applyBorder="1"/>
    <xf numFmtId="0" fontId="0" fillId="0" borderId="29" xfId="2" applyFont="1" applyBorder="1" applyAlignment="1">
      <alignment horizontal="center"/>
    </xf>
    <xf numFmtId="0" fontId="22" fillId="0" borderId="29" xfId="2" applyFont="1" applyFill="1" applyBorder="1" applyAlignment="1">
      <alignment horizontal="right"/>
    </xf>
    <xf numFmtId="164" fontId="22" fillId="0" borderId="29" xfId="2" applyNumberFormat="1" applyFont="1" applyFill="1" applyBorder="1" applyAlignment="1">
      <alignment horizontal="center" vertical="center"/>
    </xf>
    <xf numFmtId="164" fontId="22" fillId="0" borderId="28" xfId="2" applyNumberFormat="1" applyFont="1" applyFill="1" applyBorder="1" applyAlignment="1">
      <alignment horizontal="center"/>
    </xf>
    <xf numFmtId="0" fontId="0" fillId="0" borderId="49" xfId="2" applyFont="1" applyBorder="1"/>
    <xf numFmtId="0" fontId="0" fillId="0" borderId="0" xfId="2" applyFont="1" applyFill="1" applyAlignment="1">
      <alignment horizontal="right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2" applyNumberFormat="1" applyFont="1" applyFill="1"/>
    <xf numFmtId="164" fontId="22" fillId="0" borderId="0" xfId="2" applyNumberFormat="1" applyFont="1" applyFill="1"/>
    <xf numFmtId="164" fontId="22" fillId="0" borderId="0" xfId="2" applyNumberFormat="1" applyFont="1"/>
    <xf numFmtId="0" fontId="1" fillId="0" borderId="29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10" borderId="26" xfId="0" applyNumberFormat="1" applyFill="1" applyBorder="1"/>
    <xf numFmtId="49" fontId="0" fillId="10" borderId="0" xfId="0" applyNumberFormat="1" applyFill="1"/>
    <xf numFmtId="49" fontId="0" fillId="0" borderId="1" xfId="0" applyNumberFormat="1" applyBorder="1"/>
    <xf numFmtId="49" fontId="0" fillId="0" borderId="2" xfId="0" applyNumberFormat="1" applyBorder="1"/>
    <xf numFmtId="164" fontId="0" fillId="0" borderId="7" xfId="0" applyNumberFormat="1" applyBorder="1"/>
    <xf numFmtId="49" fontId="0" fillId="0" borderId="7" xfId="0" applyNumberFormat="1" applyBorder="1"/>
    <xf numFmtId="49" fontId="0" fillId="0" borderId="4" xfId="0" applyNumberFormat="1" applyBorder="1"/>
    <xf numFmtId="49" fontId="47" fillId="0" borderId="0" xfId="0" applyNumberFormat="1" applyFont="1"/>
    <xf numFmtId="49" fontId="8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26" xfId="0" applyNumberFormat="1" applyFont="1" applyBorder="1" applyAlignment="1">
      <alignment horizontal="center" vertical="center"/>
    </xf>
    <xf numFmtId="2" fontId="17" fillId="0" borderId="26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49" fontId="8" fillId="0" borderId="26" xfId="0" applyNumberFormat="1" applyFont="1" applyBorder="1" applyAlignment="1">
      <alignment vertical="center"/>
    </xf>
    <xf numFmtId="49" fontId="8" fillId="0" borderId="26" xfId="0" applyNumberFormat="1" applyFont="1" applyBorder="1" applyAlignment="1">
      <alignment horizontal="center" vertical="center"/>
    </xf>
    <xf numFmtId="164" fontId="8" fillId="0" borderId="26" xfId="0" applyNumberFormat="1" applyFont="1" applyFill="1" applyBorder="1" applyAlignment="1">
      <alignment horizontal="center" vertical="center"/>
    </xf>
    <xf numFmtId="164" fontId="30" fillId="0" borderId="26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17" fillId="0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2" fontId="8" fillId="0" borderId="26" xfId="0" applyNumberFormat="1" applyFont="1" applyFill="1" applyBorder="1" applyAlignment="1">
      <alignment horizontal="center" vertical="center"/>
    </xf>
    <xf numFmtId="2" fontId="17" fillId="0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11" borderId="0" xfId="0" applyNumberFormat="1" applyFill="1" applyBorder="1" applyAlignment="1">
      <alignment horizontal="left"/>
    </xf>
    <xf numFmtId="49" fontId="0" fillId="11" borderId="0" xfId="0" applyNumberFormat="1" applyFill="1" applyBorder="1" applyAlignment="1">
      <alignment horizontal="center"/>
    </xf>
    <xf numFmtId="14" fontId="0" fillId="11" borderId="0" xfId="0" applyNumberFormat="1" applyFill="1" applyBorder="1"/>
    <xf numFmtId="0" fontId="17" fillId="0" borderId="0" xfId="0" applyFont="1" applyFill="1" applyBorder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9" xfId="2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horizontal="left"/>
    </xf>
    <xf numFmtId="0" fontId="31" fillId="0" borderId="0" xfId="2" applyFill="1" applyAlignment="1">
      <alignment horizontal="left"/>
    </xf>
    <xf numFmtId="0" fontId="0" fillId="0" borderId="0" xfId="0" applyAlignment="1">
      <alignment horizontal="center"/>
    </xf>
    <xf numFmtId="49" fontId="48" fillId="0" borderId="0" xfId="0" applyNumberFormat="1" applyFont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49" fontId="0" fillId="0" borderId="57" xfId="0" applyNumberFormat="1" applyBorder="1"/>
    <xf numFmtId="49" fontId="0" fillId="0" borderId="37" xfId="0" applyNumberFormat="1" applyBorder="1"/>
    <xf numFmtId="49" fontId="0" fillId="0" borderId="58" xfId="0" applyNumberFormat="1" applyBorder="1"/>
    <xf numFmtId="49" fontId="0" fillId="0" borderId="26" xfId="0" applyNumberFormat="1" applyFont="1" applyBorder="1" applyAlignment="1">
      <alignment horizontal="center"/>
    </xf>
    <xf numFmtId="49" fontId="12" fillId="0" borderId="0" xfId="0" applyNumberFormat="1" applyFont="1"/>
    <xf numFmtId="49" fontId="8" fillId="0" borderId="26" xfId="0" applyNumberFormat="1" applyFont="1" applyBorder="1" applyAlignment="1">
      <alignment horizontal="center" vertical="center"/>
    </xf>
    <xf numFmtId="164" fontId="0" fillId="0" borderId="0" xfId="2" applyNumberFormat="1" applyFont="1" applyFill="1" applyAlignment="1">
      <alignment horizontal="right"/>
    </xf>
    <xf numFmtId="2" fontId="0" fillId="0" borderId="2" xfId="0" applyNumberFormat="1" applyBorder="1"/>
    <xf numFmtId="2" fontId="1" fillId="0" borderId="0" xfId="0" applyNumberFormat="1" applyFont="1" applyBorder="1"/>
    <xf numFmtId="2" fontId="0" fillId="0" borderId="8" xfId="0" applyNumberFormat="1" applyBorder="1"/>
    <xf numFmtId="2" fontId="13" fillId="0" borderId="0" xfId="0" applyNumberFormat="1" applyFont="1" applyBorder="1"/>
    <xf numFmtId="2" fontId="0" fillId="0" borderId="5" xfId="0" applyNumberFormat="1" applyBorder="1"/>
    <xf numFmtId="2" fontId="0" fillId="0" borderId="6" xfId="0" applyNumberFormat="1" applyBorder="1"/>
    <xf numFmtId="2" fontId="8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3" borderId="2" xfId="0" applyNumberFormat="1" applyFill="1" applyBorder="1"/>
    <xf numFmtId="2" fontId="0" fillId="3" borderId="3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2" quotePrefix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36" xfId="0" applyFill="1" applyBorder="1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0" fillId="0" borderId="45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13" fillId="0" borderId="9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49" fontId="13" fillId="0" borderId="37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</cellXfs>
  <cellStyles count="4">
    <cellStyle name="Гиперссылка" xfId="3" builtinId="8"/>
    <cellStyle name="Обычный" xfId="0" builtinId="0"/>
    <cellStyle name="Обычный 2" xfId="2"/>
    <cellStyle name="Процентный" xfId="1" builtinId="5"/>
  </cellStyles>
  <dxfs count="4"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BF57B"/>
      <color rgb="FFFDD2B1"/>
      <color rgb="FFC1F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522</xdr:row>
      <xdr:rowOff>0</xdr:rowOff>
    </xdr:from>
    <xdr:to>
      <xdr:col>1</xdr:col>
      <xdr:colOff>838200</xdr:colOff>
      <xdr:row>523</xdr:row>
      <xdr:rowOff>47625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99441000"/>
          <a:ext cx="838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525</xdr:row>
      <xdr:rowOff>0</xdr:rowOff>
    </xdr:from>
    <xdr:to>
      <xdr:col>1</xdr:col>
      <xdr:colOff>838200</xdr:colOff>
      <xdr:row>526</xdr:row>
      <xdr:rowOff>47625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00012500"/>
          <a:ext cx="838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551</xdr:row>
      <xdr:rowOff>0</xdr:rowOff>
    </xdr:from>
    <xdr:to>
      <xdr:col>1</xdr:col>
      <xdr:colOff>962025</xdr:colOff>
      <xdr:row>552</xdr:row>
      <xdr:rowOff>47625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04965500"/>
          <a:ext cx="962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P11100"/>
  <sheetViews>
    <sheetView topLeftCell="A10954" zoomScaleNormal="100" zoomScaleSheetLayoutView="100" workbookViewId="0">
      <selection activeCell="D17" sqref="D17"/>
    </sheetView>
  </sheetViews>
  <sheetFormatPr defaultRowHeight="15" x14ac:dyDescent="0.25"/>
  <cols>
    <col min="1" max="1" width="3.85546875" customWidth="1"/>
    <col min="2" max="2" width="5.42578125" style="18" customWidth="1"/>
    <col min="3" max="3" width="2.140625" customWidth="1"/>
    <col min="4" max="4" width="2.42578125" customWidth="1"/>
    <col min="5" max="5" width="43.5703125" customWidth="1"/>
    <col min="6" max="6" width="4.85546875" style="431" customWidth="1"/>
    <col min="7" max="7" width="10.5703125" style="10" bestFit="1" customWidth="1"/>
    <col min="8" max="8" width="18.7109375" customWidth="1"/>
    <col min="9" max="9" width="3.85546875" customWidth="1"/>
    <col min="10" max="10" width="7.7109375" style="13" customWidth="1"/>
    <col min="11" max="11" width="3.85546875" style="121" customWidth="1"/>
    <col min="12" max="12" width="7.7109375" customWidth="1"/>
    <col min="14" max="14" width="5.42578125" customWidth="1"/>
  </cols>
  <sheetData>
    <row r="1" spans="3:9" x14ac:dyDescent="0.25">
      <c r="C1" s="3" t="s">
        <v>30</v>
      </c>
      <c r="F1" s="9"/>
      <c r="I1" s="13" t="s">
        <v>29</v>
      </c>
    </row>
    <row r="2" spans="3:9" x14ac:dyDescent="0.25">
      <c r="D2" s="3" t="s">
        <v>31</v>
      </c>
      <c r="F2" s="9"/>
    </row>
    <row r="3" spans="3:9" x14ac:dyDescent="0.25">
      <c r="E3" s="4" t="s">
        <v>32</v>
      </c>
      <c r="F3" s="9"/>
    </row>
    <row r="4" spans="3:9" x14ac:dyDescent="0.25">
      <c r="E4" t="s">
        <v>33</v>
      </c>
      <c r="F4" s="9" t="s">
        <v>3</v>
      </c>
      <c r="G4" s="10">
        <f>0.23*0.23*2*2.7*1.05</f>
        <v>0.29994300000000002</v>
      </c>
    </row>
    <row r="5" spans="3:9" x14ac:dyDescent="0.25">
      <c r="D5" s="3" t="s">
        <v>34</v>
      </c>
      <c r="F5" s="9"/>
    </row>
    <row r="6" spans="3:9" x14ac:dyDescent="0.25">
      <c r="D6" t="s">
        <v>35</v>
      </c>
      <c r="F6" s="9" t="s">
        <v>3</v>
      </c>
      <c r="G6" s="10">
        <f>0.216*0.15*3*8*1.05</f>
        <v>0.81647999999999998</v>
      </c>
    </row>
    <row r="7" spans="3:9" x14ac:dyDescent="0.25">
      <c r="D7" t="s">
        <v>8</v>
      </c>
      <c r="F7" s="9" t="s">
        <v>3</v>
      </c>
      <c r="G7" s="10">
        <f>0.18*0.1*2*0.13*2*1.2</f>
        <v>1.1232000000000001E-2</v>
      </c>
    </row>
    <row r="8" spans="3:9" x14ac:dyDescent="0.25">
      <c r="D8" t="s">
        <v>36</v>
      </c>
      <c r="F8" s="9" t="s">
        <v>3</v>
      </c>
      <c r="G8" s="10">
        <f>0.18*0.14*2*0.13*2*1.2</f>
        <v>1.5724800000000001E-2</v>
      </c>
    </row>
    <row r="9" spans="3:9" x14ac:dyDescent="0.25">
      <c r="D9" t="s">
        <v>12</v>
      </c>
      <c r="F9" s="9" t="s">
        <v>3</v>
      </c>
      <c r="G9" s="10">
        <f>0.3*(G8+G7)</f>
        <v>8.0870400000000002E-3</v>
      </c>
    </row>
    <row r="10" spans="3:9" x14ac:dyDescent="0.25">
      <c r="F10" s="9"/>
    </row>
    <row r="11" spans="3:9" x14ac:dyDescent="0.25">
      <c r="C11" s="3" t="s">
        <v>38</v>
      </c>
      <c r="F11" s="9"/>
    </row>
    <row r="12" spans="3:9" x14ac:dyDescent="0.25">
      <c r="C12" t="s">
        <v>37</v>
      </c>
      <c r="F12" s="9" t="s">
        <v>3</v>
      </c>
      <c r="G12" s="10">
        <v>2E-3</v>
      </c>
    </row>
    <row r="13" spans="3:9" x14ac:dyDescent="0.25">
      <c r="C13" t="s">
        <v>8</v>
      </c>
      <c r="F13" s="9" t="s">
        <v>3</v>
      </c>
      <c r="G13" s="10">
        <f>0.52*0.04*0.1*2.5</f>
        <v>5.2000000000000006E-3</v>
      </c>
    </row>
    <row r="14" spans="3:9" x14ac:dyDescent="0.25">
      <c r="C14" t="s">
        <v>36</v>
      </c>
      <c r="F14" s="9" t="s">
        <v>3</v>
      </c>
      <c r="G14" s="10">
        <f>0.52*0.04*0.15*2*2</f>
        <v>1.2480000000000002E-2</v>
      </c>
    </row>
    <row r="15" spans="3:9" x14ac:dyDescent="0.25">
      <c r="C15" t="s">
        <v>12</v>
      </c>
      <c r="F15" s="9" t="s">
        <v>3</v>
      </c>
      <c r="G15" s="10">
        <f>0.3*(G14+G13)</f>
        <v>5.3040000000000006E-3</v>
      </c>
    </row>
    <row r="16" spans="3:9" x14ac:dyDescent="0.25">
      <c r="D16" s="3" t="s">
        <v>49</v>
      </c>
      <c r="F16" s="9"/>
    </row>
    <row r="17" spans="1:9" x14ac:dyDescent="0.25">
      <c r="D17" s="8" t="s">
        <v>39</v>
      </c>
      <c r="E17" s="11"/>
      <c r="F17" s="9" t="s">
        <v>3</v>
      </c>
      <c r="G17" s="10">
        <f>0.0015*12*1.2</f>
        <v>2.1600000000000001E-2</v>
      </c>
    </row>
    <row r="18" spans="1:9" x14ac:dyDescent="0.25">
      <c r="D18" s="8" t="s">
        <v>40</v>
      </c>
      <c r="E18" s="11"/>
      <c r="F18" s="9" t="s">
        <v>3</v>
      </c>
      <c r="G18" s="10">
        <f>G17*1.5</f>
        <v>3.2399999999999998E-2</v>
      </c>
    </row>
    <row r="19" spans="1:9" x14ac:dyDescent="0.25">
      <c r="E19" s="4" t="s">
        <v>50</v>
      </c>
      <c r="F19" s="9"/>
    </row>
    <row r="20" spans="1:9" x14ac:dyDescent="0.25">
      <c r="E20" t="s">
        <v>51</v>
      </c>
      <c r="F20" s="9" t="s">
        <v>3</v>
      </c>
      <c r="G20" s="10">
        <v>2E-3</v>
      </c>
    </row>
    <row r="21" spans="1:9" ht="17.25" x14ac:dyDescent="0.25">
      <c r="E21" t="s">
        <v>52</v>
      </c>
      <c r="F21" s="173" t="s">
        <v>596</v>
      </c>
      <c r="G21" s="10">
        <f>G20*2</f>
        <v>4.0000000000000001E-3</v>
      </c>
      <c r="I21" s="13" t="s">
        <v>53</v>
      </c>
    </row>
    <row r="22" spans="1:9" x14ac:dyDescent="0.25">
      <c r="E22" t="s">
        <v>24</v>
      </c>
      <c r="F22" s="9" t="s">
        <v>3</v>
      </c>
      <c r="G22" s="10">
        <f>G20/4</f>
        <v>5.0000000000000001E-4</v>
      </c>
      <c r="I22" t="s">
        <v>197</v>
      </c>
    </row>
    <row r="23" spans="1:9" x14ac:dyDescent="0.25">
      <c r="E23" s="4" t="s">
        <v>198</v>
      </c>
      <c r="F23" s="23"/>
      <c r="G23" s="32"/>
      <c r="I23" s="13"/>
    </row>
    <row r="24" spans="1:9" x14ac:dyDescent="0.25">
      <c r="E24" t="s">
        <v>199</v>
      </c>
      <c r="F24" s="23" t="s">
        <v>3</v>
      </c>
      <c r="G24" s="32">
        <f>0.14*0.04*4*8*1.09</f>
        <v>0.19532800000000003</v>
      </c>
      <c r="I24" s="13"/>
    </row>
    <row r="25" spans="1:9" x14ac:dyDescent="0.25">
      <c r="E25" s="4" t="s">
        <v>41</v>
      </c>
      <c r="F25" s="9"/>
    </row>
    <row r="26" spans="1:9" x14ac:dyDescent="0.25">
      <c r="E26" t="s">
        <v>54</v>
      </c>
      <c r="F26" s="9" t="s">
        <v>3</v>
      </c>
      <c r="G26" s="10">
        <f>0.06*0.025*4*8*1.03</f>
        <v>4.9440000000000005E-2</v>
      </c>
    </row>
    <row r="27" spans="1:9" x14ac:dyDescent="0.25">
      <c r="E27" s="4" t="s">
        <v>42</v>
      </c>
      <c r="F27" s="9"/>
    </row>
    <row r="28" spans="1:9" x14ac:dyDescent="0.25">
      <c r="E28" t="s">
        <v>55</v>
      </c>
      <c r="F28" s="9" t="s">
        <v>3</v>
      </c>
      <c r="G28" s="10">
        <f>0.12*0.04*3*8*1.1</f>
        <v>0.12672</v>
      </c>
    </row>
    <row r="29" spans="1:9" x14ac:dyDescent="0.25">
      <c r="E29" s="4" t="s">
        <v>43</v>
      </c>
      <c r="F29" s="9"/>
    </row>
    <row r="30" spans="1:9" x14ac:dyDescent="0.25">
      <c r="E30" t="s">
        <v>55</v>
      </c>
      <c r="F30" s="9" t="s">
        <v>3</v>
      </c>
      <c r="G30" s="10">
        <f>0.185*0.04*3*8*1.08</f>
        <v>0.19180800000000003</v>
      </c>
    </row>
    <row r="31" spans="1:9" x14ac:dyDescent="0.25">
      <c r="A31" s="217"/>
      <c r="E31" s="4" t="s">
        <v>44</v>
      </c>
      <c r="F31" s="9"/>
    </row>
    <row r="32" spans="1:9" x14ac:dyDescent="0.25">
      <c r="A32" t="s">
        <v>9708</v>
      </c>
      <c r="E32" t="s">
        <v>55</v>
      </c>
      <c r="F32" s="9" t="s">
        <v>3</v>
      </c>
      <c r="G32" s="10">
        <f>0.14*0.04*3*8*1.1</f>
        <v>0.14784000000000003</v>
      </c>
    </row>
    <row r="33" spans="3:9" x14ac:dyDescent="0.25">
      <c r="E33" s="4" t="s">
        <v>45</v>
      </c>
      <c r="F33" s="9"/>
    </row>
    <row r="34" spans="3:9" x14ac:dyDescent="0.25">
      <c r="E34" t="s">
        <v>55</v>
      </c>
      <c r="F34" s="9" t="s">
        <v>3</v>
      </c>
      <c r="G34" s="10">
        <f>0.18*0.03*3*8*1.1</f>
        <v>0.14255999999999999</v>
      </c>
      <c r="I34" s="10"/>
    </row>
    <row r="35" spans="3:9" x14ac:dyDescent="0.25">
      <c r="E35" s="4" t="s">
        <v>46</v>
      </c>
      <c r="F35" s="9"/>
    </row>
    <row r="36" spans="3:9" x14ac:dyDescent="0.25">
      <c r="E36" t="s">
        <v>55</v>
      </c>
      <c r="F36" s="9" t="s">
        <v>3</v>
      </c>
      <c r="G36" s="10">
        <f>0.17*0.04*3*8*1.1</f>
        <v>0.17952000000000004</v>
      </c>
    </row>
    <row r="37" spans="3:9" x14ac:dyDescent="0.25">
      <c r="E37" s="4" t="s">
        <v>47</v>
      </c>
      <c r="F37" s="9"/>
    </row>
    <row r="38" spans="3:9" x14ac:dyDescent="0.25">
      <c r="E38" t="s">
        <v>55</v>
      </c>
      <c r="F38" s="9" t="s">
        <v>3</v>
      </c>
      <c r="G38" s="10">
        <f>0.008*0.008*3*8</f>
        <v>1.536E-3</v>
      </c>
    </row>
    <row r="39" spans="3:9" x14ac:dyDescent="0.25">
      <c r="E39" s="4" t="s">
        <v>48</v>
      </c>
      <c r="F39" s="9"/>
    </row>
    <row r="40" spans="3:9" x14ac:dyDescent="0.25">
      <c r="E40" t="s">
        <v>55</v>
      </c>
      <c r="F40" s="9" t="s">
        <v>3</v>
      </c>
      <c r="G40" s="10">
        <f>0.15*0.03*3*8*1.08</f>
        <v>0.11663999999999999</v>
      </c>
    </row>
    <row r="41" spans="3:9" x14ac:dyDescent="0.25">
      <c r="E41" s="4"/>
      <c r="F41" s="9"/>
    </row>
    <row r="42" spans="3:9" x14ac:dyDescent="0.25">
      <c r="C42" s="3" t="s">
        <v>56</v>
      </c>
      <c r="E42" s="4"/>
      <c r="F42" s="9"/>
    </row>
    <row r="43" spans="3:9" x14ac:dyDescent="0.25">
      <c r="D43" s="4" t="s">
        <v>57</v>
      </c>
      <c r="E43" s="4"/>
      <c r="F43" s="9"/>
    </row>
    <row r="44" spans="3:9" x14ac:dyDescent="0.25">
      <c r="D44" s="4" t="s">
        <v>58</v>
      </c>
      <c r="F44" s="9"/>
    </row>
    <row r="45" spans="3:9" x14ac:dyDescent="0.25">
      <c r="D45" t="s">
        <v>59</v>
      </c>
      <c r="F45" s="9" t="s">
        <v>3</v>
      </c>
      <c r="G45" s="10">
        <f>0.36*0.15*3*8*1.03</f>
        <v>1.3348800000000001</v>
      </c>
    </row>
    <row r="46" spans="3:9" x14ac:dyDescent="0.25">
      <c r="F46" s="9"/>
    </row>
    <row r="47" spans="3:9" x14ac:dyDescent="0.25">
      <c r="C47" s="3" t="s">
        <v>60</v>
      </c>
      <c r="F47" s="9"/>
    </row>
    <row r="48" spans="3:9" x14ac:dyDescent="0.25">
      <c r="D48" s="4" t="s">
        <v>61</v>
      </c>
      <c r="F48" s="9"/>
    </row>
    <row r="49" spans="3:9" x14ac:dyDescent="0.25">
      <c r="D49" t="s">
        <v>62</v>
      </c>
      <c r="F49" s="9" t="s">
        <v>3</v>
      </c>
      <c r="G49" s="10">
        <f>0.13*0.02*3*2.7*1.08</f>
        <v>2.2744800000000009E-2</v>
      </c>
    </row>
    <row r="50" spans="3:9" x14ac:dyDescent="0.25">
      <c r="F50" s="9"/>
    </row>
    <row r="51" spans="3:9" x14ac:dyDescent="0.25">
      <c r="C51" s="3" t="s">
        <v>63</v>
      </c>
      <c r="F51" s="9"/>
    </row>
    <row r="52" spans="3:9" x14ac:dyDescent="0.25">
      <c r="C52" t="s">
        <v>64</v>
      </c>
      <c r="F52" s="9" t="s">
        <v>3</v>
      </c>
      <c r="G52" s="10">
        <f>0.105*0.04*0.2*1.8</f>
        <v>1.5120000000000001E-3</v>
      </c>
    </row>
    <row r="53" spans="3:9" x14ac:dyDescent="0.25">
      <c r="D53" s="4" t="s">
        <v>65</v>
      </c>
      <c r="F53" s="9"/>
    </row>
    <row r="54" spans="3:9" x14ac:dyDescent="0.25">
      <c r="D54" t="s">
        <v>66</v>
      </c>
      <c r="F54" s="9" t="s">
        <v>3</v>
      </c>
      <c r="G54" s="10">
        <f>0.086*0.115*5*2.7*1.05</f>
        <v>0.14019075</v>
      </c>
      <c r="I54" s="10"/>
    </row>
    <row r="55" spans="3:9" x14ac:dyDescent="0.25">
      <c r="F55" s="9"/>
    </row>
    <row r="56" spans="3:9" x14ac:dyDescent="0.25">
      <c r="C56" s="3" t="s">
        <v>67</v>
      </c>
      <c r="F56" s="9"/>
    </row>
    <row r="57" spans="3:9" x14ac:dyDescent="0.25">
      <c r="C57" t="s">
        <v>37</v>
      </c>
      <c r="F57" s="9" t="s">
        <v>3</v>
      </c>
      <c r="G57" s="10">
        <v>1E-3</v>
      </c>
    </row>
    <row r="58" spans="3:9" x14ac:dyDescent="0.25">
      <c r="D58" s="4" t="s">
        <v>68</v>
      </c>
      <c r="F58" s="9"/>
    </row>
    <row r="59" spans="3:9" x14ac:dyDescent="0.25">
      <c r="D59" t="s">
        <v>69</v>
      </c>
      <c r="F59" s="9" t="s">
        <v>3</v>
      </c>
      <c r="G59" s="10">
        <f>0.115*0.06*1*2.7</f>
        <v>1.8630000000000001E-2</v>
      </c>
    </row>
    <row r="60" spans="3:9" x14ac:dyDescent="0.25">
      <c r="D60" s="4" t="s">
        <v>70</v>
      </c>
      <c r="F60" s="9"/>
    </row>
    <row r="61" spans="3:9" x14ac:dyDescent="0.25">
      <c r="D61" t="s">
        <v>69</v>
      </c>
      <c r="F61" s="9" t="s">
        <v>3</v>
      </c>
      <c r="G61" s="10">
        <f>0.07*0.02*1*2.7</f>
        <v>3.7800000000000008E-3</v>
      </c>
    </row>
    <row r="62" spans="3:9" x14ac:dyDescent="0.25">
      <c r="F62" s="9"/>
    </row>
    <row r="63" spans="3:9" x14ac:dyDescent="0.25">
      <c r="C63" s="3" t="s">
        <v>71</v>
      </c>
      <c r="F63" s="9"/>
    </row>
    <row r="64" spans="3:9" x14ac:dyDescent="0.25">
      <c r="C64" s="8" t="s">
        <v>39</v>
      </c>
      <c r="F64" s="9" t="s">
        <v>3</v>
      </c>
      <c r="G64" s="10">
        <f>1*0.036*1.2</f>
        <v>4.3199999999999995E-2</v>
      </c>
    </row>
    <row r="65" spans="3:7" x14ac:dyDescent="0.25">
      <c r="C65" s="8" t="s">
        <v>40</v>
      </c>
      <c r="F65" s="9" t="s">
        <v>3</v>
      </c>
      <c r="G65" s="10">
        <f>1.5*G64</f>
        <v>6.4799999999999996E-2</v>
      </c>
    </row>
    <row r="66" spans="3:7" x14ac:dyDescent="0.25">
      <c r="C66" t="s">
        <v>8</v>
      </c>
      <c r="F66" s="9" t="s">
        <v>3</v>
      </c>
      <c r="G66" s="10">
        <f>(0.34*0.35*2+0.14*0.35*2)*2*0.1*1.35</f>
        <v>9.0719999999999995E-2</v>
      </c>
    </row>
    <row r="67" spans="3:7" x14ac:dyDescent="0.25">
      <c r="C67" t="s">
        <v>12</v>
      </c>
      <c r="F67" s="9" t="s">
        <v>3</v>
      </c>
      <c r="G67" s="10">
        <f>0.3*G66</f>
        <v>2.7215999999999997E-2</v>
      </c>
    </row>
    <row r="68" spans="3:7" x14ac:dyDescent="0.25">
      <c r="C68" t="s">
        <v>72</v>
      </c>
      <c r="F68" s="9" t="s">
        <v>3</v>
      </c>
      <c r="G68" s="10">
        <f>0.3*G67</f>
        <v>8.1647999999999981E-3</v>
      </c>
    </row>
    <row r="69" spans="3:7" x14ac:dyDescent="0.25">
      <c r="C69" t="s">
        <v>11</v>
      </c>
      <c r="F69" s="9" t="s">
        <v>3</v>
      </c>
      <c r="G69" s="10">
        <f>0.3*G68</f>
        <v>2.4494399999999993E-3</v>
      </c>
    </row>
    <row r="70" spans="3:7" x14ac:dyDescent="0.25">
      <c r="D70" s="4" t="s">
        <v>73</v>
      </c>
      <c r="F70" s="9"/>
    </row>
    <row r="71" spans="3:7" x14ac:dyDescent="0.25">
      <c r="D71" s="8" t="s">
        <v>39</v>
      </c>
      <c r="F71" s="9" t="s">
        <v>3</v>
      </c>
      <c r="G71" s="10">
        <v>2E-3</v>
      </c>
    </row>
    <row r="72" spans="3:7" x14ac:dyDescent="0.25">
      <c r="D72" s="8" t="s">
        <v>40</v>
      </c>
      <c r="F72" s="9" t="s">
        <v>3</v>
      </c>
      <c r="G72" s="10">
        <f>1.5*G71</f>
        <v>3.0000000000000001E-3</v>
      </c>
    </row>
    <row r="73" spans="3:7" x14ac:dyDescent="0.25">
      <c r="E73" s="4" t="s">
        <v>74</v>
      </c>
      <c r="F73" s="9"/>
    </row>
    <row r="74" spans="3:7" x14ac:dyDescent="0.25">
      <c r="E74" t="s">
        <v>75</v>
      </c>
      <c r="F74" s="9" t="s">
        <v>3</v>
      </c>
      <c r="G74" s="10">
        <f>0.06*0.04*3*8</f>
        <v>5.7599999999999998E-2</v>
      </c>
    </row>
    <row r="75" spans="3:7" x14ac:dyDescent="0.25">
      <c r="D75" s="4" t="s">
        <v>76</v>
      </c>
      <c r="F75" s="9"/>
    </row>
    <row r="76" spans="3:7" x14ac:dyDescent="0.25">
      <c r="D76" s="8"/>
      <c r="E76" s="16" t="s">
        <v>90</v>
      </c>
      <c r="F76" s="9"/>
    </row>
    <row r="77" spans="3:7" x14ac:dyDescent="0.25">
      <c r="D77" s="8"/>
      <c r="E77" s="8" t="s">
        <v>93</v>
      </c>
      <c r="F77" s="9" t="s">
        <v>3</v>
      </c>
      <c r="G77" s="10">
        <f>0.016</f>
        <v>1.6E-2</v>
      </c>
    </row>
    <row r="78" spans="3:7" x14ac:dyDescent="0.25">
      <c r="D78" s="8"/>
      <c r="E78" s="16" t="s">
        <v>91</v>
      </c>
      <c r="F78" s="9"/>
    </row>
    <row r="79" spans="3:7" x14ac:dyDescent="0.25">
      <c r="D79" s="8"/>
      <c r="E79" s="8" t="s">
        <v>94</v>
      </c>
      <c r="F79" s="9" t="s">
        <v>3</v>
      </c>
      <c r="G79" s="10">
        <f>0.04*0.06*2*8*1.16</f>
        <v>4.4543999999999993E-2</v>
      </c>
    </row>
    <row r="80" spans="3:7" x14ac:dyDescent="0.25">
      <c r="D80" s="8"/>
      <c r="E80" s="16" t="s">
        <v>92</v>
      </c>
      <c r="F80" s="9"/>
    </row>
    <row r="81" spans="3:9" x14ac:dyDescent="0.25">
      <c r="D81" s="8"/>
      <c r="E81" s="8" t="s">
        <v>54</v>
      </c>
      <c r="F81" s="9" t="s">
        <v>3</v>
      </c>
      <c r="G81" s="10">
        <f>0.061*0.033*4*8</f>
        <v>6.4416000000000001E-2</v>
      </c>
    </row>
    <row r="82" spans="3:9" x14ac:dyDescent="0.25">
      <c r="C82" s="3" t="s">
        <v>99</v>
      </c>
      <c r="D82" s="8"/>
      <c r="E82" s="16" t="s">
        <v>95</v>
      </c>
      <c r="F82" s="9" t="s">
        <v>3</v>
      </c>
      <c r="G82" s="10">
        <f>0.0052</f>
        <v>5.1999999999999998E-3</v>
      </c>
    </row>
    <row r="83" spans="3:9" x14ac:dyDescent="0.25">
      <c r="D83" s="4" t="s">
        <v>77</v>
      </c>
      <c r="F83" s="9"/>
    </row>
    <row r="84" spans="3:9" x14ac:dyDescent="0.25">
      <c r="D84" t="s">
        <v>75</v>
      </c>
      <c r="F84" s="9" t="s">
        <v>3</v>
      </c>
      <c r="G84" s="10">
        <f>0.05*0.065*8*3*1.05</f>
        <v>8.1900000000000014E-2</v>
      </c>
    </row>
    <row r="85" spans="3:9" x14ac:dyDescent="0.25">
      <c r="D85" s="4" t="s">
        <v>79</v>
      </c>
      <c r="F85" s="9"/>
    </row>
    <row r="86" spans="3:9" x14ac:dyDescent="0.25">
      <c r="D86" t="s">
        <v>78</v>
      </c>
      <c r="F86" s="9" t="s">
        <v>3</v>
      </c>
      <c r="G86" s="10">
        <f>0.08*0.065*2*8*1.06</f>
        <v>8.819200000000002E-2</v>
      </c>
      <c r="I86" s="10"/>
    </row>
    <row r="87" spans="3:9" x14ac:dyDescent="0.25">
      <c r="D87" s="4" t="s">
        <v>81</v>
      </c>
      <c r="F87" s="9"/>
    </row>
    <row r="88" spans="3:9" x14ac:dyDescent="0.25">
      <c r="D88" t="s">
        <v>82</v>
      </c>
      <c r="F88" s="9" t="s">
        <v>3</v>
      </c>
      <c r="G88" s="10">
        <f>0.065*0.066*5*8*1.05</f>
        <v>0.18018000000000003</v>
      </c>
    </row>
    <row r="89" spans="3:9" x14ac:dyDescent="0.25">
      <c r="D89" s="4" t="s">
        <v>80</v>
      </c>
      <c r="F89" s="9"/>
    </row>
    <row r="90" spans="3:9" x14ac:dyDescent="0.25">
      <c r="D90" t="s">
        <v>75</v>
      </c>
      <c r="F90" s="9" t="s">
        <v>3</v>
      </c>
      <c r="G90" s="10">
        <f>0.055*0.04*3*8*1.05</f>
        <v>5.5440000000000003E-2</v>
      </c>
    </row>
    <row r="91" spans="3:9" x14ac:dyDescent="0.25">
      <c r="D91" s="4" t="s">
        <v>83</v>
      </c>
      <c r="F91" s="9"/>
    </row>
    <row r="92" spans="3:9" x14ac:dyDescent="0.25">
      <c r="D92" t="s">
        <v>84</v>
      </c>
      <c r="F92" s="9" t="s">
        <v>3</v>
      </c>
      <c r="G92" s="10">
        <f>0.345*0.165*1*8*1.15</f>
        <v>0.5237099999999999</v>
      </c>
      <c r="I92" s="10"/>
    </row>
    <row r="93" spans="3:9" x14ac:dyDescent="0.25">
      <c r="D93" s="4" t="s">
        <v>85</v>
      </c>
      <c r="F93" s="9"/>
    </row>
    <row r="94" spans="3:9" x14ac:dyDescent="0.25">
      <c r="D94" t="s">
        <v>84</v>
      </c>
      <c r="F94" s="9" t="s">
        <v>3</v>
      </c>
      <c r="G94" s="10">
        <f>0.345*0.305*1*8*1.052</f>
        <v>0.88557359999999996</v>
      </c>
      <c r="I94" s="10"/>
    </row>
    <row r="95" spans="3:9" x14ac:dyDescent="0.25">
      <c r="D95" s="4" t="s">
        <v>86</v>
      </c>
      <c r="F95" s="9"/>
    </row>
    <row r="96" spans="3:9" x14ac:dyDescent="0.25">
      <c r="D96" t="s">
        <v>84</v>
      </c>
      <c r="F96" s="9" t="s">
        <v>3</v>
      </c>
      <c r="G96" s="10">
        <f>0.346*0.165*1*8*1.08</f>
        <v>0.49325760000000007</v>
      </c>
    </row>
    <row r="97" spans="4:7" x14ac:dyDescent="0.25">
      <c r="D97" s="4" t="s">
        <v>87</v>
      </c>
      <c r="F97" s="9"/>
    </row>
    <row r="98" spans="4:7" x14ac:dyDescent="0.25">
      <c r="D98" t="s">
        <v>78</v>
      </c>
      <c r="F98" s="9" t="s">
        <v>3</v>
      </c>
      <c r="G98" s="10">
        <f>0.438*0.608*2*8*1.07</f>
        <v>4.5591244800000004</v>
      </c>
    </row>
    <row r="99" spans="4:7" x14ac:dyDescent="0.25">
      <c r="D99" s="4" t="s">
        <v>88</v>
      </c>
      <c r="F99" s="9"/>
    </row>
    <row r="100" spans="4:7" x14ac:dyDescent="0.25">
      <c r="D100" t="s">
        <v>89</v>
      </c>
      <c r="F100" s="9" t="s">
        <v>3</v>
      </c>
      <c r="G100" s="10">
        <f>0.02*0.03*4*8</f>
        <v>1.9199999999999998E-2</v>
      </c>
    </row>
    <row r="101" spans="4:7" x14ac:dyDescent="0.25">
      <c r="D101" s="4" t="s">
        <v>96</v>
      </c>
      <c r="F101" s="9"/>
    </row>
    <row r="102" spans="4:7" x14ac:dyDescent="0.25">
      <c r="D102" t="s">
        <v>97</v>
      </c>
      <c r="F102" s="9" t="s">
        <v>3</v>
      </c>
      <c r="G102" s="10">
        <f>0.135*0.03*1.5*8*1.12</f>
        <v>5.4432000000000001E-2</v>
      </c>
    </row>
    <row r="103" spans="4:7" x14ac:dyDescent="0.25">
      <c r="D103" s="4" t="s">
        <v>98</v>
      </c>
      <c r="F103" s="1035"/>
      <c r="G103" s="1035"/>
    </row>
    <row r="104" spans="4:7" x14ac:dyDescent="0.25">
      <c r="D104" t="s">
        <v>100</v>
      </c>
      <c r="F104" s="9" t="s">
        <v>3</v>
      </c>
      <c r="G104" s="10">
        <f>0.076*0.06*1.5*8</f>
        <v>5.4719999999999998E-2</v>
      </c>
    </row>
    <row r="105" spans="4:7" x14ac:dyDescent="0.25">
      <c r="D105" s="4" t="s">
        <v>101</v>
      </c>
      <c r="F105" s="9" t="s">
        <v>3</v>
      </c>
      <c r="G105" s="10">
        <v>4.0000000000000001E-3</v>
      </c>
    </row>
    <row r="106" spans="4:7" x14ac:dyDescent="0.25">
      <c r="F106" s="9"/>
    </row>
    <row r="107" spans="4:7" x14ac:dyDescent="0.25">
      <c r="D107" s="3" t="s">
        <v>102</v>
      </c>
      <c r="F107" s="9"/>
    </row>
    <row r="108" spans="4:7" x14ac:dyDescent="0.25">
      <c r="D108" t="s">
        <v>103</v>
      </c>
      <c r="F108" s="9" t="s">
        <v>3</v>
      </c>
      <c r="G108" s="10">
        <f>(0.04*3.14+0.055)*4*0.014*1.2</f>
        <v>1.2136320000000001E-2</v>
      </c>
    </row>
    <row r="109" spans="4:7" x14ac:dyDescent="0.25">
      <c r="D109" t="s">
        <v>104</v>
      </c>
      <c r="F109" s="9" t="s">
        <v>3</v>
      </c>
      <c r="G109" s="10">
        <f>G108*3</f>
        <v>3.6408960000000004E-2</v>
      </c>
    </row>
    <row r="110" spans="4:7" x14ac:dyDescent="0.25">
      <c r="E110" s="4" t="s">
        <v>105</v>
      </c>
      <c r="F110" s="9"/>
    </row>
    <row r="111" spans="4:7" x14ac:dyDescent="0.25">
      <c r="E111" t="s">
        <v>110</v>
      </c>
      <c r="F111" s="17" t="s">
        <v>3</v>
      </c>
      <c r="G111" s="10">
        <f>0.12*0.07*1*8.5*1.07</f>
        <v>7.6398000000000008E-2</v>
      </c>
    </row>
    <row r="112" spans="4:7" x14ac:dyDescent="0.25">
      <c r="E112" t="s">
        <v>103</v>
      </c>
      <c r="F112" s="17" t="s">
        <v>3</v>
      </c>
      <c r="G112" s="10">
        <v>1.0999999999999999E-2</v>
      </c>
    </row>
    <row r="113" spans="3:7" x14ac:dyDescent="0.25">
      <c r="E113" t="s">
        <v>104</v>
      </c>
      <c r="F113" s="17" t="s">
        <v>3</v>
      </c>
      <c r="G113" s="10">
        <f>G112*2.5</f>
        <v>2.7499999999999997E-2</v>
      </c>
    </row>
    <row r="114" spans="3:7" x14ac:dyDescent="0.25">
      <c r="E114" s="4" t="s">
        <v>106</v>
      </c>
      <c r="F114" s="9"/>
    </row>
    <row r="115" spans="3:7" x14ac:dyDescent="0.25">
      <c r="E115" t="s">
        <v>110</v>
      </c>
      <c r="F115" s="19" t="s">
        <v>3</v>
      </c>
      <c r="G115" s="10">
        <f>0.035*0.035*1*8.5</f>
        <v>1.0412500000000002E-2</v>
      </c>
    </row>
    <row r="116" spans="3:7" x14ac:dyDescent="0.25">
      <c r="E116" t="s">
        <v>103</v>
      </c>
      <c r="F116" s="19" t="s">
        <v>3</v>
      </c>
      <c r="G116" s="10">
        <f>0.035*0.035*0.2*10*1.3</f>
        <v>3.1850000000000008E-3</v>
      </c>
    </row>
    <row r="117" spans="3:7" x14ac:dyDescent="0.25">
      <c r="E117" t="s">
        <v>104</v>
      </c>
      <c r="F117" s="19" t="s">
        <v>3</v>
      </c>
      <c r="G117" s="10">
        <f>G116*3</f>
        <v>9.5550000000000027E-3</v>
      </c>
    </row>
    <row r="118" spans="3:7" x14ac:dyDescent="0.25">
      <c r="E118" s="4" t="s">
        <v>107</v>
      </c>
      <c r="F118" s="9"/>
    </row>
    <row r="119" spans="3:7" x14ac:dyDescent="0.25">
      <c r="E119" s="21" t="s">
        <v>111</v>
      </c>
      <c r="F119" s="19" t="s">
        <v>112</v>
      </c>
      <c r="G119" s="10">
        <f>0.12*0.07*1.2</f>
        <v>1.008E-2</v>
      </c>
    </row>
    <row r="120" spans="3:7" x14ac:dyDescent="0.25">
      <c r="E120" s="4" t="s">
        <v>108</v>
      </c>
      <c r="F120" s="9"/>
    </row>
    <row r="121" spans="3:7" x14ac:dyDescent="0.25">
      <c r="E121" t="s">
        <v>109</v>
      </c>
      <c r="F121" s="9" t="s">
        <v>3</v>
      </c>
      <c r="G121" s="10">
        <v>3.0000000000000001E-3</v>
      </c>
    </row>
    <row r="122" spans="3:7" x14ac:dyDescent="0.25">
      <c r="F122" s="9"/>
    </row>
    <row r="123" spans="3:7" x14ac:dyDescent="0.25">
      <c r="C123" s="3" t="s">
        <v>113</v>
      </c>
      <c r="F123" s="9"/>
    </row>
    <row r="124" spans="3:7" x14ac:dyDescent="0.25">
      <c r="C124" s="8" t="s">
        <v>3394</v>
      </c>
      <c r="F124" s="20" t="s">
        <v>3</v>
      </c>
      <c r="G124" s="10">
        <f>0.12*0.04*1.2</f>
        <v>5.7599999999999995E-3</v>
      </c>
    </row>
    <row r="125" spans="3:7" x14ac:dyDescent="0.25">
      <c r="C125" s="8" t="s">
        <v>121</v>
      </c>
      <c r="F125" s="269" t="s">
        <v>3</v>
      </c>
      <c r="G125" s="10">
        <f>1.5*G124</f>
        <v>8.6399999999999984E-3</v>
      </c>
    </row>
    <row r="126" spans="3:7" x14ac:dyDescent="0.25">
      <c r="C126" s="8" t="s">
        <v>114</v>
      </c>
      <c r="F126" s="20" t="s">
        <v>3</v>
      </c>
      <c r="G126" s="10">
        <f>(0.64*0.04*2+0.66*0.04*2)*0.12*1.25+0.012</f>
        <v>2.76E-2</v>
      </c>
    </row>
    <row r="127" spans="3:7" x14ac:dyDescent="0.25">
      <c r="C127" s="8" t="s">
        <v>117</v>
      </c>
      <c r="F127" s="20" t="s">
        <v>3</v>
      </c>
      <c r="G127" s="10">
        <f>0.3*G126</f>
        <v>8.2799999999999992E-3</v>
      </c>
    </row>
    <row r="128" spans="3:7" x14ac:dyDescent="0.25">
      <c r="C128" s="8" t="s">
        <v>115</v>
      </c>
      <c r="F128" s="20" t="s">
        <v>3</v>
      </c>
      <c r="G128" s="10">
        <f>0.3*G127</f>
        <v>2.4839999999999997E-3</v>
      </c>
    </row>
    <row r="129" spans="2:7" x14ac:dyDescent="0.25">
      <c r="C129" s="8" t="s">
        <v>116</v>
      </c>
      <c r="F129" s="20" t="s">
        <v>3</v>
      </c>
      <c r="G129" s="10">
        <f>0.3*G128</f>
        <v>7.451999999999999E-4</v>
      </c>
    </row>
    <row r="130" spans="2:7" x14ac:dyDescent="0.25">
      <c r="D130" s="4" t="s">
        <v>118</v>
      </c>
      <c r="F130" s="9"/>
    </row>
    <row r="131" spans="2:7" x14ac:dyDescent="0.25">
      <c r="D131" t="s">
        <v>122</v>
      </c>
      <c r="F131" s="20" t="s">
        <v>3</v>
      </c>
      <c r="G131" s="10">
        <f>0.64*0.04*1.5*8*1.08</f>
        <v>0.33177600000000007</v>
      </c>
    </row>
    <row r="132" spans="2:7" x14ac:dyDescent="0.25">
      <c r="D132" s="4" t="s">
        <v>119</v>
      </c>
      <c r="F132" s="9"/>
    </row>
    <row r="133" spans="2:7" x14ac:dyDescent="0.25">
      <c r="D133" t="s">
        <v>122</v>
      </c>
      <c r="F133" s="20" t="s">
        <v>3</v>
      </c>
      <c r="G133" s="10">
        <f>0.66*0.04*1.5*8*1.08</f>
        <v>0.34214400000000006</v>
      </c>
    </row>
    <row r="134" spans="2:7" x14ac:dyDescent="0.25">
      <c r="B134" s="132"/>
      <c r="D134" s="4" t="s">
        <v>120</v>
      </c>
      <c r="F134" s="9"/>
    </row>
    <row r="135" spans="2:7" x14ac:dyDescent="0.25">
      <c r="D135" t="s">
        <v>123</v>
      </c>
      <c r="F135" s="22" t="s">
        <v>3</v>
      </c>
      <c r="G135" s="10">
        <f>0.09*1.05</f>
        <v>9.4500000000000001E-2</v>
      </c>
    </row>
    <row r="136" spans="2:7" x14ac:dyDescent="0.25">
      <c r="F136" s="9"/>
    </row>
    <row r="137" spans="2:7" x14ac:dyDescent="0.25">
      <c r="C137" s="3" t="s">
        <v>125</v>
      </c>
      <c r="F137" s="22"/>
    </row>
    <row r="138" spans="2:7" x14ac:dyDescent="0.25">
      <c r="C138" s="8" t="s">
        <v>124</v>
      </c>
      <c r="F138" s="22" t="s">
        <v>3</v>
      </c>
      <c r="G138" s="10">
        <f>0.12*0.04*1.2</f>
        <v>5.7599999999999995E-3</v>
      </c>
    </row>
    <row r="139" spans="2:7" x14ac:dyDescent="0.25">
      <c r="C139" s="8" t="s">
        <v>121</v>
      </c>
      <c r="F139" s="22" t="s">
        <v>3</v>
      </c>
      <c r="G139" s="10">
        <f>1.5*G138</f>
        <v>8.6399999999999984E-3</v>
      </c>
    </row>
    <row r="140" spans="2:7" x14ac:dyDescent="0.25">
      <c r="C140" s="8" t="s">
        <v>114</v>
      </c>
      <c r="F140" s="22" t="s">
        <v>3</v>
      </c>
      <c r="G140" s="10">
        <f>(0.64*0.04*2+0.66*0.04*2)*0.12*1.2+0.012</f>
        <v>2.6976E-2</v>
      </c>
    </row>
    <row r="141" spans="2:7" x14ac:dyDescent="0.25">
      <c r="C141" s="8" t="s">
        <v>117</v>
      </c>
      <c r="F141" s="22" t="s">
        <v>3</v>
      </c>
      <c r="G141" s="10">
        <f>0.3*G140</f>
        <v>8.092799999999999E-3</v>
      </c>
    </row>
    <row r="142" spans="2:7" x14ac:dyDescent="0.25">
      <c r="C142" s="8" t="s">
        <v>115</v>
      </c>
      <c r="F142" s="22" t="s">
        <v>3</v>
      </c>
      <c r="G142" s="10">
        <f>0.3*G141</f>
        <v>2.4278399999999997E-3</v>
      </c>
    </row>
    <row r="143" spans="2:7" x14ac:dyDescent="0.25">
      <c r="C143" s="8" t="s">
        <v>116</v>
      </c>
      <c r="F143" s="22" t="s">
        <v>3</v>
      </c>
      <c r="G143" s="10">
        <f>0.3*G142</f>
        <v>7.2835199999999993E-4</v>
      </c>
    </row>
    <row r="144" spans="2:7" x14ac:dyDescent="0.25">
      <c r="D144" s="4" t="s">
        <v>126</v>
      </c>
      <c r="F144" s="9"/>
    </row>
    <row r="145" spans="3:7" x14ac:dyDescent="0.25">
      <c r="E145" s="4" t="s">
        <v>127</v>
      </c>
      <c r="F145" s="9"/>
    </row>
    <row r="146" spans="3:7" x14ac:dyDescent="0.25">
      <c r="E146" s="24" t="s">
        <v>122</v>
      </c>
      <c r="F146" s="22" t="s">
        <v>3</v>
      </c>
      <c r="G146" s="10">
        <f>0.624*0.04*1.5*8*1.08</f>
        <v>0.32348160000000004</v>
      </c>
    </row>
    <row r="147" spans="3:7" x14ac:dyDescent="0.25">
      <c r="E147" s="4" t="s">
        <v>128</v>
      </c>
      <c r="F147" s="9"/>
    </row>
    <row r="148" spans="3:7" x14ac:dyDescent="0.25">
      <c r="E148" s="24" t="s">
        <v>122</v>
      </c>
      <c r="F148" s="22" t="s">
        <v>3</v>
      </c>
      <c r="G148" s="10">
        <f>0.15*0.105*1.5*8*1.1</f>
        <v>0.20790000000000003</v>
      </c>
    </row>
    <row r="149" spans="3:7" x14ac:dyDescent="0.25">
      <c r="D149" s="4" t="s">
        <v>129</v>
      </c>
      <c r="F149" s="9"/>
    </row>
    <row r="150" spans="3:7" x14ac:dyDescent="0.25">
      <c r="D150" t="s">
        <v>122</v>
      </c>
      <c r="F150" s="22" t="s">
        <v>3</v>
      </c>
      <c r="G150" s="10">
        <f>0.64*0.04*1.5*8*1.08</f>
        <v>0.33177600000000007</v>
      </c>
    </row>
    <row r="151" spans="3:7" x14ac:dyDescent="0.25">
      <c r="F151" s="9"/>
    </row>
    <row r="152" spans="3:7" x14ac:dyDescent="0.25">
      <c r="C152" s="3" t="s">
        <v>130</v>
      </c>
      <c r="F152" s="9"/>
    </row>
    <row r="153" spans="3:7" x14ac:dyDescent="0.25">
      <c r="C153" s="8" t="s">
        <v>124</v>
      </c>
      <c r="F153" s="22" t="s">
        <v>3</v>
      </c>
      <c r="G153" s="10">
        <f>0.12*0.04*1.2</f>
        <v>5.7599999999999995E-3</v>
      </c>
    </row>
    <row r="154" spans="3:7" x14ac:dyDescent="0.25">
      <c r="C154" s="8" t="s">
        <v>121</v>
      </c>
      <c r="F154" s="22" t="s">
        <v>3</v>
      </c>
      <c r="G154" s="10">
        <f>1.5*G153</f>
        <v>8.6399999999999984E-3</v>
      </c>
    </row>
    <row r="155" spans="3:7" x14ac:dyDescent="0.25">
      <c r="C155" s="8" t="s">
        <v>114</v>
      </c>
      <c r="F155" s="22" t="s">
        <v>3</v>
      </c>
      <c r="G155" s="10">
        <f>(0.64*0.04*2+0.66*0.04*2)*0.12*1.25+0.012</f>
        <v>2.76E-2</v>
      </c>
    </row>
    <row r="156" spans="3:7" x14ac:dyDescent="0.25">
      <c r="C156" s="8" t="s">
        <v>117</v>
      </c>
      <c r="F156" s="22" t="s">
        <v>3</v>
      </c>
      <c r="G156" s="10">
        <f>0.3*G155</f>
        <v>8.2799999999999992E-3</v>
      </c>
    </row>
    <row r="157" spans="3:7" x14ac:dyDescent="0.25">
      <c r="C157" s="8" t="s">
        <v>115</v>
      </c>
      <c r="F157" s="22" t="s">
        <v>3</v>
      </c>
      <c r="G157" s="10">
        <f>0.3*G156</f>
        <v>2.4839999999999997E-3</v>
      </c>
    </row>
    <row r="158" spans="3:7" x14ac:dyDescent="0.25">
      <c r="C158" s="8" t="s">
        <v>116</v>
      </c>
      <c r="F158" s="22" t="s">
        <v>3</v>
      </c>
      <c r="G158" s="10">
        <f>0.3*G157</f>
        <v>7.451999999999999E-4</v>
      </c>
    </row>
    <row r="159" spans="3:7" x14ac:dyDescent="0.25">
      <c r="D159" s="4" t="s">
        <v>131</v>
      </c>
      <c r="F159" s="9"/>
    </row>
    <row r="160" spans="3:7" x14ac:dyDescent="0.25">
      <c r="D160" s="25" t="s">
        <v>122</v>
      </c>
      <c r="F160" s="22" t="s">
        <v>3</v>
      </c>
      <c r="G160" s="10">
        <f>0.645*0.04*1.5*8*1.1</f>
        <v>0.34056000000000003</v>
      </c>
    </row>
    <row r="161" spans="3:9" x14ac:dyDescent="0.25">
      <c r="F161" s="9"/>
    </row>
    <row r="162" spans="3:9" x14ac:dyDescent="0.25">
      <c r="C162" s="3" t="s">
        <v>132</v>
      </c>
      <c r="F162" s="9"/>
    </row>
    <row r="163" spans="3:9" x14ac:dyDescent="0.25">
      <c r="C163" t="s">
        <v>133</v>
      </c>
      <c r="F163" s="22" t="s">
        <v>3</v>
      </c>
      <c r="G163" s="10">
        <f>0.654*0.085*4.2*1.05</f>
        <v>0.24515190000000006</v>
      </c>
      <c r="I163" s="10"/>
    </row>
    <row r="164" spans="3:9" x14ac:dyDescent="0.25">
      <c r="F164" s="9"/>
      <c r="I164" s="10"/>
    </row>
    <row r="165" spans="3:9" x14ac:dyDescent="0.25">
      <c r="C165" s="3" t="s">
        <v>134</v>
      </c>
      <c r="F165" s="9"/>
      <c r="I165" s="10"/>
    </row>
    <row r="166" spans="3:9" x14ac:dyDescent="0.25">
      <c r="C166" t="s">
        <v>133</v>
      </c>
      <c r="F166" s="22" t="s">
        <v>3</v>
      </c>
      <c r="G166" s="10">
        <f>0.654*0.085*4.2*1.05</f>
        <v>0.24515190000000006</v>
      </c>
      <c r="I166" s="10"/>
    </row>
    <row r="167" spans="3:9" x14ac:dyDescent="0.25">
      <c r="F167" s="9"/>
      <c r="I167" s="10"/>
    </row>
    <row r="168" spans="3:9" x14ac:dyDescent="0.25">
      <c r="C168" s="3" t="s">
        <v>135</v>
      </c>
      <c r="F168" s="22"/>
      <c r="I168" s="10"/>
    </row>
    <row r="169" spans="3:9" x14ac:dyDescent="0.25">
      <c r="C169" t="s">
        <v>133</v>
      </c>
      <c r="F169" s="22" t="s">
        <v>3</v>
      </c>
      <c r="G169" s="10">
        <f>0.654*0.085*4.2*1.05</f>
        <v>0.24515190000000006</v>
      </c>
      <c r="I169" s="10"/>
    </row>
    <row r="170" spans="3:9" x14ac:dyDescent="0.25">
      <c r="F170" s="9"/>
      <c r="I170" s="10"/>
    </row>
    <row r="171" spans="3:9" x14ac:dyDescent="0.25">
      <c r="C171" s="3" t="s">
        <v>136</v>
      </c>
      <c r="F171" s="22"/>
      <c r="I171" s="10"/>
    </row>
    <row r="172" spans="3:9" x14ac:dyDescent="0.25">
      <c r="C172" t="s">
        <v>133</v>
      </c>
      <c r="F172" s="22" t="s">
        <v>3</v>
      </c>
      <c r="G172" s="10">
        <f>0.682*0.136*4.2*1.05</f>
        <v>0.40903632000000012</v>
      </c>
      <c r="I172" s="10"/>
    </row>
    <row r="173" spans="3:9" x14ac:dyDescent="0.25">
      <c r="F173" s="9"/>
      <c r="I173" s="10"/>
    </row>
    <row r="174" spans="3:9" x14ac:dyDescent="0.25">
      <c r="C174" s="3" t="s">
        <v>137</v>
      </c>
      <c r="F174" s="22"/>
      <c r="I174" s="10"/>
    </row>
    <row r="175" spans="3:9" x14ac:dyDescent="0.25">
      <c r="C175" t="s">
        <v>133</v>
      </c>
      <c r="F175" s="22" t="s">
        <v>3</v>
      </c>
      <c r="G175" s="10">
        <f>0.653*0.145*4.2*1.05</f>
        <v>0.41756085000000004</v>
      </c>
      <c r="I175" s="10"/>
    </row>
    <row r="176" spans="3:9" x14ac:dyDescent="0.25">
      <c r="F176" s="9"/>
      <c r="I176" s="10"/>
    </row>
    <row r="177" spans="3:12" x14ac:dyDescent="0.25">
      <c r="C177" s="3" t="s">
        <v>138</v>
      </c>
      <c r="F177" s="22"/>
      <c r="I177" s="10"/>
    </row>
    <row r="178" spans="3:12" x14ac:dyDescent="0.25">
      <c r="C178" t="s">
        <v>133</v>
      </c>
      <c r="F178" s="22" t="s">
        <v>3</v>
      </c>
      <c r="G178" s="10">
        <f>0.658*0.145*4.2*1.05</f>
        <v>0.42075810000000002</v>
      </c>
      <c r="I178" s="10"/>
    </row>
    <row r="179" spans="3:12" x14ac:dyDescent="0.25">
      <c r="F179" s="9"/>
      <c r="G179" s="10">
        <f>SUM(G163:G178)</f>
        <v>1.9828109700000005</v>
      </c>
      <c r="H179" s="10"/>
      <c r="I179" s="10"/>
      <c r="J179" s="10"/>
      <c r="K179" s="6"/>
      <c r="L179" s="2"/>
    </row>
    <row r="180" spans="3:12" x14ac:dyDescent="0.25">
      <c r="C180" s="3" t="s">
        <v>139</v>
      </c>
      <c r="F180" s="9"/>
    </row>
    <row r="181" spans="3:12" x14ac:dyDescent="0.25">
      <c r="C181" t="s">
        <v>141</v>
      </c>
      <c r="F181" s="22" t="s">
        <v>3</v>
      </c>
      <c r="G181" s="10">
        <f>0.008*3.14*2*0.08*1.2</f>
        <v>4.8230399999999998E-3</v>
      </c>
    </row>
    <row r="182" spans="3:12" ht="17.25" x14ac:dyDescent="0.25">
      <c r="C182" t="s">
        <v>23</v>
      </c>
      <c r="F182" s="173" t="s">
        <v>596</v>
      </c>
      <c r="G182" s="10">
        <f>G181*2</f>
        <v>9.6460799999999996E-3</v>
      </c>
    </row>
    <row r="183" spans="3:12" x14ac:dyDescent="0.25">
      <c r="C183" t="s">
        <v>142</v>
      </c>
      <c r="F183" s="22" t="s">
        <v>3</v>
      </c>
      <c r="G183" s="10">
        <f>G181/4</f>
        <v>1.2057599999999999E-3</v>
      </c>
    </row>
    <row r="184" spans="3:12" x14ac:dyDescent="0.25">
      <c r="C184" t="s">
        <v>143</v>
      </c>
      <c r="F184" s="22" t="s">
        <v>3</v>
      </c>
      <c r="G184" s="10">
        <v>1.9E-2</v>
      </c>
    </row>
    <row r="185" spans="3:12" x14ac:dyDescent="0.25">
      <c r="C185" t="s">
        <v>147</v>
      </c>
      <c r="F185" s="22" t="s">
        <v>3</v>
      </c>
      <c r="G185" s="10">
        <f>0.3*G184</f>
        <v>5.6999999999999993E-3</v>
      </c>
    </row>
    <row r="186" spans="3:12" x14ac:dyDescent="0.25">
      <c r="C186" t="s">
        <v>8</v>
      </c>
      <c r="F186" s="22" t="s">
        <v>3</v>
      </c>
      <c r="G186" s="10">
        <f>0.65*0.011*1.39</f>
        <v>9.9384999999999994E-3</v>
      </c>
    </row>
    <row r="187" spans="3:12" x14ac:dyDescent="0.25">
      <c r="C187" t="s">
        <v>148</v>
      </c>
      <c r="F187" s="22" t="s">
        <v>3</v>
      </c>
      <c r="G187" s="10">
        <f>0.65*0.011*2*1.3</f>
        <v>1.8590000000000002E-2</v>
      </c>
    </row>
    <row r="188" spans="3:12" x14ac:dyDescent="0.25">
      <c r="C188" t="s">
        <v>116</v>
      </c>
      <c r="F188" s="22" t="s">
        <v>3</v>
      </c>
      <c r="G188" s="10">
        <f>0.3*(G187+G186)</f>
        <v>8.5585499999999998E-3</v>
      </c>
    </row>
    <row r="189" spans="3:12" x14ac:dyDescent="0.25">
      <c r="D189" s="4" t="s">
        <v>144</v>
      </c>
      <c r="F189" s="9"/>
    </row>
    <row r="190" spans="3:12" x14ac:dyDescent="0.25">
      <c r="D190" t="s">
        <v>145</v>
      </c>
      <c r="F190" s="22" t="s">
        <v>3</v>
      </c>
      <c r="G190" s="10">
        <v>6.5000000000000002E-2</v>
      </c>
      <c r="I190" t="s">
        <v>146</v>
      </c>
    </row>
    <row r="191" spans="3:12" x14ac:dyDescent="0.25">
      <c r="F191" s="9"/>
    </row>
    <row r="192" spans="3:12" x14ac:dyDescent="0.25">
      <c r="C192" s="3" t="s">
        <v>149</v>
      </c>
      <c r="F192" s="9"/>
    </row>
    <row r="193" spans="3:9" x14ac:dyDescent="0.25">
      <c r="C193" s="8" t="s">
        <v>39</v>
      </c>
      <c r="F193" s="22" t="s">
        <v>3</v>
      </c>
      <c r="G193" s="10">
        <v>2E-3</v>
      </c>
    </row>
    <row r="194" spans="3:9" x14ac:dyDescent="0.25">
      <c r="C194" s="8" t="s">
        <v>40</v>
      </c>
      <c r="F194" s="22" t="s">
        <v>3</v>
      </c>
      <c r="G194" s="10">
        <f>1.5*G193</f>
        <v>3.0000000000000001E-3</v>
      </c>
    </row>
    <row r="195" spans="3:9" x14ac:dyDescent="0.25">
      <c r="C195" s="8" t="s">
        <v>150</v>
      </c>
      <c r="F195" s="22" t="s">
        <v>3</v>
      </c>
      <c r="G195" s="10">
        <f>0.07*0.05*2*8*1.03</f>
        <v>5.7680000000000009E-2</v>
      </c>
    </row>
    <row r="196" spans="3:9" x14ac:dyDescent="0.25">
      <c r="F196" s="9"/>
    </row>
    <row r="197" spans="3:9" x14ac:dyDescent="0.25">
      <c r="C197" s="3" t="s">
        <v>151</v>
      </c>
      <c r="F197" s="9"/>
    </row>
    <row r="198" spans="3:9" x14ac:dyDescent="0.25">
      <c r="C198" t="s">
        <v>141</v>
      </c>
      <c r="F198" s="22" t="s">
        <v>3</v>
      </c>
      <c r="G198" s="10">
        <f>0.006*3.14*2*0.08*1.3</f>
        <v>3.9187200000000005E-3</v>
      </c>
    </row>
    <row r="199" spans="3:9" ht="17.25" x14ac:dyDescent="0.25">
      <c r="C199" t="s">
        <v>23</v>
      </c>
      <c r="F199" s="173" t="s">
        <v>596</v>
      </c>
      <c r="G199" s="10">
        <f>G198*2</f>
        <v>7.8374400000000011E-3</v>
      </c>
    </row>
    <row r="200" spans="3:9" x14ac:dyDescent="0.25">
      <c r="C200" t="s">
        <v>142</v>
      </c>
      <c r="F200" s="22" t="s">
        <v>3</v>
      </c>
      <c r="G200" s="10">
        <f>G198/4</f>
        <v>9.7968000000000013E-4</v>
      </c>
    </row>
    <row r="201" spans="3:9" x14ac:dyDescent="0.25">
      <c r="C201" t="s">
        <v>143</v>
      </c>
      <c r="F201" s="22" t="s">
        <v>3</v>
      </c>
      <c r="G201" s="10">
        <v>1.9E-2</v>
      </c>
    </row>
    <row r="202" spans="3:9" x14ac:dyDescent="0.25">
      <c r="C202" t="s">
        <v>147</v>
      </c>
      <c r="F202" s="22" t="s">
        <v>3</v>
      </c>
      <c r="G202" s="10">
        <f>G201*0.3</f>
        <v>5.6999999999999993E-3</v>
      </c>
    </row>
    <row r="203" spans="3:9" x14ac:dyDescent="0.25">
      <c r="C203" t="s">
        <v>8</v>
      </c>
      <c r="F203" s="22" t="s">
        <v>3</v>
      </c>
      <c r="G203" s="10">
        <f>0.68*0.011*1.39</f>
        <v>1.0397199999999999E-2</v>
      </c>
    </row>
    <row r="204" spans="3:9" x14ac:dyDescent="0.25">
      <c r="C204" t="s">
        <v>152</v>
      </c>
      <c r="F204" s="22" t="s">
        <v>3</v>
      </c>
      <c r="G204" s="10">
        <f>0.68*0.011*2*1.3</f>
        <v>1.9448E-2</v>
      </c>
    </row>
    <row r="205" spans="3:9" x14ac:dyDescent="0.25">
      <c r="C205" t="s">
        <v>116</v>
      </c>
      <c r="F205" s="22" t="s">
        <v>3</v>
      </c>
      <c r="G205" s="10">
        <f>0.3*(G204+G203)</f>
        <v>8.9535599999999993E-3</v>
      </c>
    </row>
    <row r="206" spans="3:9" x14ac:dyDescent="0.25">
      <c r="D206" s="4" t="s">
        <v>153</v>
      </c>
      <c r="F206" s="9"/>
    </row>
    <row r="207" spans="3:9" x14ac:dyDescent="0.25">
      <c r="D207" t="s">
        <v>154</v>
      </c>
      <c r="F207" s="22" t="s">
        <v>3</v>
      </c>
      <c r="G207" s="10">
        <v>8.5000000000000006E-2</v>
      </c>
      <c r="I207" t="s">
        <v>155</v>
      </c>
    </row>
    <row r="208" spans="3:9" x14ac:dyDescent="0.25">
      <c r="F208" s="9"/>
    </row>
    <row r="209" spans="3:9" x14ac:dyDescent="0.25">
      <c r="C209" s="3" t="s">
        <v>156</v>
      </c>
      <c r="F209" s="9"/>
    </row>
    <row r="210" spans="3:9" x14ac:dyDescent="0.25">
      <c r="C210" t="s">
        <v>140</v>
      </c>
      <c r="F210" s="22" t="s">
        <v>3</v>
      </c>
      <c r="G210" s="10">
        <f>0.012*3.14*4*0.08*1.2</f>
        <v>1.4469120000000002E-2</v>
      </c>
    </row>
    <row r="211" spans="3:9" ht="17.25" x14ac:dyDescent="0.25">
      <c r="C211" s="25" t="s">
        <v>23</v>
      </c>
      <c r="F211" s="173" t="s">
        <v>596</v>
      </c>
      <c r="G211" s="10">
        <f>G210*2</f>
        <v>2.8938240000000004E-2</v>
      </c>
    </row>
    <row r="212" spans="3:9" x14ac:dyDescent="0.25">
      <c r="C212" s="25" t="s">
        <v>142</v>
      </c>
      <c r="F212" s="22" t="s">
        <v>3</v>
      </c>
      <c r="G212" s="10">
        <f>G210/4</f>
        <v>3.6172800000000005E-3</v>
      </c>
    </row>
    <row r="213" spans="3:9" x14ac:dyDescent="0.25">
      <c r="C213" t="s">
        <v>143</v>
      </c>
      <c r="F213" s="22" t="s">
        <v>3</v>
      </c>
      <c r="G213" s="10">
        <f>G214</f>
        <v>3.8649599999999999E-2</v>
      </c>
    </row>
    <row r="214" spans="3:9" x14ac:dyDescent="0.25">
      <c r="C214" t="s">
        <v>8</v>
      </c>
      <c r="F214" s="22" t="s">
        <v>3</v>
      </c>
      <c r="G214" s="10">
        <f>G215*0.6</f>
        <v>3.8649599999999999E-2</v>
      </c>
    </row>
    <row r="215" spans="3:9" x14ac:dyDescent="0.25">
      <c r="C215" t="s">
        <v>152</v>
      </c>
      <c r="F215" s="22" t="s">
        <v>3</v>
      </c>
      <c r="G215" s="10">
        <f>2.44*0.011*1.2*2</f>
        <v>6.4416000000000001E-2</v>
      </c>
    </row>
    <row r="216" spans="3:9" x14ac:dyDescent="0.25">
      <c r="C216" t="s">
        <v>12</v>
      </c>
      <c r="F216" s="22" t="s">
        <v>3</v>
      </c>
      <c r="G216" s="10">
        <f>0.3*(G215+G214+G213)</f>
        <v>4.251456E-2</v>
      </c>
    </row>
    <row r="217" spans="3:9" x14ac:dyDescent="0.25">
      <c r="D217" s="4" t="s">
        <v>157</v>
      </c>
      <c r="F217" s="9"/>
    </row>
    <row r="218" spans="3:9" x14ac:dyDescent="0.25">
      <c r="D218" t="s">
        <v>154</v>
      </c>
      <c r="F218" s="22" t="s">
        <v>3</v>
      </c>
      <c r="G218" s="10">
        <v>0.16</v>
      </c>
      <c r="I218" t="s">
        <v>160</v>
      </c>
    </row>
    <row r="219" spans="3:9" x14ac:dyDescent="0.25">
      <c r="D219" s="4" t="s">
        <v>158</v>
      </c>
      <c r="F219" s="22"/>
    </row>
    <row r="220" spans="3:9" x14ac:dyDescent="0.25">
      <c r="D220" t="s">
        <v>159</v>
      </c>
      <c r="F220" s="22" t="s">
        <v>3</v>
      </c>
      <c r="G220" s="10">
        <v>0.3</v>
      </c>
      <c r="I220" t="s">
        <v>161</v>
      </c>
    </row>
    <row r="221" spans="3:9" x14ac:dyDescent="0.25">
      <c r="F221" s="9"/>
    </row>
    <row r="222" spans="3:9" x14ac:dyDescent="0.25">
      <c r="C222" s="3" t="s">
        <v>170</v>
      </c>
      <c r="F222" s="9"/>
    </row>
    <row r="223" spans="3:9" x14ac:dyDescent="0.25">
      <c r="C223" t="s">
        <v>140</v>
      </c>
      <c r="F223" s="22" t="s">
        <v>3</v>
      </c>
      <c r="G223" s="10">
        <f>0.008*3.14*2*0.08*1.2</f>
        <v>4.8230399999999998E-3</v>
      </c>
    </row>
    <row r="224" spans="3:9" ht="17.25" x14ac:dyDescent="0.25">
      <c r="C224" s="25" t="s">
        <v>23</v>
      </c>
      <c r="F224" s="173" t="s">
        <v>596</v>
      </c>
      <c r="G224" s="10">
        <f>G223*2</f>
        <v>9.6460799999999996E-3</v>
      </c>
    </row>
    <row r="225" spans="3:9" x14ac:dyDescent="0.25">
      <c r="C225" s="25" t="s">
        <v>142</v>
      </c>
      <c r="F225" s="22" t="s">
        <v>3</v>
      </c>
      <c r="G225" s="10">
        <f>G223/4</f>
        <v>1.2057599999999999E-3</v>
      </c>
    </row>
    <row r="226" spans="3:9" x14ac:dyDescent="0.25">
      <c r="C226" s="8" t="s">
        <v>8</v>
      </c>
      <c r="D226" s="8"/>
      <c r="E226" s="8"/>
      <c r="F226" s="23" t="s">
        <v>3</v>
      </c>
      <c r="G226" s="10">
        <f>G227*0.6</f>
        <v>1.6559999999999998E-2</v>
      </c>
    </row>
    <row r="227" spans="3:9" x14ac:dyDescent="0.25">
      <c r="C227" s="8" t="s">
        <v>152</v>
      </c>
      <c r="D227" s="8"/>
      <c r="E227" s="8"/>
      <c r="F227" s="23" t="s">
        <v>3</v>
      </c>
      <c r="G227" s="10">
        <f>1*0.0115*2*1.2</f>
        <v>2.76E-2</v>
      </c>
    </row>
    <row r="228" spans="3:9" x14ac:dyDescent="0.25">
      <c r="C228" s="8" t="s">
        <v>12</v>
      </c>
      <c r="D228" s="8"/>
      <c r="E228" s="8"/>
      <c r="F228" s="23" t="s">
        <v>3</v>
      </c>
      <c r="G228" s="10">
        <f>0.3*(G227+G226)</f>
        <v>1.3247999999999999E-2</v>
      </c>
    </row>
    <row r="229" spans="3:9" x14ac:dyDescent="0.25">
      <c r="D229" s="4" t="s">
        <v>171</v>
      </c>
      <c r="F229" s="9"/>
    </row>
    <row r="230" spans="3:9" x14ac:dyDescent="0.25">
      <c r="D230" t="s">
        <v>172</v>
      </c>
      <c r="F230" s="22" t="s">
        <v>3</v>
      </c>
      <c r="G230" s="32">
        <v>0.2</v>
      </c>
      <c r="I230" t="s">
        <v>200</v>
      </c>
    </row>
    <row r="231" spans="3:9" x14ac:dyDescent="0.25">
      <c r="F231" s="9"/>
    </row>
    <row r="232" spans="3:9" x14ac:dyDescent="0.25">
      <c r="C232" s="3" t="s">
        <v>174</v>
      </c>
      <c r="F232" s="9"/>
    </row>
    <row r="233" spans="3:9" x14ac:dyDescent="0.25">
      <c r="C233" t="s">
        <v>173</v>
      </c>
      <c r="F233" s="22" t="s">
        <v>3</v>
      </c>
      <c r="G233" s="10">
        <f>0.19*0.07*3*8*1.07</f>
        <v>0.34154400000000007</v>
      </c>
    </row>
    <row r="234" spans="3:9" x14ac:dyDescent="0.25">
      <c r="F234" s="9"/>
    </row>
    <row r="235" spans="3:9" x14ac:dyDescent="0.25">
      <c r="C235" s="3" t="s">
        <v>175</v>
      </c>
      <c r="F235" s="9"/>
    </row>
    <row r="236" spans="3:9" x14ac:dyDescent="0.25">
      <c r="D236" s="4" t="s">
        <v>176</v>
      </c>
      <c r="F236" s="9"/>
    </row>
    <row r="237" spans="3:9" x14ac:dyDescent="0.25">
      <c r="D237" t="s">
        <v>177</v>
      </c>
      <c r="F237" s="22" t="s">
        <v>3</v>
      </c>
      <c r="G237" s="10">
        <f>0.42*0.02*1*8*1.05</f>
        <v>7.0559999999999998E-2</v>
      </c>
    </row>
    <row r="238" spans="3:9" x14ac:dyDescent="0.25">
      <c r="D238" s="3" t="s">
        <v>178</v>
      </c>
      <c r="F238" s="9"/>
    </row>
    <row r="239" spans="3:9" x14ac:dyDescent="0.25">
      <c r="D239" t="s">
        <v>177</v>
      </c>
      <c r="F239" s="22" t="s">
        <v>3</v>
      </c>
      <c r="G239" s="10">
        <f>0.08*0.04*1*8*1.08</f>
        <v>2.7648000000000002E-2</v>
      </c>
    </row>
    <row r="240" spans="3:9" x14ac:dyDescent="0.25">
      <c r="F240" s="9"/>
    </row>
    <row r="241" spans="3:7" x14ac:dyDescent="0.25">
      <c r="C241" s="3" t="s">
        <v>179</v>
      </c>
      <c r="F241" s="9"/>
    </row>
    <row r="242" spans="3:7" x14ac:dyDescent="0.25">
      <c r="C242" s="3" t="s">
        <v>180</v>
      </c>
      <c r="F242" s="9"/>
    </row>
    <row r="243" spans="3:7" x14ac:dyDescent="0.25">
      <c r="C243" t="s">
        <v>181</v>
      </c>
      <c r="F243" s="22" t="s">
        <v>3</v>
      </c>
      <c r="G243" s="10">
        <f>0.88*0.06*0.15*1.8</f>
        <v>1.4256E-2</v>
      </c>
    </row>
    <row r="244" spans="3:7" x14ac:dyDescent="0.25">
      <c r="C244" t="s">
        <v>182</v>
      </c>
      <c r="F244" s="22" t="s">
        <v>3</v>
      </c>
      <c r="G244" s="10">
        <f>0.88*0.06*0.15*2*1.69</f>
        <v>2.6769599999999998E-2</v>
      </c>
    </row>
    <row r="245" spans="3:7" x14ac:dyDescent="0.25">
      <c r="C245" t="s">
        <v>183</v>
      </c>
      <c r="F245" s="22" t="s">
        <v>3</v>
      </c>
      <c r="G245" s="10">
        <f>0.3*(G244+G243)</f>
        <v>1.2307679999999998E-2</v>
      </c>
    </row>
    <row r="246" spans="3:7" x14ac:dyDescent="0.25">
      <c r="D246" s="3" t="s">
        <v>184</v>
      </c>
      <c r="F246" s="9"/>
    </row>
    <row r="247" spans="3:7" x14ac:dyDescent="0.25">
      <c r="D247" s="8" t="s">
        <v>39</v>
      </c>
      <c r="F247" s="23" t="s">
        <v>3</v>
      </c>
      <c r="G247" s="10">
        <f>(0.008*3.14*8+0.015+0.14+0.3+0.08+0.04)*0.036*1.32</f>
        <v>3.6873619199999999E-2</v>
      </c>
    </row>
    <row r="248" spans="3:7" x14ac:dyDescent="0.25">
      <c r="D248" s="8" t="s">
        <v>40</v>
      </c>
      <c r="F248" s="23" t="s">
        <v>3</v>
      </c>
      <c r="G248" s="10">
        <f>1.5*G247</f>
        <v>5.5310428799999999E-2</v>
      </c>
    </row>
    <row r="249" spans="3:7" x14ac:dyDescent="0.25">
      <c r="E249" s="3" t="s">
        <v>185</v>
      </c>
      <c r="F249" s="9"/>
    </row>
    <row r="250" spans="3:7" x14ac:dyDescent="0.25">
      <c r="E250" s="8" t="s">
        <v>54</v>
      </c>
      <c r="F250" s="23" t="s">
        <v>3</v>
      </c>
      <c r="G250" s="10">
        <f>0.08*0.09*4*8*1.05</f>
        <v>0.24192</v>
      </c>
    </row>
    <row r="251" spans="3:7" x14ac:dyDescent="0.25">
      <c r="E251" s="3" t="s">
        <v>186</v>
      </c>
      <c r="F251" s="9"/>
    </row>
    <row r="252" spans="3:7" x14ac:dyDescent="0.25">
      <c r="E252" s="8" t="s">
        <v>54</v>
      </c>
      <c r="F252" s="23" t="s">
        <v>3</v>
      </c>
      <c r="G252" s="10">
        <f>0.17*0.04*4*8*1.07</f>
        <v>0.23283200000000004</v>
      </c>
    </row>
    <row r="253" spans="3:7" x14ac:dyDescent="0.25">
      <c r="E253" s="3" t="s">
        <v>187</v>
      </c>
      <c r="F253" s="9"/>
    </row>
    <row r="254" spans="3:7" x14ac:dyDescent="0.25">
      <c r="E254" s="8" t="s">
        <v>55</v>
      </c>
      <c r="F254" s="23" t="s">
        <v>3</v>
      </c>
      <c r="G254" s="10">
        <f>0.32*0.095*3*8*1.05</f>
        <v>0.76608000000000009</v>
      </c>
    </row>
    <row r="255" spans="3:7" x14ac:dyDescent="0.25">
      <c r="E255" s="3" t="s">
        <v>188</v>
      </c>
      <c r="F255" s="9"/>
    </row>
    <row r="256" spans="3:7" x14ac:dyDescent="0.25">
      <c r="E256" s="8" t="s">
        <v>55</v>
      </c>
      <c r="F256" s="23" t="s">
        <v>3</v>
      </c>
      <c r="G256" s="10">
        <f>0.16*0.065*3*8*1.06</f>
        <v>0.26457600000000003</v>
      </c>
    </row>
    <row r="257" spans="3:11" x14ac:dyDescent="0.25">
      <c r="E257" s="3" t="s">
        <v>191</v>
      </c>
      <c r="F257" s="9"/>
    </row>
    <row r="258" spans="3:11" x14ac:dyDescent="0.25">
      <c r="E258" s="8" t="s">
        <v>55</v>
      </c>
      <c r="F258" s="23" t="s">
        <v>3</v>
      </c>
      <c r="G258" s="10">
        <f>0.11*0.066*3*8*1.05</f>
        <v>0.182952</v>
      </c>
    </row>
    <row r="259" spans="3:11" x14ac:dyDescent="0.25">
      <c r="E259" s="3" t="s">
        <v>190</v>
      </c>
      <c r="F259" s="9"/>
    </row>
    <row r="260" spans="3:11" x14ac:dyDescent="0.25">
      <c r="E260" s="8" t="s">
        <v>55</v>
      </c>
      <c r="F260" s="23" t="s">
        <v>3</v>
      </c>
      <c r="G260" s="10">
        <f>0.26*0.06*3*8*1.05</f>
        <v>0.39311999999999997</v>
      </c>
    </row>
    <row r="261" spans="3:11" x14ac:dyDescent="0.25">
      <c r="E261" s="3" t="s">
        <v>189</v>
      </c>
      <c r="F261" s="9"/>
      <c r="K261" s="121" t="s">
        <v>192</v>
      </c>
    </row>
    <row r="262" spans="3:11" x14ac:dyDescent="0.25">
      <c r="E262" s="8" t="s">
        <v>55</v>
      </c>
      <c r="F262" s="23" t="s">
        <v>3</v>
      </c>
      <c r="G262" s="10">
        <f>0.135*0.06*3*8*1.05</f>
        <v>0.20412</v>
      </c>
      <c r="K262" s="121" t="s">
        <v>193</v>
      </c>
    </row>
    <row r="263" spans="3:11" x14ac:dyDescent="0.25">
      <c r="E263" s="3" t="s">
        <v>196</v>
      </c>
      <c r="F263" s="23" t="s">
        <v>3</v>
      </c>
      <c r="G263" s="10">
        <v>1E-3</v>
      </c>
      <c r="K263" s="121" t="s">
        <v>194</v>
      </c>
    </row>
    <row r="264" spans="3:11" x14ac:dyDescent="0.25">
      <c r="F264" s="9"/>
    </row>
    <row r="265" spans="3:11" x14ac:dyDescent="0.25">
      <c r="C265" s="3" t="s">
        <v>201</v>
      </c>
      <c r="F265" s="9"/>
    </row>
    <row r="266" spans="3:11" x14ac:dyDescent="0.25">
      <c r="C266" s="3" t="s">
        <v>202</v>
      </c>
      <c r="F266" s="23"/>
    </row>
    <row r="267" spans="3:11" x14ac:dyDescent="0.25">
      <c r="C267" t="s">
        <v>181</v>
      </c>
      <c r="F267" s="23" t="s">
        <v>3</v>
      </c>
      <c r="G267" s="10">
        <f>0.88*0.06*0.15*1.8</f>
        <v>1.4256E-2</v>
      </c>
    </row>
    <row r="268" spans="3:11" x14ac:dyDescent="0.25">
      <c r="C268" t="s">
        <v>182</v>
      </c>
      <c r="F268" s="23" t="s">
        <v>3</v>
      </c>
      <c r="G268" s="10">
        <f>0.88*0.06*0.15*2*1.69</f>
        <v>2.6769599999999998E-2</v>
      </c>
      <c r="H268" s="3" t="s">
        <v>2985</v>
      </c>
    </row>
    <row r="269" spans="3:11" x14ac:dyDescent="0.25">
      <c r="C269" t="s">
        <v>183</v>
      </c>
      <c r="F269" s="23" t="s">
        <v>3</v>
      </c>
      <c r="G269" s="10">
        <f>0.3*(G268+G267)</f>
        <v>1.2307679999999998E-2</v>
      </c>
    </row>
    <row r="270" spans="3:11" x14ac:dyDescent="0.25">
      <c r="F270" s="9"/>
    </row>
    <row r="271" spans="3:11" x14ac:dyDescent="0.25">
      <c r="C271" s="3" t="s">
        <v>203</v>
      </c>
      <c r="F271" s="9"/>
    </row>
    <row r="272" spans="3:11" x14ac:dyDescent="0.25">
      <c r="D272" s="4" t="s">
        <v>204</v>
      </c>
      <c r="F272" s="9"/>
    </row>
    <row r="273" spans="3:7" x14ac:dyDescent="0.25">
      <c r="D273" t="s">
        <v>209</v>
      </c>
      <c r="F273" s="23" t="s">
        <v>3</v>
      </c>
      <c r="G273" s="10">
        <f>0.085*0.093*0.25*9</f>
        <v>1.778625E-2</v>
      </c>
    </row>
    <row r="274" spans="3:7" x14ac:dyDescent="0.25">
      <c r="D274" s="4" t="s">
        <v>205</v>
      </c>
      <c r="F274" s="23" t="s">
        <v>207</v>
      </c>
      <c r="G274" s="10">
        <f>0.04*0.21*1.1</f>
        <v>9.2399999999999999E-3</v>
      </c>
    </row>
    <row r="275" spans="3:7" x14ac:dyDescent="0.25">
      <c r="D275" s="4" t="s">
        <v>206</v>
      </c>
      <c r="F275" s="23" t="s">
        <v>195</v>
      </c>
      <c r="G275" s="10">
        <f>0.073</f>
        <v>7.2999999999999995E-2</v>
      </c>
    </row>
    <row r="276" spans="3:7" x14ac:dyDescent="0.25">
      <c r="D276" s="4" t="s">
        <v>208</v>
      </c>
      <c r="F276" s="23" t="s">
        <v>3</v>
      </c>
      <c r="G276" s="10">
        <v>5.0000000000000001E-3</v>
      </c>
    </row>
    <row r="277" spans="3:7" x14ac:dyDescent="0.25">
      <c r="F277" s="9"/>
    </row>
    <row r="278" spans="3:7" x14ac:dyDescent="0.25">
      <c r="C278" s="3" t="s">
        <v>210</v>
      </c>
      <c r="F278" s="23"/>
      <c r="G278" s="32"/>
    </row>
    <row r="279" spans="3:7" x14ac:dyDescent="0.25">
      <c r="C279" s="25" t="s">
        <v>211</v>
      </c>
      <c r="F279" s="23" t="s">
        <v>3</v>
      </c>
      <c r="G279" s="10">
        <f>0.058*3*0.036*1.2</f>
        <v>7.5168000000000006E-3</v>
      </c>
    </row>
    <row r="280" spans="3:7" x14ac:dyDescent="0.25">
      <c r="C280" s="25" t="s">
        <v>168</v>
      </c>
      <c r="F280" s="23" t="s">
        <v>3</v>
      </c>
      <c r="G280" s="10">
        <f>1.5*G279</f>
        <v>1.1275200000000001E-2</v>
      </c>
    </row>
    <row r="281" spans="3:7" x14ac:dyDescent="0.25">
      <c r="D281" s="4" t="s">
        <v>212</v>
      </c>
      <c r="F281" s="23"/>
    </row>
    <row r="282" spans="3:7" x14ac:dyDescent="0.25">
      <c r="D282" t="s">
        <v>213</v>
      </c>
      <c r="F282" s="23" t="s">
        <v>3</v>
      </c>
      <c r="G282" s="10">
        <f>0.516*0.295*3*2.7*1.05</f>
        <v>1.2946311000000001</v>
      </c>
    </row>
    <row r="283" spans="3:7" x14ac:dyDescent="0.25">
      <c r="D283" s="4" t="s">
        <v>214</v>
      </c>
      <c r="F283" s="23"/>
    </row>
    <row r="284" spans="3:7" x14ac:dyDescent="0.25">
      <c r="D284" t="s">
        <v>213</v>
      </c>
      <c r="F284" s="23" t="s">
        <v>3</v>
      </c>
      <c r="G284" s="32">
        <f>0.026*0.01*3*2.7*1.1</f>
        <v>2.3165999999999998E-3</v>
      </c>
    </row>
    <row r="285" spans="3:7" x14ac:dyDescent="0.25">
      <c r="F285" s="23"/>
    </row>
    <row r="286" spans="3:7" x14ac:dyDescent="0.25">
      <c r="C286" s="3" t="s">
        <v>215</v>
      </c>
      <c r="F286" s="23"/>
    </row>
    <row r="287" spans="3:7" x14ac:dyDescent="0.25">
      <c r="C287" s="25" t="s">
        <v>211</v>
      </c>
      <c r="F287" s="23" t="s">
        <v>3</v>
      </c>
      <c r="G287" s="10">
        <f>0.11*0.036*1.2</f>
        <v>4.7520000000000001E-3</v>
      </c>
    </row>
    <row r="288" spans="3:7" x14ac:dyDescent="0.25">
      <c r="C288" s="25" t="s">
        <v>168</v>
      </c>
      <c r="F288" s="23" t="s">
        <v>3</v>
      </c>
      <c r="G288" s="10">
        <f>1.5*G287</f>
        <v>7.1280000000000007E-3</v>
      </c>
    </row>
    <row r="289" spans="3:9" x14ac:dyDescent="0.25">
      <c r="D289" s="4" t="s">
        <v>216</v>
      </c>
      <c r="F289" s="23"/>
    </row>
    <row r="290" spans="3:9" x14ac:dyDescent="0.25">
      <c r="D290" t="s">
        <v>213</v>
      </c>
      <c r="F290" s="23" t="s">
        <v>3</v>
      </c>
      <c r="G290" s="10">
        <f>0.472*0.185*3*2.7*1.03</f>
        <v>0.72851075999999992</v>
      </c>
    </row>
    <row r="291" spans="3:9" x14ac:dyDescent="0.25">
      <c r="D291" s="4" t="s">
        <v>217</v>
      </c>
      <c r="F291" s="23"/>
    </row>
    <row r="292" spans="3:9" x14ac:dyDescent="0.25">
      <c r="D292" t="s">
        <v>213</v>
      </c>
      <c r="F292" s="23" t="s">
        <v>3</v>
      </c>
      <c r="G292" s="10">
        <f>0.08*0.03*3*2.7*1.2</f>
        <v>2.3328000000000002E-2</v>
      </c>
    </row>
    <row r="293" spans="3:9" x14ac:dyDescent="0.25">
      <c r="F293" s="9"/>
    </row>
    <row r="294" spans="3:9" x14ac:dyDescent="0.25">
      <c r="C294" s="3" t="s">
        <v>218</v>
      </c>
      <c r="F294" s="9"/>
    </row>
    <row r="295" spans="3:9" x14ac:dyDescent="0.25">
      <c r="D295" s="4" t="s">
        <v>219</v>
      </c>
      <c r="F295" s="9"/>
    </row>
    <row r="296" spans="3:9" x14ac:dyDescent="0.25">
      <c r="D296" s="8" t="s">
        <v>39</v>
      </c>
      <c r="F296" s="23" t="s">
        <v>3</v>
      </c>
      <c r="G296" s="10">
        <f>(0.07+0.32+0.32+0.14)*0.04*1.3</f>
        <v>4.4200000000000003E-2</v>
      </c>
      <c r="I296" s="10"/>
    </row>
    <row r="297" spans="3:9" x14ac:dyDescent="0.25">
      <c r="D297" s="8" t="s">
        <v>40</v>
      </c>
      <c r="F297" s="23" t="s">
        <v>3</v>
      </c>
      <c r="G297" s="10">
        <f>G296*1.5</f>
        <v>6.6299999999999998E-2</v>
      </c>
    </row>
    <row r="298" spans="3:9" x14ac:dyDescent="0.25">
      <c r="D298" t="s">
        <v>8</v>
      </c>
      <c r="F298" s="23" t="s">
        <v>3</v>
      </c>
      <c r="G298" s="10">
        <f>0.28*0.395*2*0.15*1.3</f>
        <v>4.3134000000000006E-2</v>
      </c>
    </row>
    <row r="299" spans="3:9" x14ac:dyDescent="0.25">
      <c r="D299" t="s">
        <v>36</v>
      </c>
      <c r="F299" s="23" t="s">
        <v>3</v>
      </c>
      <c r="G299" s="10">
        <f>0.28*0.395*2*0.15*2*1.15</f>
        <v>7.6313999999999993E-2</v>
      </c>
    </row>
    <row r="300" spans="3:9" x14ac:dyDescent="0.25">
      <c r="D300" t="s">
        <v>12</v>
      </c>
      <c r="F300" s="23" t="s">
        <v>3</v>
      </c>
      <c r="G300" s="10">
        <f>0.3*(G299+G298)</f>
        <v>3.5834399999999995E-2</v>
      </c>
    </row>
    <row r="301" spans="3:9" x14ac:dyDescent="0.25">
      <c r="E301" s="4" t="s">
        <v>220</v>
      </c>
      <c r="F301" s="9"/>
    </row>
    <row r="302" spans="3:9" x14ac:dyDescent="0.25">
      <c r="E302" t="s">
        <v>54</v>
      </c>
      <c r="F302" s="23" t="s">
        <v>3</v>
      </c>
      <c r="G302" s="10">
        <f>0.28*0.395*4*8*1.05</f>
        <v>3.7161600000000008</v>
      </c>
    </row>
    <row r="303" spans="3:9" x14ac:dyDescent="0.25">
      <c r="E303" s="4" t="s">
        <v>221</v>
      </c>
      <c r="F303" s="9"/>
    </row>
    <row r="304" spans="3:9" x14ac:dyDescent="0.25">
      <c r="E304" t="s">
        <v>226</v>
      </c>
      <c r="F304" s="23" t="s">
        <v>3</v>
      </c>
      <c r="G304" s="10">
        <f>0.11*0.035*5*8*1.06</f>
        <v>0.16324000000000002</v>
      </c>
    </row>
    <row r="305" spans="3:7" x14ac:dyDescent="0.25">
      <c r="E305" s="4" t="s">
        <v>222</v>
      </c>
      <c r="F305" s="9"/>
    </row>
    <row r="306" spans="3:7" x14ac:dyDescent="0.25">
      <c r="E306" t="s">
        <v>54</v>
      </c>
      <c r="F306" s="23" t="s">
        <v>3</v>
      </c>
      <c r="G306" s="10">
        <f>0.16*0.04*4*8*1.05</f>
        <v>0.21504000000000001</v>
      </c>
    </row>
    <row r="307" spans="3:7" x14ac:dyDescent="0.25">
      <c r="E307" s="4" t="s">
        <v>223</v>
      </c>
      <c r="F307" s="9"/>
    </row>
    <row r="308" spans="3:7" x14ac:dyDescent="0.25">
      <c r="E308" t="s">
        <v>54</v>
      </c>
      <c r="F308" s="23" t="s">
        <v>3</v>
      </c>
      <c r="G308" s="10">
        <f>0.045*0.045*4*8*1.05</f>
        <v>6.8040000000000003E-2</v>
      </c>
    </row>
    <row r="309" spans="3:7" x14ac:dyDescent="0.25">
      <c r="E309" s="4" t="s">
        <v>224</v>
      </c>
      <c r="F309" s="9"/>
    </row>
    <row r="310" spans="3:7" x14ac:dyDescent="0.25">
      <c r="E310" t="s">
        <v>227</v>
      </c>
      <c r="F310" s="23" t="s">
        <v>3</v>
      </c>
      <c r="G310" s="10">
        <f>0.09*0.035*5*8*1.05</f>
        <v>0.1323</v>
      </c>
    </row>
    <row r="311" spans="3:7" x14ac:dyDescent="0.25">
      <c r="E311" s="4" t="s">
        <v>225</v>
      </c>
      <c r="F311" s="9"/>
    </row>
    <row r="312" spans="3:7" x14ac:dyDescent="0.25">
      <c r="E312" t="s">
        <v>227</v>
      </c>
      <c r="F312" s="23" t="s">
        <v>3</v>
      </c>
      <c r="G312" s="10">
        <f>0.1*0.055*5*8*1.05</f>
        <v>0.23100000000000004</v>
      </c>
    </row>
    <row r="313" spans="3:7" x14ac:dyDescent="0.25">
      <c r="F313" s="9"/>
    </row>
    <row r="314" spans="3:7" x14ac:dyDescent="0.25">
      <c r="C314" s="3" t="s">
        <v>228</v>
      </c>
      <c r="F314" s="9"/>
    </row>
    <row r="315" spans="3:7" x14ac:dyDescent="0.25">
      <c r="D315" s="4" t="s">
        <v>229</v>
      </c>
      <c r="F315" s="9"/>
    </row>
    <row r="316" spans="3:7" x14ac:dyDescent="0.25">
      <c r="E316" s="4" t="s">
        <v>231</v>
      </c>
      <c r="F316" s="9"/>
    </row>
    <row r="317" spans="3:7" x14ac:dyDescent="0.25">
      <c r="E317" t="s">
        <v>232</v>
      </c>
      <c r="F317" s="23" t="s">
        <v>3</v>
      </c>
      <c r="G317" s="10">
        <f>0.2*0.2*2*2.7*1.05</f>
        <v>0.22680000000000006</v>
      </c>
    </row>
    <row r="318" spans="3:7" x14ac:dyDescent="0.25">
      <c r="D318" s="4" t="s">
        <v>230</v>
      </c>
      <c r="F318" s="9"/>
    </row>
    <row r="319" spans="3:7" x14ac:dyDescent="0.25">
      <c r="D319" s="8" t="s">
        <v>39</v>
      </c>
      <c r="F319" s="23" t="s">
        <v>3</v>
      </c>
      <c r="G319" s="10">
        <f>(0.25+0.12+0.07+0.05)*0.04*1.3</f>
        <v>2.5479999999999999E-2</v>
      </c>
    </row>
    <row r="320" spans="3:7" x14ac:dyDescent="0.25">
      <c r="D320" s="8" t="s">
        <v>40</v>
      </c>
      <c r="F320" s="23" t="s">
        <v>3</v>
      </c>
      <c r="G320" s="10">
        <f>1.5*G319</f>
        <v>3.8219999999999997E-2</v>
      </c>
    </row>
    <row r="321" spans="3:7" x14ac:dyDescent="0.25">
      <c r="D321" t="s">
        <v>8</v>
      </c>
      <c r="F321" s="23" t="s">
        <v>3</v>
      </c>
      <c r="G321" s="10">
        <f>0.14*0.285*2*0.15*1.3</f>
        <v>1.5561E-2</v>
      </c>
    </row>
    <row r="322" spans="3:7" x14ac:dyDescent="0.25">
      <c r="D322" t="s">
        <v>36</v>
      </c>
      <c r="F322" s="23" t="s">
        <v>3</v>
      </c>
      <c r="G322" s="10">
        <f>0.14*0.285*2*0.15*2*1.3</f>
        <v>3.1122E-2</v>
      </c>
    </row>
    <row r="323" spans="3:7" x14ac:dyDescent="0.25">
      <c r="D323" t="s">
        <v>12</v>
      </c>
      <c r="F323" s="23" t="s">
        <v>3</v>
      </c>
      <c r="G323" s="10">
        <f>0.3*(G322+G321)</f>
        <v>1.4004900000000001E-2</v>
      </c>
    </row>
    <row r="324" spans="3:7" x14ac:dyDescent="0.25">
      <c r="E324" s="4" t="s">
        <v>233</v>
      </c>
      <c r="F324" s="9"/>
    </row>
    <row r="325" spans="3:7" x14ac:dyDescent="0.25">
      <c r="E325" t="s">
        <v>54</v>
      </c>
      <c r="F325" s="23" t="s">
        <v>3</v>
      </c>
      <c r="G325" s="10">
        <f>0.14*0.285*4*8*1.05</f>
        <v>1.3406400000000001</v>
      </c>
    </row>
    <row r="326" spans="3:7" x14ac:dyDescent="0.25">
      <c r="E326" s="4" t="s">
        <v>234</v>
      </c>
      <c r="F326" s="9"/>
    </row>
    <row r="327" spans="3:7" x14ac:dyDescent="0.25">
      <c r="E327" t="s">
        <v>55</v>
      </c>
      <c r="F327" s="23" t="s">
        <v>3</v>
      </c>
      <c r="G327" s="10">
        <f>0.5*0.01*3*8*1.06</f>
        <v>0.12720000000000001</v>
      </c>
    </row>
    <row r="328" spans="3:7" x14ac:dyDescent="0.25">
      <c r="E328" s="4" t="s">
        <v>235</v>
      </c>
      <c r="F328" s="9"/>
    </row>
    <row r="329" spans="3:7" x14ac:dyDescent="0.25">
      <c r="E329" t="s">
        <v>54</v>
      </c>
      <c r="F329" s="23" t="s">
        <v>3</v>
      </c>
      <c r="G329" s="10">
        <f>0.115*0.035*4*8*1.1</f>
        <v>0.14168000000000003</v>
      </c>
    </row>
    <row r="330" spans="3:7" x14ac:dyDescent="0.25">
      <c r="E330" s="4" t="s">
        <v>236</v>
      </c>
      <c r="F330" s="9"/>
    </row>
    <row r="331" spans="3:7" x14ac:dyDescent="0.25">
      <c r="E331" t="s">
        <v>55</v>
      </c>
      <c r="F331" s="23" t="s">
        <v>3</v>
      </c>
      <c r="G331" s="10">
        <f>0.035*0.03*3*8*1.05</f>
        <v>2.6460000000000004E-2</v>
      </c>
    </row>
    <row r="332" spans="3:7" x14ac:dyDescent="0.25">
      <c r="E332" s="16" t="s">
        <v>237</v>
      </c>
      <c r="F332" s="9"/>
      <c r="G332" s="32"/>
    </row>
    <row r="333" spans="3:7" x14ac:dyDescent="0.25">
      <c r="E333" t="s">
        <v>266</v>
      </c>
      <c r="F333" s="23" t="s">
        <v>3</v>
      </c>
      <c r="G333" s="32">
        <v>8.0000000000000002E-3</v>
      </c>
    </row>
    <row r="334" spans="3:7" x14ac:dyDescent="0.25">
      <c r="F334" s="9"/>
    </row>
    <row r="335" spans="3:7" x14ac:dyDescent="0.25">
      <c r="C335" s="3" t="s">
        <v>238</v>
      </c>
      <c r="F335" s="9"/>
    </row>
    <row r="336" spans="3:7" x14ac:dyDescent="0.25">
      <c r="C336" s="3" t="s">
        <v>239</v>
      </c>
      <c r="F336" s="9"/>
    </row>
    <row r="337" spans="3:7" x14ac:dyDescent="0.25">
      <c r="C337" t="s">
        <v>181</v>
      </c>
      <c r="F337" s="23" t="s">
        <v>3</v>
      </c>
      <c r="G337" s="10">
        <f>G338*0.6</f>
        <v>1.6847999999999998E-2</v>
      </c>
    </row>
    <row r="338" spans="3:7" x14ac:dyDescent="0.25">
      <c r="C338" t="s">
        <v>182</v>
      </c>
      <c r="F338" s="23" t="s">
        <v>3</v>
      </c>
      <c r="G338" s="10">
        <f>0.6*0.06*2*0.15*2*1.3</f>
        <v>2.8079999999999997E-2</v>
      </c>
    </row>
    <row r="339" spans="3:7" x14ac:dyDescent="0.25">
      <c r="C339" t="s">
        <v>183</v>
      </c>
      <c r="F339" s="23" t="s">
        <v>3</v>
      </c>
      <c r="G339" s="10">
        <f>0.3*(G338+G337)</f>
        <v>1.3478399999999998E-2</v>
      </c>
    </row>
    <row r="340" spans="3:7" x14ac:dyDescent="0.25">
      <c r="D340" s="3" t="s">
        <v>240</v>
      </c>
      <c r="F340" s="9"/>
    </row>
    <row r="341" spans="3:7" x14ac:dyDescent="0.25">
      <c r="D341" s="8" t="s">
        <v>39</v>
      </c>
      <c r="F341" s="23" t="s">
        <v>3</v>
      </c>
      <c r="G341" s="10">
        <f>(0.2+0.008*3.14*2+0.01+0.006*3.14*2+0.02+0.02+0.015*3.14*0.06+0.14+0.08+0.8+0.08)*0.036*1.25</f>
        <v>6.4833570000000007E-2</v>
      </c>
    </row>
    <row r="342" spans="3:7" x14ac:dyDescent="0.25">
      <c r="D342" s="8" t="s">
        <v>40</v>
      </c>
      <c r="F342" s="23" t="s">
        <v>3</v>
      </c>
      <c r="G342" s="10">
        <f>1.5*G341</f>
        <v>9.7250355000000011E-2</v>
      </c>
    </row>
    <row r="343" spans="3:7" x14ac:dyDescent="0.25">
      <c r="E343" s="3" t="s">
        <v>244</v>
      </c>
      <c r="F343" s="9"/>
    </row>
    <row r="344" spans="3:7" x14ac:dyDescent="0.25">
      <c r="E344" t="s">
        <v>51</v>
      </c>
      <c r="F344" s="23" t="s">
        <v>3</v>
      </c>
      <c r="G344" s="10">
        <v>2E-3</v>
      </c>
    </row>
    <row r="345" spans="3:7" ht="17.25" x14ac:dyDescent="0.25">
      <c r="E345" t="s">
        <v>52</v>
      </c>
      <c r="F345" s="173" t="s">
        <v>596</v>
      </c>
      <c r="G345" s="10">
        <f>G344*2</f>
        <v>4.0000000000000001E-3</v>
      </c>
    </row>
    <row r="346" spans="3:7" x14ac:dyDescent="0.25">
      <c r="E346" t="s">
        <v>24</v>
      </c>
      <c r="F346" s="23" t="s">
        <v>3</v>
      </c>
      <c r="G346" s="10">
        <f>G344/4</f>
        <v>5.0000000000000001E-4</v>
      </c>
    </row>
    <row r="347" spans="3:7" x14ac:dyDescent="0.25">
      <c r="E347" s="3" t="s">
        <v>241</v>
      </c>
      <c r="F347" s="9"/>
    </row>
    <row r="348" spans="3:7" x14ac:dyDescent="0.25">
      <c r="E348" s="8" t="s">
        <v>39</v>
      </c>
      <c r="F348" s="23" t="s">
        <v>3</v>
      </c>
      <c r="G348" s="10">
        <f>0.03*3.14*0.036*1.2</f>
        <v>4.0694399999999997E-3</v>
      </c>
    </row>
    <row r="349" spans="3:7" x14ac:dyDescent="0.25">
      <c r="E349" s="8" t="s">
        <v>40</v>
      </c>
      <c r="F349" s="23" t="s">
        <v>3</v>
      </c>
      <c r="G349" s="10">
        <f>1.5*G348</f>
        <v>6.1041599999999991E-3</v>
      </c>
    </row>
    <row r="350" spans="3:7" x14ac:dyDescent="0.25">
      <c r="E350" s="33" t="s">
        <v>242</v>
      </c>
      <c r="F350" s="9"/>
    </row>
    <row r="351" spans="3:7" x14ac:dyDescent="0.25">
      <c r="E351" s="34" t="s">
        <v>243</v>
      </c>
      <c r="F351" s="23" t="s">
        <v>3</v>
      </c>
      <c r="G351" s="10">
        <v>5.0000000000000001E-3</v>
      </c>
    </row>
    <row r="352" spans="3:7" x14ac:dyDescent="0.25">
      <c r="E352" s="33" t="s">
        <v>245</v>
      </c>
      <c r="F352" s="9"/>
    </row>
    <row r="353" spans="5:9" x14ac:dyDescent="0.25">
      <c r="E353" s="34" t="s">
        <v>247</v>
      </c>
      <c r="F353" s="31" t="s">
        <v>3</v>
      </c>
      <c r="G353" s="10">
        <f>0.125*0.075*4*8*1.1</f>
        <v>0.33</v>
      </c>
    </row>
    <row r="354" spans="5:9" x14ac:dyDescent="0.25">
      <c r="E354" s="33" t="s">
        <v>246</v>
      </c>
      <c r="F354" s="9"/>
    </row>
    <row r="355" spans="5:9" x14ac:dyDescent="0.25">
      <c r="E355" s="34" t="s">
        <v>247</v>
      </c>
      <c r="F355" s="31" t="s">
        <v>3</v>
      </c>
      <c r="G355" s="10">
        <f>0.032*0.032*4*8</f>
        <v>3.2767999999999999E-2</v>
      </c>
      <c r="H355" s="10"/>
    </row>
    <row r="356" spans="5:9" x14ac:dyDescent="0.25">
      <c r="E356" s="3" t="s">
        <v>248</v>
      </c>
      <c r="F356" s="9"/>
    </row>
    <row r="357" spans="5:9" x14ac:dyDescent="0.25">
      <c r="E357" t="s">
        <v>255</v>
      </c>
      <c r="F357" s="31" t="s">
        <v>3</v>
      </c>
      <c r="G357" s="10">
        <f>0.194*0.039*4*8*1.06</f>
        <v>0.25663871999999999</v>
      </c>
    </row>
    <row r="358" spans="5:9" x14ac:dyDescent="0.25">
      <c r="E358" s="3" t="s">
        <v>249</v>
      </c>
      <c r="F358" s="9"/>
    </row>
    <row r="359" spans="5:9" x14ac:dyDescent="0.25">
      <c r="E359" t="s">
        <v>255</v>
      </c>
      <c r="F359" s="31" t="s">
        <v>3</v>
      </c>
      <c r="G359" s="10">
        <f>0.212*0.039*4*8*1.08</f>
        <v>0.28574208000000001</v>
      </c>
      <c r="H359" s="10"/>
      <c r="I359" s="10"/>
    </row>
    <row r="360" spans="5:9" x14ac:dyDescent="0.25">
      <c r="E360" s="3" t="s">
        <v>250</v>
      </c>
      <c r="F360" s="9"/>
      <c r="H360" s="10"/>
    </row>
    <row r="361" spans="5:9" x14ac:dyDescent="0.25">
      <c r="E361" t="s">
        <v>243</v>
      </c>
      <c r="F361" s="31" t="s">
        <v>3</v>
      </c>
      <c r="G361" s="10">
        <f>0.125*0.07*3*8*1.04</f>
        <v>0.21840000000000004</v>
      </c>
      <c r="I361" s="10"/>
    </row>
    <row r="362" spans="5:9" x14ac:dyDescent="0.25">
      <c r="E362" s="3" t="s">
        <v>251</v>
      </c>
      <c r="F362" s="9"/>
    </row>
    <row r="363" spans="5:9" x14ac:dyDescent="0.25">
      <c r="E363" t="s">
        <v>243</v>
      </c>
      <c r="F363" s="31" t="s">
        <v>3</v>
      </c>
      <c r="G363" s="10">
        <f>0.255*0.089*3*8*1.07</f>
        <v>0.58280760000000009</v>
      </c>
    </row>
    <row r="364" spans="5:9" x14ac:dyDescent="0.25">
      <c r="E364" s="3" t="s">
        <v>252</v>
      </c>
      <c r="F364" s="9"/>
    </row>
    <row r="365" spans="5:9" x14ac:dyDescent="0.25">
      <c r="E365" t="s">
        <v>243</v>
      </c>
      <c r="F365" s="31" t="s">
        <v>3</v>
      </c>
      <c r="G365" s="10">
        <f>0.248*0.098*3*8*1.05</f>
        <v>0.61246080000000003</v>
      </c>
    </row>
    <row r="366" spans="5:9" x14ac:dyDescent="0.25">
      <c r="E366" s="3" t="s">
        <v>253</v>
      </c>
      <c r="F366" s="9"/>
    </row>
    <row r="367" spans="5:9" x14ac:dyDescent="0.25">
      <c r="E367" t="s">
        <v>243</v>
      </c>
      <c r="F367" s="31" t="s">
        <v>3</v>
      </c>
      <c r="G367" s="10">
        <f>0.167*0.075*3*8*1.05</f>
        <v>0.31562999999999997</v>
      </c>
    </row>
    <row r="368" spans="5:9" x14ac:dyDescent="0.25">
      <c r="E368" s="3" t="s">
        <v>254</v>
      </c>
      <c r="F368" s="9"/>
    </row>
    <row r="369" spans="3:7" x14ac:dyDescent="0.25">
      <c r="E369" t="s">
        <v>243</v>
      </c>
      <c r="F369" s="31" t="s">
        <v>3</v>
      </c>
      <c r="G369" s="10">
        <f>0.16*0.07*3*8*1.5</f>
        <v>0.40320000000000006</v>
      </c>
    </row>
    <row r="370" spans="3:7" x14ac:dyDescent="0.25">
      <c r="E370" s="3" t="s">
        <v>256</v>
      </c>
      <c r="F370" s="9"/>
    </row>
    <row r="371" spans="3:7" x14ac:dyDescent="0.25">
      <c r="E371" t="s">
        <v>255</v>
      </c>
      <c r="F371" s="31" t="s">
        <v>3</v>
      </c>
      <c r="G371" s="10">
        <f>0.092*0.04*4*8*1.08</f>
        <v>0.12718080000000001</v>
      </c>
    </row>
    <row r="372" spans="3:7" x14ac:dyDescent="0.25">
      <c r="E372" s="3" t="s">
        <v>257</v>
      </c>
      <c r="F372" s="9"/>
    </row>
    <row r="373" spans="3:7" x14ac:dyDescent="0.25">
      <c r="E373" t="s">
        <v>255</v>
      </c>
      <c r="F373" s="31" t="s">
        <v>3</v>
      </c>
      <c r="G373" s="10">
        <f>0.042*0.04*4*8*1.05</f>
        <v>5.6448000000000005E-2</v>
      </c>
    </row>
    <row r="374" spans="3:7" x14ac:dyDescent="0.25">
      <c r="E374" s="3" t="s">
        <v>258</v>
      </c>
      <c r="F374" s="9"/>
    </row>
    <row r="375" spans="3:7" x14ac:dyDescent="0.25">
      <c r="E375" t="s">
        <v>255</v>
      </c>
      <c r="F375" s="31" t="s">
        <v>3</v>
      </c>
      <c r="G375" s="10">
        <f>0.02*0.028*4*8*1.1</f>
        <v>1.9712000000000004E-2</v>
      </c>
    </row>
    <row r="376" spans="3:7" x14ac:dyDescent="0.25">
      <c r="E376" s="3" t="s">
        <v>259</v>
      </c>
      <c r="F376" s="9"/>
    </row>
    <row r="377" spans="3:7" x14ac:dyDescent="0.25">
      <c r="E377" s="35" t="s">
        <v>260</v>
      </c>
      <c r="F377" s="31" t="s">
        <v>3</v>
      </c>
      <c r="G377" s="10">
        <f>0.037*0.042*4*8*1.05</f>
        <v>5.2214400000000001E-2</v>
      </c>
    </row>
    <row r="378" spans="3:7" x14ac:dyDescent="0.25">
      <c r="F378" s="9"/>
    </row>
    <row r="379" spans="3:7" x14ac:dyDescent="0.25">
      <c r="C379" s="3" t="s">
        <v>261</v>
      </c>
      <c r="F379" s="9"/>
    </row>
    <row r="380" spans="3:7" x14ac:dyDescent="0.25">
      <c r="C380" s="3" t="s">
        <v>262</v>
      </c>
      <c r="F380" s="9"/>
    </row>
    <row r="381" spans="3:7" x14ac:dyDescent="0.25">
      <c r="C381" t="s">
        <v>181</v>
      </c>
      <c r="F381" s="31" t="s">
        <v>3</v>
      </c>
      <c r="G381" s="10">
        <f>G382*0.6</f>
        <v>1.6847999999999998E-2</v>
      </c>
    </row>
    <row r="382" spans="3:7" x14ac:dyDescent="0.25">
      <c r="C382" t="s">
        <v>263</v>
      </c>
      <c r="F382" s="31" t="s">
        <v>3</v>
      </c>
      <c r="G382" s="10">
        <f>0.6*0.06*2*0.15*2*1.3</f>
        <v>2.8079999999999997E-2</v>
      </c>
    </row>
    <row r="383" spans="3:7" x14ac:dyDescent="0.25">
      <c r="C383" t="s">
        <v>183</v>
      </c>
      <c r="F383" s="31" t="s">
        <v>3</v>
      </c>
      <c r="G383" s="10">
        <f>0.3*(G382+G381)</f>
        <v>1.3478399999999998E-2</v>
      </c>
    </row>
    <row r="384" spans="3:7" x14ac:dyDescent="0.25">
      <c r="D384" s="3" t="s">
        <v>264</v>
      </c>
      <c r="F384" s="9"/>
    </row>
    <row r="385" spans="2:7" x14ac:dyDescent="0.25">
      <c r="D385" s="8" t="s">
        <v>39</v>
      </c>
      <c r="F385" s="31" t="s">
        <v>3</v>
      </c>
      <c r="G385" s="10">
        <v>6.5000000000000002E-2</v>
      </c>
    </row>
    <row r="386" spans="2:7" x14ac:dyDescent="0.25">
      <c r="D386" s="8" t="s">
        <v>40</v>
      </c>
      <c r="F386" s="31" t="s">
        <v>3</v>
      </c>
      <c r="G386" s="10">
        <f>1.5*G385</f>
        <v>9.7500000000000003E-2</v>
      </c>
    </row>
    <row r="387" spans="2:7" x14ac:dyDescent="0.25">
      <c r="E387" s="3" t="s">
        <v>265</v>
      </c>
      <c r="F387" s="9"/>
    </row>
    <row r="388" spans="2:7" x14ac:dyDescent="0.25">
      <c r="E388" s="8" t="s">
        <v>39</v>
      </c>
      <c r="F388" s="31" t="s">
        <v>3</v>
      </c>
      <c r="G388" s="10">
        <f>0.03*3.14*0.036*1.2</f>
        <v>4.0694399999999997E-3</v>
      </c>
    </row>
    <row r="389" spans="2:7" x14ac:dyDescent="0.25">
      <c r="E389" s="8" t="s">
        <v>40</v>
      </c>
      <c r="F389" s="31" t="s">
        <v>3</v>
      </c>
      <c r="G389" s="10">
        <f>1.5*G388</f>
        <v>6.1041599999999991E-3</v>
      </c>
    </row>
    <row r="390" spans="2:7" x14ac:dyDescent="0.25">
      <c r="E390" s="33" t="s">
        <v>267</v>
      </c>
      <c r="F390" s="31"/>
    </row>
    <row r="391" spans="2:7" x14ac:dyDescent="0.25">
      <c r="E391" s="34" t="s">
        <v>247</v>
      </c>
      <c r="F391" s="31" t="s">
        <v>3</v>
      </c>
      <c r="G391" s="10">
        <f>0.125*0.075*4*8*1.1</f>
        <v>0.33</v>
      </c>
    </row>
    <row r="392" spans="2:7" x14ac:dyDescent="0.25">
      <c r="E392" s="3" t="s">
        <v>268</v>
      </c>
      <c r="F392" s="31"/>
    </row>
    <row r="393" spans="2:7" x14ac:dyDescent="0.25">
      <c r="E393" t="s">
        <v>255</v>
      </c>
      <c r="F393" s="31" t="s">
        <v>3</v>
      </c>
      <c r="G393" s="10">
        <f>0.092*0.04*4*8*1.08</f>
        <v>0.12718080000000001</v>
      </c>
    </row>
    <row r="394" spans="2:7" x14ac:dyDescent="0.25">
      <c r="C394" s="36"/>
      <c r="D394" s="36"/>
      <c r="E394" s="36"/>
      <c r="F394" s="37"/>
      <c r="G394" s="38"/>
    </row>
    <row r="395" spans="2:7" x14ac:dyDescent="0.25">
      <c r="C395" s="36" t="s">
        <v>269</v>
      </c>
      <c r="D395" s="36"/>
      <c r="E395" s="36"/>
      <c r="F395" s="37"/>
      <c r="G395" s="38"/>
    </row>
    <row r="396" spans="2:7" x14ac:dyDescent="0.25">
      <c r="C396" s="36" t="s">
        <v>440</v>
      </c>
      <c r="D396" s="36"/>
      <c r="E396" s="36"/>
      <c r="F396" s="37"/>
      <c r="G396" s="38"/>
    </row>
    <row r="397" spans="2:7" x14ac:dyDescent="0.25">
      <c r="F397" s="31"/>
    </row>
    <row r="398" spans="2:7" x14ac:dyDescent="0.25">
      <c r="F398" s="9"/>
    </row>
    <row r="399" spans="2:7" x14ac:dyDescent="0.25">
      <c r="B399" s="18">
        <v>30</v>
      </c>
      <c r="C399" s="3" t="s">
        <v>270</v>
      </c>
      <c r="F399" s="9"/>
    </row>
    <row r="400" spans="2:7" x14ac:dyDescent="0.25">
      <c r="D400" s="3" t="s">
        <v>271</v>
      </c>
      <c r="F400" s="9"/>
    </row>
    <row r="401" spans="4:9" x14ac:dyDescent="0.25">
      <c r="D401" t="s">
        <v>272</v>
      </c>
      <c r="F401" s="39" t="s">
        <v>3</v>
      </c>
      <c r="G401" s="10">
        <f>0.46*0.025*2*8*1.05</f>
        <v>0.19320000000000004</v>
      </c>
      <c r="H401" s="10"/>
      <c r="I401" s="2"/>
    </row>
    <row r="402" spans="4:9" x14ac:dyDescent="0.25">
      <c r="D402" s="3" t="s">
        <v>273</v>
      </c>
      <c r="F402" s="39"/>
      <c r="H402" s="10"/>
      <c r="I402" s="2"/>
    </row>
    <row r="403" spans="4:9" x14ac:dyDescent="0.25">
      <c r="D403" t="s">
        <v>275</v>
      </c>
      <c r="F403" s="39" t="s">
        <v>3</v>
      </c>
      <c r="G403" s="10">
        <f>0.455*0.025*1.5*8*1.05</f>
        <v>0.14332500000000001</v>
      </c>
      <c r="H403" s="10"/>
      <c r="I403" s="2"/>
    </row>
    <row r="404" spans="4:9" x14ac:dyDescent="0.25">
      <c r="D404" s="3" t="s">
        <v>274</v>
      </c>
      <c r="F404" s="39"/>
      <c r="H404" s="10"/>
      <c r="I404" s="2"/>
    </row>
    <row r="405" spans="4:9" x14ac:dyDescent="0.25">
      <c r="D405" t="s">
        <v>272</v>
      </c>
      <c r="F405" s="39" t="s">
        <v>3</v>
      </c>
      <c r="G405" s="10">
        <f>0.5*0.02*1.5*8*1.03</f>
        <v>0.1236</v>
      </c>
      <c r="H405" s="10"/>
      <c r="I405" s="2"/>
    </row>
    <row r="406" spans="4:9" x14ac:dyDescent="0.25">
      <c r="D406" s="3" t="s">
        <v>276</v>
      </c>
      <c r="F406" s="39"/>
      <c r="H406" s="10"/>
      <c r="I406" s="2"/>
    </row>
    <row r="407" spans="4:9" x14ac:dyDescent="0.25">
      <c r="D407" t="s">
        <v>272</v>
      </c>
      <c r="F407" s="39" t="s">
        <v>3</v>
      </c>
      <c r="G407" s="10">
        <f>0.5*0.02*2*8*1.03</f>
        <v>0.1648</v>
      </c>
      <c r="H407" s="10"/>
      <c r="I407" s="2"/>
    </row>
    <row r="408" spans="4:9" x14ac:dyDescent="0.25">
      <c r="D408" s="3" t="s">
        <v>277</v>
      </c>
      <c r="F408" s="9"/>
      <c r="I408" s="2"/>
    </row>
    <row r="409" spans="4:9" x14ac:dyDescent="0.25">
      <c r="D409" t="s">
        <v>284</v>
      </c>
      <c r="F409" s="39" t="s">
        <v>112</v>
      </c>
      <c r="G409" s="10">
        <f>0.927*0.536*1.05</f>
        <v>0.52171560000000006</v>
      </c>
      <c r="H409" s="10"/>
      <c r="I409" s="2"/>
    </row>
    <row r="410" spans="4:9" x14ac:dyDescent="0.25">
      <c r="D410" s="3" t="s">
        <v>278</v>
      </c>
      <c r="F410" s="39"/>
      <c r="I410" s="2"/>
    </row>
    <row r="411" spans="4:9" x14ac:dyDescent="0.25">
      <c r="D411" t="s">
        <v>272</v>
      </c>
      <c r="F411" s="39" t="s">
        <v>3</v>
      </c>
      <c r="G411" s="10">
        <f>0.44*0.018*1.5*8*1.05</f>
        <v>9.9792000000000006E-2</v>
      </c>
      <c r="H411" s="10"/>
      <c r="I411" s="2"/>
    </row>
    <row r="412" spans="4:9" x14ac:dyDescent="0.25">
      <c r="D412" s="3" t="s">
        <v>279</v>
      </c>
      <c r="F412" s="39"/>
      <c r="H412" s="10"/>
      <c r="I412" s="2"/>
    </row>
    <row r="413" spans="4:9" x14ac:dyDescent="0.25">
      <c r="D413" t="s">
        <v>272</v>
      </c>
      <c r="F413" s="39" t="s">
        <v>3</v>
      </c>
      <c r="G413" s="10">
        <f>0.44*0.018*2*8*1.05</f>
        <v>0.13305600000000001</v>
      </c>
      <c r="H413" s="10"/>
      <c r="I413" s="2"/>
    </row>
    <row r="414" spans="4:9" x14ac:dyDescent="0.25">
      <c r="D414" s="3" t="s">
        <v>280</v>
      </c>
      <c r="F414" s="39"/>
      <c r="H414" s="10"/>
      <c r="I414" s="2"/>
    </row>
    <row r="415" spans="4:9" x14ac:dyDescent="0.25">
      <c r="D415" t="s">
        <v>272</v>
      </c>
      <c r="F415" s="39" t="s">
        <v>3</v>
      </c>
      <c r="G415" s="10">
        <f>0.46*0.018*1.5*8*1.05</f>
        <v>0.10432799999999999</v>
      </c>
      <c r="H415" s="10"/>
      <c r="I415" s="2"/>
    </row>
    <row r="416" spans="4:9" x14ac:dyDescent="0.25">
      <c r="D416" s="3" t="s">
        <v>281</v>
      </c>
      <c r="F416" s="39"/>
      <c r="H416" s="10"/>
      <c r="I416" s="2"/>
    </row>
    <row r="417" spans="2:9" x14ac:dyDescent="0.25">
      <c r="D417" t="s">
        <v>272</v>
      </c>
      <c r="F417" s="39" t="s">
        <v>3</v>
      </c>
      <c r="G417" s="10">
        <f>0.46*0.018*2*8*1.05</f>
        <v>0.13910400000000001</v>
      </c>
      <c r="H417" s="10"/>
      <c r="I417" s="2"/>
    </row>
    <row r="418" spans="2:9" x14ac:dyDescent="0.25">
      <c r="D418" s="3" t="s">
        <v>282</v>
      </c>
      <c r="F418" s="39"/>
      <c r="H418" s="10"/>
      <c r="I418" s="2"/>
    </row>
    <row r="419" spans="2:9" x14ac:dyDescent="0.25">
      <c r="D419" t="s">
        <v>272</v>
      </c>
      <c r="F419" s="39" t="s">
        <v>3</v>
      </c>
      <c r="G419" s="10">
        <f>0.536*0.025*1.5*8*1.05</f>
        <v>0.16884000000000005</v>
      </c>
      <c r="H419" s="10"/>
      <c r="I419" s="2"/>
    </row>
    <row r="420" spans="2:9" x14ac:dyDescent="0.25">
      <c r="D420" s="3" t="s">
        <v>283</v>
      </c>
      <c r="F420" s="39"/>
      <c r="H420" s="10"/>
      <c r="I420" s="2"/>
    </row>
    <row r="421" spans="2:9" x14ac:dyDescent="0.25">
      <c r="D421" t="s">
        <v>272</v>
      </c>
      <c r="F421" s="39" t="s">
        <v>3</v>
      </c>
      <c r="G421" s="10">
        <f>0.536*0.025*2*8*1.05</f>
        <v>0.22512000000000004</v>
      </c>
      <c r="H421" s="10"/>
      <c r="I421" s="2"/>
    </row>
    <row r="422" spans="2:9" x14ac:dyDescent="0.25">
      <c r="F422" s="9"/>
      <c r="I422" s="2"/>
    </row>
    <row r="423" spans="2:9" x14ac:dyDescent="0.25">
      <c r="B423" s="18">
        <v>31</v>
      </c>
      <c r="C423" s="3" t="s">
        <v>285</v>
      </c>
      <c r="F423" s="9"/>
    </row>
    <row r="424" spans="2:9" x14ac:dyDescent="0.25">
      <c r="D424" s="4" t="s">
        <v>286</v>
      </c>
      <c r="F424" s="9"/>
    </row>
    <row r="425" spans="2:9" x14ac:dyDescent="0.25">
      <c r="D425" t="s">
        <v>287</v>
      </c>
      <c r="F425" s="39" t="s">
        <v>3</v>
      </c>
      <c r="G425" s="10">
        <f>0.88*0.54*1.2*8*1.03</f>
        <v>4.6987775999999997</v>
      </c>
    </row>
    <row r="426" spans="2:9" x14ac:dyDescent="0.25">
      <c r="D426" s="4" t="s">
        <v>288</v>
      </c>
      <c r="F426" s="9"/>
    </row>
    <row r="427" spans="2:9" x14ac:dyDescent="0.25">
      <c r="D427" t="s">
        <v>284</v>
      </c>
      <c r="F427" s="39" t="s">
        <v>112</v>
      </c>
      <c r="G427" s="10">
        <f>0.54*0.88*1.052</f>
        <v>0.49991040000000003</v>
      </c>
      <c r="H427" s="10"/>
    </row>
    <row r="428" spans="2:9" x14ac:dyDescent="0.25">
      <c r="F428" s="9"/>
    </row>
    <row r="429" spans="2:9" x14ac:dyDescent="0.25">
      <c r="B429" s="18">
        <v>33</v>
      </c>
      <c r="C429" s="3" t="s">
        <v>289</v>
      </c>
      <c r="F429" s="9"/>
    </row>
    <row r="430" spans="2:9" x14ac:dyDescent="0.25">
      <c r="C430" t="s">
        <v>290</v>
      </c>
      <c r="F430" s="39" t="s">
        <v>3</v>
      </c>
      <c r="G430" s="10">
        <v>8.9999999999999993E-3</v>
      </c>
    </row>
    <row r="431" spans="2:9" x14ac:dyDescent="0.25">
      <c r="F431" s="9"/>
    </row>
    <row r="432" spans="2:9" x14ac:dyDescent="0.25">
      <c r="B432" s="18">
        <v>35</v>
      </c>
      <c r="C432" s="3" t="s">
        <v>291</v>
      </c>
      <c r="F432" s="9"/>
    </row>
    <row r="433" spans="2:8" x14ac:dyDescent="0.25">
      <c r="C433" t="s">
        <v>292</v>
      </c>
      <c r="F433" s="39" t="s">
        <v>3</v>
      </c>
      <c r="G433" s="10">
        <v>7.0000000000000001E-3</v>
      </c>
    </row>
    <row r="434" spans="2:8" x14ac:dyDescent="0.25">
      <c r="C434" t="s">
        <v>293</v>
      </c>
      <c r="F434" s="39" t="s">
        <v>3</v>
      </c>
      <c r="G434" s="10">
        <f>G433*3</f>
        <v>2.1000000000000001E-2</v>
      </c>
    </row>
    <row r="435" spans="2:8" x14ac:dyDescent="0.25">
      <c r="C435" t="s">
        <v>378</v>
      </c>
      <c r="F435" s="39" t="s">
        <v>3</v>
      </c>
      <c r="G435" s="10">
        <v>8.0000000000000004E-4</v>
      </c>
    </row>
    <row r="436" spans="2:8" x14ac:dyDescent="0.25">
      <c r="C436" t="s">
        <v>294</v>
      </c>
      <c r="F436" s="39" t="s">
        <v>195</v>
      </c>
      <c r="G436" s="10">
        <f>0.355</f>
        <v>0.35499999999999998</v>
      </c>
    </row>
    <row r="437" spans="2:8" x14ac:dyDescent="0.25">
      <c r="D437" s="4" t="s">
        <v>295</v>
      </c>
      <c r="F437" s="9"/>
    </row>
    <row r="438" spans="2:8" x14ac:dyDescent="0.25">
      <c r="D438" t="s">
        <v>55</v>
      </c>
      <c r="F438" s="39" t="s">
        <v>3</v>
      </c>
      <c r="G438" s="10">
        <f>0.054*0.022*3*8*1.07</f>
        <v>3.0507839999999998E-2</v>
      </c>
    </row>
    <row r="439" spans="2:8" x14ac:dyDescent="0.25">
      <c r="F439" s="9"/>
    </row>
    <row r="440" spans="2:8" x14ac:dyDescent="0.25">
      <c r="B440" s="18">
        <v>58</v>
      </c>
      <c r="C440" s="3" t="s">
        <v>305</v>
      </c>
      <c r="F440" s="9"/>
    </row>
    <row r="441" spans="2:8" x14ac:dyDescent="0.25">
      <c r="C441" s="8" t="s">
        <v>124</v>
      </c>
      <c r="F441" s="40" t="s">
        <v>3</v>
      </c>
      <c r="G441" s="10">
        <f>0.05*3.14*0.04*1.2</f>
        <v>7.536000000000001E-3</v>
      </c>
    </row>
    <row r="442" spans="2:8" x14ac:dyDescent="0.25">
      <c r="C442" s="8" t="s">
        <v>168</v>
      </c>
      <c r="F442" s="40" t="s">
        <v>3</v>
      </c>
      <c r="G442" s="10">
        <f>1.5*G441</f>
        <v>1.1304000000000002E-2</v>
      </c>
    </row>
    <row r="443" spans="2:8" x14ac:dyDescent="0.25">
      <c r="D443" s="4" t="s">
        <v>306</v>
      </c>
      <c r="F443" s="9"/>
    </row>
    <row r="444" spans="2:8" x14ac:dyDescent="0.25">
      <c r="D444" t="s">
        <v>307</v>
      </c>
      <c r="F444" s="40" t="s">
        <v>3</v>
      </c>
      <c r="G444" s="10">
        <v>0.16700000000000001</v>
      </c>
    </row>
    <row r="445" spans="2:8" x14ac:dyDescent="0.25">
      <c r="F445" s="9"/>
    </row>
    <row r="446" spans="2:8" x14ac:dyDescent="0.25">
      <c r="B446" s="18">
        <v>68</v>
      </c>
      <c r="C446" s="3" t="s">
        <v>308</v>
      </c>
      <c r="F446" s="9"/>
    </row>
    <row r="447" spans="2:8" x14ac:dyDescent="0.25">
      <c r="C447" t="s">
        <v>133</v>
      </c>
      <c r="F447" s="40" t="s">
        <v>3</v>
      </c>
      <c r="G447" s="10">
        <f>0.145*0.117*4.2*1.06</f>
        <v>7.5528180000000014E-2</v>
      </c>
      <c r="H447" s="10"/>
    </row>
    <row r="448" spans="2:8" x14ac:dyDescent="0.25">
      <c r="F448" s="9"/>
    </row>
    <row r="449" spans="2:9" x14ac:dyDescent="0.25">
      <c r="B449" s="18">
        <v>73</v>
      </c>
      <c r="C449" s="3" t="s">
        <v>309</v>
      </c>
      <c r="F449" s="9"/>
    </row>
    <row r="450" spans="2:9" x14ac:dyDescent="0.25">
      <c r="D450" s="4" t="s">
        <v>310</v>
      </c>
      <c r="F450" s="9"/>
    </row>
    <row r="451" spans="2:9" x14ac:dyDescent="0.25">
      <c r="D451" s="8" t="s">
        <v>39</v>
      </c>
      <c r="F451" s="40" t="s">
        <v>3</v>
      </c>
      <c r="G451" s="10">
        <f>0.03*0.04*1.3</f>
        <v>1.56E-3</v>
      </c>
    </row>
    <row r="452" spans="2:9" x14ac:dyDescent="0.25">
      <c r="D452" s="8" t="s">
        <v>40</v>
      </c>
      <c r="F452" s="40" t="s">
        <v>3</v>
      </c>
      <c r="G452" s="10">
        <f>1.5*G451</f>
        <v>2.3400000000000001E-3</v>
      </c>
    </row>
    <row r="453" spans="2:9" x14ac:dyDescent="0.25">
      <c r="D453" s="8" t="s">
        <v>312</v>
      </c>
      <c r="F453" s="40" t="s">
        <v>3</v>
      </c>
      <c r="G453" s="10">
        <f>0.21*0.14*2*0.15*2*1.2</f>
        <v>2.1167999999999999E-2</v>
      </c>
    </row>
    <row r="454" spans="2:9" x14ac:dyDescent="0.25">
      <c r="D454" s="8" t="s">
        <v>313</v>
      </c>
      <c r="F454" s="40" t="s">
        <v>3</v>
      </c>
      <c r="G454" s="10">
        <f>0.3*G453</f>
        <v>6.3504E-3</v>
      </c>
    </row>
    <row r="455" spans="2:9" x14ac:dyDescent="0.25">
      <c r="D455" s="42" t="s">
        <v>314</v>
      </c>
      <c r="F455" s="40" t="s">
        <v>3</v>
      </c>
      <c r="G455" s="10">
        <f>0.15*G453</f>
        <v>3.1752E-3</v>
      </c>
    </row>
    <row r="456" spans="2:9" x14ac:dyDescent="0.25">
      <c r="D456" t="s">
        <v>317</v>
      </c>
      <c r="F456" s="40" t="s">
        <v>3</v>
      </c>
      <c r="G456" s="10">
        <f>0.38*0.009*0.5*8*1.05</f>
        <v>1.4364E-2</v>
      </c>
    </row>
    <row r="457" spans="2:9" x14ac:dyDescent="0.25">
      <c r="E457" s="4" t="s">
        <v>315</v>
      </c>
      <c r="F457" s="9"/>
    </row>
    <row r="458" spans="2:9" x14ac:dyDescent="0.25">
      <c r="E458" s="21" t="s">
        <v>316</v>
      </c>
      <c r="F458" s="40" t="s">
        <v>3</v>
      </c>
      <c r="G458" s="10">
        <f>0.14*0.21*0.5*8*1.07</f>
        <v>0.12583200000000003</v>
      </c>
      <c r="H458" t="s">
        <v>547</v>
      </c>
      <c r="I458" t="s">
        <v>549</v>
      </c>
    </row>
    <row r="459" spans="2:9" x14ac:dyDescent="0.25">
      <c r="D459" s="4" t="s">
        <v>311</v>
      </c>
      <c r="F459" s="9"/>
    </row>
    <row r="460" spans="2:9" x14ac:dyDescent="0.25">
      <c r="D460" t="s">
        <v>318</v>
      </c>
      <c r="F460" s="40" t="s">
        <v>3</v>
      </c>
      <c r="G460" s="10">
        <f>0.2*0.082*1.475*1.06</f>
        <v>2.5641400000000005E-2</v>
      </c>
    </row>
    <row r="461" spans="2:9" x14ac:dyDescent="0.25">
      <c r="F461" s="9"/>
    </row>
    <row r="462" spans="2:9" x14ac:dyDescent="0.25">
      <c r="B462" s="18">
        <v>74</v>
      </c>
      <c r="C462" s="3" t="s">
        <v>319</v>
      </c>
      <c r="F462" s="9"/>
    </row>
    <row r="463" spans="2:9" x14ac:dyDescent="0.25">
      <c r="C463" s="8" t="s">
        <v>39</v>
      </c>
      <c r="F463" s="40" t="s">
        <v>3</v>
      </c>
      <c r="G463" s="10">
        <f>0.02*0.04*1.2</f>
        <v>9.6000000000000002E-4</v>
      </c>
    </row>
    <row r="464" spans="2:9" x14ac:dyDescent="0.25">
      <c r="C464" s="8" t="s">
        <v>40</v>
      </c>
      <c r="F464" s="40" t="s">
        <v>3</v>
      </c>
      <c r="G464" s="10">
        <f>1.5*G463</f>
        <v>1.4400000000000001E-3</v>
      </c>
    </row>
    <row r="465" spans="2:7" x14ac:dyDescent="0.25">
      <c r="D465" s="4" t="s">
        <v>320</v>
      </c>
      <c r="F465" s="40"/>
    </row>
    <row r="466" spans="2:7" x14ac:dyDescent="0.25">
      <c r="D466" t="s">
        <v>321</v>
      </c>
      <c r="F466" s="40" t="s">
        <v>3</v>
      </c>
      <c r="G466" s="10">
        <v>3.5000000000000001E-3</v>
      </c>
    </row>
    <row r="467" spans="2:7" x14ac:dyDescent="0.25">
      <c r="F467" s="9"/>
    </row>
    <row r="468" spans="2:7" x14ac:dyDescent="0.25">
      <c r="B468" s="18">
        <v>78</v>
      </c>
      <c r="C468" s="3" t="s">
        <v>322</v>
      </c>
      <c r="F468" s="9"/>
    </row>
    <row r="469" spans="2:7" x14ac:dyDescent="0.25">
      <c r="C469" t="s">
        <v>323</v>
      </c>
      <c r="F469" s="41" t="s">
        <v>3</v>
      </c>
      <c r="G469" s="10">
        <f>0.02*3.14*0.08*1.2</f>
        <v>6.0288000000000008E-3</v>
      </c>
    </row>
    <row r="470" spans="2:7" ht="17.25" x14ac:dyDescent="0.25">
      <c r="C470" t="s">
        <v>23</v>
      </c>
      <c r="F470" s="173" t="s">
        <v>596</v>
      </c>
      <c r="G470" s="10">
        <f>G469*2</f>
        <v>1.2057600000000002E-2</v>
      </c>
    </row>
    <row r="471" spans="2:7" x14ac:dyDescent="0.25">
      <c r="C471" t="s">
        <v>142</v>
      </c>
      <c r="F471" s="41" t="s">
        <v>3</v>
      </c>
      <c r="G471" s="10">
        <f>G469/4</f>
        <v>1.5072000000000002E-3</v>
      </c>
    </row>
    <row r="472" spans="2:7" x14ac:dyDescent="0.25">
      <c r="C472" t="s">
        <v>143</v>
      </c>
      <c r="F472" s="41" t="s">
        <v>3</v>
      </c>
      <c r="G472" s="10">
        <v>4.0000000000000001E-3</v>
      </c>
    </row>
    <row r="473" spans="2:7" x14ac:dyDescent="0.25">
      <c r="C473" t="s">
        <v>324</v>
      </c>
      <c r="F473" s="41" t="s">
        <v>3</v>
      </c>
      <c r="G473" s="10">
        <f>0.3*G472</f>
        <v>1.1999999999999999E-3</v>
      </c>
    </row>
    <row r="474" spans="2:7" x14ac:dyDescent="0.25">
      <c r="C474" t="s">
        <v>8</v>
      </c>
      <c r="F474" s="41" t="s">
        <v>3</v>
      </c>
      <c r="G474" s="10">
        <v>3.0000000000000001E-3</v>
      </c>
    </row>
    <row r="475" spans="2:7" x14ac:dyDescent="0.25">
      <c r="C475" t="s">
        <v>325</v>
      </c>
      <c r="F475" s="41" t="s">
        <v>3</v>
      </c>
      <c r="G475" s="10">
        <f>0.145*0.02*1.3</f>
        <v>3.7699999999999999E-3</v>
      </c>
    </row>
    <row r="476" spans="2:7" x14ac:dyDescent="0.25">
      <c r="C476" t="s">
        <v>12</v>
      </c>
      <c r="F476" s="41" t="s">
        <v>3</v>
      </c>
      <c r="G476" s="10">
        <f>0.3*(G475+G10301)</f>
        <v>1.1309999999999998E-3</v>
      </c>
    </row>
    <row r="477" spans="2:7" x14ac:dyDescent="0.25">
      <c r="D477" s="4" t="s">
        <v>326</v>
      </c>
      <c r="F477" s="9"/>
    </row>
    <row r="478" spans="2:7" x14ac:dyDescent="0.25">
      <c r="D478" t="s">
        <v>327</v>
      </c>
      <c r="F478" s="41" t="s">
        <v>3</v>
      </c>
      <c r="G478" s="10">
        <f>0.068*1.04</f>
        <v>7.0720000000000005E-2</v>
      </c>
    </row>
    <row r="479" spans="2:7" x14ac:dyDescent="0.25">
      <c r="F479" s="9"/>
    </row>
    <row r="480" spans="2:7" x14ac:dyDescent="0.25">
      <c r="B480" s="18">
        <v>79</v>
      </c>
      <c r="C480" s="3" t="s">
        <v>328</v>
      </c>
      <c r="F480" s="9"/>
    </row>
    <row r="481" spans="2:7" x14ac:dyDescent="0.25">
      <c r="C481" t="s">
        <v>323</v>
      </c>
      <c r="F481" s="41" t="s">
        <v>3</v>
      </c>
      <c r="G481" s="10">
        <f>0.02*3.14*0.08*1.29</f>
        <v>6.4809600000000009E-3</v>
      </c>
    </row>
    <row r="482" spans="2:7" ht="17.25" x14ac:dyDescent="0.25">
      <c r="C482" t="s">
        <v>23</v>
      </c>
      <c r="F482" s="173" t="s">
        <v>596</v>
      </c>
      <c r="G482" s="10">
        <f>G481*2</f>
        <v>1.2961920000000002E-2</v>
      </c>
    </row>
    <row r="483" spans="2:7" x14ac:dyDescent="0.25">
      <c r="C483" t="s">
        <v>142</v>
      </c>
      <c r="F483" s="41" t="s">
        <v>3</v>
      </c>
      <c r="G483" s="10">
        <f>G481/4</f>
        <v>1.6202400000000002E-3</v>
      </c>
    </row>
    <row r="484" spans="2:7" x14ac:dyDescent="0.25">
      <c r="C484" t="s">
        <v>143</v>
      </c>
      <c r="F484" s="41" t="s">
        <v>3</v>
      </c>
      <c r="G484" s="10">
        <v>4.0000000000000001E-3</v>
      </c>
    </row>
    <row r="485" spans="2:7" x14ac:dyDescent="0.25">
      <c r="C485" t="s">
        <v>324</v>
      </c>
      <c r="F485" s="41" t="s">
        <v>3</v>
      </c>
      <c r="G485" s="10">
        <f>0.3*G484</f>
        <v>1.1999999999999999E-3</v>
      </c>
    </row>
    <row r="486" spans="2:7" x14ac:dyDescent="0.25">
      <c r="C486" t="s">
        <v>8</v>
      </c>
      <c r="F486" s="41" t="s">
        <v>3</v>
      </c>
      <c r="G486" s="10">
        <v>3.0000000000000001E-3</v>
      </c>
    </row>
    <row r="487" spans="2:7" x14ac:dyDescent="0.25">
      <c r="C487" t="s">
        <v>325</v>
      </c>
      <c r="F487" s="41" t="s">
        <v>3</v>
      </c>
      <c r="G487" s="10">
        <f>0.145*0.02*1.3</f>
        <v>3.7699999999999999E-3</v>
      </c>
    </row>
    <row r="488" spans="2:7" x14ac:dyDescent="0.25">
      <c r="C488" t="s">
        <v>12</v>
      </c>
      <c r="F488" s="41" t="s">
        <v>3</v>
      </c>
      <c r="G488" s="10">
        <f>0.3*(G487+G10316)</f>
        <v>4.731E-3</v>
      </c>
    </row>
    <row r="489" spans="2:7" x14ac:dyDescent="0.25">
      <c r="D489" s="4" t="s">
        <v>329</v>
      </c>
      <c r="F489" s="9"/>
    </row>
    <row r="490" spans="2:7" x14ac:dyDescent="0.25">
      <c r="D490" t="s">
        <v>327</v>
      </c>
      <c r="F490" s="41" t="s">
        <v>3</v>
      </c>
      <c r="G490" s="10">
        <f>0.068*1.055</f>
        <v>7.1739999999999998E-2</v>
      </c>
    </row>
    <row r="491" spans="2:7" x14ac:dyDescent="0.25">
      <c r="F491" s="9"/>
    </row>
    <row r="492" spans="2:7" x14ac:dyDescent="0.25">
      <c r="B492" s="18">
        <v>80</v>
      </c>
      <c r="C492" s="3" t="s">
        <v>330</v>
      </c>
      <c r="F492" s="41"/>
    </row>
    <row r="493" spans="2:7" x14ac:dyDescent="0.25">
      <c r="C493" t="s">
        <v>323</v>
      </c>
      <c r="F493" s="41" t="s">
        <v>3</v>
      </c>
      <c r="G493" s="10">
        <f>0.02*3.14*0.08*1.29</f>
        <v>6.4809600000000009E-3</v>
      </c>
    </row>
    <row r="494" spans="2:7" ht="17.25" x14ac:dyDescent="0.25">
      <c r="C494" t="s">
        <v>23</v>
      </c>
      <c r="F494" s="173" t="s">
        <v>596</v>
      </c>
      <c r="G494" s="10">
        <f>G493*2</f>
        <v>1.2961920000000002E-2</v>
      </c>
    </row>
    <row r="495" spans="2:7" x14ac:dyDescent="0.25">
      <c r="C495" t="s">
        <v>142</v>
      </c>
      <c r="F495" s="41" t="s">
        <v>3</v>
      </c>
      <c r="G495" s="10">
        <f>G493/4</f>
        <v>1.6202400000000002E-3</v>
      </c>
    </row>
    <row r="496" spans="2:7" x14ac:dyDescent="0.25">
      <c r="C496" t="s">
        <v>143</v>
      </c>
      <c r="F496" s="41" t="s">
        <v>3</v>
      </c>
      <c r="G496" s="10">
        <v>3.0000000000000001E-3</v>
      </c>
    </row>
    <row r="497" spans="2:7" x14ac:dyDescent="0.25">
      <c r="C497" t="s">
        <v>324</v>
      </c>
      <c r="F497" s="41" t="s">
        <v>3</v>
      </c>
      <c r="G497" s="10">
        <f>0.3*G496</f>
        <v>8.9999999999999998E-4</v>
      </c>
    </row>
    <row r="498" spans="2:7" x14ac:dyDescent="0.25">
      <c r="C498" t="s">
        <v>8</v>
      </c>
      <c r="F498" s="41" t="s">
        <v>3</v>
      </c>
      <c r="G498" s="10">
        <v>3.0000000000000001E-3</v>
      </c>
    </row>
    <row r="499" spans="2:7" x14ac:dyDescent="0.25">
      <c r="C499" t="s">
        <v>325</v>
      </c>
      <c r="F499" s="41" t="s">
        <v>3</v>
      </c>
      <c r="G499" s="10">
        <f>0.1*0.02*1.3</f>
        <v>2.6000000000000003E-3</v>
      </c>
    </row>
    <row r="500" spans="2:7" x14ac:dyDescent="0.25">
      <c r="C500" t="s">
        <v>12</v>
      </c>
      <c r="F500" s="41" t="s">
        <v>3</v>
      </c>
      <c r="G500" s="10">
        <f>0.3*(G499+G10337)</f>
        <v>7.8000000000000009E-4</v>
      </c>
    </row>
    <row r="501" spans="2:7" x14ac:dyDescent="0.25">
      <c r="D501" s="4" t="s">
        <v>329</v>
      </c>
      <c r="F501" s="41"/>
    </row>
    <row r="502" spans="2:7" x14ac:dyDescent="0.25">
      <c r="D502" t="s">
        <v>327</v>
      </c>
      <c r="F502" s="41" t="s">
        <v>3</v>
      </c>
      <c r="G502" s="10">
        <v>4.7E-2</v>
      </c>
    </row>
    <row r="503" spans="2:7" x14ac:dyDescent="0.25">
      <c r="F503" s="9"/>
    </row>
    <row r="504" spans="2:7" x14ac:dyDescent="0.25">
      <c r="B504" s="18">
        <v>81</v>
      </c>
      <c r="C504" s="3" t="s">
        <v>331</v>
      </c>
      <c r="F504" s="9"/>
    </row>
    <row r="505" spans="2:7" x14ac:dyDescent="0.25">
      <c r="C505" t="s">
        <v>332</v>
      </c>
      <c r="F505" s="41" t="s">
        <v>3</v>
      </c>
      <c r="G505" s="10">
        <f>0.644*0.075*1*2*1.06</f>
        <v>0.10239600000000001</v>
      </c>
    </row>
    <row r="506" spans="2:7" x14ac:dyDescent="0.25">
      <c r="F506" s="41"/>
    </row>
    <row r="507" spans="2:7" x14ac:dyDescent="0.25">
      <c r="B507" s="18">
        <v>83</v>
      </c>
      <c r="C507" s="3" t="s">
        <v>333</v>
      </c>
      <c r="F507" s="41"/>
    </row>
    <row r="508" spans="2:7" x14ac:dyDescent="0.25">
      <c r="C508" t="s">
        <v>332</v>
      </c>
      <c r="F508" s="41" t="s">
        <v>3</v>
      </c>
      <c r="G508" s="10">
        <f>0.645*0.075*1*2*1.06</f>
        <v>0.10255500000000001</v>
      </c>
    </row>
    <row r="509" spans="2:7" x14ac:dyDescent="0.25">
      <c r="F509" s="41"/>
    </row>
    <row r="510" spans="2:7" x14ac:dyDescent="0.25">
      <c r="B510" s="18">
        <v>85</v>
      </c>
      <c r="C510" s="3" t="s">
        <v>334</v>
      </c>
      <c r="F510" s="41"/>
    </row>
    <row r="511" spans="2:7" x14ac:dyDescent="0.25">
      <c r="C511" t="s">
        <v>332</v>
      </c>
      <c r="F511" s="41" t="s">
        <v>3</v>
      </c>
      <c r="G511" s="10">
        <f>0.645*0.075*1*2*1.06</f>
        <v>0.10255500000000001</v>
      </c>
    </row>
    <row r="512" spans="2:7" x14ac:dyDescent="0.25">
      <c r="F512" s="41"/>
    </row>
    <row r="513" spans="2:8" x14ac:dyDescent="0.25">
      <c r="B513" s="18">
        <v>87</v>
      </c>
      <c r="C513" s="3" t="s">
        <v>335</v>
      </c>
      <c r="F513" s="41"/>
    </row>
    <row r="514" spans="2:8" x14ac:dyDescent="0.25">
      <c r="C514" t="s">
        <v>332</v>
      </c>
      <c r="F514" s="41" t="s">
        <v>3</v>
      </c>
      <c r="G514" s="10">
        <f>0.645*0.045*1*2*1.06</f>
        <v>6.1532999999999997E-2</v>
      </c>
    </row>
    <row r="515" spans="2:8" x14ac:dyDescent="0.25">
      <c r="F515" s="41"/>
    </row>
    <row r="516" spans="2:8" x14ac:dyDescent="0.25">
      <c r="B516" s="18">
        <v>89</v>
      </c>
      <c r="C516" s="3" t="s">
        <v>336</v>
      </c>
      <c r="F516" s="41"/>
    </row>
    <row r="517" spans="2:8" x14ac:dyDescent="0.25">
      <c r="C517" t="s">
        <v>332</v>
      </c>
      <c r="F517" s="41" t="s">
        <v>3</v>
      </c>
      <c r="G517" s="10">
        <f>0.652*0.045*1*2*1.06</f>
        <v>6.2200800000000007E-2</v>
      </c>
      <c r="H517" s="10"/>
    </row>
    <row r="518" spans="2:8" x14ac:dyDescent="0.25">
      <c r="F518" s="41"/>
    </row>
    <row r="519" spans="2:8" x14ac:dyDescent="0.25">
      <c r="B519" s="18">
        <v>91</v>
      </c>
      <c r="C519" s="3" t="s">
        <v>337</v>
      </c>
      <c r="F519" s="41"/>
    </row>
    <row r="520" spans="2:8" x14ac:dyDescent="0.25">
      <c r="C520" t="s">
        <v>332</v>
      </c>
      <c r="F520" s="41" t="s">
        <v>3</v>
      </c>
      <c r="G520" s="10">
        <f>0.645*0.045*1*2*1.06</f>
        <v>6.1532999999999997E-2</v>
      </c>
    </row>
    <row r="521" spans="2:8" x14ac:dyDescent="0.25">
      <c r="C521" s="3"/>
      <c r="F521" s="41"/>
    </row>
    <row r="522" spans="2:8" x14ac:dyDescent="0.25">
      <c r="B522" s="18">
        <v>93</v>
      </c>
      <c r="C522" s="3" t="s">
        <v>344</v>
      </c>
      <c r="F522" s="41"/>
    </row>
    <row r="523" spans="2:8" x14ac:dyDescent="0.25">
      <c r="C523" s="8" t="s">
        <v>39</v>
      </c>
      <c r="F523" s="44" t="s">
        <v>3</v>
      </c>
      <c r="G523" s="10">
        <f>0.018*3.14*0.04*1.2</f>
        <v>2.7129599999999999E-3</v>
      </c>
    </row>
    <row r="524" spans="2:8" x14ac:dyDescent="0.25">
      <c r="C524" s="8" t="s">
        <v>40</v>
      </c>
      <c r="F524" s="44" t="s">
        <v>3</v>
      </c>
      <c r="G524" s="10">
        <f>1.5*G523</f>
        <v>4.0694399999999997E-3</v>
      </c>
    </row>
    <row r="525" spans="2:8" x14ac:dyDescent="0.25">
      <c r="D525" s="4" t="s">
        <v>345</v>
      </c>
      <c r="F525" s="9"/>
    </row>
    <row r="526" spans="2:8" x14ac:dyDescent="0.25">
      <c r="D526" t="s">
        <v>346</v>
      </c>
      <c r="F526" s="44" t="s">
        <v>3</v>
      </c>
      <c r="G526" s="10">
        <f>(0.052+0.046*2)*0.058*3*8*1.08</f>
        <v>0.21648384000000004</v>
      </c>
    </row>
    <row r="527" spans="2:8" x14ac:dyDescent="0.25">
      <c r="F527" s="9"/>
    </row>
    <row r="528" spans="2:8" x14ac:dyDescent="0.25">
      <c r="B528" s="18">
        <v>94</v>
      </c>
      <c r="C528" s="3" t="s">
        <v>347</v>
      </c>
      <c r="F528" s="44"/>
    </row>
    <row r="529" spans="2:7" x14ac:dyDescent="0.25">
      <c r="C529" s="8" t="s">
        <v>39</v>
      </c>
      <c r="F529" s="44" t="s">
        <v>3</v>
      </c>
      <c r="G529" s="10">
        <f>0.012*3.14*0.04*1.2</f>
        <v>1.8086400000000002E-3</v>
      </c>
    </row>
    <row r="530" spans="2:7" x14ac:dyDescent="0.25">
      <c r="C530" s="8" t="s">
        <v>40</v>
      </c>
      <c r="F530" s="44" t="s">
        <v>3</v>
      </c>
      <c r="G530" s="10">
        <f>1.5*G529</f>
        <v>2.7129600000000004E-3</v>
      </c>
    </row>
    <row r="531" spans="2:7" x14ac:dyDescent="0.25">
      <c r="D531" s="4" t="s">
        <v>348</v>
      </c>
      <c r="F531" s="44"/>
    </row>
    <row r="532" spans="2:7" x14ac:dyDescent="0.25">
      <c r="D532" t="s">
        <v>349</v>
      </c>
      <c r="F532" s="44" t="s">
        <v>3</v>
      </c>
      <c r="G532" s="10">
        <f>0.15*0.032*4*8*1.089</f>
        <v>0.16727039999999999</v>
      </c>
    </row>
    <row r="533" spans="2:7" x14ac:dyDescent="0.25">
      <c r="F533" s="44"/>
    </row>
    <row r="534" spans="2:7" x14ac:dyDescent="0.25">
      <c r="B534" s="18">
        <v>95</v>
      </c>
      <c r="C534" s="3" t="s">
        <v>350</v>
      </c>
      <c r="F534" s="9"/>
    </row>
    <row r="535" spans="2:7" x14ac:dyDescent="0.25">
      <c r="C535" s="8" t="s">
        <v>39</v>
      </c>
      <c r="F535" s="44" t="s">
        <v>3</v>
      </c>
      <c r="G535" s="10">
        <f>0.016*3.14*0.04*1.2</f>
        <v>2.4115199999999999E-3</v>
      </c>
    </row>
    <row r="536" spans="2:7" x14ac:dyDescent="0.25">
      <c r="C536" s="8" t="s">
        <v>40</v>
      </c>
      <c r="F536" s="44" t="s">
        <v>3</v>
      </c>
      <c r="G536" s="10">
        <f>1.5*G535</f>
        <v>3.6172799999999996E-3</v>
      </c>
    </row>
    <row r="537" spans="2:7" x14ac:dyDescent="0.25">
      <c r="D537" s="4" t="s">
        <v>351</v>
      </c>
      <c r="F537" s="9"/>
    </row>
    <row r="538" spans="2:7" x14ac:dyDescent="0.25">
      <c r="D538" t="s">
        <v>352</v>
      </c>
      <c r="F538" s="44" t="s">
        <v>3</v>
      </c>
      <c r="G538" s="10">
        <f>0.045*0.025*4*8*1.08</f>
        <v>3.8879999999999998E-2</v>
      </c>
    </row>
    <row r="539" spans="2:7" x14ac:dyDescent="0.25">
      <c r="F539" s="9"/>
    </row>
    <row r="540" spans="2:7" x14ac:dyDescent="0.25">
      <c r="B540" s="18">
        <v>96</v>
      </c>
      <c r="C540" s="3" t="s">
        <v>353</v>
      </c>
      <c r="F540" s="9"/>
    </row>
    <row r="541" spans="2:7" x14ac:dyDescent="0.25">
      <c r="C541" s="8" t="s">
        <v>39</v>
      </c>
      <c r="F541" s="44" t="s">
        <v>3</v>
      </c>
      <c r="G541" s="10">
        <f>0.022*3.14*0.04*1.2</f>
        <v>3.31584E-3</v>
      </c>
    </row>
    <row r="542" spans="2:7" x14ac:dyDescent="0.25">
      <c r="C542" s="8" t="s">
        <v>40</v>
      </c>
      <c r="F542" s="44" t="s">
        <v>3</v>
      </c>
      <c r="G542" s="10">
        <f>1.5*G541</f>
        <v>4.9737599999999998E-3</v>
      </c>
    </row>
    <row r="543" spans="2:7" x14ac:dyDescent="0.25">
      <c r="C543" s="8" t="s">
        <v>8</v>
      </c>
      <c r="F543" s="44" t="s">
        <v>3</v>
      </c>
      <c r="G543" s="10">
        <v>4.0000000000000001E-3</v>
      </c>
    </row>
    <row r="544" spans="2:7" x14ac:dyDescent="0.25">
      <c r="C544" s="8" t="s">
        <v>15</v>
      </c>
      <c r="F544" s="44" t="s">
        <v>3</v>
      </c>
      <c r="G544" s="10">
        <f>0.12*0.066*2*0.15*2*1.3</f>
        <v>6.1776000000000001E-3</v>
      </c>
    </row>
    <row r="545" spans="2:8" x14ac:dyDescent="0.25">
      <c r="C545" s="8" t="s">
        <v>12</v>
      </c>
      <c r="F545" s="44" t="s">
        <v>3</v>
      </c>
      <c r="G545" s="10">
        <f>0.3*(G544+G543)</f>
        <v>3.0532799999999998E-3</v>
      </c>
    </row>
    <row r="546" spans="2:8" x14ac:dyDescent="0.25">
      <c r="D546" s="4" t="s">
        <v>354</v>
      </c>
      <c r="F546" s="9"/>
    </row>
    <row r="547" spans="2:8" x14ac:dyDescent="0.25">
      <c r="D547" t="s">
        <v>355</v>
      </c>
      <c r="F547" s="44" t="s">
        <v>3</v>
      </c>
      <c r="G547" s="10">
        <f>0.12*0.066*4*8*1.12</f>
        <v>0.28385280000000002</v>
      </c>
      <c r="H547" s="10"/>
    </row>
    <row r="548" spans="2:8" x14ac:dyDescent="0.25">
      <c r="F548" s="9"/>
    </row>
    <row r="549" spans="2:8" x14ac:dyDescent="0.25">
      <c r="B549" s="18">
        <v>97</v>
      </c>
      <c r="C549" s="3" t="s">
        <v>356</v>
      </c>
      <c r="F549" s="9"/>
    </row>
    <row r="550" spans="2:8" x14ac:dyDescent="0.25">
      <c r="C550" t="s">
        <v>143</v>
      </c>
      <c r="F550" s="44" t="s">
        <v>3</v>
      </c>
      <c r="G550" s="10">
        <v>7.0000000000000001E-3</v>
      </c>
    </row>
    <row r="551" spans="2:8" x14ac:dyDescent="0.25">
      <c r="C551" t="s">
        <v>147</v>
      </c>
      <c r="F551" s="44" t="s">
        <v>3</v>
      </c>
      <c r="G551" s="10">
        <f>0.3*G550</f>
        <v>2.0999999999999999E-3</v>
      </c>
    </row>
    <row r="552" spans="2:8" x14ac:dyDescent="0.25">
      <c r="C552" t="s">
        <v>8</v>
      </c>
      <c r="F552" s="44" t="s">
        <v>3</v>
      </c>
      <c r="G552" s="10">
        <v>6.0000000000000001E-3</v>
      </c>
    </row>
    <row r="553" spans="2:8" x14ac:dyDescent="0.25">
      <c r="C553" t="s">
        <v>12</v>
      </c>
      <c r="F553" s="44" t="s">
        <v>3</v>
      </c>
      <c r="G553" s="10">
        <f>0.3*G552</f>
        <v>1.8E-3</v>
      </c>
    </row>
    <row r="554" spans="2:8" x14ac:dyDescent="0.25">
      <c r="C554" t="s">
        <v>72</v>
      </c>
      <c r="F554" s="44" t="s">
        <v>3</v>
      </c>
      <c r="G554" s="10">
        <f>0.3*G553</f>
        <v>5.4000000000000001E-4</v>
      </c>
    </row>
    <row r="555" spans="2:8" x14ac:dyDescent="0.25">
      <c r="C555" t="s">
        <v>11</v>
      </c>
      <c r="F555" s="44" t="s">
        <v>3</v>
      </c>
      <c r="G555" s="10">
        <f>0.3*G554</f>
        <v>1.6200000000000001E-4</v>
      </c>
    </row>
    <row r="556" spans="2:8" x14ac:dyDescent="0.25">
      <c r="C556" t="s">
        <v>51</v>
      </c>
      <c r="F556" s="44" t="s">
        <v>3</v>
      </c>
      <c r="G556" s="10">
        <f>0.01*3.14*0.08*1.2</f>
        <v>3.0144000000000004E-3</v>
      </c>
    </row>
    <row r="557" spans="2:8" ht="17.25" x14ac:dyDescent="0.25">
      <c r="C557" t="s">
        <v>52</v>
      </c>
      <c r="F557" s="173" t="s">
        <v>596</v>
      </c>
      <c r="G557" s="10">
        <f>G556*2</f>
        <v>6.0288000000000008E-3</v>
      </c>
    </row>
    <row r="558" spans="2:8" x14ac:dyDescent="0.25">
      <c r="C558" t="s">
        <v>24</v>
      </c>
      <c r="F558" s="44" t="s">
        <v>3</v>
      </c>
      <c r="G558" s="10">
        <f>G556/4</f>
        <v>7.536000000000001E-4</v>
      </c>
    </row>
    <row r="559" spans="2:8" x14ac:dyDescent="0.25">
      <c r="D559" s="4" t="s">
        <v>357</v>
      </c>
      <c r="F559" s="9"/>
    </row>
    <row r="560" spans="2:8" x14ac:dyDescent="0.25">
      <c r="D560" t="s">
        <v>358</v>
      </c>
      <c r="F560" s="44" t="s">
        <v>3</v>
      </c>
      <c r="G560" s="10">
        <f>0.314*0.3</f>
        <v>9.4199999999999992E-2</v>
      </c>
    </row>
    <row r="561" spans="2:9" x14ac:dyDescent="0.25">
      <c r="F561" s="9"/>
    </row>
    <row r="562" spans="2:9" x14ac:dyDescent="0.25">
      <c r="B562" s="18">
        <v>98</v>
      </c>
      <c r="C562" s="3" t="s">
        <v>359</v>
      </c>
      <c r="F562" s="9"/>
    </row>
    <row r="563" spans="2:9" x14ac:dyDescent="0.25">
      <c r="D563" s="4" t="s">
        <v>360</v>
      </c>
      <c r="F563" s="9"/>
    </row>
    <row r="564" spans="2:9" x14ac:dyDescent="0.25">
      <c r="D564" t="s">
        <v>8</v>
      </c>
      <c r="F564" s="51" t="s">
        <v>3</v>
      </c>
      <c r="G564" s="10">
        <f>0.12*0.12*2*0.15*1.59</f>
        <v>6.8688000000000004E-3</v>
      </c>
    </row>
    <row r="565" spans="2:9" x14ac:dyDescent="0.25">
      <c r="D565" t="s">
        <v>12</v>
      </c>
      <c r="F565" s="51" t="s">
        <v>3</v>
      </c>
      <c r="G565" s="10">
        <f>0.3*G564</f>
        <v>2.0606399999999999E-3</v>
      </c>
    </row>
    <row r="566" spans="2:9" x14ac:dyDescent="0.25">
      <c r="D566" t="s">
        <v>72</v>
      </c>
      <c r="F566" s="51" t="s">
        <v>3</v>
      </c>
      <c r="G566" s="10">
        <f>0.12*0.12*2*0.16*2*1.2</f>
        <v>1.10592E-2</v>
      </c>
    </row>
    <row r="567" spans="2:9" x14ac:dyDescent="0.25">
      <c r="D567" t="s">
        <v>11</v>
      </c>
      <c r="F567" s="51" t="s">
        <v>3</v>
      </c>
      <c r="G567" s="10">
        <f>0.3*G566</f>
        <v>3.3177599999999999E-3</v>
      </c>
    </row>
    <row r="568" spans="2:9" x14ac:dyDescent="0.25">
      <c r="D568" t="s">
        <v>361</v>
      </c>
      <c r="F568" s="51" t="s">
        <v>3</v>
      </c>
      <c r="G568" s="10">
        <f>0.145*0.136*0.5*8*1.1</f>
        <v>8.6768000000000012E-2</v>
      </c>
      <c r="H568" t="s">
        <v>547</v>
      </c>
      <c r="I568" t="s">
        <v>548</v>
      </c>
    </row>
    <row r="569" spans="2:9" x14ac:dyDescent="0.25">
      <c r="D569" s="4" t="s">
        <v>362</v>
      </c>
      <c r="F569" s="9"/>
    </row>
    <row r="570" spans="2:9" x14ac:dyDescent="0.25">
      <c r="D570" t="s">
        <v>363</v>
      </c>
      <c r="F570" s="51" t="s">
        <v>3</v>
      </c>
      <c r="G570" s="10">
        <f>0.235*0.14*1*1.09</f>
        <v>3.5861000000000004E-2</v>
      </c>
      <c r="I570">
        <f>0.087*2+0.125</f>
        <v>0.29899999999999999</v>
      </c>
    </row>
    <row r="571" spans="2:9" x14ac:dyDescent="0.25">
      <c r="F571" s="9"/>
    </row>
    <row r="572" spans="2:9" x14ac:dyDescent="0.25">
      <c r="B572" s="18">
        <v>99</v>
      </c>
      <c r="C572" s="3" t="s">
        <v>364</v>
      </c>
      <c r="F572" s="9"/>
    </row>
    <row r="573" spans="2:9" x14ac:dyDescent="0.25">
      <c r="D573" s="4" t="s">
        <v>365</v>
      </c>
      <c r="F573" s="9"/>
    </row>
    <row r="574" spans="2:9" x14ac:dyDescent="0.25">
      <c r="D574" t="s">
        <v>54</v>
      </c>
      <c r="F574" s="51" t="s">
        <v>3</v>
      </c>
      <c r="G574" s="10">
        <f>0.04*0.05*4*8*1.02</f>
        <v>6.5280000000000005E-2</v>
      </c>
    </row>
    <row r="575" spans="2:9" x14ac:dyDescent="0.25">
      <c r="D575" s="4" t="s">
        <v>366</v>
      </c>
      <c r="F575" s="9"/>
    </row>
    <row r="576" spans="2:9" x14ac:dyDescent="0.25">
      <c r="D576" t="s">
        <v>54</v>
      </c>
      <c r="F576" s="51" t="s">
        <v>3</v>
      </c>
      <c r="G576" s="10">
        <f>0.04*0.05*4*8*1.02</f>
        <v>6.5280000000000005E-2</v>
      </c>
    </row>
    <row r="577" spans="2:8" x14ac:dyDescent="0.25">
      <c r="D577" s="4" t="s">
        <v>367</v>
      </c>
      <c r="F577" s="9"/>
    </row>
    <row r="578" spans="2:8" x14ac:dyDescent="0.25">
      <c r="D578" t="s">
        <v>368</v>
      </c>
      <c r="F578" s="51" t="s">
        <v>3</v>
      </c>
      <c r="G578" s="10">
        <f>0.146*0.362*2*8*1.03</f>
        <v>0.87100095999999994</v>
      </c>
      <c r="H578" s="10"/>
    </row>
    <row r="579" spans="2:8" x14ac:dyDescent="0.25">
      <c r="D579" s="8" t="s">
        <v>39</v>
      </c>
      <c r="F579" s="51" t="s">
        <v>3</v>
      </c>
      <c r="G579" s="10">
        <f>0.12*0.04*1.2</f>
        <v>5.7599999999999995E-3</v>
      </c>
    </row>
    <row r="580" spans="2:8" x14ac:dyDescent="0.25">
      <c r="D580" s="8" t="s">
        <v>40</v>
      </c>
      <c r="F580" s="51" t="s">
        <v>3</v>
      </c>
      <c r="G580" s="10">
        <f>G579*1.5</f>
        <v>8.6399999999999984E-3</v>
      </c>
    </row>
    <row r="581" spans="2:8" x14ac:dyDescent="0.25">
      <c r="F581" s="9"/>
    </row>
    <row r="582" spans="2:8" x14ac:dyDescent="0.25">
      <c r="B582" s="18">
        <v>101</v>
      </c>
      <c r="C582" s="3" t="s">
        <v>369</v>
      </c>
      <c r="F582" s="9"/>
    </row>
    <row r="583" spans="2:8" x14ac:dyDescent="0.25">
      <c r="C583" t="s">
        <v>51</v>
      </c>
      <c r="F583" s="51" t="s">
        <v>3</v>
      </c>
      <c r="G583" s="10">
        <f>0.012*3.14*3*0.08*1.2</f>
        <v>1.0851840000000001E-2</v>
      </c>
    </row>
    <row r="584" spans="2:8" ht="17.25" x14ac:dyDescent="0.25">
      <c r="C584" t="s">
        <v>52</v>
      </c>
      <c r="F584" s="173" t="s">
        <v>596</v>
      </c>
      <c r="G584" s="10">
        <f>G583*2</f>
        <v>2.1703680000000003E-2</v>
      </c>
    </row>
    <row r="585" spans="2:8" x14ac:dyDescent="0.25">
      <c r="C585" t="s">
        <v>24</v>
      </c>
      <c r="F585" s="51" t="s">
        <v>3</v>
      </c>
      <c r="G585" s="10">
        <f>G583/4</f>
        <v>2.7129600000000004E-3</v>
      </c>
    </row>
    <row r="586" spans="2:8" x14ac:dyDescent="0.25">
      <c r="C586" t="s">
        <v>143</v>
      </c>
      <c r="F586" s="51" t="s">
        <v>3</v>
      </c>
      <c r="G586" s="10">
        <f>G588</f>
        <v>1.7159999999999998E-2</v>
      </c>
    </row>
    <row r="587" spans="2:8" x14ac:dyDescent="0.25">
      <c r="C587" t="s">
        <v>147</v>
      </c>
      <c r="F587" s="51" t="s">
        <v>3</v>
      </c>
      <c r="G587" s="10">
        <f>0.3*G586</f>
        <v>5.1479999999999989E-3</v>
      </c>
    </row>
    <row r="588" spans="2:8" x14ac:dyDescent="0.25">
      <c r="C588" t="s">
        <v>8</v>
      </c>
      <c r="F588" s="51" t="s">
        <v>3</v>
      </c>
      <c r="G588" s="10">
        <f>1.2*0.011*1.3</f>
        <v>1.7159999999999998E-2</v>
      </c>
    </row>
    <row r="589" spans="2:8" x14ac:dyDescent="0.25">
      <c r="C589" t="s">
        <v>148</v>
      </c>
      <c r="F589" s="51" t="s">
        <v>3</v>
      </c>
      <c r="G589" s="10">
        <f>1.2*0.011*2*1.15</f>
        <v>3.0359999999999995E-2</v>
      </c>
    </row>
    <row r="590" spans="2:8" x14ac:dyDescent="0.25">
      <c r="C590" t="s">
        <v>12</v>
      </c>
      <c r="F590" s="51" t="s">
        <v>3</v>
      </c>
      <c r="G590" s="10">
        <f>0.3*(G589+G588)</f>
        <v>1.4255999999999998E-2</v>
      </c>
    </row>
    <row r="591" spans="2:8" x14ac:dyDescent="0.25">
      <c r="D591" s="4" t="s">
        <v>370</v>
      </c>
      <c r="F591" s="9"/>
    </row>
    <row r="592" spans="2:8" x14ac:dyDescent="0.25">
      <c r="D592" t="s">
        <v>159</v>
      </c>
      <c r="F592" s="51" t="s">
        <v>3</v>
      </c>
      <c r="G592" s="10">
        <f>0.352</f>
        <v>0.35199999999999998</v>
      </c>
    </row>
    <row r="593" spans="2:7" x14ac:dyDescent="0.25">
      <c r="F593" s="9"/>
    </row>
    <row r="594" spans="2:7" x14ac:dyDescent="0.25">
      <c r="B594" s="18">
        <v>102</v>
      </c>
      <c r="C594" s="3" t="s">
        <v>371</v>
      </c>
      <c r="F594" s="9"/>
    </row>
    <row r="595" spans="2:7" x14ac:dyDescent="0.25">
      <c r="F595" s="9"/>
    </row>
    <row r="596" spans="2:7" x14ac:dyDescent="0.25">
      <c r="B596" s="18">
        <v>105</v>
      </c>
      <c r="C596" s="3" t="s">
        <v>372</v>
      </c>
      <c r="F596" s="9"/>
    </row>
    <row r="597" spans="2:7" x14ac:dyDescent="0.25">
      <c r="C597" t="s">
        <v>373</v>
      </c>
      <c r="F597" s="51" t="s">
        <v>3</v>
      </c>
      <c r="G597" s="10">
        <f>0.08*0.055*4*2*1.05</f>
        <v>3.6960000000000007E-2</v>
      </c>
    </row>
    <row r="598" spans="2:7" x14ac:dyDescent="0.25">
      <c r="F598" s="9"/>
    </row>
    <row r="599" spans="2:7" x14ac:dyDescent="0.25">
      <c r="B599" s="18">
        <v>106</v>
      </c>
      <c r="C599" s="3" t="s">
        <v>374</v>
      </c>
      <c r="F599" s="9"/>
    </row>
    <row r="600" spans="2:7" x14ac:dyDescent="0.25">
      <c r="C600" t="s">
        <v>51</v>
      </c>
      <c r="F600" s="51" t="s">
        <v>3</v>
      </c>
      <c r="G600" s="10">
        <f>0.008*3.14*2*0.08*1.2</f>
        <v>4.8230399999999998E-3</v>
      </c>
    </row>
    <row r="601" spans="2:7" ht="17.25" x14ac:dyDescent="0.25">
      <c r="C601" t="s">
        <v>52</v>
      </c>
      <c r="F601" s="173" t="s">
        <v>596</v>
      </c>
      <c r="G601" s="10">
        <f>G600*2</f>
        <v>9.6460799999999996E-3</v>
      </c>
    </row>
    <row r="602" spans="2:7" x14ac:dyDescent="0.25">
      <c r="C602" t="s">
        <v>24</v>
      </c>
      <c r="F602" s="51" t="s">
        <v>3</v>
      </c>
      <c r="G602" s="10">
        <f>G600/4</f>
        <v>1.2057599999999999E-3</v>
      </c>
    </row>
    <row r="603" spans="2:7" x14ac:dyDescent="0.25">
      <c r="C603" t="s">
        <v>163</v>
      </c>
      <c r="F603" s="51" t="s">
        <v>3</v>
      </c>
      <c r="G603" s="10">
        <v>6.0000000000000001E-3</v>
      </c>
    </row>
    <row r="604" spans="2:7" x14ac:dyDescent="0.25">
      <c r="C604" t="s">
        <v>164</v>
      </c>
      <c r="F604" s="51" t="s">
        <v>3</v>
      </c>
      <c r="G604" s="10">
        <f>0.3*G603</f>
        <v>1.8E-3</v>
      </c>
    </row>
    <row r="605" spans="2:7" x14ac:dyDescent="0.25">
      <c r="C605" t="s">
        <v>375</v>
      </c>
      <c r="F605" s="51" t="s">
        <v>3</v>
      </c>
      <c r="G605" s="10">
        <f>0.011*0.3*2*1.3</f>
        <v>8.5799999999999991E-3</v>
      </c>
    </row>
    <row r="606" spans="2:7" x14ac:dyDescent="0.25">
      <c r="C606" t="s">
        <v>12</v>
      </c>
      <c r="F606" s="51" t="s">
        <v>3</v>
      </c>
      <c r="G606" s="10">
        <f>0.3*G605</f>
        <v>2.5739999999999995E-3</v>
      </c>
    </row>
    <row r="607" spans="2:7" x14ac:dyDescent="0.25">
      <c r="D607" s="4" t="s">
        <v>376</v>
      </c>
      <c r="F607" s="9"/>
    </row>
    <row r="608" spans="2:7" x14ac:dyDescent="0.25">
      <c r="D608" t="s">
        <v>172</v>
      </c>
      <c r="F608" s="51" t="s">
        <v>3</v>
      </c>
      <c r="G608" s="10">
        <v>0.06</v>
      </c>
    </row>
    <row r="609" spans="2:7" x14ac:dyDescent="0.25">
      <c r="F609" s="9"/>
    </row>
    <row r="610" spans="2:7" x14ac:dyDescent="0.25">
      <c r="B610" s="18">
        <v>108</v>
      </c>
      <c r="C610" s="3" t="s">
        <v>377</v>
      </c>
      <c r="F610" s="9"/>
    </row>
    <row r="611" spans="2:7" x14ac:dyDescent="0.25">
      <c r="C611" t="s">
        <v>292</v>
      </c>
      <c r="F611" s="51" t="s">
        <v>3</v>
      </c>
      <c r="G611" s="10">
        <v>5.0000000000000001E-3</v>
      </c>
    </row>
    <row r="612" spans="2:7" x14ac:dyDescent="0.25">
      <c r="C612" t="s">
        <v>293</v>
      </c>
      <c r="F612" s="51" t="s">
        <v>3</v>
      </c>
      <c r="G612" s="10">
        <f>G611*3</f>
        <v>1.4999999999999999E-2</v>
      </c>
    </row>
    <row r="613" spans="2:7" x14ac:dyDescent="0.25">
      <c r="C613" t="s">
        <v>378</v>
      </c>
      <c r="F613" s="51" t="s">
        <v>3</v>
      </c>
      <c r="G613" s="10">
        <v>6.9999999999999999E-4</v>
      </c>
    </row>
    <row r="614" spans="2:7" x14ac:dyDescent="0.25">
      <c r="C614" t="s">
        <v>379</v>
      </c>
      <c r="F614" s="51" t="s">
        <v>195</v>
      </c>
      <c r="G614" s="10">
        <f>0.485</f>
        <v>0.48499999999999999</v>
      </c>
    </row>
    <row r="615" spans="2:7" x14ac:dyDescent="0.25">
      <c r="F615" s="9"/>
    </row>
    <row r="616" spans="2:7" x14ac:dyDescent="0.25">
      <c r="B616" s="18">
        <v>110</v>
      </c>
      <c r="C616" s="3" t="s">
        <v>380</v>
      </c>
      <c r="F616" s="9"/>
    </row>
    <row r="617" spans="2:7" x14ac:dyDescent="0.25">
      <c r="C617" t="s">
        <v>292</v>
      </c>
      <c r="F617" s="52" t="s">
        <v>3</v>
      </c>
      <c r="G617" s="10">
        <v>4.0000000000000001E-3</v>
      </c>
    </row>
    <row r="618" spans="2:7" x14ac:dyDescent="0.25">
      <c r="C618" t="s">
        <v>293</v>
      </c>
      <c r="F618" s="52" t="s">
        <v>3</v>
      </c>
      <c r="G618" s="10">
        <f>G617*3</f>
        <v>1.2E-2</v>
      </c>
    </row>
    <row r="619" spans="2:7" x14ac:dyDescent="0.25">
      <c r="D619" s="4" t="s">
        <v>381</v>
      </c>
      <c r="F619" s="9"/>
    </row>
    <row r="620" spans="2:7" x14ac:dyDescent="0.25">
      <c r="D620" t="s">
        <v>382</v>
      </c>
      <c r="F620" s="52" t="s">
        <v>112</v>
      </c>
      <c r="G620" s="10">
        <f>0.021*0.025*1.15</f>
        <v>6.0375000000000001E-4</v>
      </c>
    </row>
    <row r="621" spans="2:7" x14ac:dyDescent="0.25">
      <c r="F621" s="9"/>
    </row>
    <row r="622" spans="2:7" x14ac:dyDescent="0.25">
      <c r="B622" s="18">
        <v>118</v>
      </c>
      <c r="C622" s="3" t="s">
        <v>383</v>
      </c>
      <c r="F622" s="9"/>
    </row>
    <row r="623" spans="2:7" x14ac:dyDescent="0.25">
      <c r="C623" t="s">
        <v>384</v>
      </c>
      <c r="F623" s="52" t="s">
        <v>3</v>
      </c>
      <c r="G623" s="10">
        <v>1.4999999999999999E-2</v>
      </c>
    </row>
    <row r="624" spans="2:7" x14ac:dyDescent="0.25">
      <c r="F624" s="9"/>
    </row>
    <row r="625" spans="2:7" x14ac:dyDescent="0.25">
      <c r="B625" s="18">
        <v>128</v>
      </c>
      <c r="C625" s="3" t="s">
        <v>385</v>
      </c>
      <c r="F625" s="9"/>
    </row>
    <row r="626" spans="2:7" x14ac:dyDescent="0.25">
      <c r="F626" s="9"/>
    </row>
    <row r="627" spans="2:7" x14ac:dyDescent="0.25">
      <c r="B627" s="18">
        <v>129</v>
      </c>
      <c r="C627" s="3" t="s">
        <v>386</v>
      </c>
      <c r="F627" s="9"/>
    </row>
    <row r="628" spans="2:7" x14ac:dyDescent="0.25">
      <c r="C628" t="s">
        <v>13</v>
      </c>
      <c r="F628" s="52" t="s">
        <v>3</v>
      </c>
      <c r="G628" s="10">
        <v>0.06</v>
      </c>
    </row>
    <row r="629" spans="2:7" x14ac:dyDescent="0.25">
      <c r="C629" t="s">
        <v>51</v>
      </c>
      <c r="F629" s="52" t="s">
        <v>3</v>
      </c>
      <c r="G629" s="10">
        <f>0.012*3.14*2*0.08*1.1</f>
        <v>6.6316800000000018E-3</v>
      </c>
    </row>
    <row r="630" spans="2:7" ht="17.25" x14ac:dyDescent="0.25">
      <c r="C630" t="s">
        <v>52</v>
      </c>
      <c r="F630" s="173" t="s">
        <v>596</v>
      </c>
      <c r="G630" s="10">
        <f>G629*2</f>
        <v>1.3263360000000004E-2</v>
      </c>
    </row>
    <row r="631" spans="2:7" x14ac:dyDescent="0.25">
      <c r="C631" t="s">
        <v>24</v>
      </c>
      <c r="F631" s="52" t="s">
        <v>3</v>
      </c>
      <c r="G631" s="10">
        <f>G629/4</f>
        <v>1.6579200000000004E-3</v>
      </c>
    </row>
    <row r="632" spans="2:7" x14ac:dyDescent="0.25">
      <c r="C632" t="s">
        <v>143</v>
      </c>
      <c r="F632" s="52" t="s">
        <v>3</v>
      </c>
      <c r="G632" s="10">
        <f>G634</f>
        <v>1.2232E-2</v>
      </c>
    </row>
    <row r="633" spans="2:7" x14ac:dyDescent="0.25">
      <c r="C633" t="s">
        <v>147</v>
      </c>
      <c r="F633" s="52" t="s">
        <v>3</v>
      </c>
      <c r="G633" s="10">
        <f>0.3*G632</f>
        <v>3.6695999999999999E-3</v>
      </c>
    </row>
    <row r="634" spans="2:7" x14ac:dyDescent="0.25">
      <c r="C634" t="s">
        <v>8</v>
      </c>
      <c r="F634" s="52" t="s">
        <v>3</v>
      </c>
      <c r="G634" s="10">
        <f>0.8*0.011*1.39</f>
        <v>1.2232E-2</v>
      </c>
    </row>
    <row r="635" spans="2:7" x14ac:dyDescent="0.25">
      <c r="C635" t="s">
        <v>152</v>
      </c>
      <c r="F635" s="52" t="s">
        <v>3</v>
      </c>
      <c r="G635" s="10">
        <f>0.011*0.75*2*1.35</f>
        <v>2.2275000000000003E-2</v>
      </c>
    </row>
    <row r="636" spans="2:7" x14ac:dyDescent="0.25">
      <c r="C636" t="s">
        <v>12</v>
      </c>
      <c r="F636" s="52" t="s">
        <v>3</v>
      </c>
      <c r="G636" s="10">
        <f>0.3*(G635+G634)</f>
        <v>1.0352100000000001E-2</v>
      </c>
    </row>
    <row r="637" spans="2:7" x14ac:dyDescent="0.25">
      <c r="D637" s="4" t="s">
        <v>387</v>
      </c>
      <c r="F637" s="9"/>
    </row>
    <row r="638" spans="2:7" x14ac:dyDescent="0.25">
      <c r="D638" t="s">
        <v>159</v>
      </c>
      <c r="F638" s="52" t="s">
        <v>3</v>
      </c>
      <c r="G638" s="10">
        <v>0.22</v>
      </c>
    </row>
    <row r="639" spans="2:7" x14ac:dyDescent="0.25">
      <c r="F639" s="9"/>
    </row>
    <row r="640" spans="2:7" x14ac:dyDescent="0.25">
      <c r="B640" s="18">
        <v>131</v>
      </c>
      <c r="C640" s="3" t="s">
        <v>388</v>
      </c>
      <c r="F640" s="9"/>
    </row>
    <row r="641" spans="2:9" x14ac:dyDescent="0.25">
      <c r="C641" t="s">
        <v>394</v>
      </c>
      <c r="F641" s="52" t="s">
        <v>3</v>
      </c>
      <c r="G641" s="10">
        <f>0.09*0.025*2.5*8*1.05</f>
        <v>4.725E-2</v>
      </c>
    </row>
    <row r="642" spans="2:9" x14ac:dyDescent="0.25">
      <c r="F642" s="9"/>
    </row>
    <row r="643" spans="2:9" x14ac:dyDescent="0.25">
      <c r="B643" s="18">
        <v>132</v>
      </c>
      <c r="C643" s="3" t="s">
        <v>389</v>
      </c>
      <c r="F643" s="52"/>
    </row>
    <row r="644" spans="2:9" x14ac:dyDescent="0.25">
      <c r="C644" t="s">
        <v>394</v>
      </c>
      <c r="F644" s="52" t="s">
        <v>3</v>
      </c>
      <c r="G644" s="10">
        <f>0.065*0.025*2.5*8*1.05</f>
        <v>3.4125000000000003E-2</v>
      </c>
    </row>
    <row r="645" spans="2:9" x14ac:dyDescent="0.25">
      <c r="F645" s="9"/>
    </row>
    <row r="646" spans="2:9" x14ac:dyDescent="0.25">
      <c r="B646" s="18">
        <v>133</v>
      </c>
      <c r="C646" s="3" t="s">
        <v>390</v>
      </c>
      <c r="F646" s="52"/>
    </row>
    <row r="647" spans="2:9" x14ac:dyDescent="0.25">
      <c r="C647" t="s">
        <v>394</v>
      </c>
      <c r="F647" s="52" t="s">
        <v>3</v>
      </c>
      <c r="G647" s="10">
        <f>0.065*0.025*2.5*8*1.05</f>
        <v>3.4125000000000003E-2</v>
      </c>
    </row>
    <row r="648" spans="2:9" x14ac:dyDescent="0.25">
      <c r="F648" s="9"/>
    </row>
    <row r="649" spans="2:9" x14ac:dyDescent="0.25">
      <c r="B649" s="18">
        <v>134</v>
      </c>
      <c r="C649" s="3" t="s">
        <v>391</v>
      </c>
      <c r="F649" s="9"/>
      <c r="H649" t="s">
        <v>392</v>
      </c>
      <c r="I649" t="s">
        <v>99</v>
      </c>
    </row>
    <row r="650" spans="2:9" x14ac:dyDescent="0.25">
      <c r="C650" s="8" t="s">
        <v>39</v>
      </c>
      <c r="F650" s="52" t="s">
        <v>3</v>
      </c>
      <c r="G650" s="10">
        <f>0.04*0.04*1.2</f>
        <v>1.92E-3</v>
      </c>
      <c r="H650" t="s">
        <v>396</v>
      </c>
      <c r="I650" t="s">
        <v>99</v>
      </c>
    </row>
    <row r="651" spans="2:9" x14ac:dyDescent="0.25">
      <c r="C651" s="8" t="s">
        <v>40</v>
      </c>
      <c r="F651" s="52" t="s">
        <v>3</v>
      </c>
      <c r="G651" s="10">
        <f>1.5*G650</f>
        <v>2.8800000000000002E-3</v>
      </c>
      <c r="H651" t="s">
        <v>397</v>
      </c>
      <c r="I651" t="s">
        <v>99</v>
      </c>
    </row>
    <row r="652" spans="2:9" x14ac:dyDescent="0.25">
      <c r="C652" s="8" t="s">
        <v>8</v>
      </c>
      <c r="F652" s="52" t="s">
        <v>3</v>
      </c>
      <c r="G652" s="10">
        <f>0.011*1.2*1.35</f>
        <v>1.7819999999999999E-2</v>
      </c>
      <c r="H652" s="53" t="s">
        <v>398</v>
      </c>
      <c r="I652" t="s">
        <v>99</v>
      </c>
    </row>
    <row r="653" spans="2:9" x14ac:dyDescent="0.25">
      <c r="C653" s="8" t="s">
        <v>401</v>
      </c>
      <c r="F653" s="52" t="s">
        <v>3</v>
      </c>
      <c r="G653" s="10">
        <f>0.011*1.2*2*1.2</f>
        <v>3.1679999999999993E-2</v>
      </c>
      <c r="H653" t="s">
        <v>399</v>
      </c>
      <c r="I653" t="s">
        <v>99</v>
      </c>
    </row>
    <row r="654" spans="2:9" x14ac:dyDescent="0.25">
      <c r="C654" s="8" t="s">
        <v>12</v>
      </c>
      <c r="F654" s="52" t="s">
        <v>3</v>
      </c>
      <c r="G654" s="10">
        <f>0.3*(G653+G652)</f>
        <v>1.4849999999999995E-2</v>
      </c>
      <c r="H654" t="s">
        <v>400</v>
      </c>
      <c r="I654" t="s">
        <v>99</v>
      </c>
    </row>
    <row r="655" spans="2:9" x14ac:dyDescent="0.25">
      <c r="D655" s="4" t="s">
        <v>402</v>
      </c>
      <c r="F655" s="9"/>
    </row>
    <row r="656" spans="2:9" x14ac:dyDescent="0.25">
      <c r="D656" s="8" t="s">
        <v>39</v>
      </c>
      <c r="F656" s="52" t="s">
        <v>3</v>
      </c>
      <c r="G656" s="10">
        <f>0.012*3.14*2*0.04*1.2</f>
        <v>3.6172800000000005E-3</v>
      </c>
    </row>
    <row r="657" spans="2:7" x14ac:dyDescent="0.25">
      <c r="D657" s="8" t="s">
        <v>40</v>
      </c>
      <c r="F657" s="52" t="s">
        <v>3</v>
      </c>
      <c r="G657" s="10">
        <f>1.5*G656</f>
        <v>5.4259200000000007E-3</v>
      </c>
    </row>
    <row r="658" spans="2:7" x14ac:dyDescent="0.25">
      <c r="E658" s="4" t="s">
        <v>403</v>
      </c>
      <c r="F658" s="9"/>
    </row>
    <row r="659" spans="2:7" x14ac:dyDescent="0.25">
      <c r="E659" t="s">
        <v>404</v>
      </c>
      <c r="F659" s="52" t="s">
        <v>3</v>
      </c>
      <c r="G659" s="10">
        <v>0.83</v>
      </c>
    </row>
    <row r="660" spans="2:7" x14ac:dyDescent="0.25">
      <c r="D660" s="4" t="s">
        <v>393</v>
      </c>
      <c r="F660" s="9"/>
    </row>
    <row r="661" spans="2:7" x14ac:dyDescent="0.25">
      <c r="D661" t="s">
        <v>395</v>
      </c>
      <c r="F661" s="52" t="s">
        <v>3</v>
      </c>
      <c r="G661" s="10">
        <f>0.035/2</f>
        <v>1.7500000000000002E-2</v>
      </c>
    </row>
    <row r="662" spans="2:7" x14ac:dyDescent="0.25">
      <c r="F662" s="9"/>
    </row>
    <row r="663" spans="2:7" x14ac:dyDescent="0.25">
      <c r="B663" s="18">
        <v>137</v>
      </c>
      <c r="C663" s="3" t="s">
        <v>405</v>
      </c>
      <c r="F663" s="9"/>
    </row>
    <row r="664" spans="2:7" x14ac:dyDescent="0.25">
      <c r="D664" s="4" t="s">
        <v>406</v>
      </c>
      <c r="F664" s="9"/>
    </row>
    <row r="665" spans="2:7" x14ac:dyDescent="0.25">
      <c r="D665" t="s">
        <v>51</v>
      </c>
      <c r="F665" s="52" t="s">
        <v>3</v>
      </c>
      <c r="G665" s="10">
        <f>0.01*3.14*2*0.08*1.2</f>
        <v>6.0288000000000008E-3</v>
      </c>
    </row>
    <row r="666" spans="2:7" ht="17.25" x14ac:dyDescent="0.25">
      <c r="D666" t="s">
        <v>52</v>
      </c>
      <c r="F666" s="173" t="s">
        <v>596</v>
      </c>
      <c r="G666" s="10">
        <f>G665*2</f>
        <v>1.2057600000000002E-2</v>
      </c>
    </row>
    <row r="667" spans="2:7" x14ac:dyDescent="0.25">
      <c r="D667" t="s">
        <v>24</v>
      </c>
      <c r="F667" s="52" t="s">
        <v>3</v>
      </c>
      <c r="G667" s="10">
        <f>G665/4</f>
        <v>1.5072000000000002E-3</v>
      </c>
    </row>
    <row r="668" spans="2:7" x14ac:dyDescent="0.25">
      <c r="D668" t="s">
        <v>143</v>
      </c>
      <c r="F668" s="52" t="s">
        <v>3</v>
      </c>
      <c r="G668" s="10">
        <f>0.003*2</f>
        <v>6.0000000000000001E-3</v>
      </c>
    </row>
    <row r="669" spans="2:7" x14ac:dyDescent="0.25">
      <c r="D669" t="s">
        <v>147</v>
      </c>
      <c r="F669" s="52" t="s">
        <v>3</v>
      </c>
      <c r="G669" s="10">
        <f>0.3*G668</f>
        <v>1.8E-3</v>
      </c>
    </row>
    <row r="670" spans="2:7" x14ac:dyDescent="0.25">
      <c r="D670" t="s">
        <v>8</v>
      </c>
      <c r="F670" s="52" t="s">
        <v>3</v>
      </c>
      <c r="G670" s="10">
        <v>6.0000000000000001E-3</v>
      </c>
    </row>
    <row r="671" spans="2:7" x14ac:dyDescent="0.25">
      <c r="D671" t="s">
        <v>15</v>
      </c>
      <c r="F671" s="52" t="s">
        <v>3</v>
      </c>
      <c r="G671" s="10">
        <f>0.011*0.1*2*1.2+0.006</f>
        <v>8.6400000000000001E-3</v>
      </c>
    </row>
    <row r="672" spans="2:7" x14ac:dyDescent="0.25">
      <c r="D672" t="s">
        <v>12</v>
      </c>
      <c r="F672" s="52" t="s">
        <v>3</v>
      </c>
      <c r="G672" s="10">
        <f>0.3*(G671+G670)</f>
        <v>4.3920000000000001E-3</v>
      </c>
    </row>
    <row r="673" spans="2:8" x14ac:dyDescent="0.25">
      <c r="E673" s="4" t="s">
        <v>407</v>
      </c>
      <c r="F673" s="9"/>
    </row>
    <row r="674" spans="2:8" x14ac:dyDescent="0.25">
      <c r="E674" t="s">
        <v>408</v>
      </c>
      <c r="F674" s="52" t="s">
        <v>3</v>
      </c>
      <c r="G674" s="10">
        <v>4.3999999999999997E-2</v>
      </c>
    </row>
    <row r="675" spans="2:8" x14ac:dyDescent="0.25">
      <c r="F675" s="9"/>
    </row>
    <row r="676" spans="2:8" x14ac:dyDescent="0.25">
      <c r="B676" s="18">
        <v>138</v>
      </c>
      <c r="C676" s="3" t="s">
        <v>409</v>
      </c>
      <c r="F676" s="9"/>
    </row>
    <row r="677" spans="2:8" x14ac:dyDescent="0.25">
      <c r="C677" t="s">
        <v>410</v>
      </c>
      <c r="F677" s="52" t="s">
        <v>3</v>
      </c>
      <c r="G677" s="10">
        <f>0.24*0.17*5*2.7*1.08</f>
        <v>0.59486400000000006</v>
      </c>
      <c r="H677" s="10"/>
    </row>
    <row r="678" spans="2:8" x14ac:dyDescent="0.25">
      <c r="F678" s="9"/>
    </row>
    <row r="679" spans="2:8" x14ac:dyDescent="0.25">
      <c r="B679" s="18">
        <v>141</v>
      </c>
      <c r="C679" s="3" t="s">
        <v>411</v>
      </c>
      <c r="F679" s="9"/>
    </row>
    <row r="680" spans="2:8" x14ac:dyDescent="0.25">
      <c r="C680" t="s">
        <v>412</v>
      </c>
      <c r="F680" s="52" t="s">
        <v>3</v>
      </c>
      <c r="G680" s="10">
        <f>0.072*0.04*2*8*1.08</f>
        <v>4.9766400000000002E-2</v>
      </c>
    </row>
    <row r="681" spans="2:8" x14ac:dyDescent="0.25">
      <c r="F681" s="9"/>
    </row>
    <row r="682" spans="2:8" x14ac:dyDescent="0.25">
      <c r="B682" s="18">
        <v>142</v>
      </c>
      <c r="C682" s="3" t="s">
        <v>413</v>
      </c>
      <c r="F682" s="9"/>
    </row>
    <row r="683" spans="2:8" x14ac:dyDescent="0.25">
      <c r="D683" s="4" t="s">
        <v>414</v>
      </c>
      <c r="F683" s="9"/>
    </row>
    <row r="684" spans="2:8" x14ac:dyDescent="0.25">
      <c r="D684" t="s">
        <v>415</v>
      </c>
      <c r="F684" s="52" t="s">
        <v>3</v>
      </c>
      <c r="G684" s="10">
        <f>0.21*0.009*1.5*8*1.05</f>
        <v>2.3813999999999998E-2</v>
      </c>
    </row>
    <row r="685" spans="2:8" x14ac:dyDescent="0.25">
      <c r="D685" t="s">
        <v>8</v>
      </c>
      <c r="F685" s="52" t="s">
        <v>3</v>
      </c>
      <c r="G685" s="10">
        <v>2E-3</v>
      </c>
    </row>
    <row r="686" spans="2:8" x14ac:dyDescent="0.25">
      <c r="D686" t="s">
        <v>15</v>
      </c>
      <c r="F686" s="52" t="s">
        <v>3</v>
      </c>
      <c r="G686" s="10">
        <f>0.011*0.13*2*1.3</f>
        <v>3.7180000000000004E-3</v>
      </c>
    </row>
    <row r="687" spans="2:8" x14ac:dyDescent="0.25">
      <c r="D687" t="s">
        <v>12</v>
      </c>
      <c r="F687" s="52" t="s">
        <v>3</v>
      </c>
      <c r="G687" s="10">
        <f>0.3*(G686+G685)</f>
        <v>1.7154000000000002E-3</v>
      </c>
    </row>
    <row r="688" spans="2:8" x14ac:dyDescent="0.25">
      <c r="F688" s="9"/>
    </row>
    <row r="689" spans="2:7" x14ac:dyDescent="0.25">
      <c r="B689" s="18">
        <v>143</v>
      </c>
      <c r="C689" s="3" t="s">
        <v>416</v>
      </c>
      <c r="F689" s="9"/>
    </row>
    <row r="690" spans="2:7" x14ac:dyDescent="0.25">
      <c r="C690" s="8" t="s">
        <v>39</v>
      </c>
      <c r="F690" s="52" t="s">
        <v>3</v>
      </c>
      <c r="G690" s="10">
        <f>0.024*0.04*1.2</f>
        <v>1.152E-3</v>
      </c>
    </row>
    <row r="691" spans="2:7" x14ac:dyDescent="0.25">
      <c r="C691" s="8" t="s">
        <v>40</v>
      </c>
      <c r="F691" s="52" t="s">
        <v>3</v>
      </c>
      <c r="G691" s="10">
        <f>1.5*G690</f>
        <v>1.7279999999999999E-3</v>
      </c>
    </row>
    <row r="692" spans="2:7" x14ac:dyDescent="0.25">
      <c r="D692" s="4" t="s">
        <v>417</v>
      </c>
      <c r="F692" s="9"/>
    </row>
    <row r="693" spans="2:7" x14ac:dyDescent="0.25">
      <c r="D693" t="s">
        <v>412</v>
      </c>
      <c r="F693" s="52" t="s">
        <v>3</v>
      </c>
      <c r="G693" s="10">
        <f>0.065*0.012*2*8*1.05</f>
        <v>1.3104000000000003E-2</v>
      </c>
    </row>
    <row r="694" spans="2:7" x14ac:dyDescent="0.25">
      <c r="D694" s="4" t="s">
        <v>418</v>
      </c>
      <c r="F694" s="9"/>
    </row>
    <row r="695" spans="2:7" x14ac:dyDescent="0.25">
      <c r="D695" t="s">
        <v>412</v>
      </c>
      <c r="F695" s="52" t="s">
        <v>3</v>
      </c>
      <c r="G695" s="10">
        <f>0.1*0.012*2*8</f>
        <v>1.9200000000000002E-2</v>
      </c>
    </row>
    <row r="696" spans="2:7" x14ac:dyDescent="0.25">
      <c r="F696" s="9"/>
    </row>
    <row r="697" spans="2:7" x14ac:dyDescent="0.25">
      <c r="B697" s="18">
        <v>144</v>
      </c>
      <c r="C697" s="3" t="s">
        <v>419</v>
      </c>
      <c r="F697" s="9"/>
    </row>
    <row r="698" spans="2:7" x14ac:dyDescent="0.25">
      <c r="C698" t="s">
        <v>150</v>
      </c>
      <c r="F698" s="52" t="s">
        <v>3</v>
      </c>
      <c r="G698" s="10">
        <f>0.146*0.09*2*8*1.05</f>
        <v>0.220752</v>
      </c>
    </row>
    <row r="699" spans="2:7" x14ac:dyDescent="0.25">
      <c r="C699" t="s">
        <v>420</v>
      </c>
      <c r="F699" s="52" t="s">
        <v>3</v>
      </c>
      <c r="G699" s="10">
        <v>1E-3</v>
      </c>
    </row>
    <row r="700" spans="2:7" x14ac:dyDescent="0.25">
      <c r="F700" s="9"/>
    </row>
    <row r="701" spans="2:7" x14ac:dyDescent="0.25">
      <c r="B701" s="18">
        <v>145</v>
      </c>
      <c r="C701" s="3" t="s">
        <v>421</v>
      </c>
      <c r="F701" s="9"/>
    </row>
    <row r="702" spans="2:7" x14ac:dyDescent="0.25">
      <c r="C702" s="8" t="s">
        <v>39</v>
      </c>
      <c r="F702" s="52" t="s">
        <v>3</v>
      </c>
      <c r="G702" s="10">
        <f>(0.032+0.02*3.14+0.04)*0.04*1.2</f>
        <v>6.4704000000000003E-3</v>
      </c>
    </row>
    <row r="703" spans="2:7" x14ac:dyDescent="0.25">
      <c r="C703" s="8" t="s">
        <v>40</v>
      </c>
      <c r="F703" s="52" t="s">
        <v>3</v>
      </c>
      <c r="G703" s="10">
        <f>1.5*G702</f>
        <v>9.7056E-3</v>
      </c>
    </row>
    <row r="704" spans="2:7" x14ac:dyDescent="0.25">
      <c r="C704" t="s">
        <v>8</v>
      </c>
      <c r="F704" s="52" t="s">
        <v>3</v>
      </c>
      <c r="G704" s="10">
        <v>7.0000000000000001E-3</v>
      </c>
    </row>
    <row r="705" spans="2:9" x14ac:dyDescent="0.25">
      <c r="C705" t="s">
        <v>12</v>
      </c>
      <c r="F705" s="52" t="s">
        <v>3</v>
      </c>
      <c r="G705" s="10">
        <f>0.3*G704</f>
        <v>2.0999999999999999E-3</v>
      </c>
    </row>
    <row r="706" spans="2:9" x14ac:dyDescent="0.25">
      <c r="C706" t="s">
        <v>72</v>
      </c>
      <c r="F706" s="52" t="s">
        <v>3</v>
      </c>
      <c r="G706" s="10">
        <v>0.01</v>
      </c>
    </row>
    <row r="707" spans="2:9" x14ac:dyDescent="0.25">
      <c r="C707" t="s">
        <v>11</v>
      </c>
      <c r="F707" s="52" t="s">
        <v>3</v>
      </c>
      <c r="G707" s="10">
        <f>0.3*G706</f>
        <v>3.0000000000000001E-3</v>
      </c>
      <c r="I707">
        <f>0.95*0.6*2*0.15*2*1.3</f>
        <v>0.4446</v>
      </c>
    </row>
    <row r="708" spans="2:9" x14ac:dyDescent="0.25">
      <c r="D708" s="4" t="s">
        <v>422</v>
      </c>
      <c r="F708" s="9"/>
    </row>
    <row r="709" spans="2:9" x14ac:dyDescent="0.25">
      <c r="D709" s="8" t="s">
        <v>39</v>
      </c>
      <c r="F709" s="52" t="s">
        <v>3</v>
      </c>
      <c r="G709" s="10">
        <f>(0.03+0.13)*0.04*1.2</f>
        <v>7.6800000000000002E-3</v>
      </c>
    </row>
    <row r="710" spans="2:9" x14ac:dyDescent="0.25">
      <c r="D710" s="8" t="s">
        <v>40</v>
      </c>
      <c r="F710" s="52" t="s">
        <v>3</v>
      </c>
      <c r="G710" s="10">
        <f>1.5*G709</f>
        <v>1.1520000000000001E-2</v>
      </c>
    </row>
    <row r="711" spans="2:9" x14ac:dyDescent="0.25">
      <c r="D711" s="8" t="s">
        <v>423</v>
      </c>
      <c r="F711" s="52" t="s">
        <v>3</v>
      </c>
      <c r="G711" s="10">
        <f>0.12*0.028*2*8*1.05+0.023*0.05*2*8*1.05</f>
        <v>7.5768000000000002E-2</v>
      </c>
    </row>
    <row r="712" spans="2:9" x14ac:dyDescent="0.25">
      <c r="D712" s="54" t="s">
        <v>424</v>
      </c>
      <c r="F712" s="9"/>
    </row>
    <row r="713" spans="2:9" x14ac:dyDescent="0.25">
      <c r="D713" s="8" t="s">
        <v>423</v>
      </c>
      <c r="F713" s="52" t="s">
        <v>3</v>
      </c>
      <c r="G713" s="10">
        <f>0.085*3.14*0.013*2*8*1.08</f>
        <v>5.9956416000000005E-2</v>
      </c>
    </row>
    <row r="714" spans="2:9" x14ac:dyDescent="0.25">
      <c r="D714" s="16" t="s">
        <v>425</v>
      </c>
      <c r="F714" s="9"/>
    </row>
    <row r="715" spans="2:9" x14ac:dyDescent="0.25">
      <c r="D715" s="8" t="s">
        <v>426</v>
      </c>
      <c r="F715" s="52" t="s">
        <v>3</v>
      </c>
      <c r="G715" s="10">
        <v>4.0000000000000001E-3</v>
      </c>
    </row>
    <row r="716" spans="2:9" x14ac:dyDescent="0.25">
      <c r="F716" s="9"/>
    </row>
    <row r="717" spans="2:9" x14ac:dyDescent="0.25">
      <c r="B717" s="18">
        <v>146</v>
      </c>
      <c r="C717" s="3" t="s">
        <v>427</v>
      </c>
      <c r="F717" s="9"/>
      <c r="H717" t="s">
        <v>431</v>
      </c>
    </row>
    <row r="718" spans="2:9" x14ac:dyDescent="0.25">
      <c r="B718" s="18" t="s">
        <v>428</v>
      </c>
      <c r="C718" t="s">
        <v>37</v>
      </c>
      <c r="F718" s="52" t="s">
        <v>3</v>
      </c>
      <c r="G718" s="10">
        <f>0.032*0.012*0.2*1.3</f>
        <v>9.984000000000002E-5</v>
      </c>
    </row>
    <row r="719" spans="2:9" x14ac:dyDescent="0.25">
      <c r="D719" s="4" t="s">
        <v>429</v>
      </c>
      <c r="F719" s="9"/>
    </row>
    <row r="720" spans="2:9" x14ac:dyDescent="0.25">
      <c r="D720" t="s">
        <v>430</v>
      </c>
      <c r="F720" s="52" t="s">
        <v>3</v>
      </c>
      <c r="G720" s="10">
        <f>0.07*0.012*2.5*8*1.1</f>
        <v>1.8480000000000003E-2</v>
      </c>
    </row>
    <row r="721" spans="2:7" x14ac:dyDescent="0.25">
      <c r="F721" s="9"/>
    </row>
    <row r="722" spans="2:7" x14ac:dyDescent="0.25">
      <c r="B722" s="18">
        <v>147</v>
      </c>
      <c r="C722" s="3" t="s">
        <v>432</v>
      </c>
      <c r="F722" s="9"/>
    </row>
    <row r="723" spans="2:7" x14ac:dyDescent="0.25">
      <c r="C723" t="s">
        <v>433</v>
      </c>
      <c r="F723" s="52" t="s">
        <v>3</v>
      </c>
      <c r="G723" s="10">
        <f>0.095*0.055*2*2.7*1.03</f>
        <v>2.9061450000000006E-2</v>
      </c>
    </row>
    <row r="724" spans="2:7" x14ac:dyDescent="0.25">
      <c r="F724" s="9"/>
    </row>
    <row r="725" spans="2:7" x14ac:dyDescent="0.25">
      <c r="B725" s="18">
        <v>148</v>
      </c>
      <c r="C725" s="3" t="s">
        <v>434</v>
      </c>
      <c r="F725" s="9"/>
    </row>
    <row r="726" spans="2:7" x14ac:dyDescent="0.25">
      <c r="C726" s="8" t="s">
        <v>39</v>
      </c>
      <c r="F726" s="52" t="s">
        <v>3</v>
      </c>
      <c r="G726" s="10">
        <f>0.06*0.04*1.2</f>
        <v>2.8799999999999997E-3</v>
      </c>
    </row>
    <row r="727" spans="2:7" x14ac:dyDescent="0.25">
      <c r="C727" s="8" t="s">
        <v>40</v>
      </c>
      <c r="F727" s="52" t="s">
        <v>3</v>
      </c>
      <c r="G727" s="10">
        <f>1.5*G726</f>
        <v>4.3199999999999992E-3</v>
      </c>
    </row>
    <row r="728" spans="2:7" x14ac:dyDescent="0.25">
      <c r="C728" t="s">
        <v>8</v>
      </c>
      <c r="F728" s="52" t="s">
        <v>3</v>
      </c>
      <c r="G728" s="10">
        <f>0.23*0.18*0.15*2*1.3</f>
        <v>1.6146000000000001E-2</v>
      </c>
    </row>
    <row r="729" spans="2:7" x14ac:dyDescent="0.25">
      <c r="C729" t="s">
        <v>15</v>
      </c>
      <c r="F729" s="52" t="s">
        <v>3</v>
      </c>
      <c r="G729" s="10">
        <f>0.23*0.18*2*0.15*2</f>
        <v>2.4839999999999997E-2</v>
      </c>
    </row>
    <row r="730" spans="2:7" x14ac:dyDescent="0.25">
      <c r="C730" t="s">
        <v>12</v>
      </c>
      <c r="F730" s="52" t="s">
        <v>3</v>
      </c>
      <c r="G730" s="10">
        <f>0.3*(G729+G726)</f>
        <v>8.3159999999999987E-3</v>
      </c>
    </row>
    <row r="731" spans="2:7" x14ac:dyDescent="0.25">
      <c r="D731" s="4" t="s">
        <v>436</v>
      </c>
      <c r="F731" s="9"/>
    </row>
    <row r="732" spans="2:7" x14ac:dyDescent="0.25">
      <c r="D732" s="8" t="s">
        <v>39</v>
      </c>
      <c r="F732" s="52" t="s">
        <v>3</v>
      </c>
      <c r="G732" s="10">
        <f>0.072*0.04*1.2</f>
        <v>3.4559999999999994E-3</v>
      </c>
    </row>
    <row r="733" spans="2:7" x14ac:dyDescent="0.25">
      <c r="D733" s="8" t="s">
        <v>40</v>
      </c>
      <c r="F733" s="52" t="s">
        <v>3</v>
      </c>
      <c r="G733" s="10">
        <f>1.5*G732</f>
        <v>5.1839999999999994E-3</v>
      </c>
    </row>
    <row r="734" spans="2:7" x14ac:dyDescent="0.25">
      <c r="E734" s="4" t="s">
        <v>437</v>
      </c>
      <c r="F734" s="9"/>
    </row>
    <row r="735" spans="2:7" x14ac:dyDescent="0.25">
      <c r="E735" s="21" t="s">
        <v>300</v>
      </c>
      <c r="F735" s="52" t="s">
        <v>3</v>
      </c>
      <c r="G735" s="10">
        <f>0.084*0.03*3*8*1.05</f>
        <v>6.3504000000000005E-2</v>
      </c>
    </row>
    <row r="736" spans="2:7" x14ac:dyDescent="0.25">
      <c r="E736" s="4" t="s">
        <v>438</v>
      </c>
      <c r="F736" s="9"/>
    </row>
    <row r="737" spans="2:8" x14ac:dyDescent="0.25">
      <c r="E737" t="s">
        <v>55</v>
      </c>
      <c r="F737" s="52" t="s">
        <v>3</v>
      </c>
      <c r="G737" s="10">
        <f>0.025*0.06*3*8*1.05</f>
        <v>3.7800000000000007E-2</v>
      </c>
    </row>
    <row r="738" spans="2:8" x14ac:dyDescent="0.25">
      <c r="D738" s="4" t="s">
        <v>435</v>
      </c>
      <c r="F738" s="9"/>
    </row>
    <row r="739" spans="2:8" x14ac:dyDescent="0.25">
      <c r="D739" t="s">
        <v>300</v>
      </c>
      <c r="F739" s="52" t="s">
        <v>3</v>
      </c>
      <c r="G739" s="10">
        <f>0.245*0.19*3*8*1.08</f>
        <v>1.2065760000000001</v>
      </c>
    </row>
    <row r="740" spans="2:8" x14ac:dyDescent="0.25">
      <c r="F740" s="9"/>
    </row>
    <row r="741" spans="2:8" x14ac:dyDescent="0.25">
      <c r="B741" s="18">
        <v>149</v>
      </c>
      <c r="C741" s="3" t="s">
        <v>439</v>
      </c>
      <c r="F741" s="9"/>
    </row>
    <row r="742" spans="2:8" x14ac:dyDescent="0.25">
      <c r="C742" t="s">
        <v>8</v>
      </c>
      <c r="F742" s="52" t="s">
        <v>3</v>
      </c>
      <c r="G742" s="10">
        <v>2E-3</v>
      </c>
    </row>
    <row r="743" spans="2:8" x14ac:dyDescent="0.25">
      <c r="C743" t="s">
        <v>15</v>
      </c>
      <c r="F743" s="52" t="s">
        <v>3</v>
      </c>
      <c r="G743" s="10">
        <f>0.045*0.04*2*0.15*2*1.5</f>
        <v>1.6199999999999999E-3</v>
      </c>
    </row>
    <row r="744" spans="2:8" x14ac:dyDescent="0.25">
      <c r="C744" t="s">
        <v>12</v>
      </c>
      <c r="F744" s="52" t="s">
        <v>3</v>
      </c>
      <c r="G744" s="10">
        <f>0.3*(G743+G742)</f>
        <v>1.0859999999999999E-3</v>
      </c>
    </row>
    <row r="745" spans="2:8" x14ac:dyDescent="0.25">
      <c r="C745" t="s">
        <v>177</v>
      </c>
      <c r="F745" s="52" t="s">
        <v>3</v>
      </c>
      <c r="G745" s="10">
        <f>0.06*0.04*1*8*1.03</f>
        <v>1.9775999999999998E-2</v>
      </c>
    </row>
    <row r="746" spans="2:8" x14ac:dyDescent="0.25">
      <c r="F746" s="52"/>
    </row>
    <row r="747" spans="2:8" x14ac:dyDescent="0.25">
      <c r="C747" s="56"/>
      <c r="D747" s="56"/>
      <c r="E747" s="56"/>
      <c r="F747" s="57"/>
      <c r="G747" s="58"/>
      <c r="H747" s="56"/>
    </row>
    <row r="748" spans="2:8" x14ac:dyDescent="0.25">
      <c r="C748" s="56"/>
      <c r="D748" s="56"/>
      <c r="E748" s="55">
        <v>2016</v>
      </c>
      <c r="F748" s="57"/>
      <c r="G748" s="58"/>
      <c r="H748" s="56"/>
    </row>
    <row r="749" spans="2:8" x14ac:dyDescent="0.25">
      <c r="C749" s="56"/>
      <c r="D749" s="56"/>
      <c r="E749" s="56"/>
      <c r="F749" s="57"/>
      <c r="G749" s="58"/>
      <c r="H749" s="56"/>
    </row>
    <row r="750" spans="2:8" x14ac:dyDescent="0.25">
      <c r="F750" s="9"/>
    </row>
    <row r="751" spans="2:8" x14ac:dyDescent="0.25">
      <c r="C751" s="3" t="s">
        <v>304</v>
      </c>
      <c r="F751" s="9"/>
    </row>
    <row r="752" spans="2:8" x14ac:dyDescent="0.25">
      <c r="C752" s="8" t="s">
        <v>39</v>
      </c>
      <c r="F752" s="39" t="s">
        <v>3</v>
      </c>
      <c r="G752" s="10">
        <f>0.22*0.04*1.2</f>
        <v>1.056E-2</v>
      </c>
    </row>
    <row r="753" spans="3:7" x14ac:dyDescent="0.25">
      <c r="C753" s="8" t="s">
        <v>40</v>
      </c>
      <c r="F753" s="39" t="s">
        <v>3</v>
      </c>
      <c r="G753" s="10">
        <f>1.5*G752</f>
        <v>1.584E-2</v>
      </c>
    </row>
    <row r="754" spans="3:7" x14ac:dyDescent="0.25">
      <c r="C754" s="26" t="s">
        <v>296</v>
      </c>
      <c r="D754" s="26"/>
      <c r="E754" s="26"/>
      <c r="F754" s="39" t="s">
        <v>3</v>
      </c>
    </row>
    <row r="755" spans="3:7" x14ac:dyDescent="0.25">
      <c r="D755" s="4" t="s">
        <v>297</v>
      </c>
      <c r="F755" s="9"/>
    </row>
    <row r="756" spans="3:7" x14ac:dyDescent="0.25">
      <c r="D756" t="s">
        <v>298</v>
      </c>
      <c r="F756" s="39" t="s">
        <v>3</v>
      </c>
      <c r="G756" s="10">
        <f>0.06*0.02*0.75*8*1.1</f>
        <v>7.92E-3</v>
      </c>
    </row>
    <row r="757" spans="3:7" x14ac:dyDescent="0.25">
      <c r="D757" s="4" t="s">
        <v>299</v>
      </c>
      <c r="F757" s="9"/>
    </row>
    <row r="758" spans="3:7" x14ac:dyDescent="0.25">
      <c r="D758" t="s">
        <v>300</v>
      </c>
      <c r="F758" s="39" t="s">
        <v>3</v>
      </c>
      <c r="G758" s="10">
        <f>0.31*0.02*3*8*1.05</f>
        <v>0.15623999999999999</v>
      </c>
    </row>
    <row r="759" spans="3:7" x14ac:dyDescent="0.25">
      <c r="D759" s="4" t="s">
        <v>299</v>
      </c>
      <c r="F759" s="9"/>
    </row>
    <row r="760" spans="3:7" x14ac:dyDescent="0.25">
      <c r="D760" t="s">
        <v>300</v>
      </c>
      <c r="F760" s="39" t="s">
        <v>3</v>
      </c>
      <c r="G760" s="10">
        <f>0.065*0.02*3*8*1.03</f>
        <v>3.2136000000000005E-2</v>
      </c>
    </row>
    <row r="761" spans="3:7" x14ac:dyDescent="0.25">
      <c r="D761" s="4" t="s">
        <v>301</v>
      </c>
      <c r="F761" s="9"/>
    </row>
    <row r="762" spans="3:7" x14ac:dyDescent="0.25">
      <c r="D762" t="s">
        <v>302</v>
      </c>
      <c r="F762" s="39" t="s">
        <v>3</v>
      </c>
      <c r="G762" s="10">
        <v>6.0000000000000001E-3</v>
      </c>
    </row>
    <row r="763" spans="3:7" x14ac:dyDescent="0.25">
      <c r="D763" s="4" t="s">
        <v>303</v>
      </c>
      <c r="F763" s="9"/>
    </row>
    <row r="764" spans="3:7" x14ac:dyDescent="0.25">
      <c r="D764" t="s">
        <v>300</v>
      </c>
      <c r="F764" s="39" t="s">
        <v>3</v>
      </c>
      <c r="G764" s="10">
        <f>0.116*0.02*3*8*1.07</f>
        <v>5.9577600000000001E-2</v>
      </c>
    </row>
    <row r="765" spans="3:7" x14ac:dyDescent="0.25">
      <c r="F765" s="9"/>
    </row>
    <row r="766" spans="3:7" x14ac:dyDescent="0.25">
      <c r="C766" s="3" t="s">
        <v>162</v>
      </c>
      <c r="F766" s="9"/>
    </row>
    <row r="767" spans="3:7" x14ac:dyDescent="0.25">
      <c r="C767" t="s">
        <v>167</v>
      </c>
      <c r="F767" s="22" t="s">
        <v>3</v>
      </c>
      <c r="G767" s="10">
        <f>0.016*3.14*2*0.03*1.2</f>
        <v>3.6172799999999996E-3</v>
      </c>
    </row>
    <row r="768" spans="3:7" x14ac:dyDescent="0.25">
      <c r="C768" t="s">
        <v>168</v>
      </c>
      <c r="F768" s="22" t="s">
        <v>3</v>
      </c>
      <c r="G768" s="10">
        <f>1.5*G767</f>
        <v>5.425919999999999E-3</v>
      </c>
    </row>
    <row r="769" spans="2:9" x14ac:dyDescent="0.25">
      <c r="C769" s="8" t="s">
        <v>114</v>
      </c>
      <c r="F769" s="22" t="s">
        <v>3</v>
      </c>
      <c r="G769" s="10">
        <f>(0.265*0.265+0.262*3.14*0.08)*2*0.12*1.2</f>
        <v>3.9179347200000006E-2</v>
      </c>
    </row>
    <row r="770" spans="2:9" x14ac:dyDescent="0.25">
      <c r="C770" s="8" t="s">
        <v>117</v>
      </c>
      <c r="F770" s="22" t="s">
        <v>3</v>
      </c>
      <c r="G770" s="10">
        <f>0.3*G769</f>
        <v>1.1753804160000001E-2</v>
      </c>
    </row>
    <row r="771" spans="2:9" x14ac:dyDescent="0.25">
      <c r="C771" s="8" t="s">
        <v>163</v>
      </c>
      <c r="F771" s="22" t="s">
        <v>3</v>
      </c>
      <c r="G771" s="10">
        <f>(0.265*0.265+0.262*3.14*0.08)*2*0.13*1.2</f>
        <v>4.2444292800000012E-2</v>
      </c>
    </row>
    <row r="772" spans="2:9" x14ac:dyDescent="0.25">
      <c r="C772" s="8" t="s">
        <v>164</v>
      </c>
      <c r="F772" s="22" t="s">
        <v>3</v>
      </c>
      <c r="G772" s="10">
        <f>0.3*G771</f>
        <v>1.2733287840000003E-2</v>
      </c>
    </row>
    <row r="773" spans="2:9" x14ac:dyDescent="0.25">
      <c r="C773" s="8" t="s">
        <v>72</v>
      </c>
      <c r="F773" s="22" t="s">
        <v>3</v>
      </c>
      <c r="G773" s="10">
        <f>(0.265*0.265+0.262*3.14*0.08)*2*0.15*2*1.1</f>
        <v>8.9786004000000016E-2</v>
      </c>
    </row>
    <row r="774" spans="2:9" x14ac:dyDescent="0.25">
      <c r="C774" s="8" t="s">
        <v>11</v>
      </c>
      <c r="F774" s="22" t="s">
        <v>3</v>
      </c>
      <c r="G774" s="10">
        <f>0.3*G773</f>
        <v>2.6935801200000005E-2</v>
      </c>
    </row>
    <row r="775" spans="2:9" x14ac:dyDescent="0.25">
      <c r="D775" s="4" t="s">
        <v>165</v>
      </c>
      <c r="F775" s="9"/>
    </row>
    <row r="776" spans="2:9" x14ac:dyDescent="0.25">
      <c r="D776" t="s">
        <v>166</v>
      </c>
      <c r="E776" s="26"/>
      <c r="F776" s="27" t="s">
        <v>3</v>
      </c>
      <c r="G776" s="28">
        <f>0.47*0.47*2*2.7</f>
        <v>1.19286</v>
      </c>
      <c r="H776" s="29">
        <f>(0.265*0.265+0.262*3.14*0.08)*2*2.7*1.2</f>
        <v>0.88153531200000024</v>
      </c>
    </row>
    <row r="777" spans="2:9" x14ac:dyDescent="0.25">
      <c r="D777" t="s">
        <v>167</v>
      </c>
      <c r="E777" s="26"/>
      <c r="F777" s="27" t="s">
        <v>3</v>
      </c>
      <c r="G777" s="28">
        <f>0.26*3.14*0.03*1.2</f>
        <v>2.9390399999999997E-2</v>
      </c>
      <c r="H777" s="26"/>
      <c r="I777" t="s">
        <v>169</v>
      </c>
    </row>
    <row r="778" spans="2:9" x14ac:dyDescent="0.25">
      <c r="D778" t="s">
        <v>168</v>
      </c>
      <c r="E778" s="26"/>
      <c r="F778" s="27" t="s">
        <v>3</v>
      </c>
      <c r="G778" s="28">
        <f>1.5*G777</f>
        <v>4.4085599999999996E-2</v>
      </c>
      <c r="H778" s="26"/>
    </row>
    <row r="779" spans="2:9" x14ac:dyDescent="0.25">
      <c r="F779" s="9"/>
    </row>
    <row r="780" spans="2:9" x14ac:dyDescent="0.25">
      <c r="C780" s="3" t="s">
        <v>441</v>
      </c>
      <c r="F780" s="9"/>
    </row>
    <row r="781" spans="2:9" x14ac:dyDescent="0.25">
      <c r="D781" t="s">
        <v>14</v>
      </c>
      <c r="F781" s="9"/>
    </row>
    <row r="782" spans="2:9" x14ac:dyDescent="0.25">
      <c r="D782" t="s">
        <v>442</v>
      </c>
      <c r="F782" s="9"/>
    </row>
    <row r="783" spans="2:9" ht="15.75" thickBot="1" x14ac:dyDescent="0.3">
      <c r="F783" s="9"/>
    </row>
    <row r="784" spans="2:9" x14ac:dyDescent="0.25">
      <c r="B784" s="70"/>
      <c r="C784" s="64" t="s">
        <v>503</v>
      </c>
      <c r="D784" s="65"/>
      <c r="E784" s="65"/>
      <c r="F784" s="66"/>
      <c r="G784" s="133" t="s">
        <v>505</v>
      </c>
    </row>
    <row r="785" spans="2:9" ht="15.75" thickBot="1" x14ac:dyDescent="0.3">
      <c r="B785" s="71"/>
      <c r="C785" s="67"/>
      <c r="D785" s="68"/>
      <c r="E785" s="68" t="s">
        <v>504</v>
      </c>
      <c r="F785" s="69"/>
      <c r="G785" s="134" t="s">
        <v>507</v>
      </c>
    </row>
    <row r="786" spans="2:9" x14ac:dyDescent="0.25">
      <c r="B786" s="71"/>
      <c r="C786" s="73"/>
      <c r="D786" s="73"/>
      <c r="E786" s="73"/>
      <c r="F786" s="74"/>
      <c r="G786" s="72"/>
    </row>
    <row r="787" spans="2:9" x14ac:dyDescent="0.25">
      <c r="B787" s="71"/>
      <c r="C787" s="75" t="s">
        <v>529</v>
      </c>
      <c r="D787" s="73"/>
      <c r="E787" s="73"/>
      <c r="F787" s="74"/>
      <c r="G787" s="72"/>
    </row>
    <row r="788" spans="2:9" x14ac:dyDescent="0.25">
      <c r="B788" s="71"/>
      <c r="C788" s="73"/>
      <c r="D788" s="73" t="s">
        <v>443</v>
      </c>
      <c r="E788" s="73"/>
      <c r="F788" s="74" t="s">
        <v>3</v>
      </c>
      <c r="G788" s="72">
        <f>0.46*0.122*4*8*1.0415</f>
        <v>1.8703673600000004</v>
      </c>
    </row>
    <row r="789" spans="2:9" x14ac:dyDescent="0.25">
      <c r="B789" s="71"/>
      <c r="C789" s="73"/>
      <c r="D789" s="73" t="s">
        <v>13</v>
      </c>
      <c r="E789" s="73"/>
      <c r="F789" s="74" t="s">
        <v>3</v>
      </c>
      <c r="G789" s="72">
        <f>0.06</f>
        <v>0.06</v>
      </c>
    </row>
    <row r="790" spans="2:9" x14ac:dyDescent="0.25">
      <c r="B790" s="71"/>
      <c r="C790" s="73"/>
      <c r="D790" s="73" t="s">
        <v>72</v>
      </c>
      <c r="E790" s="73"/>
      <c r="F790" s="74" t="s">
        <v>3</v>
      </c>
      <c r="G790" s="72">
        <v>2.8000000000000001E-2</v>
      </c>
    </row>
    <row r="791" spans="2:9" x14ac:dyDescent="0.25">
      <c r="B791" s="71"/>
      <c r="C791" s="73"/>
      <c r="D791" s="73" t="s">
        <v>8</v>
      </c>
      <c r="E791" s="73"/>
      <c r="F791" s="74" t="s">
        <v>3</v>
      </c>
      <c r="G791" s="72">
        <v>0.02</v>
      </c>
    </row>
    <row r="792" spans="2:9" x14ac:dyDescent="0.25">
      <c r="B792" s="71"/>
      <c r="C792" s="73"/>
      <c r="D792" s="73" t="s">
        <v>444</v>
      </c>
      <c r="E792" s="73"/>
      <c r="F792" s="74" t="s">
        <v>3</v>
      </c>
      <c r="G792" s="72">
        <f>0.3*G790</f>
        <v>8.3999999999999995E-3</v>
      </c>
    </row>
    <row r="793" spans="2:9" x14ac:dyDescent="0.25">
      <c r="B793" s="71"/>
      <c r="C793" s="73"/>
      <c r="D793" s="73" t="s">
        <v>12</v>
      </c>
      <c r="E793" s="73"/>
      <c r="F793" s="74" t="s">
        <v>3</v>
      </c>
      <c r="G793" s="72">
        <f>0.3*G791</f>
        <v>6.0000000000000001E-3</v>
      </c>
    </row>
    <row r="794" spans="2:9" x14ac:dyDescent="0.25">
      <c r="B794" s="71"/>
      <c r="C794" s="73"/>
      <c r="D794" s="73"/>
      <c r="E794" s="73"/>
      <c r="F794" s="74"/>
      <c r="G794" s="72"/>
    </row>
    <row r="795" spans="2:9" x14ac:dyDescent="0.25">
      <c r="B795" s="71"/>
      <c r="C795" s="75" t="s">
        <v>445</v>
      </c>
      <c r="D795" s="73"/>
      <c r="E795" s="73"/>
      <c r="F795" s="74"/>
      <c r="G795" s="72"/>
    </row>
    <row r="796" spans="2:9" x14ac:dyDescent="0.25">
      <c r="B796" s="71"/>
      <c r="C796" s="73"/>
      <c r="D796" s="73" t="s">
        <v>446</v>
      </c>
      <c r="E796" s="73"/>
      <c r="F796" s="74" t="s">
        <v>3</v>
      </c>
      <c r="G796" s="72">
        <f>0.1*0.06*0.036*8*1.05</f>
        <v>1.8144000000000001E-3</v>
      </c>
    </row>
    <row r="797" spans="2:9" x14ac:dyDescent="0.25">
      <c r="B797" s="71"/>
      <c r="C797" s="73"/>
      <c r="D797" s="73"/>
      <c r="E797" s="73"/>
      <c r="F797" s="74"/>
      <c r="G797" s="72"/>
    </row>
    <row r="798" spans="2:9" x14ac:dyDescent="0.25">
      <c r="B798" s="71"/>
      <c r="C798" s="75" t="s">
        <v>447</v>
      </c>
      <c r="D798" s="73"/>
      <c r="E798" s="73"/>
      <c r="F798" s="74"/>
      <c r="G798" s="72"/>
    </row>
    <row r="799" spans="2:9" x14ac:dyDescent="0.25">
      <c r="B799" s="71"/>
      <c r="C799" s="73"/>
      <c r="D799" s="73" t="s">
        <v>448</v>
      </c>
      <c r="E799" s="73"/>
      <c r="F799" s="74" t="s">
        <v>3</v>
      </c>
      <c r="G799" s="72">
        <f>0.005/4</f>
        <v>1.25E-3</v>
      </c>
      <c r="I799" t="s">
        <v>506</v>
      </c>
    </row>
    <row r="800" spans="2:9" x14ac:dyDescent="0.25">
      <c r="B800" s="71"/>
      <c r="C800" s="73"/>
      <c r="D800" s="73"/>
      <c r="E800" s="73"/>
      <c r="F800" s="74"/>
      <c r="G800" s="72"/>
    </row>
    <row r="801" spans="2:9" x14ac:dyDescent="0.25">
      <c r="B801" s="71">
        <v>1</v>
      </c>
      <c r="C801" s="75" t="s">
        <v>449</v>
      </c>
      <c r="D801" s="73"/>
      <c r="E801" s="73"/>
      <c r="F801" s="74"/>
      <c r="G801" s="72"/>
      <c r="I801" s="85"/>
    </row>
    <row r="802" spans="2:9" x14ac:dyDescent="0.25">
      <c r="B802" s="71"/>
      <c r="C802" s="73" t="s">
        <v>484</v>
      </c>
      <c r="D802" s="73"/>
      <c r="E802" s="73"/>
      <c r="F802" s="74" t="s">
        <v>3</v>
      </c>
      <c r="G802" s="72">
        <f>0.04*0.04*1.2</f>
        <v>1.92E-3</v>
      </c>
    </row>
    <row r="803" spans="2:9" x14ac:dyDescent="0.25">
      <c r="B803" s="71"/>
      <c r="C803" s="73" t="s">
        <v>485</v>
      </c>
      <c r="D803" s="73"/>
      <c r="E803" s="73"/>
      <c r="F803" s="74" t="s">
        <v>3</v>
      </c>
      <c r="G803" s="72">
        <f>1.5*G802</f>
        <v>2.8800000000000002E-3</v>
      </c>
    </row>
    <row r="804" spans="2:9" x14ac:dyDescent="0.25">
      <c r="B804" s="71">
        <v>2</v>
      </c>
      <c r="C804" s="75"/>
      <c r="D804" s="76" t="s">
        <v>450</v>
      </c>
      <c r="E804" s="73"/>
      <c r="F804" s="74"/>
      <c r="G804" s="72"/>
    </row>
    <row r="805" spans="2:9" x14ac:dyDescent="0.25">
      <c r="B805" s="71"/>
      <c r="C805" s="75"/>
      <c r="D805" s="73" t="s">
        <v>484</v>
      </c>
      <c r="E805" s="73"/>
      <c r="F805" s="74" t="s">
        <v>3</v>
      </c>
      <c r="G805" s="72">
        <f>0.022*3.14*2*0.04*1.3</f>
        <v>7.1843200000000001E-3</v>
      </c>
    </row>
    <row r="806" spans="2:9" x14ac:dyDescent="0.25">
      <c r="B806" s="71"/>
      <c r="C806" s="75"/>
      <c r="D806" s="73" t="s">
        <v>485</v>
      </c>
      <c r="E806" s="73"/>
      <c r="F806" s="74" t="s">
        <v>3</v>
      </c>
      <c r="G806" s="72">
        <f>1.5*G805</f>
        <v>1.077648E-2</v>
      </c>
    </row>
    <row r="807" spans="2:9" x14ac:dyDescent="0.25">
      <c r="B807" s="71"/>
      <c r="C807" s="75"/>
      <c r="D807" s="73"/>
      <c r="E807" s="76" t="s">
        <v>486</v>
      </c>
      <c r="F807" s="74"/>
      <c r="G807" s="72"/>
    </row>
    <row r="808" spans="2:9" x14ac:dyDescent="0.25">
      <c r="B808" s="71"/>
      <c r="C808" s="75"/>
      <c r="D808" s="73"/>
      <c r="E808" s="73" t="s">
        <v>487</v>
      </c>
      <c r="F808" s="74" t="s">
        <v>3</v>
      </c>
      <c r="G808" s="72">
        <f>0.35*0.08*3*8*1.08</f>
        <v>0.72575999999999996</v>
      </c>
    </row>
    <row r="809" spans="2:9" x14ac:dyDescent="0.25">
      <c r="B809" s="71"/>
      <c r="C809" s="73"/>
      <c r="D809" s="73"/>
      <c r="E809" s="73"/>
      <c r="F809" s="74"/>
      <c r="G809" s="72"/>
    </row>
    <row r="810" spans="2:9" x14ac:dyDescent="0.25">
      <c r="B810" s="71">
        <v>3</v>
      </c>
      <c r="C810" s="75" t="s">
        <v>451</v>
      </c>
      <c r="D810" s="73"/>
      <c r="E810" s="73"/>
      <c r="F810" s="74"/>
      <c r="G810" s="72"/>
    </row>
    <row r="811" spans="2:9" x14ac:dyDescent="0.25">
      <c r="B811" s="71"/>
      <c r="C811" s="73"/>
      <c r="D811" s="73" t="s">
        <v>452</v>
      </c>
      <c r="E811" s="73"/>
      <c r="F811" s="74" t="s">
        <v>3</v>
      </c>
      <c r="G811" s="72">
        <f>0.32*0.04*3*8*1.05</f>
        <v>0.32256000000000007</v>
      </c>
    </row>
    <row r="812" spans="2:9" x14ac:dyDescent="0.25">
      <c r="B812" s="71"/>
      <c r="C812" s="73"/>
      <c r="D812" s="73"/>
      <c r="E812" s="73"/>
      <c r="F812" s="74"/>
      <c r="G812" s="72"/>
    </row>
    <row r="813" spans="2:9" x14ac:dyDescent="0.25">
      <c r="B813" s="71">
        <v>4</v>
      </c>
      <c r="C813" s="75" t="s">
        <v>454</v>
      </c>
      <c r="D813" s="73"/>
      <c r="E813" s="73"/>
      <c r="F813" s="74"/>
      <c r="G813" s="72"/>
    </row>
    <row r="814" spans="2:9" x14ac:dyDescent="0.25">
      <c r="B814" s="71"/>
      <c r="C814" s="73"/>
      <c r="D814" s="73" t="s">
        <v>226</v>
      </c>
      <c r="E814" s="73"/>
      <c r="F814" s="74" t="s">
        <v>3</v>
      </c>
      <c r="G814" s="72">
        <f>0.18*0.08*5*7.95</f>
        <v>0.57240000000000002</v>
      </c>
    </row>
    <row r="815" spans="2:9" x14ac:dyDescent="0.25">
      <c r="B815" s="71"/>
      <c r="C815" s="73"/>
      <c r="D815" s="73"/>
      <c r="E815" s="73"/>
      <c r="F815" s="74"/>
      <c r="G815" s="72"/>
    </row>
    <row r="816" spans="2:9" x14ac:dyDescent="0.25">
      <c r="B816" s="71">
        <v>5</v>
      </c>
      <c r="C816" s="75" t="s">
        <v>453</v>
      </c>
      <c r="D816" s="73"/>
      <c r="E816" s="73"/>
      <c r="F816" s="74"/>
      <c r="G816" s="72"/>
    </row>
    <row r="817" spans="2:12" x14ac:dyDescent="0.25">
      <c r="B817" s="71"/>
      <c r="C817" s="73"/>
      <c r="D817" s="73" t="s">
        <v>226</v>
      </c>
      <c r="E817" s="73"/>
      <c r="F817" s="74" t="s">
        <v>3</v>
      </c>
      <c r="G817" s="72">
        <f>0.175*0.08*5*7.95</f>
        <v>0.55649999999999999</v>
      </c>
    </row>
    <row r="818" spans="2:12" x14ac:dyDescent="0.25">
      <c r="B818" s="71"/>
      <c r="C818" s="73"/>
      <c r="D818" s="73"/>
      <c r="E818" s="73"/>
      <c r="F818" s="74"/>
      <c r="G818" s="72"/>
    </row>
    <row r="819" spans="2:12" x14ac:dyDescent="0.25">
      <c r="B819" s="71">
        <v>6</v>
      </c>
      <c r="C819" s="75" t="s">
        <v>455</v>
      </c>
      <c r="D819" s="73"/>
      <c r="E819" s="73"/>
      <c r="F819" s="74"/>
      <c r="G819" s="72"/>
    </row>
    <row r="820" spans="2:12" x14ac:dyDescent="0.25">
      <c r="B820" s="71"/>
      <c r="C820" s="77" t="s">
        <v>39</v>
      </c>
      <c r="D820" s="73"/>
      <c r="E820" s="73"/>
      <c r="F820" s="74" t="s">
        <v>3</v>
      </c>
      <c r="G820" s="72">
        <f>0.017*3.14*0.04*1.3</f>
        <v>2.7757600000000004E-3</v>
      </c>
    </row>
    <row r="821" spans="2:12" x14ac:dyDescent="0.25">
      <c r="B821" s="71"/>
      <c r="C821" s="77" t="s">
        <v>40</v>
      </c>
      <c r="D821" s="73"/>
      <c r="E821" s="73"/>
      <c r="F821" s="74" t="s">
        <v>3</v>
      </c>
      <c r="G821" s="72">
        <f>1.5*G820</f>
        <v>4.1636400000000006E-3</v>
      </c>
    </row>
    <row r="822" spans="2:12" x14ac:dyDescent="0.25">
      <c r="B822" s="71"/>
      <c r="C822" s="73"/>
      <c r="D822" s="76" t="s">
        <v>457</v>
      </c>
      <c r="E822" s="73"/>
      <c r="F822" s="74"/>
      <c r="G822" s="72"/>
      <c r="I822" t="s">
        <v>456</v>
      </c>
    </row>
    <row r="823" spans="2:12" x14ac:dyDescent="0.25">
      <c r="B823" s="71"/>
      <c r="C823" s="73"/>
      <c r="D823" s="73" t="s">
        <v>458</v>
      </c>
      <c r="E823" s="73"/>
      <c r="F823" s="74" t="s">
        <v>3</v>
      </c>
      <c r="G823" s="72">
        <v>0.64500000000000002</v>
      </c>
    </row>
    <row r="824" spans="2:12" x14ac:dyDescent="0.25">
      <c r="B824" s="71"/>
      <c r="C824" s="73"/>
      <c r="D824" s="73"/>
      <c r="E824" s="73"/>
      <c r="F824" s="74"/>
      <c r="G824" s="72"/>
    </row>
    <row r="825" spans="2:12" x14ac:dyDescent="0.25">
      <c r="B825" s="71">
        <v>7</v>
      </c>
      <c r="C825" s="75" t="s">
        <v>459</v>
      </c>
      <c r="D825" s="73"/>
      <c r="E825" s="73"/>
      <c r="F825" s="74"/>
      <c r="G825" s="72"/>
    </row>
    <row r="826" spans="2:12" x14ac:dyDescent="0.25">
      <c r="B826" s="71"/>
      <c r="C826" s="77" t="s">
        <v>39</v>
      </c>
      <c r="D826" s="73"/>
      <c r="E826" s="73"/>
      <c r="F826" s="74" t="s">
        <v>3</v>
      </c>
      <c r="G826" s="72">
        <f>0.022*3.14*0.04*1.3</f>
        <v>3.5921600000000001E-3</v>
      </c>
    </row>
    <row r="827" spans="2:12" x14ac:dyDescent="0.25">
      <c r="B827" s="71"/>
      <c r="C827" s="77" t="s">
        <v>40</v>
      </c>
      <c r="D827" s="73"/>
      <c r="E827" s="73"/>
      <c r="F827" s="74" t="s">
        <v>3</v>
      </c>
      <c r="G827" s="72">
        <f>1.5*G826</f>
        <v>5.3882399999999999E-3</v>
      </c>
    </row>
    <row r="828" spans="2:12" x14ac:dyDescent="0.25">
      <c r="B828" s="71"/>
      <c r="C828" s="73"/>
      <c r="D828" s="76" t="s">
        <v>460</v>
      </c>
      <c r="E828" s="73"/>
      <c r="F828" s="74"/>
      <c r="G828" s="72"/>
    </row>
    <row r="829" spans="2:12" x14ac:dyDescent="0.25">
      <c r="B829" s="71"/>
      <c r="C829" s="73"/>
      <c r="D829" s="73" t="s">
        <v>461</v>
      </c>
      <c r="E829" s="73"/>
      <c r="F829" s="74" t="s">
        <v>3</v>
      </c>
      <c r="G829" s="72">
        <v>0.54</v>
      </c>
    </row>
    <row r="830" spans="2:12" x14ac:dyDescent="0.25">
      <c r="B830" s="71"/>
      <c r="C830" s="73"/>
      <c r="D830" s="73"/>
      <c r="E830" s="73"/>
      <c r="F830" s="74"/>
      <c r="G830" s="72"/>
    </row>
    <row r="831" spans="2:12" x14ac:dyDescent="0.25">
      <c r="B831" s="71">
        <v>9</v>
      </c>
      <c r="C831" s="78" t="s">
        <v>462</v>
      </c>
      <c r="D831" s="77"/>
      <c r="E831" s="77"/>
      <c r="F831" s="74"/>
      <c r="G831" s="72"/>
      <c r="H831" s="26" t="s">
        <v>491</v>
      </c>
      <c r="I831" s="26"/>
      <c r="J831" s="30"/>
      <c r="K831" s="27"/>
      <c r="L831" s="26"/>
    </row>
    <row r="832" spans="2:12" x14ac:dyDescent="0.25">
      <c r="B832" s="71"/>
      <c r="C832" s="73"/>
      <c r="D832" s="73" t="s">
        <v>463</v>
      </c>
      <c r="E832" s="73"/>
      <c r="F832" s="74" t="s">
        <v>3</v>
      </c>
      <c r="G832" s="72">
        <f>1.745*0.578*1.5*8*1.09</f>
        <v>13.192618800000002</v>
      </c>
      <c r="H832" s="26" t="s">
        <v>492</v>
      </c>
      <c r="I832" s="26"/>
      <c r="J832" s="30"/>
      <c r="K832" s="27"/>
      <c r="L832" s="26"/>
    </row>
    <row r="833" spans="2:9" x14ac:dyDescent="0.25">
      <c r="B833" s="71"/>
      <c r="C833" s="73"/>
      <c r="D833" s="73"/>
      <c r="E833" s="73"/>
      <c r="F833" s="74"/>
      <c r="G833" s="72"/>
    </row>
    <row r="834" spans="2:9" x14ac:dyDescent="0.25">
      <c r="B834" s="71">
        <v>10</v>
      </c>
      <c r="C834" s="78" t="s">
        <v>464</v>
      </c>
      <c r="D834" s="77"/>
      <c r="E834" s="77"/>
      <c r="F834" s="74"/>
      <c r="G834" s="72"/>
      <c r="I834">
        <f>0.578*2</f>
        <v>1.1559999999999999</v>
      </c>
    </row>
    <row r="835" spans="2:9" x14ac:dyDescent="0.25">
      <c r="B835" s="71"/>
      <c r="C835" s="73"/>
      <c r="D835" s="73" t="s">
        <v>463</v>
      </c>
      <c r="E835" s="73"/>
      <c r="F835" s="74" t="s">
        <v>3</v>
      </c>
      <c r="G835" s="72">
        <f>1.745*0.578*1.5*8*1.09</f>
        <v>13.192618800000002</v>
      </c>
      <c r="I835">
        <v>1.25</v>
      </c>
    </row>
    <row r="836" spans="2:9" x14ac:dyDescent="0.25">
      <c r="B836" s="71"/>
      <c r="C836" s="73"/>
      <c r="D836" s="73"/>
      <c r="E836" s="73"/>
      <c r="F836" s="74"/>
      <c r="G836" s="72"/>
      <c r="I836">
        <f>I835-I834</f>
        <v>9.4000000000000083E-2</v>
      </c>
    </row>
    <row r="837" spans="2:9" x14ac:dyDescent="0.25">
      <c r="B837" s="71">
        <v>12</v>
      </c>
      <c r="C837" s="75" t="s">
        <v>465</v>
      </c>
      <c r="D837" s="73"/>
      <c r="E837" s="73"/>
      <c r="F837" s="74"/>
      <c r="G837" s="72"/>
    </row>
    <row r="838" spans="2:9" x14ac:dyDescent="0.25">
      <c r="B838" s="71"/>
      <c r="C838" s="77" t="s">
        <v>39</v>
      </c>
      <c r="D838" s="73"/>
      <c r="E838" s="73"/>
      <c r="F838" s="74" t="s">
        <v>3</v>
      </c>
      <c r="G838" s="72">
        <v>5.0000000000000001E-3</v>
      </c>
    </row>
    <row r="839" spans="2:9" x14ac:dyDescent="0.25">
      <c r="B839" s="71"/>
      <c r="C839" s="77" t="s">
        <v>40</v>
      </c>
      <c r="D839" s="73"/>
      <c r="E839" s="73"/>
      <c r="F839" s="74" t="s">
        <v>3</v>
      </c>
      <c r="G839" s="72">
        <f>1.5*G838</f>
        <v>7.4999999999999997E-3</v>
      </c>
    </row>
    <row r="840" spans="2:9" x14ac:dyDescent="0.25">
      <c r="B840" s="71"/>
      <c r="C840" s="73"/>
      <c r="D840" s="76" t="s">
        <v>466</v>
      </c>
      <c r="E840" s="73"/>
      <c r="F840" s="74"/>
      <c r="G840" s="72"/>
    </row>
    <row r="841" spans="2:9" x14ac:dyDescent="0.25">
      <c r="B841" s="71"/>
      <c r="C841" s="73"/>
      <c r="D841" s="73" t="s">
        <v>467</v>
      </c>
      <c r="E841" s="73"/>
      <c r="F841" s="74" t="s">
        <v>3</v>
      </c>
      <c r="G841" s="72">
        <f>0.67*0.23*2*8</f>
        <v>2.4656000000000002</v>
      </c>
    </row>
    <row r="842" spans="2:9" x14ac:dyDescent="0.25">
      <c r="B842" s="71"/>
      <c r="C842" s="73"/>
      <c r="D842" s="73"/>
      <c r="E842" s="73"/>
      <c r="F842" s="74"/>
      <c r="G842" s="72"/>
    </row>
    <row r="843" spans="2:9" x14ac:dyDescent="0.25">
      <c r="B843" s="71">
        <v>13</v>
      </c>
      <c r="C843" s="75" t="s">
        <v>468</v>
      </c>
      <c r="D843" s="73"/>
      <c r="E843" s="73"/>
      <c r="F843" s="74"/>
      <c r="G843" s="72"/>
    </row>
    <row r="844" spans="2:9" x14ac:dyDescent="0.25">
      <c r="B844" s="71"/>
      <c r="C844" s="73"/>
      <c r="D844" s="73" t="s">
        <v>488</v>
      </c>
      <c r="E844" s="73"/>
      <c r="F844" s="74" t="s">
        <v>3</v>
      </c>
      <c r="G844" s="72">
        <v>2.8000000000000001E-2</v>
      </c>
    </row>
    <row r="845" spans="2:9" x14ac:dyDescent="0.25">
      <c r="B845" s="71"/>
      <c r="C845" s="73"/>
      <c r="D845" s="73"/>
      <c r="E845" s="73"/>
      <c r="F845" s="74"/>
      <c r="G845" s="72"/>
    </row>
    <row r="846" spans="2:9" x14ac:dyDescent="0.25">
      <c r="B846" s="71">
        <v>14</v>
      </c>
      <c r="C846" s="75" t="s">
        <v>469</v>
      </c>
      <c r="D846" s="73"/>
      <c r="E846" s="73"/>
      <c r="F846" s="74"/>
      <c r="G846" s="72"/>
    </row>
    <row r="847" spans="2:9" x14ac:dyDescent="0.25">
      <c r="B847" s="71"/>
      <c r="C847" s="73"/>
      <c r="D847" s="73" t="s">
        <v>470</v>
      </c>
      <c r="E847" s="73"/>
      <c r="F847" s="74" t="s">
        <v>3</v>
      </c>
      <c r="G847" s="72">
        <f>0.055*0.015*2.5*8*1.05</f>
        <v>1.7325E-2</v>
      </c>
    </row>
    <row r="848" spans="2:9" x14ac:dyDescent="0.25">
      <c r="B848" s="71"/>
      <c r="C848" s="73"/>
      <c r="D848" s="73"/>
      <c r="E848" s="73"/>
      <c r="F848" s="74"/>
      <c r="G848" s="72"/>
    </row>
    <row r="849" spans="2:7" x14ac:dyDescent="0.25">
      <c r="B849" s="71">
        <v>15</v>
      </c>
      <c r="C849" s="78" t="s">
        <v>471</v>
      </c>
      <c r="D849" s="77"/>
      <c r="E849" s="77"/>
      <c r="F849" s="74"/>
      <c r="G849" s="72"/>
    </row>
    <row r="850" spans="2:7" x14ac:dyDescent="0.25">
      <c r="B850" s="71"/>
      <c r="C850" s="73"/>
      <c r="D850" s="73" t="s">
        <v>463</v>
      </c>
      <c r="E850" s="73"/>
      <c r="F850" s="74" t="s">
        <v>3</v>
      </c>
      <c r="G850" s="72">
        <f>1.745*0.578*1.5*8*1.09</f>
        <v>13.192618800000002</v>
      </c>
    </row>
    <row r="851" spans="2:7" x14ac:dyDescent="0.25">
      <c r="B851" s="71"/>
      <c r="C851" s="73"/>
      <c r="D851" s="73"/>
      <c r="E851" s="73"/>
      <c r="F851" s="74"/>
      <c r="G851" s="72"/>
    </row>
    <row r="852" spans="2:7" x14ac:dyDescent="0.25">
      <c r="B852" s="71">
        <v>16</v>
      </c>
      <c r="C852" s="79" t="s">
        <v>472</v>
      </c>
      <c r="D852" s="77"/>
      <c r="E852" s="77"/>
      <c r="F852" s="74"/>
      <c r="G852" s="72"/>
    </row>
    <row r="853" spans="2:7" x14ac:dyDescent="0.25">
      <c r="B853" s="71"/>
      <c r="C853" s="73"/>
      <c r="D853" s="73" t="s">
        <v>463</v>
      </c>
      <c r="E853" s="73"/>
      <c r="F853" s="74" t="s">
        <v>3</v>
      </c>
      <c r="G853" s="72">
        <f>1.745*0.578*1.5*8*1.09</f>
        <v>13.192618800000002</v>
      </c>
    </row>
    <row r="854" spans="2:7" x14ac:dyDescent="0.25">
      <c r="B854" s="71"/>
      <c r="C854" s="73"/>
      <c r="D854" s="73"/>
      <c r="E854" s="73"/>
      <c r="F854" s="74"/>
      <c r="G854" s="72"/>
    </row>
    <row r="855" spans="2:7" x14ac:dyDescent="0.25">
      <c r="B855" s="71">
        <v>17</v>
      </c>
      <c r="C855" s="79" t="s">
        <v>473</v>
      </c>
      <c r="D855" s="77"/>
      <c r="E855" s="77"/>
      <c r="F855" s="74"/>
      <c r="G855" s="72"/>
    </row>
    <row r="856" spans="2:7" x14ac:dyDescent="0.25">
      <c r="B856" s="71"/>
      <c r="C856" s="73"/>
      <c r="D856" s="73" t="s">
        <v>463</v>
      </c>
      <c r="E856" s="73"/>
      <c r="F856" s="74" t="s">
        <v>3</v>
      </c>
      <c r="G856" s="72">
        <f>1.745*0.578*1.5*8*1.09</f>
        <v>13.192618800000002</v>
      </c>
    </row>
    <row r="857" spans="2:7" x14ac:dyDescent="0.25">
      <c r="B857" s="71"/>
      <c r="C857" s="73"/>
      <c r="D857" s="73"/>
      <c r="E857" s="73"/>
      <c r="F857" s="74"/>
      <c r="G857" s="72"/>
    </row>
    <row r="858" spans="2:7" x14ac:dyDescent="0.25">
      <c r="B858" s="71">
        <v>18</v>
      </c>
      <c r="C858" s="75" t="s">
        <v>474</v>
      </c>
      <c r="D858" s="73"/>
      <c r="E858" s="73"/>
      <c r="F858" s="74"/>
      <c r="G858" s="72"/>
    </row>
    <row r="859" spans="2:7" x14ac:dyDescent="0.25">
      <c r="B859" s="71"/>
      <c r="C859" s="73"/>
      <c r="D859" s="73" t="s">
        <v>475</v>
      </c>
      <c r="E859" s="73"/>
      <c r="F859" s="74" t="s">
        <v>3</v>
      </c>
      <c r="G859" s="72">
        <v>0.16500000000000001</v>
      </c>
    </row>
    <row r="860" spans="2:7" x14ac:dyDescent="0.25">
      <c r="B860" s="71"/>
      <c r="C860" s="73"/>
      <c r="D860" s="77" t="s">
        <v>489</v>
      </c>
      <c r="E860" s="77"/>
      <c r="F860" s="74" t="s">
        <v>3</v>
      </c>
      <c r="G860" s="72">
        <f>0.2*0.015*2*1.2</f>
        <v>7.1999999999999998E-3</v>
      </c>
    </row>
    <row r="861" spans="2:7" x14ac:dyDescent="0.25">
      <c r="B861" s="71"/>
      <c r="C861" s="73"/>
      <c r="D861" s="73" t="s">
        <v>490</v>
      </c>
      <c r="E861" s="73"/>
      <c r="F861" s="74" t="s">
        <v>3</v>
      </c>
      <c r="G861" s="72">
        <f>0.3*G860</f>
        <v>2.16E-3</v>
      </c>
    </row>
    <row r="862" spans="2:7" x14ac:dyDescent="0.25">
      <c r="B862" s="71"/>
      <c r="C862" s="73"/>
      <c r="D862" s="73"/>
      <c r="E862" s="73"/>
      <c r="F862" s="74"/>
      <c r="G862" s="72"/>
    </row>
    <row r="863" spans="2:7" x14ac:dyDescent="0.25">
      <c r="B863" s="71">
        <v>19</v>
      </c>
      <c r="C863" s="75" t="s">
        <v>476</v>
      </c>
      <c r="D863" s="73"/>
      <c r="E863" s="73"/>
      <c r="F863" s="74"/>
      <c r="G863" s="72"/>
    </row>
    <row r="864" spans="2:7" x14ac:dyDescent="0.25">
      <c r="B864" s="71"/>
      <c r="C864" s="73"/>
      <c r="D864" s="73" t="s">
        <v>477</v>
      </c>
      <c r="E864" s="73"/>
      <c r="F864" s="74" t="s">
        <v>3</v>
      </c>
      <c r="G864" s="72">
        <f>0.18</f>
        <v>0.18</v>
      </c>
    </row>
    <row r="865" spans="2:11" x14ac:dyDescent="0.25">
      <c r="B865" s="71"/>
      <c r="C865" s="73"/>
      <c r="D865" s="73"/>
      <c r="E865" s="73"/>
      <c r="F865" s="74"/>
      <c r="G865" s="72"/>
    </row>
    <row r="866" spans="2:11" x14ac:dyDescent="0.25">
      <c r="B866" s="71">
        <v>20</v>
      </c>
      <c r="C866" s="75" t="s">
        <v>478</v>
      </c>
      <c r="D866" s="73"/>
      <c r="E866" s="73"/>
      <c r="F866" s="74"/>
      <c r="G866" s="72"/>
    </row>
    <row r="867" spans="2:11" x14ac:dyDescent="0.25">
      <c r="B867" s="71"/>
      <c r="C867" s="73" t="s">
        <v>481</v>
      </c>
      <c r="D867" s="73"/>
      <c r="E867" s="73"/>
      <c r="F867" s="74" t="s">
        <v>3</v>
      </c>
      <c r="G867" s="72">
        <f>0.01*3.14*3*0.08</f>
        <v>7.536000000000001E-3</v>
      </c>
    </row>
    <row r="868" spans="2:11" ht="17.25" x14ac:dyDescent="0.25">
      <c r="B868" s="71"/>
      <c r="C868" s="73" t="s">
        <v>23</v>
      </c>
      <c r="D868" s="73"/>
      <c r="E868" s="73"/>
      <c r="F868" s="173" t="s">
        <v>596</v>
      </c>
      <c r="G868" s="72">
        <f>G867*2</f>
        <v>1.5072000000000002E-2</v>
      </c>
    </row>
    <row r="869" spans="2:11" x14ac:dyDescent="0.25">
      <c r="B869" s="71"/>
      <c r="C869" s="73" t="s">
        <v>24</v>
      </c>
      <c r="D869" s="73"/>
      <c r="E869" s="73"/>
      <c r="F869" s="74" t="s">
        <v>3</v>
      </c>
      <c r="G869" s="72">
        <f>G867/4</f>
        <v>1.8840000000000003E-3</v>
      </c>
    </row>
    <row r="870" spans="2:11" x14ac:dyDescent="0.25">
      <c r="B870" s="71"/>
      <c r="C870" s="73" t="s">
        <v>8</v>
      </c>
      <c r="D870" s="73"/>
      <c r="E870" s="73"/>
      <c r="F870" s="74" t="s">
        <v>3</v>
      </c>
      <c r="G870" s="72">
        <f>0.55*0.011*1.3</f>
        <v>7.8650000000000005E-3</v>
      </c>
    </row>
    <row r="871" spans="2:11" x14ac:dyDescent="0.25">
      <c r="B871" s="71"/>
      <c r="C871" s="73" t="s">
        <v>12</v>
      </c>
      <c r="D871" s="73"/>
      <c r="E871" s="73"/>
      <c r="F871" s="74" t="s">
        <v>3</v>
      </c>
      <c r="G871" s="72">
        <f>0.3*(G870+G874)</f>
        <v>5.4268500000000004E-3</v>
      </c>
    </row>
    <row r="872" spans="2:11" x14ac:dyDescent="0.25">
      <c r="B872" s="71"/>
      <c r="C872" s="73" t="s">
        <v>72</v>
      </c>
      <c r="D872" s="73"/>
      <c r="E872" s="73"/>
      <c r="F872" s="74" t="s">
        <v>3</v>
      </c>
      <c r="G872" s="72">
        <f>0.55*0.0115*1.3*2</f>
        <v>1.6445000000000001E-2</v>
      </c>
    </row>
    <row r="873" spans="2:11" x14ac:dyDescent="0.25">
      <c r="B873" s="71"/>
      <c r="C873" s="73" t="s">
        <v>444</v>
      </c>
      <c r="D873" s="73"/>
      <c r="E873" s="73"/>
      <c r="F873" s="74" t="s">
        <v>3</v>
      </c>
      <c r="G873" s="72">
        <f>0.3*G872</f>
        <v>4.9335000000000004E-3</v>
      </c>
    </row>
    <row r="874" spans="2:11" x14ac:dyDescent="0.25">
      <c r="B874" s="71"/>
      <c r="C874" s="77" t="s">
        <v>143</v>
      </c>
      <c r="D874" s="77"/>
      <c r="E874" s="77"/>
      <c r="F874" s="74" t="s">
        <v>3</v>
      </c>
      <c r="G874" s="72">
        <f>G870*1.3</f>
        <v>1.0224500000000001E-2</v>
      </c>
    </row>
    <row r="875" spans="2:11" x14ac:dyDescent="0.25">
      <c r="B875" s="71"/>
      <c r="C875" s="73"/>
      <c r="D875" s="76" t="s">
        <v>482</v>
      </c>
      <c r="E875" s="73"/>
      <c r="F875" s="74"/>
      <c r="G875" s="72"/>
    </row>
    <row r="876" spans="2:11" s="8" customFormat="1" x14ac:dyDescent="0.25">
      <c r="B876" s="71"/>
      <c r="C876" s="77"/>
      <c r="D876" s="73" t="s">
        <v>480</v>
      </c>
      <c r="E876" s="77"/>
      <c r="F876" s="74" t="s">
        <v>3</v>
      </c>
      <c r="G876" s="80">
        <v>0.13300000000000001</v>
      </c>
      <c r="J876" s="18"/>
      <c r="K876" s="128"/>
    </row>
    <row r="877" spans="2:11" s="8" customFormat="1" x14ac:dyDescent="0.25">
      <c r="B877" s="71"/>
      <c r="C877" s="77"/>
      <c r="D877" s="73"/>
      <c r="E877" s="77"/>
      <c r="F877" s="74"/>
      <c r="G877" s="80"/>
      <c r="J877" s="18"/>
      <c r="K877" s="128"/>
    </row>
    <row r="878" spans="2:11" x14ac:dyDescent="0.25">
      <c r="B878" s="71">
        <v>21</v>
      </c>
      <c r="C878" s="75" t="s">
        <v>479</v>
      </c>
      <c r="D878" s="73"/>
      <c r="E878" s="73"/>
      <c r="F878" s="74"/>
      <c r="G878" s="72"/>
    </row>
    <row r="879" spans="2:11" x14ac:dyDescent="0.25">
      <c r="B879" s="71"/>
      <c r="C879" s="73"/>
      <c r="D879" s="73" t="s">
        <v>461</v>
      </c>
      <c r="E879" s="73"/>
      <c r="F879" s="74" t="s">
        <v>3</v>
      </c>
      <c r="G879" s="72">
        <v>0.44500000000000001</v>
      </c>
      <c r="I879" t="s">
        <v>483</v>
      </c>
    </row>
    <row r="880" spans="2:11" x14ac:dyDescent="0.25">
      <c r="B880" s="71"/>
      <c r="C880" s="73"/>
      <c r="D880" s="77" t="s">
        <v>489</v>
      </c>
      <c r="E880" s="77"/>
      <c r="F880" s="74" t="s">
        <v>3</v>
      </c>
      <c r="G880" s="72">
        <f>0.35*0.025*2*1.1</f>
        <v>1.925E-2</v>
      </c>
    </row>
    <row r="881" spans="2:8" x14ac:dyDescent="0.25">
      <c r="B881" s="71"/>
      <c r="C881" s="73"/>
      <c r="D881" s="73" t="s">
        <v>490</v>
      </c>
      <c r="E881" s="73"/>
      <c r="F881" s="74" t="s">
        <v>3</v>
      </c>
      <c r="G881" s="72">
        <f>0.3*G880</f>
        <v>5.7749999999999998E-3</v>
      </c>
    </row>
    <row r="882" spans="2:8" ht="15.75" thickBot="1" x14ac:dyDescent="0.3">
      <c r="B882" s="81"/>
      <c r="C882" s="68"/>
      <c r="D882" s="68"/>
      <c r="E882" s="68"/>
      <c r="F882" s="82"/>
      <c r="G882" s="83"/>
    </row>
    <row r="883" spans="2:8" x14ac:dyDescent="0.25">
      <c r="C883" s="3"/>
      <c r="E883" s="3"/>
      <c r="F883" s="62"/>
    </row>
    <row r="884" spans="2:8" ht="15.75" thickBot="1" x14ac:dyDescent="0.3">
      <c r="B884" s="86"/>
      <c r="C884" s="68"/>
      <c r="D884" s="68"/>
      <c r="E884" s="87"/>
      <c r="F884" s="88"/>
      <c r="G884" s="89"/>
    </row>
    <row r="885" spans="2:8" x14ac:dyDescent="0.25">
      <c r="B885" s="70"/>
      <c r="C885" s="93" t="s">
        <v>508</v>
      </c>
      <c r="D885" s="93"/>
      <c r="E885" s="94"/>
      <c r="F885" s="95"/>
      <c r="G885" s="90"/>
      <c r="H885" t="s">
        <v>511</v>
      </c>
    </row>
    <row r="886" spans="2:8" x14ac:dyDescent="0.25">
      <c r="B886" s="71"/>
      <c r="C886" s="73"/>
      <c r="D886" s="73" t="s">
        <v>509</v>
      </c>
      <c r="E886" s="96"/>
      <c r="F886" s="97"/>
      <c r="G886" s="72"/>
      <c r="H886" s="84" t="s">
        <v>510</v>
      </c>
    </row>
    <row r="887" spans="2:8" x14ac:dyDescent="0.25">
      <c r="B887" s="71"/>
      <c r="C887" s="73"/>
      <c r="D887" s="73"/>
      <c r="E887" s="96"/>
      <c r="F887" s="97"/>
      <c r="G887" s="72"/>
      <c r="H887" s="92"/>
    </row>
    <row r="888" spans="2:8" x14ac:dyDescent="0.25">
      <c r="B888" s="71"/>
      <c r="C888" s="75" t="s">
        <v>512</v>
      </c>
      <c r="D888" s="73"/>
      <c r="E888" s="98"/>
      <c r="F888" s="99"/>
      <c r="G888" s="72"/>
    </row>
    <row r="889" spans="2:8" x14ac:dyDescent="0.25">
      <c r="B889" s="71"/>
      <c r="C889" s="73"/>
      <c r="D889" s="100" t="s">
        <v>143</v>
      </c>
      <c r="E889" s="96"/>
      <c r="F889" s="74" t="s">
        <v>3</v>
      </c>
      <c r="G889" s="72">
        <v>2.4E-2</v>
      </c>
    </row>
    <row r="890" spans="2:8" x14ac:dyDescent="0.25">
      <c r="B890" s="71"/>
      <c r="C890" s="73"/>
      <c r="D890" s="73" t="s">
        <v>12</v>
      </c>
      <c r="E890" s="101"/>
      <c r="F890" s="74" t="s">
        <v>3</v>
      </c>
      <c r="G890" s="102">
        <f>0.3*G889</f>
        <v>7.1999999999999998E-3</v>
      </c>
    </row>
    <row r="891" spans="2:8" x14ac:dyDescent="0.25">
      <c r="B891" s="71"/>
      <c r="C891" s="73"/>
      <c r="D891" s="100"/>
      <c r="E891" s="100"/>
      <c r="F891" s="103"/>
      <c r="G891" s="102"/>
    </row>
    <row r="892" spans="2:8" x14ac:dyDescent="0.25">
      <c r="B892" s="71"/>
      <c r="C892" s="75" t="s">
        <v>513</v>
      </c>
      <c r="D892" s="100"/>
      <c r="E892" s="100"/>
      <c r="F892" s="103"/>
      <c r="G892" s="102"/>
    </row>
    <row r="893" spans="2:8" x14ac:dyDescent="0.25">
      <c r="B893" s="71"/>
      <c r="C893" s="73"/>
      <c r="D893" s="100" t="s">
        <v>143</v>
      </c>
      <c r="E893" s="96"/>
      <c r="F893" s="74" t="s">
        <v>3</v>
      </c>
      <c r="G893" s="72">
        <v>2.3E-2</v>
      </c>
    </row>
    <row r="894" spans="2:8" x14ac:dyDescent="0.25">
      <c r="B894" s="71"/>
      <c r="C894" s="73"/>
      <c r="D894" s="73" t="s">
        <v>12</v>
      </c>
      <c r="E894" s="101"/>
      <c r="F894" s="74" t="s">
        <v>3</v>
      </c>
      <c r="G894" s="102">
        <f>0.3*G893</f>
        <v>6.8999999999999999E-3</v>
      </c>
    </row>
    <row r="895" spans="2:8" x14ac:dyDescent="0.25">
      <c r="B895" s="71"/>
      <c r="C895" s="73"/>
      <c r="D895" s="100"/>
      <c r="E895" s="100"/>
      <c r="F895" s="103"/>
      <c r="G895" s="102"/>
    </row>
    <row r="896" spans="2:8" x14ac:dyDescent="0.25">
      <c r="B896" s="71"/>
      <c r="C896" s="75" t="s">
        <v>514</v>
      </c>
      <c r="D896" s="100"/>
      <c r="E896" s="100"/>
      <c r="F896" s="103"/>
      <c r="G896" s="102"/>
    </row>
    <row r="897" spans="2:12" x14ac:dyDescent="0.25">
      <c r="B897" s="71"/>
      <c r="C897" s="73"/>
      <c r="D897" s="100" t="s">
        <v>143</v>
      </c>
      <c r="E897" s="96"/>
      <c r="F897" s="74" t="s">
        <v>3</v>
      </c>
      <c r="G897" s="72">
        <v>1.4E-2</v>
      </c>
    </row>
    <row r="898" spans="2:12" x14ac:dyDescent="0.25">
      <c r="B898" s="71"/>
      <c r="C898" s="73"/>
      <c r="D898" s="73" t="s">
        <v>12</v>
      </c>
      <c r="E898" s="101"/>
      <c r="F898" s="74" t="s">
        <v>3</v>
      </c>
      <c r="G898" s="102">
        <f>0.3*G897</f>
        <v>4.1999999999999997E-3</v>
      </c>
    </row>
    <row r="899" spans="2:12" x14ac:dyDescent="0.25">
      <c r="B899" s="71"/>
      <c r="C899" s="73"/>
      <c r="D899" s="100"/>
      <c r="E899" s="100"/>
      <c r="F899" s="103"/>
      <c r="G899" s="102"/>
    </row>
    <row r="900" spans="2:12" x14ac:dyDescent="0.25">
      <c r="B900" s="71"/>
      <c r="C900" s="75" t="s">
        <v>515</v>
      </c>
      <c r="D900" s="100"/>
      <c r="E900" s="100"/>
      <c r="F900" s="103"/>
      <c r="G900" s="102"/>
    </row>
    <row r="901" spans="2:12" x14ac:dyDescent="0.25">
      <c r="B901" s="71"/>
      <c r="C901" s="73"/>
      <c r="D901" s="100" t="s">
        <v>143</v>
      </c>
      <c r="E901" s="100"/>
      <c r="F901" s="74" t="s">
        <v>3</v>
      </c>
      <c r="G901" s="102">
        <v>1.2999999999999999E-2</v>
      </c>
    </row>
    <row r="902" spans="2:12" ht="15.75" thickBot="1" x14ac:dyDescent="0.3">
      <c r="B902" s="81"/>
      <c r="C902" s="68"/>
      <c r="D902" s="68" t="s">
        <v>12</v>
      </c>
      <c r="E902" s="104"/>
      <c r="F902" s="82" t="s">
        <v>3</v>
      </c>
      <c r="G902" s="105">
        <f>0.3*G901</f>
        <v>3.8999999999999998E-3</v>
      </c>
    </row>
    <row r="903" spans="2:12" x14ac:dyDescent="0.25">
      <c r="B903" s="106"/>
      <c r="C903" s="73"/>
      <c r="D903" s="73"/>
      <c r="E903" s="100"/>
      <c r="F903" s="74"/>
      <c r="G903" s="107"/>
    </row>
    <row r="904" spans="2:12" ht="18.75" x14ac:dyDescent="0.3">
      <c r="B904" s="106"/>
      <c r="C904" s="46" t="s">
        <v>517</v>
      </c>
      <c r="F904" s="43"/>
      <c r="H904" t="s">
        <v>516</v>
      </c>
    </row>
    <row r="905" spans="2:12" x14ac:dyDescent="0.25">
      <c r="B905" s="106"/>
      <c r="F905" s="43"/>
    </row>
    <row r="906" spans="2:12" x14ac:dyDescent="0.25">
      <c r="B906" s="106"/>
      <c r="C906" s="3" t="s">
        <v>493</v>
      </c>
      <c r="F906" s="43"/>
      <c r="K906" s="121">
        <v>177.5</v>
      </c>
      <c r="L906">
        <v>59</v>
      </c>
    </row>
    <row r="907" spans="2:12" x14ac:dyDescent="0.25">
      <c r="B907" s="106"/>
      <c r="C907" t="s">
        <v>494</v>
      </c>
      <c r="F907" s="60" t="s">
        <v>195</v>
      </c>
      <c r="G907" s="10">
        <v>0.2</v>
      </c>
      <c r="K907" s="121">
        <f>K906*L907/L906</f>
        <v>120.33898305084746</v>
      </c>
      <c r="L907">
        <v>40</v>
      </c>
    </row>
    <row r="908" spans="2:12" x14ac:dyDescent="0.25">
      <c r="B908" s="106"/>
      <c r="D908" s="3" t="s">
        <v>495</v>
      </c>
      <c r="F908" s="43"/>
    </row>
    <row r="909" spans="2:12" x14ac:dyDescent="0.25">
      <c r="B909" s="106"/>
      <c r="D909" t="s">
        <v>497</v>
      </c>
      <c r="F909" s="60" t="s">
        <v>3</v>
      </c>
      <c r="G909" s="10">
        <f>0.022*3.14*3*0.04*1.3</f>
        <v>1.0776480000000001E-2</v>
      </c>
    </row>
    <row r="910" spans="2:12" x14ac:dyDescent="0.25">
      <c r="B910" s="106"/>
      <c r="D910" t="s">
        <v>168</v>
      </c>
      <c r="F910" s="60" t="s">
        <v>3</v>
      </c>
      <c r="G910" s="10">
        <f>G909*1.5</f>
        <v>1.616472E-2</v>
      </c>
    </row>
    <row r="911" spans="2:12" x14ac:dyDescent="0.25">
      <c r="B911" s="106"/>
      <c r="D911" t="s">
        <v>114</v>
      </c>
      <c r="F911" s="60" t="s">
        <v>3</v>
      </c>
      <c r="G911" s="10">
        <v>8.0000000000000002E-3</v>
      </c>
    </row>
    <row r="912" spans="2:12" x14ac:dyDescent="0.25">
      <c r="B912" s="106"/>
      <c r="D912" t="s">
        <v>501</v>
      </c>
      <c r="F912" s="60" t="s">
        <v>3</v>
      </c>
      <c r="G912" s="10">
        <f>0.3*G911</f>
        <v>2.3999999999999998E-3</v>
      </c>
    </row>
    <row r="913" spans="2:7" x14ac:dyDescent="0.25">
      <c r="B913" s="106"/>
      <c r="D913" t="s">
        <v>500</v>
      </c>
      <c r="F913" s="60" t="s">
        <v>3</v>
      </c>
      <c r="G913" s="10">
        <f>0.2*0.02*2*1.3</f>
        <v>1.0400000000000001E-2</v>
      </c>
    </row>
    <row r="914" spans="2:7" x14ac:dyDescent="0.25">
      <c r="B914" s="106"/>
      <c r="D914" t="s">
        <v>12</v>
      </c>
      <c r="F914" s="60" t="s">
        <v>3</v>
      </c>
      <c r="G914" s="10">
        <f>0.3*G913</f>
        <v>3.1200000000000004E-3</v>
      </c>
    </row>
    <row r="915" spans="2:7" x14ac:dyDescent="0.25">
      <c r="B915" s="106"/>
      <c r="E915" s="4" t="s">
        <v>498</v>
      </c>
      <c r="F915" s="43"/>
    </row>
    <row r="916" spans="2:7" x14ac:dyDescent="0.25">
      <c r="B916" s="106"/>
      <c r="E916" t="s">
        <v>499</v>
      </c>
      <c r="F916" s="60" t="s">
        <v>3</v>
      </c>
      <c r="G916" s="10">
        <f>0.165</f>
        <v>0.16500000000000001</v>
      </c>
    </row>
    <row r="917" spans="2:7" x14ac:dyDescent="0.25">
      <c r="B917" s="106"/>
      <c r="D917" s="4" t="s">
        <v>496</v>
      </c>
      <c r="F917" s="43"/>
    </row>
    <row r="918" spans="2:7" x14ac:dyDescent="0.25">
      <c r="B918" s="106"/>
      <c r="D918" t="s">
        <v>497</v>
      </c>
      <c r="F918" s="60" t="s">
        <v>3</v>
      </c>
      <c r="G918" s="10">
        <f>0.022*3.14*2*0.04*1.3</f>
        <v>7.1843200000000001E-3</v>
      </c>
    </row>
    <row r="919" spans="2:7" x14ac:dyDescent="0.25">
      <c r="B919" s="106"/>
      <c r="D919" t="s">
        <v>168</v>
      </c>
      <c r="F919" s="60" t="s">
        <v>3</v>
      </c>
      <c r="G919" s="10">
        <f>1.5*G918</f>
        <v>1.077648E-2</v>
      </c>
    </row>
    <row r="920" spans="2:7" x14ac:dyDescent="0.25">
      <c r="B920" s="106"/>
      <c r="D920" t="s">
        <v>114</v>
      </c>
      <c r="F920" s="60" t="s">
        <v>3</v>
      </c>
      <c r="G920" s="10">
        <f>0.008</f>
        <v>8.0000000000000002E-3</v>
      </c>
    </row>
    <row r="921" spans="2:7" x14ac:dyDescent="0.25">
      <c r="B921" s="106"/>
      <c r="D921" t="s">
        <v>501</v>
      </c>
      <c r="F921" s="60" t="s">
        <v>3</v>
      </c>
      <c r="G921" s="10">
        <f>0.3*G920</f>
        <v>2.3999999999999998E-3</v>
      </c>
    </row>
    <row r="922" spans="2:7" x14ac:dyDescent="0.25">
      <c r="B922" s="106"/>
      <c r="D922" t="s">
        <v>500</v>
      </c>
      <c r="F922" s="60" t="s">
        <v>3</v>
      </c>
      <c r="G922" s="10">
        <f>0.2*0.02*2*1.3</f>
        <v>1.0400000000000001E-2</v>
      </c>
    </row>
    <row r="923" spans="2:7" x14ac:dyDescent="0.25">
      <c r="B923" s="106"/>
      <c r="D923" t="s">
        <v>12</v>
      </c>
      <c r="F923" s="60" t="s">
        <v>3</v>
      </c>
      <c r="G923" s="10">
        <f>0.3*G922</f>
        <v>3.1200000000000004E-3</v>
      </c>
    </row>
    <row r="924" spans="2:7" x14ac:dyDescent="0.25">
      <c r="B924" s="106"/>
      <c r="E924" s="4" t="s">
        <v>502</v>
      </c>
      <c r="F924" s="43"/>
    </row>
    <row r="925" spans="2:7" x14ac:dyDescent="0.25">
      <c r="B925" s="106"/>
      <c r="E925" t="s">
        <v>499</v>
      </c>
      <c r="F925" s="60" t="s">
        <v>3</v>
      </c>
      <c r="G925" s="10">
        <v>0.12</v>
      </c>
    </row>
    <row r="926" spans="2:7" x14ac:dyDescent="0.25">
      <c r="B926" s="106"/>
      <c r="C926" s="73"/>
      <c r="D926" s="73"/>
      <c r="E926" s="100"/>
      <c r="F926" s="74"/>
      <c r="G926" s="107"/>
    </row>
    <row r="927" spans="2:7" x14ac:dyDescent="0.25">
      <c r="B927" s="106"/>
      <c r="C927" s="73"/>
      <c r="D927" s="73"/>
      <c r="E927" s="100"/>
      <c r="F927" s="74"/>
      <c r="G927" s="107"/>
    </row>
    <row r="928" spans="2:7" ht="15.75" thickBot="1" x14ac:dyDescent="0.3">
      <c r="B928" s="86"/>
      <c r="C928" s="68"/>
      <c r="D928" s="68"/>
      <c r="E928" s="104"/>
      <c r="F928" s="82"/>
      <c r="G928" s="109"/>
    </row>
    <row r="929" spans="2:8" x14ac:dyDescent="0.25">
      <c r="B929" s="70"/>
      <c r="C929" s="93"/>
      <c r="D929" s="124"/>
      <c r="E929" s="26" t="s">
        <v>546</v>
      </c>
      <c r="F929" s="125"/>
      <c r="G929" s="108"/>
      <c r="H929" t="s">
        <v>520</v>
      </c>
    </row>
    <row r="930" spans="2:8" ht="18.75" x14ac:dyDescent="0.3">
      <c r="B930" s="71"/>
      <c r="C930" s="73"/>
      <c r="D930" s="126" t="s">
        <v>518</v>
      </c>
      <c r="E930" s="100"/>
      <c r="F930" s="103"/>
      <c r="G930" s="102"/>
      <c r="H930" s="84" t="s">
        <v>519</v>
      </c>
    </row>
    <row r="931" spans="2:8" x14ac:dyDescent="0.25">
      <c r="B931" s="71"/>
      <c r="C931" s="73"/>
      <c r="D931" s="100"/>
      <c r="E931" s="100"/>
      <c r="F931" s="103"/>
      <c r="G931" s="102"/>
    </row>
    <row r="932" spans="2:8" x14ac:dyDescent="0.25">
      <c r="B932" s="71"/>
      <c r="C932" s="75" t="s">
        <v>543</v>
      </c>
      <c r="D932" s="100"/>
      <c r="E932" s="100"/>
      <c r="F932" s="103"/>
      <c r="G932" s="102"/>
    </row>
    <row r="933" spans="2:8" x14ac:dyDescent="0.25">
      <c r="B933" s="71"/>
      <c r="C933" s="73"/>
      <c r="D933" s="73" t="s">
        <v>226</v>
      </c>
      <c r="E933" s="100"/>
      <c r="F933" s="74" t="s">
        <v>3</v>
      </c>
      <c r="G933" s="102">
        <f>0.075*0.12*5*8</f>
        <v>0.36</v>
      </c>
    </row>
    <row r="934" spans="2:8" x14ac:dyDescent="0.25">
      <c r="B934" s="71"/>
      <c r="C934" s="73"/>
      <c r="D934" s="100"/>
      <c r="E934" s="100"/>
      <c r="F934" s="103"/>
      <c r="G934" s="102"/>
    </row>
    <row r="935" spans="2:8" x14ac:dyDescent="0.25">
      <c r="B935" s="71"/>
      <c r="C935" s="75" t="s">
        <v>544</v>
      </c>
      <c r="D935" s="100"/>
      <c r="E935" s="100"/>
      <c r="F935" s="103"/>
      <c r="G935" s="102"/>
    </row>
    <row r="936" spans="2:8" x14ac:dyDescent="0.25">
      <c r="B936" s="71"/>
      <c r="C936" s="73"/>
      <c r="D936" s="73" t="s">
        <v>226</v>
      </c>
      <c r="E936" s="100"/>
      <c r="F936" s="74" t="s">
        <v>3</v>
      </c>
      <c r="G936" s="102">
        <f>0.15*0.1*5*8</f>
        <v>0.6</v>
      </c>
      <c r="H936" s="85"/>
    </row>
    <row r="937" spans="2:8" x14ac:dyDescent="0.25">
      <c r="B937" s="71"/>
      <c r="C937" s="73"/>
      <c r="D937" s="100"/>
      <c r="E937" s="100"/>
      <c r="F937" s="103"/>
      <c r="G937" s="102"/>
      <c r="H937" s="85"/>
    </row>
    <row r="938" spans="2:8" x14ac:dyDescent="0.25">
      <c r="B938" s="71"/>
      <c r="C938" s="75" t="s">
        <v>545</v>
      </c>
      <c r="D938" s="100"/>
      <c r="E938" s="100"/>
      <c r="F938" s="103"/>
      <c r="G938" s="102"/>
      <c r="H938" s="85"/>
    </row>
    <row r="939" spans="2:8" x14ac:dyDescent="0.25">
      <c r="B939" s="71"/>
      <c r="C939" s="73"/>
      <c r="D939" s="73" t="s">
        <v>226</v>
      </c>
      <c r="E939" s="100"/>
      <c r="F939" s="74" t="s">
        <v>3</v>
      </c>
      <c r="G939" s="102">
        <f>0.1*0.08*5*8*1.01</f>
        <v>0.32319999999999999</v>
      </c>
      <c r="H939" s="85"/>
    </row>
    <row r="940" spans="2:8" ht="15.75" thickBot="1" x14ac:dyDescent="0.3">
      <c r="B940" s="81"/>
      <c r="C940" s="68"/>
      <c r="D940" s="104"/>
      <c r="E940" s="104"/>
      <c r="F940" s="127"/>
      <c r="G940" s="105"/>
      <c r="H940" s="85"/>
    </row>
    <row r="941" spans="2:8" ht="19.5" thickBot="1" x14ac:dyDescent="0.35">
      <c r="B941" s="141"/>
      <c r="C941" s="142"/>
      <c r="D941" s="143"/>
      <c r="E941" s="144"/>
      <c r="F941" s="145"/>
      <c r="G941" s="146"/>
      <c r="H941" s="85"/>
    </row>
    <row r="942" spans="2:8" ht="18.75" x14ac:dyDescent="0.3">
      <c r="D942" s="25"/>
      <c r="E942" s="110" t="s">
        <v>586</v>
      </c>
      <c r="F942" s="91"/>
      <c r="G942" s="108"/>
      <c r="H942" s="85"/>
    </row>
    <row r="943" spans="2:8" x14ac:dyDescent="0.25">
      <c r="D943" s="25"/>
      <c r="E943" s="25"/>
      <c r="F943" s="91"/>
      <c r="G943" s="102"/>
    </row>
    <row r="944" spans="2:8" x14ac:dyDescent="0.25">
      <c r="B944" s="18">
        <v>10</v>
      </c>
      <c r="C944" s="3" t="s">
        <v>587</v>
      </c>
      <c r="D944" s="25"/>
      <c r="E944" s="25"/>
      <c r="F944" s="91"/>
      <c r="G944" s="102"/>
    </row>
    <row r="945" spans="2:11" x14ac:dyDescent="0.25">
      <c r="C945" t="s">
        <v>588</v>
      </c>
      <c r="D945" s="25"/>
      <c r="E945" s="25"/>
      <c r="F945" s="74" t="s">
        <v>3</v>
      </c>
      <c r="G945" s="102">
        <f>0.051*0.04*5*8*1.08</f>
        <v>8.8127999999999998E-2</v>
      </c>
    </row>
    <row r="946" spans="2:11" x14ac:dyDescent="0.25">
      <c r="D946" s="25"/>
      <c r="E946" s="25"/>
      <c r="F946" s="91"/>
      <c r="G946" s="102"/>
    </row>
    <row r="947" spans="2:11" x14ac:dyDescent="0.25">
      <c r="B947" s="18">
        <v>20</v>
      </c>
      <c r="C947" s="3" t="s">
        <v>589</v>
      </c>
      <c r="D947" s="25"/>
      <c r="E947" s="25"/>
      <c r="F947" s="91"/>
      <c r="G947" s="102"/>
      <c r="I947" s="3" t="s">
        <v>590</v>
      </c>
      <c r="J947" s="1036" t="s">
        <v>593</v>
      </c>
    </row>
    <row r="948" spans="2:11" x14ac:dyDescent="0.25">
      <c r="C948" t="s">
        <v>8</v>
      </c>
      <c r="D948" s="25"/>
      <c r="E948" s="25"/>
      <c r="F948" s="74" t="s">
        <v>3</v>
      </c>
      <c r="G948" s="102">
        <v>0.01</v>
      </c>
      <c r="I948" s="3" t="s">
        <v>592</v>
      </c>
      <c r="J948" s="1037"/>
    </row>
    <row r="949" spans="2:11" x14ac:dyDescent="0.25">
      <c r="C949" t="s">
        <v>36</v>
      </c>
      <c r="D949" s="25"/>
      <c r="E949" s="25"/>
      <c r="F949" s="74" t="s">
        <v>3</v>
      </c>
      <c r="G949" s="102">
        <f>0.12*0.16*2*0.15*2*1.3</f>
        <v>1.4976E-2</v>
      </c>
      <c r="I949" s="3" t="s">
        <v>591</v>
      </c>
      <c r="J949" s="1037"/>
    </row>
    <row r="950" spans="2:11" x14ac:dyDescent="0.25">
      <c r="C950" t="s">
        <v>12</v>
      </c>
      <c r="D950" s="25"/>
      <c r="E950" s="25"/>
      <c r="F950" s="74" t="s">
        <v>3</v>
      </c>
      <c r="G950" s="102" t="e">
        <f>0.3*(G949+#REF!)</f>
        <v>#REF!</v>
      </c>
    </row>
    <row r="951" spans="2:11" x14ac:dyDescent="0.25">
      <c r="C951" s="77" t="s">
        <v>39</v>
      </c>
      <c r="D951" s="25"/>
      <c r="E951" s="25"/>
      <c r="F951" s="74" t="s">
        <v>3</v>
      </c>
      <c r="G951" s="102">
        <f>0.2*0.04*1.2</f>
        <v>9.5999999999999992E-3</v>
      </c>
    </row>
    <row r="952" spans="2:11" x14ac:dyDescent="0.25">
      <c r="C952" s="77" t="s">
        <v>40</v>
      </c>
      <c r="D952" s="25"/>
      <c r="E952" s="25"/>
      <c r="F952" s="74" t="s">
        <v>3</v>
      </c>
      <c r="G952" s="102">
        <f>1.5*G951</f>
        <v>1.44E-2</v>
      </c>
    </row>
    <row r="953" spans="2:11" x14ac:dyDescent="0.25">
      <c r="F953" s="9"/>
      <c r="G953" s="72"/>
      <c r="K953" s="91"/>
    </row>
    <row r="954" spans="2:11" x14ac:dyDescent="0.25">
      <c r="B954" s="18">
        <v>22</v>
      </c>
      <c r="C954" s="3" t="s">
        <v>594</v>
      </c>
      <c r="D954" s="25"/>
      <c r="E954" s="25"/>
      <c r="F954" s="91"/>
      <c r="G954" s="102"/>
    </row>
    <row r="955" spans="2:11" x14ac:dyDescent="0.25">
      <c r="C955" t="s">
        <v>595</v>
      </c>
      <c r="D955" s="25"/>
      <c r="E955" s="25"/>
      <c r="F955" s="74" t="s">
        <v>3</v>
      </c>
      <c r="G955" s="102">
        <f>((0.45*2+0.34*2)/3+0.03)*0.04/2.5*1.2</f>
        <v>1.0688000000000001E-2</v>
      </c>
    </row>
    <row r="956" spans="2:11" ht="17.25" x14ac:dyDescent="0.25">
      <c r="C956" t="s">
        <v>168</v>
      </c>
      <c r="D956" s="25"/>
      <c r="E956" s="25"/>
      <c r="F956" s="74" t="s">
        <v>596</v>
      </c>
      <c r="G956" s="102">
        <f>1.08*G955</f>
        <v>1.1543040000000003E-2</v>
      </c>
    </row>
    <row r="957" spans="2:11" x14ac:dyDescent="0.25">
      <c r="C957" t="s">
        <v>163</v>
      </c>
      <c r="D957" s="25"/>
      <c r="E957" s="25"/>
      <c r="F957" s="121" t="s">
        <v>3</v>
      </c>
      <c r="G957" s="102">
        <f>0.5*0.44*2*0.15*1.39</f>
        <v>9.1740000000000002E-2</v>
      </c>
    </row>
    <row r="958" spans="2:11" x14ac:dyDescent="0.25">
      <c r="C958" t="s">
        <v>164</v>
      </c>
      <c r="D958" s="25"/>
      <c r="E958" s="25"/>
      <c r="F958" s="121" t="s">
        <v>3</v>
      </c>
      <c r="G958" s="102">
        <f>0.3*G957</f>
        <v>2.7522000000000001E-2</v>
      </c>
    </row>
    <row r="959" spans="2:11" x14ac:dyDescent="0.25">
      <c r="C959" t="s">
        <v>36</v>
      </c>
      <c r="D959" s="25"/>
      <c r="E959" s="25"/>
      <c r="F959" s="121" t="s">
        <v>3</v>
      </c>
      <c r="G959" s="102">
        <f>0.5*0.44*2*0.15*2</f>
        <v>0.13200000000000001</v>
      </c>
    </row>
    <row r="960" spans="2:11" x14ac:dyDescent="0.25">
      <c r="C960" t="s">
        <v>12</v>
      </c>
      <c r="D960" s="25"/>
      <c r="E960" s="25"/>
      <c r="F960" s="121" t="s">
        <v>3</v>
      </c>
      <c r="G960" s="102">
        <f>0.3*G959</f>
        <v>3.9600000000000003E-2</v>
      </c>
    </row>
    <row r="961" spans="2:11" x14ac:dyDescent="0.25">
      <c r="D961" s="4" t="s">
        <v>597</v>
      </c>
      <c r="E961" s="25"/>
      <c r="F961" s="91"/>
      <c r="G961" s="102"/>
    </row>
    <row r="962" spans="2:11" x14ac:dyDescent="0.25">
      <c r="D962" t="s">
        <v>598</v>
      </c>
      <c r="E962" s="25"/>
      <c r="F962" s="121" t="s">
        <v>3</v>
      </c>
      <c r="G962" s="102">
        <f>0.505*0.445*2.5*2.7*1.08</f>
        <v>1.6382452500000002</v>
      </c>
    </row>
    <row r="963" spans="2:11" x14ac:dyDescent="0.25">
      <c r="D963" s="4" t="s">
        <v>600</v>
      </c>
      <c r="E963" s="25"/>
      <c r="F963" s="91"/>
      <c r="G963" s="102"/>
    </row>
    <row r="964" spans="2:11" x14ac:dyDescent="0.25">
      <c r="D964" t="s">
        <v>601</v>
      </c>
      <c r="E964" s="25"/>
      <c r="F964" s="121" t="s">
        <v>3</v>
      </c>
      <c r="G964" s="102">
        <f>0.175</f>
        <v>0.17499999999999999</v>
      </c>
      <c r="H964" s="5" t="s">
        <v>602</v>
      </c>
    </row>
    <row r="965" spans="2:11" x14ac:dyDescent="0.25">
      <c r="D965" s="4" t="s">
        <v>599</v>
      </c>
      <c r="E965" s="25"/>
      <c r="F965" s="91"/>
      <c r="G965" s="102"/>
    </row>
    <row r="966" spans="2:11" x14ac:dyDescent="0.25">
      <c r="D966" t="s">
        <v>603</v>
      </c>
      <c r="E966" s="25"/>
      <c r="F966" s="121" t="s">
        <v>3</v>
      </c>
      <c r="G966" s="72">
        <f>0.115*0.03*1*8*1.08</f>
        <v>2.9808000000000001E-2</v>
      </c>
    </row>
    <row r="967" spans="2:11" x14ac:dyDescent="0.25">
      <c r="D967" s="4" t="s">
        <v>604</v>
      </c>
      <c r="E967" s="25"/>
      <c r="F967" s="91"/>
      <c r="G967" s="102"/>
    </row>
    <row r="968" spans="2:11" x14ac:dyDescent="0.25">
      <c r="D968" t="s">
        <v>55</v>
      </c>
      <c r="E968" s="25"/>
      <c r="F968" s="121" t="s">
        <v>3</v>
      </c>
      <c r="G968" s="102">
        <f>0.03*0.03*3*8*1.08</f>
        <v>2.3328000000000002E-2</v>
      </c>
    </row>
    <row r="969" spans="2:11" x14ac:dyDescent="0.25">
      <c r="D969" s="4" t="s">
        <v>605</v>
      </c>
      <c r="E969" s="25"/>
      <c r="F969" s="91"/>
      <c r="G969" s="102"/>
    </row>
    <row r="970" spans="2:11" x14ac:dyDescent="0.25">
      <c r="D970" t="s">
        <v>213</v>
      </c>
      <c r="E970" s="25"/>
      <c r="F970" s="121" t="s">
        <v>3</v>
      </c>
      <c r="G970" s="102">
        <f>0.06*0.01*3*2.7*1.08</f>
        <v>5.2488000000000014E-3</v>
      </c>
    </row>
    <row r="971" spans="2:11" x14ac:dyDescent="0.25">
      <c r="D971" s="4" t="s">
        <v>607</v>
      </c>
      <c r="E971" s="25"/>
      <c r="F971" s="91"/>
      <c r="G971" s="102"/>
      <c r="I971" s="4" t="s">
        <v>606</v>
      </c>
      <c r="J971" s="13" t="s">
        <v>99</v>
      </c>
      <c r="K971"/>
    </row>
    <row r="972" spans="2:11" x14ac:dyDescent="0.25">
      <c r="D972" t="s">
        <v>601</v>
      </c>
      <c r="E972" s="25"/>
      <c r="F972" s="121" t="s">
        <v>3</v>
      </c>
      <c r="G972" s="102">
        <v>0.13</v>
      </c>
      <c r="H972" s="5" t="s">
        <v>608</v>
      </c>
      <c r="K972"/>
    </row>
    <row r="973" spans="2:11" x14ac:dyDescent="0.25">
      <c r="D973" s="25"/>
      <c r="E973" s="25"/>
      <c r="F973" s="91"/>
      <c r="G973" s="102"/>
      <c r="K973"/>
    </row>
    <row r="974" spans="2:11" x14ac:dyDescent="0.25">
      <c r="B974" s="18">
        <v>23</v>
      </c>
      <c r="C974" s="3" t="s">
        <v>609</v>
      </c>
      <c r="D974" s="25"/>
      <c r="E974" s="25"/>
      <c r="F974" s="91"/>
      <c r="G974" s="102"/>
      <c r="K974"/>
    </row>
    <row r="975" spans="2:11" x14ac:dyDescent="0.25">
      <c r="C975" t="s">
        <v>37</v>
      </c>
      <c r="D975" s="25"/>
      <c r="E975" s="25"/>
      <c r="F975" s="121" t="s">
        <v>3</v>
      </c>
      <c r="G975" s="102">
        <v>3.0000000000000001E-3</v>
      </c>
      <c r="I975" s="4" t="s">
        <v>611</v>
      </c>
      <c r="J975" s="13" t="s">
        <v>624</v>
      </c>
      <c r="K975" t="s">
        <v>622</v>
      </c>
    </row>
    <row r="976" spans="2:11" x14ac:dyDescent="0.25">
      <c r="C976" t="s">
        <v>8</v>
      </c>
      <c r="D976" s="25"/>
      <c r="E976" s="25"/>
      <c r="F976" s="121" t="s">
        <v>3</v>
      </c>
      <c r="G976" s="102">
        <f>0.275*0.27*2*0.1*2*1.3</f>
        <v>3.8610000000000005E-2</v>
      </c>
      <c r="I976" t="s">
        <v>623</v>
      </c>
      <c r="J976" s="13" t="s">
        <v>625</v>
      </c>
      <c r="K976"/>
    </row>
    <row r="977" spans="2:11" x14ac:dyDescent="0.25">
      <c r="C977" t="s">
        <v>612</v>
      </c>
      <c r="D977" s="25"/>
      <c r="E977" s="25"/>
      <c r="F977" s="121" t="s">
        <v>3</v>
      </c>
      <c r="G977" s="102">
        <f>0.275*0.27*2*0.15*2*1.13</f>
        <v>5.0341500000000004E-2</v>
      </c>
      <c r="K977"/>
    </row>
    <row r="978" spans="2:11" x14ac:dyDescent="0.25">
      <c r="C978" t="s">
        <v>12</v>
      </c>
      <c r="D978" s="25"/>
      <c r="E978" s="25"/>
      <c r="F978" s="121" t="s">
        <v>3</v>
      </c>
      <c r="G978" s="102" t="e">
        <f>0.3*(G977+#REF!)</f>
        <v>#REF!</v>
      </c>
      <c r="K978"/>
    </row>
    <row r="979" spans="2:11" x14ac:dyDescent="0.25">
      <c r="D979" s="4" t="s">
        <v>610</v>
      </c>
      <c r="E979" s="25"/>
      <c r="F979" s="91"/>
      <c r="G979" s="102"/>
      <c r="K979"/>
    </row>
    <row r="980" spans="2:11" x14ac:dyDescent="0.25">
      <c r="D980" t="s">
        <v>213</v>
      </c>
      <c r="F980" s="121" t="s">
        <v>3</v>
      </c>
      <c r="G980" s="102">
        <f>0.3*0.275*3*2.7*1.05</f>
        <v>0.70166250000000008</v>
      </c>
      <c r="K980"/>
    </row>
    <row r="981" spans="2:11" x14ac:dyDescent="0.25">
      <c r="E981" s="25"/>
      <c r="F981" s="91"/>
      <c r="G981" s="102"/>
      <c r="K981"/>
    </row>
    <row r="982" spans="2:11" x14ac:dyDescent="0.25">
      <c r="B982" s="18">
        <v>29</v>
      </c>
      <c r="C982" s="3" t="s">
        <v>613</v>
      </c>
      <c r="D982" s="25"/>
      <c r="E982" s="25"/>
      <c r="F982" s="91"/>
      <c r="G982" s="102"/>
      <c r="K982"/>
    </row>
    <row r="983" spans="2:11" x14ac:dyDescent="0.25">
      <c r="C983" s="25" t="s">
        <v>614</v>
      </c>
      <c r="D983" s="25"/>
      <c r="E983" s="25"/>
      <c r="F983" s="121" t="s">
        <v>3</v>
      </c>
      <c r="G983" s="102">
        <v>1E-3</v>
      </c>
      <c r="I983" t="s">
        <v>626</v>
      </c>
      <c r="J983" s="13" t="s">
        <v>99</v>
      </c>
      <c r="K983"/>
    </row>
    <row r="984" spans="2:11" x14ac:dyDescent="0.25">
      <c r="D984" s="4" t="s">
        <v>615</v>
      </c>
      <c r="E984" s="25"/>
      <c r="F984" s="91"/>
      <c r="G984" s="102"/>
      <c r="K984"/>
    </row>
    <row r="985" spans="2:11" x14ac:dyDescent="0.25">
      <c r="D985" s="77" t="s">
        <v>39</v>
      </c>
      <c r="E985" s="25"/>
      <c r="F985" s="121" t="s">
        <v>3</v>
      </c>
      <c r="G985" s="102">
        <f>0.15*0.04*1.2</f>
        <v>7.1999999999999998E-3</v>
      </c>
    </row>
    <row r="986" spans="2:11" x14ac:dyDescent="0.25">
      <c r="D986" s="77" t="s">
        <v>40</v>
      </c>
      <c r="E986" s="25"/>
      <c r="F986" s="121" t="s">
        <v>3</v>
      </c>
      <c r="G986" s="102">
        <f>1.5*G985</f>
        <v>1.0800000000000001E-2</v>
      </c>
    </row>
    <row r="987" spans="2:11" x14ac:dyDescent="0.25">
      <c r="D987" t="s">
        <v>8</v>
      </c>
      <c r="E987" s="25"/>
      <c r="F987" s="121" t="s">
        <v>3</v>
      </c>
      <c r="G987" s="102">
        <v>1.6E-2</v>
      </c>
      <c r="I987" s="4" t="s">
        <v>617</v>
      </c>
      <c r="J987" s="13" t="s">
        <v>99</v>
      </c>
    </row>
    <row r="988" spans="2:11" x14ac:dyDescent="0.25">
      <c r="D988" t="s">
        <v>15</v>
      </c>
      <c r="E988" s="25"/>
      <c r="F988" s="121" t="s">
        <v>3</v>
      </c>
      <c r="G988" s="102">
        <f>0.22*0.15*2*0.15*2*1.1</f>
        <v>2.1780000000000004E-2</v>
      </c>
      <c r="I988" s="4" t="s">
        <v>618</v>
      </c>
      <c r="J988" s="13" t="s">
        <v>624</v>
      </c>
      <c r="K988" s="129" t="s">
        <v>627</v>
      </c>
    </row>
    <row r="989" spans="2:11" x14ac:dyDescent="0.25">
      <c r="D989" t="s">
        <v>12</v>
      </c>
      <c r="E989" s="25"/>
      <c r="F989" s="121" t="s">
        <v>3</v>
      </c>
      <c r="G989" s="102">
        <f>0.3*(G988+G987)</f>
        <v>1.1334000000000002E-2</v>
      </c>
    </row>
    <row r="990" spans="2:11" x14ac:dyDescent="0.25">
      <c r="E990" s="4" t="s">
        <v>616</v>
      </c>
      <c r="F990" s="91"/>
      <c r="G990" s="102"/>
    </row>
    <row r="991" spans="2:11" x14ac:dyDescent="0.25">
      <c r="D991" s="25"/>
      <c r="E991" s="4" t="s">
        <v>619</v>
      </c>
      <c r="F991" s="121"/>
      <c r="G991" s="102"/>
    </row>
    <row r="992" spans="2:11" x14ac:dyDescent="0.25">
      <c r="D992" s="25"/>
      <c r="E992" t="s">
        <v>621</v>
      </c>
      <c r="F992" s="121" t="s">
        <v>3</v>
      </c>
      <c r="G992" s="102">
        <f>0.265*0.15*3*8*1.08</f>
        <v>1.0303200000000001</v>
      </c>
    </row>
    <row r="993" spans="4:7" x14ac:dyDescent="0.25">
      <c r="D993" s="25"/>
      <c r="E993" s="4" t="s">
        <v>620</v>
      </c>
      <c r="F993" s="121"/>
      <c r="G993" s="102"/>
    </row>
    <row r="994" spans="4:7" x14ac:dyDescent="0.25">
      <c r="D994" s="25"/>
      <c r="E994" t="s">
        <v>621</v>
      </c>
      <c r="F994" s="121" t="s">
        <v>3</v>
      </c>
      <c r="G994" s="102">
        <f>0.016*0.028*3*8*1.08</f>
        <v>1.161216E-2</v>
      </c>
    </row>
    <row r="995" spans="4:7" x14ac:dyDescent="0.25">
      <c r="D995" s="4" t="s">
        <v>628</v>
      </c>
      <c r="E995" s="25"/>
      <c r="F995" s="91"/>
      <c r="G995" s="102"/>
    </row>
    <row r="996" spans="4:7" x14ac:dyDescent="0.25">
      <c r="D996" s="77" t="s">
        <v>39</v>
      </c>
      <c r="E996" s="25"/>
      <c r="F996" s="121" t="s">
        <v>3</v>
      </c>
      <c r="G996" s="102">
        <f>0.12*0.04*1.2</f>
        <v>5.7599999999999995E-3</v>
      </c>
    </row>
    <row r="997" spans="4:7" x14ac:dyDescent="0.25">
      <c r="D997" s="77" t="s">
        <v>40</v>
      </c>
      <c r="E997" s="25"/>
      <c r="F997" s="121" t="s">
        <v>3</v>
      </c>
      <c r="G997" s="102">
        <f>1.5*G996</f>
        <v>8.6399999999999984E-3</v>
      </c>
    </row>
    <row r="998" spans="4:7" x14ac:dyDescent="0.25">
      <c r="D998" t="s">
        <v>8</v>
      </c>
      <c r="E998" s="25"/>
      <c r="F998" s="121" t="s">
        <v>3</v>
      </c>
      <c r="G998" s="102">
        <v>1.4E-2</v>
      </c>
    </row>
    <row r="999" spans="4:7" x14ac:dyDescent="0.25">
      <c r="D999" t="s">
        <v>15</v>
      </c>
      <c r="E999" s="25"/>
      <c r="F999" s="121" t="s">
        <v>3</v>
      </c>
      <c r="G999" s="102">
        <f>0.134*0.15*2*0.15*2*1.3</f>
        <v>1.5678000000000001E-2</v>
      </c>
    </row>
    <row r="1000" spans="4:7" x14ac:dyDescent="0.25">
      <c r="D1000" t="s">
        <v>12</v>
      </c>
      <c r="E1000" s="25"/>
      <c r="F1000" s="121" t="s">
        <v>3</v>
      </c>
      <c r="G1000" s="102">
        <f>0.3*(G999+G998)</f>
        <v>8.9034000000000005E-3</v>
      </c>
    </row>
    <row r="1001" spans="4:7" x14ac:dyDescent="0.25">
      <c r="D1001" s="25"/>
      <c r="E1001" s="4" t="s">
        <v>629</v>
      </c>
      <c r="F1001" s="91"/>
      <c r="G1001" s="102"/>
    </row>
    <row r="1002" spans="4:7" x14ac:dyDescent="0.25">
      <c r="D1002" s="25"/>
      <c r="E1002" s="77" t="s">
        <v>633</v>
      </c>
      <c r="F1002" s="121" t="s">
        <v>3</v>
      </c>
      <c r="G1002" s="102">
        <f>0.2*0.04*1.3</f>
        <v>1.0400000000000001E-2</v>
      </c>
    </row>
    <row r="1003" spans="4:7" x14ac:dyDescent="0.25">
      <c r="D1003" s="25"/>
      <c r="E1003" s="77" t="s">
        <v>634</v>
      </c>
      <c r="F1003" s="121" t="s">
        <v>3</v>
      </c>
      <c r="G1003" s="102">
        <f>1.5*G1002</f>
        <v>1.5600000000000003E-2</v>
      </c>
    </row>
    <row r="1004" spans="4:7" x14ac:dyDescent="0.25">
      <c r="D1004" s="25"/>
      <c r="E1004" t="s">
        <v>632</v>
      </c>
      <c r="F1004" s="121" t="s">
        <v>3</v>
      </c>
      <c r="G1004" s="102">
        <f>(0.14*0.18+0.025*0.12+0.025*0.05)*2*8*1.08</f>
        <v>0.50889600000000002</v>
      </c>
    </row>
    <row r="1005" spans="4:7" x14ac:dyDescent="0.25">
      <c r="D1005" s="25"/>
      <c r="E1005" s="130" t="s">
        <v>630</v>
      </c>
      <c r="F1005" s="91"/>
      <c r="G1005" s="102"/>
    </row>
    <row r="1006" spans="4:7" x14ac:dyDescent="0.25">
      <c r="D1006" s="25"/>
      <c r="E1006" t="s">
        <v>632</v>
      </c>
      <c r="F1006" s="121" t="s">
        <v>3</v>
      </c>
      <c r="G1006" s="102">
        <f>0.035*0.02*2*8*1.2</f>
        <v>1.3440000000000002E-2</v>
      </c>
    </row>
    <row r="1007" spans="4:7" x14ac:dyDescent="0.25">
      <c r="D1007" s="25"/>
      <c r="E1007" s="130" t="s">
        <v>631</v>
      </c>
      <c r="F1007" s="91"/>
      <c r="G1007" s="102"/>
    </row>
    <row r="1008" spans="4:7" x14ac:dyDescent="0.25">
      <c r="D1008" s="25"/>
      <c r="E1008" t="s">
        <v>255</v>
      </c>
      <c r="F1008" s="121" t="s">
        <v>3</v>
      </c>
      <c r="G1008" s="102">
        <f>0.018*0.04*4*8*1.05</f>
        <v>2.4191999999999998E-2</v>
      </c>
    </row>
    <row r="1009" spans="2:10" x14ac:dyDescent="0.25">
      <c r="D1009" s="25"/>
      <c r="F1009" s="121"/>
      <c r="G1009" s="102"/>
    </row>
    <row r="1010" spans="2:10" x14ac:dyDescent="0.25">
      <c r="B1010" s="18">
        <v>153</v>
      </c>
      <c r="C1010" s="3" t="s">
        <v>665</v>
      </c>
      <c r="D1010" s="25"/>
      <c r="E1010" s="25"/>
      <c r="F1010" s="91"/>
      <c r="G1010" s="102"/>
    </row>
    <row r="1011" spans="2:10" x14ac:dyDescent="0.25">
      <c r="D1011" t="s">
        <v>635</v>
      </c>
      <c r="E1011" s="25"/>
      <c r="F1011" s="121" t="s">
        <v>3</v>
      </c>
      <c r="G1011" s="102">
        <v>0.122</v>
      </c>
    </row>
    <row r="1012" spans="2:10" x14ac:dyDescent="0.25">
      <c r="D1012" s="25"/>
      <c r="E1012" s="25"/>
      <c r="F1012" s="91"/>
      <c r="G1012" s="102"/>
    </row>
    <row r="1013" spans="2:10" x14ac:dyDescent="0.25">
      <c r="B1013" s="18">
        <v>156</v>
      </c>
      <c r="C1013" s="3" t="s">
        <v>636</v>
      </c>
      <c r="F1013" s="59"/>
      <c r="G1013" s="72"/>
    </row>
    <row r="1014" spans="2:10" x14ac:dyDescent="0.25">
      <c r="F1014" s="59"/>
      <c r="G1014" s="72"/>
    </row>
    <row r="1015" spans="2:10" x14ac:dyDescent="0.25">
      <c r="B1015" s="18">
        <v>30</v>
      </c>
      <c r="C1015" s="3" t="s">
        <v>637</v>
      </c>
      <c r="F1015" s="59"/>
      <c r="G1015" s="72"/>
    </row>
    <row r="1016" spans="2:10" x14ac:dyDescent="0.25">
      <c r="C1016" s="77" t="s">
        <v>39</v>
      </c>
      <c r="F1016" s="121" t="s">
        <v>3</v>
      </c>
      <c r="G1016" s="72">
        <v>3.0000000000000001E-3</v>
      </c>
    </row>
    <row r="1017" spans="2:10" x14ac:dyDescent="0.25">
      <c r="C1017" s="77" t="s">
        <v>40</v>
      </c>
      <c r="F1017" s="121" t="s">
        <v>3</v>
      </c>
      <c r="G1017" s="72">
        <f>1.5*G1016</f>
        <v>4.5000000000000005E-3</v>
      </c>
    </row>
    <row r="1018" spans="2:10" x14ac:dyDescent="0.25">
      <c r="D1018" s="3" t="s">
        <v>638</v>
      </c>
      <c r="F1018" s="59"/>
      <c r="G1018" s="72"/>
    </row>
    <row r="1019" spans="2:10" x14ac:dyDescent="0.25">
      <c r="D1019" t="s">
        <v>640</v>
      </c>
      <c r="F1019" s="121" t="s">
        <v>3</v>
      </c>
      <c r="G1019" s="72">
        <f>0.072*0.12*2*8*1.06</f>
        <v>0.14653439999999998</v>
      </c>
    </row>
    <row r="1020" spans="2:10" x14ac:dyDescent="0.25">
      <c r="D1020" s="3" t="s">
        <v>639</v>
      </c>
      <c r="F1020" s="59"/>
      <c r="G1020" s="72"/>
    </row>
    <row r="1021" spans="2:10" x14ac:dyDescent="0.25">
      <c r="D1021" t="s">
        <v>640</v>
      </c>
      <c r="F1021" s="121" t="s">
        <v>3</v>
      </c>
      <c r="G1021" s="72">
        <f>0.072*0.12*2*8*1.06</f>
        <v>0.14653439999999998</v>
      </c>
    </row>
    <row r="1022" spans="2:10" x14ac:dyDescent="0.25">
      <c r="F1022" s="59"/>
      <c r="G1022" s="72"/>
    </row>
    <row r="1023" spans="2:10" x14ac:dyDescent="0.25">
      <c r="B1023" s="18">
        <v>32</v>
      </c>
      <c r="C1023" s="3" t="s">
        <v>641</v>
      </c>
      <c r="F1023" s="59"/>
      <c r="G1023" s="72"/>
      <c r="I1023" t="s">
        <v>643</v>
      </c>
      <c r="J1023" s="13" t="s">
        <v>99</v>
      </c>
    </row>
    <row r="1024" spans="2:10" x14ac:dyDescent="0.25">
      <c r="C1024" s="77" t="s">
        <v>39</v>
      </c>
      <c r="F1024" s="121" t="s">
        <v>3</v>
      </c>
      <c r="G1024" s="72">
        <f>0.05*0.04*1.3</f>
        <v>2.6000000000000003E-3</v>
      </c>
      <c r="I1024" t="s">
        <v>644</v>
      </c>
      <c r="J1024" s="13" t="s">
        <v>99</v>
      </c>
    </row>
    <row r="1025" spans="2:7" x14ac:dyDescent="0.25">
      <c r="C1025" s="77" t="s">
        <v>40</v>
      </c>
      <c r="F1025" s="121" t="s">
        <v>3</v>
      </c>
      <c r="G1025" s="72">
        <f>1.5*G1024</f>
        <v>3.9000000000000007E-3</v>
      </c>
    </row>
    <row r="1026" spans="2:7" x14ac:dyDescent="0.25">
      <c r="C1026" t="s">
        <v>8</v>
      </c>
      <c r="F1026" s="121" t="s">
        <v>3</v>
      </c>
      <c r="G1026" s="72">
        <v>2E-3</v>
      </c>
    </row>
    <row r="1027" spans="2:7" x14ac:dyDescent="0.25">
      <c r="C1027" t="s">
        <v>12</v>
      </c>
      <c r="F1027" s="121" t="s">
        <v>3</v>
      </c>
      <c r="G1027" s="72">
        <f>0.3*G1026</f>
        <v>5.9999999999999995E-4</v>
      </c>
    </row>
    <row r="1028" spans="2:7" x14ac:dyDescent="0.25">
      <c r="C1028" t="s">
        <v>72</v>
      </c>
      <c r="F1028" s="121" t="s">
        <v>3</v>
      </c>
      <c r="G1028" s="72">
        <f>0.075*0.03*2*0.15*2*1.9</f>
        <v>2.5649999999999996E-3</v>
      </c>
    </row>
    <row r="1029" spans="2:7" x14ac:dyDescent="0.25">
      <c r="C1029" t="s">
        <v>11</v>
      </c>
      <c r="F1029" s="121" t="s">
        <v>3</v>
      </c>
      <c r="G1029" s="72">
        <f>0.3*G1028</f>
        <v>7.6949999999999989E-4</v>
      </c>
    </row>
    <row r="1030" spans="2:7" x14ac:dyDescent="0.25">
      <c r="D1030" s="4" t="s">
        <v>642</v>
      </c>
      <c r="F1030" s="59"/>
      <c r="G1030" s="72"/>
    </row>
    <row r="1031" spans="2:7" x14ac:dyDescent="0.25">
      <c r="D1031" t="s">
        <v>54</v>
      </c>
      <c r="F1031" s="121" t="s">
        <v>3</v>
      </c>
      <c r="G1031" s="72">
        <f>0.075*0.035*4*8</f>
        <v>8.4000000000000005E-2</v>
      </c>
    </row>
    <row r="1032" spans="2:7" x14ac:dyDescent="0.25">
      <c r="F1032" s="59"/>
      <c r="G1032" s="72"/>
    </row>
    <row r="1033" spans="2:7" x14ac:dyDescent="0.25">
      <c r="B1033" s="18">
        <v>33</v>
      </c>
      <c r="C1033" s="3" t="s">
        <v>645</v>
      </c>
      <c r="F1033" s="55" t="s">
        <v>646</v>
      </c>
      <c r="G1033" s="147"/>
    </row>
    <row r="1034" spans="2:7" x14ac:dyDescent="0.25">
      <c r="D1034" t="s">
        <v>647</v>
      </c>
      <c r="F1034" s="59"/>
      <c r="G1034" s="72"/>
    </row>
    <row r="1035" spans="2:7" x14ac:dyDescent="0.25">
      <c r="F1035" s="59"/>
      <c r="G1035" s="72"/>
    </row>
    <row r="1036" spans="2:7" x14ac:dyDescent="0.25">
      <c r="B1036" s="18">
        <v>36</v>
      </c>
      <c r="C1036" s="3" t="s">
        <v>648</v>
      </c>
      <c r="F1036" s="55" t="s">
        <v>646</v>
      </c>
      <c r="G1036" s="147"/>
    </row>
    <row r="1037" spans="2:7" x14ac:dyDescent="0.25">
      <c r="D1037" t="s">
        <v>114</v>
      </c>
      <c r="F1037" s="121" t="s">
        <v>3</v>
      </c>
      <c r="G1037" s="72">
        <v>0.02</v>
      </c>
    </row>
    <row r="1038" spans="2:7" x14ac:dyDescent="0.25">
      <c r="D1038" t="s">
        <v>163</v>
      </c>
      <c r="F1038" s="121" t="s">
        <v>3</v>
      </c>
      <c r="G1038" s="72">
        <v>0.02</v>
      </c>
    </row>
    <row r="1039" spans="2:7" x14ac:dyDescent="0.25">
      <c r="D1039" t="s">
        <v>164</v>
      </c>
      <c r="F1039" s="121" t="s">
        <v>3</v>
      </c>
      <c r="G1039" s="72">
        <f>0.3*(G1038+G1037)</f>
        <v>1.2E-2</v>
      </c>
    </row>
    <row r="1040" spans="2:7" x14ac:dyDescent="0.25">
      <c r="D1040" t="s">
        <v>8</v>
      </c>
      <c r="F1040" s="121" t="s">
        <v>3</v>
      </c>
      <c r="G1040" s="72">
        <f>(0.21*0.21*4+0.09*0.2*4)*0.1*1.3</f>
        <v>3.2292000000000001E-2</v>
      </c>
    </row>
    <row r="1041" spans="2:10" x14ac:dyDescent="0.25">
      <c r="D1041" t="s">
        <v>649</v>
      </c>
      <c r="F1041" s="121" t="s">
        <v>3</v>
      </c>
      <c r="G1041" s="72">
        <v>3.0000000000000001E-3</v>
      </c>
    </row>
    <row r="1042" spans="2:10" x14ac:dyDescent="0.25">
      <c r="D1042" t="s">
        <v>12</v>
      </c>
      <c r="F1042" s="121" t="s">
        <v>3</v>
      </c>
      <c r="G1042" s="72">
        <f>0.3*G1040</f>
        <v>9.6875999999999993E-3</v>
      </c>
    </row>
    <row r="1043" spans="2:10" x14ac:dyDescent="0.25">
      <c r="D1043" t="s">
        <v>72</v>
      </c>
      <c r="F1043" s="121" t="s">
        <v>3</v>
      </c>
      <c r="G1043" s="72">
        <f>(0.21*0.21*4+0.09*0.2*4)*0.15*2*1.15+0.03*0.5*2*1.2</f>
        <v>0.12169799999999997</v>
      </c>
    </row>
    <row r="1044" spans="2:10" x14ac:dyDescent="0.25">
      <c r="D1044" t="s">
        <v>11</v>
      </c>
      <c r="F1044" s="121" t="s">
        <v>3</v>
      </c>
      <c r="G1044" s="72">
        <f>0.3*G1043</f>
        <v>3.650939999999999E-2</v>
      </c>
    </row>
    <row r="1045" spans="2:10" x14ac:dyDescent="0.25">
      <c r="F1045" s="121"/>
      <c r="G1045" s="72"/>
    </row>
    <row r="1046" spans="2:10" x14ac:dyDescent="0.25">
      <c r="B1046" s="18">
        <v>41</v>
      </c>
      <c r="C1046" s="3" t="s">
        <v>650</v>
      </c>
      <c r="F1046" s="59"/>
      <c r="G1046" s="72"/>
    </row>
    <row r="1047" spans="2:10" x14ac:dyDescent="0.25">
      <c r="D1047" t="s">
        <v>651</v>
      </c>
      <c r="F1047" s="121" t="s">
        <v>3</v>
      </c>
      <c r="G1047" s="72">
        <f>0.88*0.14*2.5*2.7</f>
        <v>0.83160000000000023</v>
      </c>
    </row>
    <row r="1048" spans="2:10" x14ac:dyDescent="0.25">
      <c r="F1048" s="59"/>
      <c r="G1048" s="72"/>
    </row>
    <row r="1049" spans="2:10" x14ac:dyDescent="0.25">
      <c r="B1049" s="18">
        <v>45</v>
      </c>
      <c r="C1049" s="3" t="s">
        <v>652</v>
      </c>
      <c r="F1049" s="131" t="s">
        <v>657</v>
      </c>
      <c r="G1049" s="72"/>
      <c r="I1049" s="3" t="s">
        <v>652</v>
      </c>
      <c r="J1049" s="13" t="s">
        <v>99</v>
      </c>
    </row>
    <row r="1050" spans="2:10" x14ac:dyDescent="0.25">
      <c r="C1050" t="s">
        <v>653</v>
      </c>
      <c r="F1050" s="121" t="s">
        <v>3</v>
      </c>
      <c r="G1050" s="72">
        <v>3.0000000000000001E-3</v>
      </c>
    </row>
    <row r="1051" spans="2:10" x14ac:dyDescent="0.25">
      <c r="D1051" s="4" t="s">
        <v>654</v>
      </c>
      <c r="F1051" s="59"/>
      <c r="G1051" s="72"/>
    </row>
    <row r="1052" spans="2:10" x14ac:dyDescent="0.25">
      <c r="D1052" s="77" t="s">
        <v>124</v>
      </c>
      <c r="F1052" s="121" t="s">
        <v>3</v>
      </c>
      <c r="G1052" s="72">
        <f>(0.045*3.14+0.05+0.04)*0.04*1.2</f>
        <v>1.1102400000000002E-2</v>
      </c>
    </row>
    <row r="1053" spans="2:10" x14ac:dyDescent="0.25">
      <c r="D1053" s="77" t="s">
        <v>168</v>
      </c>
      <c r="F1053" s="121" t="s">
        <v>3</v>
      </c>
      <c r="G1053" s="72">
        <f>1.09*G1052</f>
        <v>1.2101616000000003E-2</v>
      </c>
    </row>
    <row r="1054" spans="2:10" x14ac:dyDescent="0.25">
      <c r="D1054" s="77" t="s">
        <v>114</v>
      </c>
      <c r="F1054" s="121" t="s">
        <v>3</v>
      </c>
      <c r="G1054" s="72">
        <v>7.0000000000000001E-3</v>
      </c>
    </row>
    <row r="1055" spans="2:10" x14ac:dyDescent="0.25">
      <c r="D1055" s="77" t="s">
        <v>164</v>
      </c>
      <c r="F1055" s="121" t="s">
        <v>3</v>
      </c>
      <c r="G1055" s="72">
        <f>0.3*G1054</f>
        <v>2.0999999999999999E-3</v>
      </c>
    </row>
    <row r="1056" spans="2:10" x14ac:dyDescent="0.25">
      <c r="D1056" s="77" t="s">
        <v>115</v>
      </c>
      <c r="F1056" s="121" t="s">
        <v>3</v>
      </c>
      <c r="G1056" s="72">
        <f>0.03*0.1*2*1.39</f>
        <v>8.3400000000000002E-3</v>
      </c>
    </row>
    <row r="1057" spans="2:11" x14ac:dyDescent="0.25">
      <c r="D1057" s="77" t="s">
        <v>12</v>
      </c>
      <c r="F1057" s="121" t="s">
        <v>3</v>
      </c>
      <c r="G1057" s="72">
        <f>0.3*G1056</f>
        <v>2.5019999999999999E-3</v>
      </c>
    </row>
    <row r="1058" spans="2:11" x14ac:dyDescent="0.25">
      <c r="E1058" s="4" t="s">
        <v>655</v>
      </c>
      <c r="F1058" s="59"/>
      <c r="G1058" s="72"/>
    </row>
    <row r="1059" spans="2:11" x14ac:dyDescent="0.25">
      <c r="E1059" t="s">
        <v>656</v>
      </c>
      <c r="F1059" s="121" t="s">
        <v>3</v>
      </c>
      <c r="G1059" s="72">
        <f>0.1*0.025*3*8*1.08</f>
        <v>6.480000000000001E-2</v>
      </c>
    </row>
    <row r="1060" spans="2:11" x14ac:dyDescent="0.25">
      <c r="F1060" s="59"/>
      <c r="G1060" s="72"/>
    </row>
    <row r="1061" spans="2:11" x14ac:dyDescent="0.25">
      <c r="B1061" s="18">
        <v>47</v>
      </c>
      <c r="C1061" s="3" t="s">
        <v>658</v>
      </c>
      <c r="F1061" s="59"/>
      <c r="G1061" s="72"/>
      <c r="H1061" t="s">
        <v>662</v>
      </c>
    </row>
    <row r="1062" spans="2:11" x14ac:dyDescent="0.25">
      <c r="F1062" s="55" t="s">
        <v>646</v>
      </c>
      <c r="G1062" s="147"/>
    </row>
    <row r="1063" spans="2:11" x14ac:dyDescent="0.25">
      <c r="F1063" s="59"/>
      <c r="G1063" s="72"/>
    </row>
    <row r="1064" spans="2:11" x14ac:dyDescent="0.25">
      <c r="B1064" s="18">
        <v>91</v>
      </c>
      <c r="C1064" s="3" t="s">
        <v>663</v>
      </c>
      <c r="F1064" s="59"/>
      <c r="G1064" s="72"/>
      <c r="K1064"/>
    </row>
    <row r="1065" spans="2:11" x14ac:dyDescent="0.25">
      <c r="C1065" s="77" t="s">
        <v>39</v>
      </c>
      <c r="F1065" s="121" t="s">
        <v>3</v>
      </c>
      <c r="G1065" s="72">
        <f>0.03*0.04*1.2</f>
        <v>1.4399999999999999E-3</v>
      </c>
      <c r="K1065"/>
    </row>
    <row r="1066" spans="2:11" x14ac:dyDescent="0.25">
      <c r="C1066" s="77" t="s">
        <v>40</v>
      </c>
      <c r="F1066" s="121" t="s">
        <v>3</v>
      </c>
      <c r="G1066" s="72">
        <f>1.5*G1065</f>
        <v>2.1599999999999996E-3</v>
      </c>
      <c r="K1066"/>
    </row>
    <row r="1067" spans="2:11" x14ac:dyDescent="0.25">
      <c r="D1067" s="4" t="s">
        <v>664</v>
      </c>
      <c r="F1067" s="121" t="s">
        <v>3</v>
      </c>
      <c r="G1067" s="72"/>
      <c r="K1067"/>
    </row>
    <row r="1068" spans="2:11" x14ac:dyDescent="0.25">
      <c r="D1068" t="s">
        <v>150</v>
      </c>
      <c r="F1068" s="121" t="s">
        <v>3</v>
      </c>
      <c r="G1068" s="72">
        <f>0.05*0.012*2*8*1.1</f>
        <v>1.0560000000000002E-2</v>
      </c>
      <c r="K1068"/>
    </row>
    <row r="1069" spans="2:11" x14ac:dyDescent="0.25">
      <c r="F1069" s="59"/>
      <c r="G1069" s="72"/>
      <c r="K1069"/>
    </row>
    <row r="1070" spans="2:11" x14ac:dyDescent="0.25">
      <c r="B1070" s="14">
        <v>107</v>
      </c>
      <c r="C1070" s="3" t="s">
        <v>666</v>
      </c>
      <c r="F1070" s="59"/>
      <c r="G1070" s="72"/>
      <c r="K1070"/>
    </row>
    <row r="1071" spans="2:11" x14ac:dyDescent="0.25">
      <c r="D1071" t="s">
        <v>667</v>
      </c>
      <c r="F1071" s="57"/>
      <c r="G1071" s="147"/>
      <c r="K1071"/>
    </row>
    <row r="1072" spans="2:11" x14ac:dyDescent="0.25">
      <c r="F1072" s="59"/>
      <c r="G1072" s="72"/>
      <c r="K1072"/>
    </row>
    <row r="1073" spans="2:11" x14ac:dyDescent="0.25">
      <c r="B1073" s="14">
        <v>108</v>
      </c>
      <c r="C1073" s="3" t="s">
        <v>668</v>
      </c>
      <c r="F1073" s="122"/>
      <c r="G1073" s="72"/>
      <c r="K1073"/>
    </row>
    <row r="1074" spans="2:11" x14ac:dyDescent="0.25">
      <c r="D1074" t="s">
        <v>667</v>
      </c>
      <c r="F1074" s="57"/>
      <c r="G1074" s="147"/>
      <c r="K1074"/>
    </row>
    <row r="1075" spans="2:11" x14ac:dyDescent="0.25">
      <c r="B1075" s="13"/>
      <c r="F1075" s="59"/>
      <c r="G1075" s="72"/>
      <c r="K1075"/>
    </row>
    <row r="1076" spans="2:11" x14ac:dyDescent="0.25">
      <c r="B1076" s="14">
        <v>113</v>
      </c>
      <c r="C1076" s="3" t="s">
        <v>669</v>
      </c>
      <c r="F1076" s="59"/>
      <c r="G1076" s="72"/>
      <c r="K1076"/>
    </row>
    <row r="1077" spans="2:11" x14ac:dyDescent="0.25">
      <c r="B1077" s="13"/>
      <c r="D1077" s="4" t="s">
        <v>670</v>
      </c>
      <c r="F1077" s="59"/>
      <c r="G1077" s="72"/>
      <c r="K1077"/>
    </row>
    <row r="1078" spans="2:11" x14ac:dyDescent="0.25">
      <c r="B1078" s="13"/>
      <c r="D1078" t="s">
        <v>671</v>
      </c>
      <c r="F1078" s="122" t="s">
        <v>3</v>
      </c>
      <c r="G1078" s="72">
        <v>6.0000000000000001E-3</v>
      </c>
      <c r="K1078"/>
    </row>
    <row r="1079" spans="2:11" x14ac:dyDescent="0.25">
      <c r="B1079" s="13"/>
      <c r="D1079" t="s">
        <v>672</v>
      </c>
      <c r="F1079" s="122" t="s">
        <v>3</v>
      </c>
      <c r="G1079" s="72">
        <v>0.01</v>
      </c>
      <c r="K1079"/>
    </row>
    <row r="1080" spans="2:11" x14ac:dyDescent="0.25">
      <c r="B1080" s="13"/>
      <c r="E1080" s="4" t="s">
        <v>673</v>
      </c>
      <c r="F1080" s="9"/>
      <c r="G1080" s="72"/>
      <c r="K1080"/>
    </row>
    <row r="1081" spans="2:11" x14ac:dyDescent="0.25">
      <c r="B1081" s="13"/>
      <c r="E1081" t="s">
        <v>674</v>
      </c>
      <c r="F1081" s="122" t="s">
        <v>3</v>
      </c>
      <c r="G1081" s="72">
        <f>0.015</f>
        <v>1.4999999999999999E-2</v>
      </c>
      <c r="K1081"/>
    </row>
    <row r="1082" spans="2:11" x14ac:dyDescent="0.25">
      <c r="B1082" s="13"/>
      <c r="E1082" s="3" t="s">
        <v>675</v>
      </c>
      <c r="F1082" s="59"/>
      <c r="G1082" s="72"/>
      <c r="K1082"/>
    </row>
    <row r="1083" spans="2:11" ht="17.25" x14ac:dyDescent="0.25">
      <c r="B1083" s="13"/>
      <c r="E1083" t="s">
        <v>676</v>
      </c>
      <c r="F1083" s="122" t="s">
        <v>677</v>
      </c>
      <c r="G1083" s="72">
        <v>3.0000000000000001E-3</v>
      </c>
      <c r="K1083"/>
    </row>
    <row r="1084" spans="2:11" x14ac:dyDescent="0.25">
      <c r="B1084" s="13"/>
      <c r="F1084" s="59"/>
      <c r="G1084" s="72"/>
      <c r="K1084"/>
    </row>
    <row r="1085" spans="2:11" x14ac:dyDescent="0.25">
      <c r="B1085" s="14">
        <v>114</v>
      </c>
      <c r="C1085" s="3" t="s">
        <v>678</v>
      </c>
      <c r="F1085" s="59"/>
      <c r="G1085" s="72"/>
      <c r="K1085"/>
    </row>
    <row r="1086" spans="2:11" x14ac:dyDescent="0.25">
      <c r="B1086" s="13"/>
      <c r="C1086" t="s">
        <v>114</v>
      </c>
      <c r="F1086" s="122" t="s">
        <v>3</v>
      </c>
      <c r="G1086" s="72">
        <v>3.0000000000000001E-3</v>
      </c>
      <c r="K1086"/>
    </row>
    <row r="1087" spans="2:11" x14ac:dyDescent="0.25">
      <c r="B1087" s="13"/>
      <c r="C1087" t="s">
        <v>164</v>
      </c>
      <c r="F1087" s="122" t="s">
        <v>3</v>
      </c>
      <c r="G1087" s="72">
        <v>1E-3</v>
      </c>
      <c r="K1087"/>
    </row>
    <row r="1088" spans="2:11" x14ac:dyDescent="0.25">
      <c r="B1088" s="13"/>
      <c r="C1088" t="s">
        <v>375</v>
      </c>
      <c r="F1088" s="122" t="s">
        <v>3</v>
      </c>
      <c r="G1088" s="72">
        <f>0.1*0.011*2*1.39</f>
        <v>3.058E-3</v>
      </c>
      <c r="K1088"/>
    </row>
    <row r="1089" spans="2:11" x14ac:dyDescent="0.25">
      <c r="B1089" s="13"/>
      <c r="C1089" t="s">
        <v>12</v>
      </c>
      <c r="F1089" s="122" t="s">
        <v>3</v>
      </c>
      <c r="G1089" s="72">
        <v>1E-3</v>
      </c>
      <c r="K1089"/>
    </row>
    <row r="1090" spans="2:11" x14ac:dyDescent="0.25">
      <c r="B1090" s="13"/>
      <c r="C1090" t="s">
        <v>140</v>
      </c>
      <c r="F1090" s="122" t="s">
        <v>3</v>
      </c>
      <c r="G1090" s="72">
        <f>0.07*0.08</f>
        <v>5.6000000000000008E-3</v>
      </c>
      <c r="K1090"/>
    </row>
    <row r="1091" spans="2:11" ht="17.25" x14ac:dyDescent="0.25">
      <c r="B1091" s="13"/>
      <c r="C1091" t="s">
        <v>23</v>
      </c>
      <c r="F1091" s="122" t="s">
        <v>596</v>
      </c>
      <c r="G1091" s="72">
        <f>G1090*1.5</f>
        <v>8.4000000000000012E-3</v>
      </c>
      <c r="K1091"/>
    </row>
    <row r="1092" spans="2:11" x14ac:dyDescent="0.25">
      <c r="B1092" s="13"/>
      <c r="C1092" t="s">
        <v>142</v>
      </c>
      <c r="F1092" s="122" t="s">
        <v>3</v>
      </c>
      <c r="G1092" s="72">
        <f>G1090/4</f>
        <v>1.4000000000000002E-3</v>
      </c>
      <c r="K1092"/>
    </row>
    <row r="1093" spans="2:11" x14ac:dyDescent="0.25">
      <c r="B1093" s="13"/>
      <c r="D1093" s="4" t="s">
        <v>679</v>
      </c>
      <c r="F1093" s="59"/>
      <c r="G1093" s="72"/>
      <c r="K1093"/>
    </row>
    <row r="1094" spans="2:11" x14ac:dyDescent="0.25">
      <c r="B1094" s="13"/>
      <c r="D1094" t="s">
        <v>680</v>
      </c>
      <c r="F1094" s="122" t="s">
        <v>3</v>
      </c>
      <c r="G1094" s="72">
        <v>4.4999999999999998E-2</v>
      </c>
      <c r="K1094"/>
    </row>
    <row r="1095" spans="2:11" x14ac:dyDescent="0.25">
      <c r="B1095" s="13"/>
      <c r="F1095" s="59"/>
      <c r="G1095" s="72"/>
      <c r="K1095"/>
    </row>
    <row r="1096" spans="2:11" x14ac:dyDescent="0.25">
      <c r="B1096" s="14">
        <v>119</v>
      </c>
      <c r="C1096" s="3" t="s">
        <v>682</v>
      </c>
      <c r="F1096" s="59"/>
      <c r="G1096" s="72"/>
      <c r="I1096" t="s">
        <v>685</v>
      </c>
      <c r="J1096" s="13" t="s">
        <v>99</v>
      </c>
      <c r="K1096"/>
    </row>
    <row r="1097" spans="2:11" x14ac:dyDescent="0.25">
      <c r="B1097" s="13"/>
      <c r="D1097" s="4" t="s">
        <v>683</v>
      </c>
      <c r="F1097" s="59"/>
      <c r="G1097" s="72"/>
      <c r="K1097"/>
    </row>
    <row r="1098" spans="2:11" x14ac:dyDescent="0.25">
      <c r="B1098" s="13"/>
      <c r="D1098" t="s">
        <v>684</v>
      </c>
      <c r="F1098" s="122" t="s">
        <v>3</v>
      </c>
      <c r="G1098" s="148">
        <f>0.01*0.01*1.2*8.5*1.5</f>
        <v>1.5300000000000001E-3</v>
      </c>
      <c r="K1098"/>
    </row>
    <row r="1099" spans="2:11" x14ac:dyDescent="0.25">
      <c r="B1099" s="13"/>
      <c r="F1099" s="59"/>
      <c r="G1099" s="72"/>
      <c r="I1099" s="3" t="s">
        <v>686</v>
      </c>
      <c r="K1099"/>
    </row>
    <row r="1100" spans="2:11" x14ac:dyDescent="0.25">
      <c r="B1100" s="14">
        <v>126</v>
      </c>
      <c r="C1100" s="3" t="s">
        <v>690</v>
      </c>
      <c r="F1100" s="59"/>
      <c r="G1100" s="72"/>
      <c r="I1100" t="s">
        <v>687</v>
      </c>
      <c r="J1100" s="1038" t="s">
        <v>99</v>
      </c>
      <c r="K1100"/>
    </row>
    <row r="1101" spans="2:11" x14ac:dyDescent="0.25">
      <c r="B1101" s="13"/>
      <c r="D1101" t="s">
        <v>691</v>
      </c>
      <c r="F1101" s="122" t="s">
        <v>3</v>
      </c>
      <c r="G1101" s="72">
        <f>0.042*0.025*3*8*1.1</f>
        <v>2.7720000000000005E-2</v>
      </c>
      <c r="I1101" t="s">
        <v>688</v>
      </c>
      <c r="J1101" s="1038"/>
      <c r="K1101"/>
    </row>
    <row r="1102" spans="2:11" x14ac:dyDescent="0.25">
      <c r="B1102" s="13"/>
      <c r="F1102" s="59"/>
      <c r="G1102" s="72"/>
      <c r="I1102" t="s">
        <v>689</v>
      </c>
      <c r="J1102" s="1038"/>
      <c r="K1102"/>
    </row>
    <row r="1103" spans="2:11" x14ac:dyDescent="0.25">
      <c r="B1103" s="14">
        <v>136</v>
      </c>
      <c r="C1103" s="3" t="s">
        <v>692</v>
      </c>
      <c r="F1103" s="59"/>
      <c r="G1103" s="72"/>
      <c r="I1103" s="3" t="s">
        <v>692</v>
      </c>
      <c r="J1103" s="13" t="s">
        <v>99</v>
      </c>
      <c r="K1103"/>
    </row>
    <row r="1104" spans="2:11" x14ac:dyDescent="0.25">
      <c r="B1104" s="13"/>
      <c r="C1104" t="s">
        <v>140</v>
      </c>
      <c r="F1104" s="122" t="s">
        <v>3</v>
      </c>
      <c r="G1104" s="72">
        <f>(0.038*6+0.019*6)*0.08*1.2</f>
        <v>3.2832E-2</v>
      </c>
      <c r="K1104"/>
    </row>
    <row r="1105" spans="2:11" ht="17.25" x14ac:dyDescent="0.25">
      <c r="B1105" s="13"/>
      <c r="C1105" t="s">
        <v>23</v>
      </c>
      <c r="F1105" s="122" t="s">
        <v>596</v>
      </c>
      <c r="G1105" s="72">
        <f>G1104*1.5</f>
        <v>4.9248E-2</v>
      </c>
      <c r="K1105"/>
    </row>
    <row r="1106" spans="2:11" x14ac:dyDescent="0.25">
      <c r="B1106" s="13"/>
      <c r="C1106" t="s">
        <v>142</v>
      </c>
      <c r="F1106" s="122" t="s">
        <v>3</v>
      </c>
      <c r="G1106" s="72">
        <f>G1104/4</f>
        <v>8.208E-3</v>
      </c>
      <c r="K1106"/>
    </row>
    <row r="1107" spans="2:11" x14ac:dyDescent="0.25">
      <c r="B1107" s="13"/>
      <c r="C1107" s="8" t="s">
        <v>143</v>
      </c>
      <c r="D1107" s="8"/>
      <c r="E1107" s="8"/>
      <c r="F1107" s="122" t="s">
        <v>3</v>
      </c>
      <c r="G1107" s="72">
        <v>1.4999999999999999E-2</v>
      </c>
      <c r="K1107"/>
    </row>
    <row r="1108" spans="2:11" x14ac:dyDescent="0.25">
      <c r="B1108" s="13"/>
      <c r="C1108" s="8" t="s">
        <v>8</v>
      </c>
      <c r="D1108" s="8"/>
      <c r="E1108" s="8"/>
      <c r="F1108" s="122" t="s">
        <v>3</v>
      </c>
      <c r="G1108" s="72">
        <f>(0.21+0.21+0.16+0.18+0.08+0.1)*0.011*1.39</f>
        <v>1.4372599999999998E-2</v>
      </c>
      <c r="K1108"/>
    </row>
    <row r="1109" spans="2:11" x14ac:dyDescent="0.25">
      <c r="B1109" s="13"/>
      <c r="C1109" s="8" t="s">
        <v>152</v>
      </c>
      <c r="D1109" s="8"/>
      <c r="E1109" s="8"/>
      <c r="F1109" s="122" t="s">
        <v>3</v>
      </c>
      <c r="G1109" s="72">
        <f>(0.21+0.21+0.16+0.18+0.08+0.1)*0.011*2*1.1</f>
        <v>2.2747999999999997E-2</v>
      </c>
      <c r="K1109"/>
    </row>
    <row r="1110" spans="2:11" x14ac:dyDescent="0.25">
      <c r="B1110" s="13"/>
      <c r="C1110" s="8" t="s">
        <v>12</v>
      </c>
      <c r="D1110" s="8"/>
      <c r="E1110" s="8"/>
      <c r="F1110" s="122" t="s">
        <v>3</v>
      </c>
      <c r="G1110" s="72">
        <f>0.3*(G1109+G1108+G1107)</f>
        <v>1.563618E-2</v>
      </c>
      <c r="K1110"/>
    </row>
    <row r="1111" spans="2:11" x14ac:dyDescent="0.25">
      <c r="B1111" s="13"/>
      <c r="D1111" s="4" t="s">
        <v>693</v>
      </c>
      <c r="F1111" s="59"/>
      <c r="G1111" s="72"/>
      <c r="K1111"/>
    </row>
    <row r="1112" spans="2:11" x14ac:dyDescent="0.25">
      <c r="B1112" s="13"/>
      <c r="D1112" t="s">
        <v>154</v>
      </c>
      <c r="F1112" s="122" t="s">
        <v>3</v>
      </c>
      <c r="G1112" s="72">
        <v>3.1E-2</v>
      </c>
      <c r="H1112" t="s">
        <v>701</v>
      </c>
      <c r="K1112"/>
    </row>
    <row r="1113" spans="2:11" x14ac:dyDescent="0.25">
      <c r="B1113" s="13"/>
      <c r="D1113" s="4" t="s">
        <v>694</v>
      </c>
      <c r="F1113" s="59"/>
      <c r="G1113" s="72"/>
      <c r="K1113"/>
    </row>
    <row r="1114" spans="2:11" x14ac:dyDescent="0.25">
      <c r="B1114" s="13"/>
      <c r="D1114" t="s">
        <v>159</v>
      </c>
      <c r="F1114" s="122" t="s">
        <v>3</v>
      </c>
      <c r="G1114" s="72">
        <v>7.0000000000000007E-2</v>
      </c>
      <c r="H1114" t="s">
        <v>704</v>
      </c>
      <c r="K1114"/>
    </row>
    <row r="1115" spans="2:11" x14ac:dyDescent="0.25">
      <c r="B1115" s="13"/>
      <c r="D1115" s="4" t="s">
        <v>695</v>
      </c>
      <c r="F1115" s="59"/>
      <c r="G1115" s="72"/>
      <c r="K1115"/>
    </row>
    <row r="1116" spans="2:11" x14ac:dyDescent="0.25">
      <c r="B1116" s="13"/>
      <c r="D1116" t="s">
        <v>159</v>
      </c>
      <c r="F1116" s="122" t="s">
        <v>3</v>
      </c>
      <c r="G1116" s="72">
        <v>5.5E-2</v>
      </c>
      <c r="H1116" t="s">
        <v>699</v>
      </c>
      <c r="K1116"/>
    </row>
    <row r="1117" spans="2:11" x14ac:dyDescent="0.25">
      <c r="B1117" s="13"/>
      <c r="D1117" s="4" t="s">
        <v>696</v>
      </c>
      <c r="F1117" s="59"/>
      <c r="G1117" s="72"/>
      <c r="K1117"/>
    </row>
    <row r="1118" spans="2:11" x14ac:dyDescent="0.25">
      <c r="B1118" s="13"/>
      <c r="D1118" t="s">
        <v>159</v>
      </c>
      <c r="F1118" s="122" t="s">
        <v>3</v>
      </c>
      <c r="G1118" s="72">
        <v>5.5E-2</v>
      </c>
      <c r="H1118" t="s">
        <v>700</v>
      </c>
      <c r="K1118"/>
    </row>
    <row r="1119" spans="2:11" x14ac:dyDescent="0.25">
      <c r="B1119" s="13"/>
      <c r="D1119" s="4" t="s">
        <v>697</v>
      </c>
      <c r="F1119" s="59"/>
      <c r="G1119" s="72"/>
      <c r="K1119"/>
    </row>
    <row r="1120" spans="2:11" x14ac:dyDescent="0.25">
      <c r="B1120" s="13"/>
      <c r="D1120" t="s">
        <v>154</v>
      </c>
      <c r="F1120" s="122" t="s">
        <v>3</v>
      </c>
      <c r="G1120" s="72">
        <v>1.2E-2</v>
      </c>
      <c r="H1120" t="s">
        <v>702</v>
      </c>
      <c r="K1120"/>
    </row>
    <row r="1121" spans="2:11" x14ac:dyDescent="0.25">
      <c r="B1121" s="13"/>
      <c r="D1121" s="4" t="s">
        <v>698</v>
      </c>
      <c r="F1121" s="59"/>
      <c r="G1121" s="72"/>
      <c r="K1121"/>
    </row>
    <row r="1122" spans="2:11" x14ac:dyDescent="0.25">
      <c r="B1122" s="13"/>
      <c r="D1122" t="s">
        <v>154</v>
      </c>
      <c r="F1122" s="122" t="s">
        <v>3</v>
      </c>
      <c r="G1122" s="72">
        <v>1.6E-2</v>
      </c>
      <c r="H1122" t="s">
        <v>703</v>
      </c>
      <c r="K1122"/>
    </row>
    <row r="1123" spans="2:11" x14ac:dyDescent="0.25">
      <c r="B1123" s="13"/>
      <c r="F1123" s="59"/>
      <c r="G1123" s="72"/>
      <c r="K1123"/>
    </row>
    <row r="1124" spans="2:11" x14ac:dyDescent="0.25">
      <c r="B1124" s="14">
        <v>137</v>
      </c>
      <c r="C1124" s="3" t="s">
        <v>768</v>
      </c>
      <c r="F1124" s="59"/>
      <c r="G1124" s="72"/>
      <c r="K1124"/>
    </row>
    <row r="1125" spans="2:11" x14ac:dyDescent="0.25">
      <c r="B1125" s="13"/>
      <c r="C1125" t="s">
        <v>140</v>
      </c>
      <c r="F1125" s="122" t="s">
        <v>3</v>
      </c>
      <c r="G1125" s="72">
        <v>4.0000000000000001E-3</v>
      </c>
      <c r="K1125"/>
    </row>
    <row r="1126" spans="2:11" ht="17.25" x14ac:dyDescent="0.25">
      <c r="B1126" s="13"/>
      <c r="C1126" t="s">
        <v>23</v>
      </c>
      <c r="F1126" s="122" t="s">
        <v>596</v>
      </c>
      <c r="G1126" s="72">
        <v>6.0000000000000001E-3</v>
      </c>
      <c r="K1126"/>
    </row>
    <row r="1127" spans="2:11" x14ac:dyDescent="0.25">
      <c r="B1127" s="13"/>
      <c r="C1127" t="s">
        <v>142</v>
      </c>
      <c r="F1127" s="122" t="s">
        <v>3</v>
      </c>
      <c r="G1127" s="72">
        <v>1E-3</v>
      </c>
      <c r="K1127"/>
    </row>
    <row r="1128" spans="2:11" x14ac:dyDescent="0.25">
      <c r="B1128" s="13"/>
      <c r="C1128" s="8" t="s">
        <v>143</v>
      </c>
      <c r="F1128" s="122" t="s">
        <v>3</v>
      </c>
      <c r="G1128" s="72">
        <v>1.4999999999999999E-2</v>
      </c>
      <c r="K1128"/>
    </row>
    <row r="1129" spans="2:11" x14ac:dyDescent="0.25">
      <c r="B1129" s="13"/>
      <c r="C1129" s="8" t="s">
        <v>8</v>
      </c>
      <c r="F1129" s="122" t="s">
        <v>3</v>
      </c>
      <c r="G1129" s="72">
        <v>1.4E-2</v>
      </c>
      <c r="K1129"/>
    </row>
    <row r="1130" spans="2:11" x14ac:dyDescent="0.25">
      <c r="B1130" s="13"/>
      <c r="C1130" s="8" t="s">
        <v>152</v>
      </c>
      <c r="F1130" s="122" t="s">
        <v>3</v>
      </c>
      <c r="G1130" s="72">
        <v>2.3E-2</v>
      </c>
      <c r="K1130"/>
    </row>
    <row r="1131" spans="2:11" x14ac:dyDescent="0.25">
      <c r="B1131" s="13"/>
      <c r="C1131" s="8" t="s">
        <v>12</v>
      </c>
      <c r="F1131" s="122" t="s">
        <v>3</v>
      </c>
      <c r="G1131" s="72">
        <f>0.3*(G1130+G1129+G1128)</f>
        <v>1.5599999999999999E-2</v>
      </c>
      <c r="K1131"/>
    </row>
    <row r="1132" spans="2:11" x14ac:dyDescent="0.25">
      <c r="B1132" s="13"/>
      <c r="C1132" s="8" t="s">
        <v>13</v>
      </c>
      <c r="F1132" s="122" t="s">
        <v>3</v>
      </c>
      <c r="G1132" s="72">
        <v>0.1</v>
      </c>
      <c r="K1132"/>
    </row>
    <row r="1133" spans="2:11" x14ac:dyDescent="0.25">
      <c r="B1133" s="13"/>
      <c r="D1133" s="4" t="s">
        <v>705</v>
      </c>
      <c r="F1133" s="59"/>
      <c r="G1133" s="72"/>
      <c r="K1133"/>
    </row>
    <row r="1134" spans="2:11" x14ac:dyDescent="0.25">
      <c r="B1134" s="13"/>
      <c r="D1134" t="s">
        <v>154</v>
      </c>
      <c r="F1134" s="122" t="s">
        <v>3</v>
      </c>
      <c r="G1134" s="72">
        <v>0.20300000000000001</v>
      </c>
      <c r="K1134"/>
    </row>
    <row r="1135" spans="2:11" x14ac:dyDescent="0.25">
      <c r="B1135" s="13"/>
      <c r="F1135" s="59"/>
      <c r="G1135" s="72"/>
      <c r="K1135"/>
    </row>
    <row r="1136" spans="2:11" x14ac:dyDescent="0.25">
      <c r="B1136" s="14">
        <v>138</v>
      </c>
      <c r="C1136" s="3" t="s">
        <v>706</v>
      </c>
      <c r="F1136" s="59"/>
      <c r="G1136" s="72"/>
      <c r="K1136"/>
    </row>
    <row r="1137" spans="2:11" x14ac:dyDescent="0.25">
      <c r="B1137" s="13"/>
      <c r="C1137" t="s">
        <v>140</v>
      </c>
      <c r="F1137" s="122" t="s">
        <v>3</v>
      </c>
      <c r="G1137" s="72">
        <f>0.04*0.08*1.3</f>
        <v>4.1600000000000005E-3</v>
      </c>
      <c r="K1137"/>
    </row>
    <row r="1138" spans="2:11" ht="17.25" x14ac:dyDescent="0.25">
      <c r="B1138" s="13"/>
      <c r="C1138" t="s">
        <v>23</v>
      </c>
      <c r="F1138" s="122" t="s">
        <v>596</v>
      </c>
      <c r="G1138" s="72">
        <f>G1137*1.5</f>
        <v>6.2400000000000008E-3</v>
      </c>
      <c r="K1138"/>
    </row>
    <row r="1139" spans="2:11" x14ac:dyDescent="0.25">
      <c r="B1139" s="13"/>
      <c r="C1139" t="s">
        <v>142</v>
      </c>
      <c r="F1139" s="122" t="s">
        <v>3</v>
      </c>
      <c r="G1139" s="72">
        <f>G1137/4</f>
        <v>1.0400000000000001E-3</v>
      </c>
      <c r="K1139"/>
    </row>
    <row r="1140" spans="2:11" x14ac:dyDescent="0.25">
      <c r="B1140" s="13"/>
      <c r="C1140" s="8" t="s">
        <v>143</v>
      </c>
      <c r="F1140" s="122" t="s">
        <v>3</v>
      </c>
      <c r="G1140" s="72">
        <v>1.4999999999999999E-2</v>
      </c>
      <c r="K1140"/>
    </row>
    <row r="1141" spans="2:11" x14ac:dyDescent="0.25">
      <c r="B1141" s="13"/>
      <c r="C1141" s="8" t="s">
        <v>8</v>
      </c>
      <c r="F1141" s="122" t="s">
        <v>3</v>
      </c>
      <c r="G1141" s="72">
        <v>1.4999999999999999E-2</v>
      </c>
      <c r="K1141"/>
    </row>
    <row r="1142" spans="2:11" x14ac:dyDescent="0.25">
      <c r="B1142" s="13"/>
      <c r="C1142" s="8" t="s">
        <v>152</v>
      </c>
      <c r="F1142" s="122" t="s">
        <v>3</v>
      </c>
      <c r="G1142" s="72">
        <f>1.4*0.011*1.3</f>
        <v>2.002E-2</v>
      </c>
      <c r="K1142"/>
    </row>
    <row r="1143" spans="2:11" x14ac:dyDescent="0.25">
      <c r="B1143" s="13"/>
      <c r="C1143" s="8" t="s">
        <v>12</v>
      </c>
      <c r="F1143" s="122" t="s">
        <v>3</v>
      </c>
      <c r="G1143" s="72">
        <f>0.3*(G1142+G1141+G1140)</f>
        <v>1.5005999999999999E-2</v>
      </c>
      <c r="K1143"/>
    </row>
    <row r="1144" spans="2:11" x14ac:dyDescent="0.25">
      <c r="B1144" s="13"/>
      <c r="C1144" s="8" t="s">
        <v>13</v>
      </c>
      <c r="F1144" s="122" t="s">
        <v>3</v>
      </c>
      <c r="G1144" s="72">
        <v>0.1</v>
      </c>
      <c r="K1144"/>
    </row>
    <row r="1145" spans="2:11" x14ac:dyDescent="0.25">
      <c r="B1145" s="13"/>
      <c r="D1145" s="4" t="s">
        <v>724</v>
      </c>
      <c r="F1145" s="59"/>
      <c r="G1145" s="72"/>
      <c r="K1145"/>
    </row>
    <row r="1146" spans="2:11" x14ac:dyDescent="0.25">
      <c r="B1146" s="13"/>
      <c r="D1146" t="s">
        <v>154</v>
      </c>
      <c r="F1146" s="122" t="s">
        <v>3</v>
      </c>
      <c r="G1146" s="72">
        <v>0.185</v>
      </c>
      <c r="H1146" t="s">
        <v>707</v>
      </c>
      <c r="K1146"/>
    </row>
    <row r="1147" spans="2:11" x14ac:dyDescent="0.25">
      <c r="B1147" s="13"/>
      <c r="F1147" s="59"/>
      <c r="G1147" s="72"/>
      <c r="K1147"/>
    </row>
    <row r="1148" spans="2:11" x14ac:dyDescent="0.25">
      <c r="B1148" s="14">
        <v>144</v>
      </c>
      <c r="C1148" s="3" t="s">
        <v>708</v>
      </c>
      <c r="F1148" s="122"/>
      <c r="G1148" s="72"/>
      <c r="K1148"/>
    </row>
    <row r="1149" spans="2:11" x14ac:dyDescent="0.25">
      <c r="B1149" s="13"/>
      <c r="C1149" t="s">
        <v>140</v>
      </c>
      <c r="F1149" s="122" t="s">
        <v>3</v>
      </c>
      <c r="G1149" s="72">
        <f>0.04*0.08*1.3</f>
        <v>4.1600000000000005E-3</v>
      </c>
      <c r="K1149"/>
    </row>
    <row r="1150" spans="2:11" ht="17.25" x14ac:dyDescent="0.25">
      <c r="B1150" s="13"/>
      <c r="C1150" t="s">
        <v>23</v>
      </c>
      <c r="F1150" s="122" t="s">
        <v>596</v>
      </c>
      <c r="G1150" s="72">
        <f>G1149*1.5</f>
        <v>6.2400000000000008E-3</v>
      </c>
      <c r="K1150"/>
    </row>
    <row r="1151" spans="2:11" x14ac:dyDescent="0.25">
      <c r="B1151" s="13"/>
      <c r="C1151" t="s">
        <v>142</v>
      </c>
      <c r="F1151" s="122" t="s">
        <v>3</v>
      </c>
      <c r="G1151" s="72">
        <f>G1149/4</f>
        <v>1.0400000000000001E-3</v>
      </c>
      <c r="K1151"/>
    </row>
    <row r="1152" spans="2:11" x14ac:dyDescent="0.25">
      <c r="B1152" s="13"/>
      <c r="C1152" s="8" t="s">
        <v>143</v>
      </c>
      <c r="F1152" s="122" t="s">
        <v>3</v>
      </c>
      <c r="G1152" s="72">
        <v>1.4999999999999999E-2</v>
      </c>
      <c r="K1152"/>
    </row>
    <row r="1153" spans="2:11" x14ac:dyDescent="0.25">
      <c r="B1153" s="13"/>
      <c r="C1153" s="8" t="s">
        <v>8</v>
      </c>
      <c r="F1153" s="122" t="s">
        <v>3</v>
      </c>
      <c r="G1153" s="72">
        <v>1.4999999999999999E-2</v>
      </c>
      <c r="K1153"/>
    </row>
    <row r="1154" spans="2:11" x14ac:dyDescent="0.25">
      <c r="B1154" s="13"/>
      <c r="C1154" s="8" t="s">
        <v>152</v>
      </c>
      <c r="F1154" s="122" t="s">
        <v>3</v>
      </c>
      <c r="G1154" s="72">
        <f>1.4*0.011*1.3</f>
        <v>2.002E-2</v>
      </c>
      <c r="K1154"/>
    </row>
    <row r="1155" spans="2:11" x14ac:dyDescent="0.25">
      <c r="B1155" s="13"/>
      <c r="C1155" s="8" t="s">
        <v>12</v>
      </c>
      <c r="F1155" s="122" t="s">
        <v>3</v>
      </c>
      <c r="G1155" s="72">
        <f>0.3*(G1154+G1153+G1152)</f>
        <v>1.5005999999999999E-2</v>
      </c>
      <c r="K1155"/>
    </row>
    <row r="1156" spans="2:11" x14ac:dyDescent="0.25">
      <c r="B1156" s="13"/>
      <c r="C1156" s="8" t="s">
        <v>13</v>
      </c>
      <c r="F1156" s="122" t="s">
        <v>3</v>
      </c>
      <c r="G1156" s="72">
        <v>0.1</v>
      </c>
      <c r="K1156"/>
    </row>
    <row r="1157" spans="2:11" x14ac:dyDescent="0.25">
      <c r="B1157" s="13"/>
      <c r="D1157" s="4" t="s">
        <v>725</v>
      </c>
      <c r="F1157" s="122"/>
      <c r="G1157" s="72"/>
      <c r="K1157"/>
    </row>
    <row r="1158" spans="2:11" x14ac:dyDescent="0.25">
      <c r="B1158" s="13"/>
      <c r="D1158" t="s">
        <v>154</v>
      </c>
      <c r="F1158" s="122" t="s">
        <v>3</v>
      </c>
      <c r="G1158" s="72">
        <v>0.185</v>
      </c>
      <c r="H1158" t="s">
        <v>709</v>
      </c>
      <c r="K1158"/>
    </row>
    <row r="1159" spans="2:11" x14ac:dyDescent="0.25">
      <c r="B1159" s="13"/>
      <c r="F1159" s="59"/>
      <c r="G1159" s="72"/>
      <c r="K1159"/>
    </row>
    <row r="1160" spans="2:11" x14ac:dyDescent="0.25">
      <c r="B1160" s="14">
        <v>148</v>
      </c>
      <c r="C1160" s="3" t="s">
        <v>710</v>
      </c>
      <c r="F1160" s="122"/>
      <c r="G1160" s="72"/>
      <c r="K1160"/>
    </row>
    <row r="1161" spans="2:11" x14ac:dyDescent="0.25">
      <c r="B1161" s="13"/>
      <c r="C1161" t="s">
        <v>13</v>
      </c>
      <c r="F1161" s="122" t="s">
        <v>3</v>
      </c>
      <c r="G1161" s="72">
        <v>0.06</v>
      </c>
      <c r="K1161"/>
    </row>
    <row r="1162" spans="2:11" x14ac:dyDescent="0.25">
      <c r="B1162" s="13"/>
      <c r="C1162" t="s">
        <v>51</v>
      </c>
      <c r="F1162" s="122" t="s">
        <v>3</v>
      </c>
      <c r="G1162" s="72">
        <f>0.012*3.14*2*0.08*1.1</f>
        <v>6.6316800000000018E-3</v>
      </c>
      <c r="K1162"/>
    </row>
    <row r="1163" spans="2:11" ht="17.25" x14ac:dyDescent="0.25">
      <c r="B1163" s="13"/>
      <c r="C1163" t="s">
        <v>52</v>
      </c>
      <c r="F1163" s="122" t="s">
        <v>596</v>
      </c>
      <c r="G1163" s="72">
        <f>G1162*2</f>
        <v>1.3263360000000004E-2</v>
      </c>
      <c r="K1163"/>
    </row>
    <row r="1164" spans="2:11" x14ac:dyDescent="0.25">
      <c r="B1164" s="13"/>
      <c r="C1164" t="s">
        <v>24</v>
      </c>
      <c r="F1164" s="122" t="s">
        <v>3</v>
      </c>
      <c r="G1164" s="72">
        <f>G1162/4</f>
        <v>1.6579200000000004E-3</v>
      </c>
      <c r="K1164"/>
    </row>
    <row r="1165" spans="2:11" x14ac:dyDescent="0.25">
      <c r="B1165" s="13"/>
      <c r="C1165" t="s">
        <v>143</v>
      </c>
      <c r="F1165" s="122" t="s">
        <v>3</v>
      </c>
      <c r="G1165" s="72">
        <f>G1167</f>
        <v>1.2232E-2</v>
      </c>
      <c r="K1165"/>
    </row>
    <row r="1166" spans="2:11" x14ac:dyDescent="0.25">
      <c r="B1166" s="13"/>
      <c r="C1166" t="s">
        <v>147</v>
      </c>
      <c r="F1166" s="122" t="s">
        <v>3</v>
      </c>
      <c r="G1166" s="72">
        <f>0.3*G1165</f>
        <v>3.6695999999999999E-3</v>
      </c>
      <c r="K1166"/>
    </row>
    <row r="1167" spans="2:11" x14ac:dyDescent="0.25">
      <c r="B1167" s="13"/>
      <c r="C1167" t="s">
        <v>8</v>
      </c>
      <c r="F1167" s="122" t="s">
        <v>3</v>
      </c>
      <c r="G1167" s="72">
        <f>0.8*0.011*1.39</f>
        <v>1.2232E-2</v>
      </c>
      <c r="K1167"/>
    </row>
    <row r="1168" spans="2:11" x14ac:dyDescent="0.25">
      <c r="B1168" s="13"/>
      <c r="C1168" t="s">
        <v>152</v>
      </c>
      <c r="F1168" s="122" t="s">
        <v>3</v>
      </c>
      <c r="G1168" s="72">
        <f>0.011*0.75*2*1.3</f>
        <v>2.145E-2</v>
      </c>
      <c r="K1168"/>
    </row>
    <row r="1169" spans="2:11" x14ac:dyDescent="0.25">
      <c r="B1169" s="13"/>
      <c r="C1169" t="s">
        <v>12</v>
      </c>
      <c r="F1169" s="122" t="s">
        <v>3</v>
      </c>
      <c r="G1169" s="72">
        <f>0.3*(G1168+G1167)</f>
        <v>1.01046E-2</v>
      </c>
      <c r="K1169"/>
    </row>
    <row r="1170" spans="2:11" x14ac:dyDescent="0.25">
      <c r="B1170" s="13"/>
      <c r="D1170" s="4" t="s">
        <v>711</v>
      </c>
      <c r="F1170" s="122"/>
      <c r="G1170" s="72"/>
      <c r="K1170"/>
    </row>
    <row r="1171" spans="2:11" x14ac:dyDescent="0.25">
      <c r="B1171" s="13"/>
      <c r="D1171" t="s">
        <v>408</v>
      </c>
      <c r="F1171" s="122" t="s">
        <v>3</v>
      </c>
      <c r="G1171" s="72">
        <v>0.17</v>
      </c>
      <c r="K1171"/>
    </row>
    <row r="1172" spans="2:11" x14ac:dyDescent="0.25">
      <c r="B1172" s="13"/>
      <c r="F1172" s="8"/>
      <c r="G1172" s="80"/>
      <c r="H1172" s="8"/>
      <c r="I1172" s="8"/>
      <c r="K1172"/>
    </row>
    <row r="1173" spans="2:11" x14ac:dyDescent="0.25">
      <c r="B1173" s="14">
        <v>149</v>
      </c>
      <c r="C1173" s="3" t="s">
        <v>712</v>
      </c>
      <c r="F1173" s="9"/>
      <c r="G1173" s="72"/>
      <c r="K1173"/>
    </row>
    <row r="1174" spans="2:11" x14ac:dyDescent="0.25">
      <c r="B1174" s="13"/>
      <c r="C1174" t="s">
        <v>51</v>
      </c>
      <c r="F1174" s="122" t="s">
        <v>3</v>
      </c>
      <c r="G1174" s="72">
        <f>0.08*0.08*1.2</f>
        <v>7.6800000000000002E-3</v>
      </c>
      <c r="K1174"/>
    </row>
    <row r="1175" spans="2:11" ht="17.25" x14ac:dyDescent="0.25">
      <c r="B1175" s="13"/>
      <c r="C1175" t="s">
        <v>52</v>
      </c>
      <c r="F1175" s="173" t="s">
        <v>596</v>
      </c>
      <c r="G1175" s="72">
        <f>G1174*2</f>
        <v>1.536E-2</v>
      </c>
      <c r="K1175"/>
    </row>
    <row r="1176" spans="2:11" x14ac:dyDescent="0.25">
      <c r="B1176" s="13"/>
      <c r="C1176" t="s">
        <v>24</v>
      </c>
      <c r="F1176" s="122" t="s">
        <v>3</v>
      </c>
      <c r="G1176" s="72">
        <f>G1174/4</f>
        <v>1.92E-3</v>
      </c>
      <c r="K1176"/>
    </row>
    <row r="1177" spans="2:11" x14ac:dyDescent="0.25">
      <c r="B1177" s="13"/>
      <c r="C1177" t="s">
        <v>143</v>
      </c>
      <c r="F1177" s="122" t="s">
        <v>3</v>
      </c>
      <c r="G1177" s="72">
        <v>1.4999999999999999E-2</v>
      </c>
      <c r="K1177"/>
    </row>
    <row r="1178" spans="2:11" x14ac:dyDescent="0.25">
      <c r="B1178" s="13"/>
      <c r="C1178" t="s">
        <v>8</v>
      </c>
      <c r="F1178" s="122" t="s">
        <v>3</v>
      </c>
      <c r="G1178" s="72">
        <v>1.4999999999999999E-2</v>
      </c>
      <c r="K1178"/>
    </row>
    <row r="1179" spans="2:11" x14ac:dyDescent="0.25">
      <c r="B1179" s="13"/>
      <c r="C1179" t="s">
        <v>152</v>
      </c>
      <c r="F1179" s="122" t="s">
        <v>3</v>
      </c>
      <c r="G1179" s="72">
        <v>2.5000000000000001E-2</v>
      </c>
      <c r="K1179"/>
    </row>
    <row r="1180" spans="2:11" x14ac:dyDescent="0.25">
      <c r="B1180" s="13"/>
      <c r="C1180" t="s">
        <v>12</v>
      </c>
      <c r="F1180" s="122" t="s">
        <v>3</v>
      </c>
      <c r="G1180" s="72">
        <f>0.3*(G1179+G1178+G1177)</f>
        <v>1.6500000000000001E-2</v>
      </c>
      <c r="K1180"/>
    </row>
    <row r="1181" spans="2:11" x14ac:dyDescent="0.25">
      <c r="B1181" s="13"/>
      <c r="D1181" s="4" t="s">
        <v>713</v>
      </c>
      <c r="F1181"/>
      <c r="G1181" s="72"/>
      <c r="K1181"/>
    </row>
    <row r="1182" spans="2:11" x14ac:dyDescent="0.25">
      <c r="B1182" s="13"/>
      <c r="D1182" t="s">
        <v>159</v>
      </c>
      <c r="F1182" s="122" t="s">
        <v>3</v>
      </c>
      <c r="G1182" s="72">
        <v>0.34</v>
      </c>
      <c r="K1182"/>
    </row>
    <row r="1183" spans="2:11" x14ac:dyDescent="0.25">
      <c r="B1183" s="13"/>
      <c r="F1183"/>
      <c r="G1183" s="72"/>
      <c r="K1183"/>
    </row>
    <row r="1184" spans="2:11" x14ac:dyDescent="0.25">
      <c r="B1184" s="14">
        <v>161</v>
      </c>
      <c r="C1184" s="3" t="s">
        <v>714</v>
      </c>
      <c r="F1184"/>
      <c r="G1184" s="72"/>
      <c r="I1184" s="4" t="s">
        <v>716</v>
      </c>
      <c r="K1184"/>
    </row>
    <row r="1185" spans="2:11" x14ac:dyDescent="0.25">
      <c r="B1185" s="13"/>
      <c r="C1185" s="8" t="s">
        <v>8</v>
      </c>
      <c r="D1185" s="8"/>
      <c r="E1185" s="8"/>
      <c r="F1185" s="135" t="s">
        <v>3</v>
      </c>
      <c r="G1185" s="72">
        <v>1.2E-2</v>
      </c>
      <c r="I1185" t="s">
        <v>719</v>
      </c>
      <c r="K1185"/>
    </row>
    <row r="1186" spans="2:11" x14ac:dyDescent="0.25">
      <c r="B1186" s="13"/>
      <c r="C1186" s="8" t="s">
        <v>442</v>
      </c>
      <c r="D1186" s="8"/>
      <c r="E1186" s="8"/>
      <c r="F1186" s="135" t="s">
        <v>3</v>
      </c>
      <c r="G1186" s="72">
        <f>1.2*0.011*1.3</f>
        <v>1.7159999999999998E-2</v>
      </c>
      <c r="K1186"/>
    </row>
    <row r="1187" spans="2:11" x14ac:dyDescent="0.25">
      <c r="B1187" s="13"/>
      <c r="C1187" s="8" t="s">
        <v>12</v>
      </c>
      <c r="D1187" s="8"/>
      <c r="E1187" s="8"/>
      <c r="F1187" s="135" t="s">
        <v>3</v>
      </c>
      <c r="G1187" s="72">
        <f>0.3*(G1186+G1185)</f>
        <v>8.7479999999999988E-3</v>
      </c>
      <c r="K1187"/>
    </row>
    <row r="1188" spans="2:11" x14ac:dyDescent="0.25">
      <c r="B1188" s="13"/>
      <c r="D1188" s="4" t="s">
        <v>715</v>
      </c>
      <c r="F1188"/>
      <c r="G1188" s="72"/>
      <c r="I1188" t="s">
        <v>720</v>
      </c>
      <c r="K1188"/>
    </row>
    <row r="1189" spans="2:11" x14ac:dyDescent="0.25">
      <c r="B1189" s="13"/>
      <c r="D1189" s="25" t="s">
        <v>723</v>
      </c>
      <c r="F1189" s="122" t="s">
        <v>3</v>
      </c>
      <c r="G1189" s="148">
        <v>2.0000000000000001E-4</v>
      </c>
      <c r="K1189"/>
    </row>
    <row r="1190" spans="2:11" x14ac:dyDescent="0.25">
      <c r="B1190" s="13"/>
      <c r="D1190" s="77" t="s">
        <v>39</v>
      </c>
      <c r="F1190" s="122" t="s">
        <v>3</v>
      </c>
      <c r="G1190" s="72">
        <f>0.08*0.04*1.2</f>
        <v>3.8400000000000001E-3</v>
      </c>
      <c r="K1190"/>
    </row>
    <row r="1191" spans="2:11" x14ac:dyDescent="0.25">
      <c r="B1191" s="13"/>
      <c r="D1191" s="77" t="s">
        <v>40</v>
      </c>
      <c r="F1191" s="122" t="s">
        <v>3</v>
      </c>
      <c r="G1191" s="72">
        <f>1.5*G1190</f>
        <v>5.7600000000000004E-3</v>
      </c>
      <c r="K1191"/>
    </row>
    <row r="1192" spans="2:11" x14ac:dyDescent="0.25">
      <c r="B1192" s="13"/>
      <c r="E1192" s="4" t="s">
        <v>717</v>
      </c>
      <c r="F1192"/>
      <c r="G1192" s="72"/>
      <c r="K1192"/>
    </row>
    <row r="1193" spans="2:11" x14ac:dyDescent="0.25">
      <c r="B1193" s="13"/>
      <c r="E1193" t="s">
        <v>718</v>
      </c>
      <c r="F1193" s="122" t="s">
        <v>195</v>
      </c>
      <c r="G1193" s="72">
        <v>0.3</v>
      </c>
      <c r="K1193"/>
    </row>
    <row r="1194" spans="2:11" x14ac:dyDescent="0.25">
      <c r="B1194" s="13"/>
      <c r="E1194" s="4" t="s">
        <v>403</v>
      </c>
      <c r="F1194"/>
      <c r="G1194" s="72"/>
      <c r="K1194"/>
    </row>
    <row r="1195" spans="2:11" x14ac:dyDescent="0.25">
      <c r="B1195" s="13"/>
      <c r="E1195" t="s">
        <v>404</v>
      </c>
      <c r="F1195" s="122" t="s">
        <v>3</v>
      </c>
      <c r="G1195" s="72">
        <v>0.84</v>
      </c>
      <c r="K1195"/>
    </row>
    <row r="1196" spans="2:11" x14ac:dyDescent="0.25">
      <c r="B1196" s="13"/>
      <c r="D1196" s="4" t="s">
        <v>721</v>
      </c>
      <c r="F1196"/>
      <c r="G1196" s="72"/>
      <c r="K1196"/>
    </row>
    <row r="1197" spans="2:11" x14ac:dyDescent="0.25">
      <c r="B1197" s="13"/>
      <c r="D1197" t="s">
        <v>722</v>
      </c>
      <c r="F1197" s="122" t="s">
        <v>3</v>
      </c>
      <c r="G1197" s="148">
        <f>0.02*0.02*1.5*8*1.1</f>
        <v>5.2800000000000008E-3</v>
      </c>
      <c r="K1197"/>
    </row>
    <row r="1198" spans="2:11" ht="10.5" customHeight="1" x14ac:dyDescent="0.25">
      <c r="B1198" s="13"/>
      <c r="F1198" s="135"/>
      <c r="G1198" s="148"/>
      <c r="K1198"/>
    </row>
    <row r="1199" spans="2:11" x14ac:dyDescent="0.25">
      <c r="B1199" s="14">
        <v>162</v>
      </c>
      <c r="C1199" s="3" t="s">
        <v>726</v>
      </c>
      <c r="F1199" s="135"/>
      <c r="G1199" s="148"/>
      <c r="I1199" t="s">
        <v>732</v>
      </c>
      <c r="K1199"/>
    </row>
    <row r="1200" spans="2:11" x14ac:dyDescent="0.25">
      <c r="B1200" s="13"/>
      <c r="C1200" t="s">
        <v>741</v>
      </c>
      <c r="F1200" s="135" t="s">
        <v>3</v>
      </c>
      <c r="G1200" s="72">
        <v>5.0000000000000001E-3</v>
      </c>
      <c r="I1200" t="s">
        <v>733</v>
      </c>
      <c r="K1200"/>
    </row>
    <row r="1201" spans="2:11" x14ac:dyDescent="0.25">
      <c r="B1201" s="13"/>
      <c r="D1201" s="4" t="s">
        <v>727</v>
      </c>
      <c r="F1201" s="135"/>
      <c r="G1201" s="148"/>
      <c r="I1201" t="s">
        <v>735</v>
      </c>
      <c r="K1201"/>
    </row>
    <row r="1202" spans="2:11" x14ac:dyDescent="0.25">
      <c r="B1202" s="13"/>
      <c r="D1202" s="25" t="s">
        <v>731</v>
      </c>
      <c r="F1202" s="135" t="s">
        <v>3</v>
      </c>
      <c r="G1202" s="72">
        <v>5.0000000000000001E-3</v>
      </c>
      <c r="I1202" s="4" t="s">
        <v>729</v>
      </c>
      <c r="K1202"/>
    </row>
    <row r="1203" spans="2:11" x14ac:dyDescent="0.25">
      <c r="B1203" s="13"/>
      <c r="D1203" s="4"/>
      <c r="E1203" s="4" t="s">
        <v>736</v>
      </c>
      <c r="F1203" s="135"/>
      <c r="G1203" s="148"/>
      <c r="I1203" s="4" t="s">
        <v>730</v>
      </c>
      <c r="K1203"/>
    </row>
    <row r="1204" spans="2:11" x14ac:dyDescent="0.25">
      <c r="B1204" s="13"/>
      <c r="D1204" s="4"/>
      <c r="E1204" t="s">
        <v>734</v>
      </c>
      <c r="F1204" s="135"/>
      <c r="G1204" s="148"/>
      <c r="K1204"/>
    </row>
    <row r="1205" spans="2:11" x14ac:dyDescent="0.25">
      <c r="B1205" s="13"/>
      <c r="D1205" s="4" t="s">
        <v>728</v>
      </c>
      <c r="F1205" s="135" t="s">
        <v>195</v>
      </c>
      <c r="G1205" s="72">
        <v>7.0000000000000007E-2</v>
      </c>
      <c r="K1205"/>
    </row>
    <row r="1206" spans="2:11" x14ac:dyDescent="0.25">
      <c r="B1206" s="13"/>
      <c r="D1206" s="4"/>
      <c r="E1206" s="4" t="s">
        <v>737</v>
      </c>
      <c r="F1206" s="135"/>
      <c r="G1206" s="72"/>
      <c r="K1206"/>
    </row>
    <row r="1207" spans="2:11" x14ac:dyDescent="0.25">
      <c r="B1207" s="13"/>
      <c r="D1207" s="4"/>
      <c r="E1207" s="77" t="s">
        <v>39</v>
      </c>
      <c r="F1207" s="135" t="s">
        <v>3</v>
      </c>
      <c r="G1207" s="72">
        <f>0.05*0.04*1.3</f>
        <v>2.6000000000000003E-3</v>
      </c>
      <c r="K1207"/>
    </row>
    <row r="1208" spans="2:11" x14ac:dyDescent="0.25">
      <c r="B1208" s="13"/>
      <c r="D1208" s="4"/>
      <c r="E1208" s="77" t="s">
        <v>40</v>
      </c>
      <c r="F1208" s="135" t="s">
        <v>3</v>
      </c>
      <c r="G1208" s="72">
        <f>1.5*G1207</f>
        <v>3.9000000000000007E-3</v>
      </c>
      <c r="K1208"/>
    </row>
    <row r="1209" spans="2:11" x14ac:dyDescent="0.25">
      <c r="B1209" s="13"/>
      <c r="D1209" s="4"/>
      <c r="E1209" s="4" t="s">
        <v>738</v>
      </c>
      <c r="F1209" s="135"/>
      <c r="G1209" s="72"/>
      <c r="K1209"/>
    </row>
    <row r="1210" spans="2:11" x14ac:dyDescent="0.25">
      <c r="B1210" s="13"/>
      <c r="D1210" s="4"/>
      <c r="E1210" s="77" t="s">
        <v>199</v>
      </c>
      <c r="F1210" s="135" t="s">
        <v>3</v>
      </c>
      <c r="G1210" s="72">
        <f>0.06*0.023*4*8*1.1</f>
        <v>4.8576000000000001E-2</v>
      </c>
      <c r="K1210"/>
    </row>
    <row r="1211" spans="2:11" x14ac:dyDescent="0.25">
      <c r="B1211" s="13"/>
      <c r="D1211" s="4"/>
      <c r="E1211" s="3" t="s">
        <v>739</v>
      </c>
      <c r="F1211" s="135"/>
      <c r="G1211" s="72"/>
      <c r="K1211"/>
    </row>
    <row r="1212" spans="2:11" x14ac:dyDescent="0.25">
      <c r="B1212" s="13"/>
      <c r="D1212" s="4"/>
      <c r="E1212" s="25" t="s">
        <v>740</v>
      </c>
      <c r="F1212" s="135" t="s">
        <v>3</v>
      </c>
      <c r="G1212" s="72">
        <f>0.025*0.07*3*8*1.08</f>
        <v>4.5360000000000011E-2</v>
      </c>
      <c r="K1212"/>
    </row>
    <row r="1213" spans="2:11" ht="12" customHeight="1" x14ac:dyDescent="0.25">
      <c r="B1213" s="13"/>
      <c r="F1213" s="135"/>
      <c r="G1213" s="72"/>
      <c r="K1213"/>
    </row>
    <row r="1214" spans="2:11" x14ac:dyDescent="0.25">
      <c r="B1214" s="14">
        <v>166</v>
      </c>
      <c r="C1214" s="3" t="s">
        <v>742</v>
      </c>
      <c r="F1214" s="135"/>
      <c r="G1214" s="72"/>
      <c r="I1214" t="s">
        <v>746</v>
      </c>
      <c r="K1214"/>
    </row>
    <row r="1215" spans="2:11" x14ac:dyDescent="0.25">
      <c r="B1215" s="13"/>
      <c r="C1215" t="s">
        <v>743</v>
      </c>
      <c r="D1215" s="4"/>
      <c r="F1215" s="135" t="s">
        <v>3</v>
      </c>
      <c r="G1215" s="72">
        <v>0.01</v>
      </c>
      <c r="I1215" t="s">
        <v>747</v>
      </c>
      <c r="K1215"/>
    </row>
    <row r="1216" spans="2:11" x14ac:dyDescent="0.25">
      <c r="B1216" s="13"/>
      <c r="D1216" s="4" t="s">
        <v>744</v>
      </c>
      <c r="F1216" s="135"/>
      <c r="G1216" s="72"/>
      <c r="I1216" t="s">
        <v>748</v>
      </c>
      <c r="K1216"/>
    </row>
    <row r="1217" spans="2:11" x14ac:dyDescent="0.25">
      <c r="B1217" s="13"/>
      <c r="D1217" s="77" t="s">
        <v>39</v>
      </c>
      <c r="F1217" s="135" t="s">
        <v>3</v>
      </c>
      <c r="G1217" s="72">
        <f>(0.04*3.14*0.04+0.055*3.14*4*0.064+0.06*3.14*2*0.065)*1.2</f>
        <v>8.8472640000000005E-2</v>
      </c>
      <c r="H1217" s="26" t="s">
        <v>745</v>
      </c>
      <c r="I1217" t="s">
        <v>749</v>
      </c>
      <c r="K1217"/>
    </row>
    <row r="1218" spans="2:11" x14ac:dyDescent="0.25">
      <c r="B1218" s="13"/>
      <c r="D1218" s="77" t="s">
        <v>40</v>
      </c>
      <c r="F1218" s="135" t="s">
        <v>3</v>
      </c>
      <c r="G1218" s="72">
        <f>1.5*G1217</f>
        <v>0.13270896000000001</v>
      </c>
      <c r="I1218" t="s">
        <v>751</v>
      </c>
      <c r="K1218"/>
    </row>
    <row r="1219" spans="2:11" x14ac:dyDescent="0.25">
      <c r="B1219" s="13"/>
      <c r="D1219" s="77" t="s">
        <v>8</v>
      </c>
      <c r="F1219" s="135" t="s">
        <v>3</v>
      </c>
      <c r="G1219" s="72">
        <f>(0.35*0.03+0.4*0.011)*1.5</f>
        <v>2.2350000000000002E-2</v>
      </c>
      <c r="K1219"/>
    </row>
    <row r="1220" spans="2:11" x14ac:dyDescent="0.25">
      <c r="B1220" s="13"/>
      <c r="D1220" s="77" t="s">
        <v>115</v>
      </c>
      <c r="F1220" s="135" t="s">
        <v>3</v>
      </c>
      <c r="G1220" s="72">
        <f>(0.35*0.03+0.4*0.011)*2*1.2</f>
        <v>3.576E-2</v>
      </c>
      <c r="K1220"/>
    </row>
    <row r="1221" spans="2:11" x14ac:dyDescent="0.25">
      <c r="B1221" s="13"/>
      <c r="D1221" s="77" t="s">
        <v>12</v>
      </c>
      <c r="F1221" s="135" t="s">
        <v>3</v>
      </c>
      <c r="G1221" s="72">
        <f>0.3*(G1220+G1219)</f>
        <v>1.7433000000000001E-2</v>
      </c>
      <c r="K1221"/>
    </row>
    <row r="1222" spans="2:11" x14ac:dyDescent="0.25">
      <c r="B1222" s="13"/>
      <c r="E1222" s="4" t="s">
        <v>750</v>
      </c>
      <c r="F1222" s="135"/>
      <c r="G1222" s="72"/>
      <c r="K1222"/>
    </row>
    <row r="1223" spans="2:11" x14ac:dyDescent="0.25">
      <c r="B1223" s="13"/>
      <c r="E1223" t="s">
        <v>300</v>
      </c>
      <c r="F1223" s="135" t="s">
        <v>3</v>
      </c>
      <c r="G1223" s="72">
        <f>0.05*0.05*3*8</f>
        <v>6.0000000000000012E-2</v>
      </c>
      <c r="K1223"/>
    </row>
    <row r="1224" spans="2:11" x14ac:dyDescent="0.25">
      <c r="B1224" s="13"/>
      <c r="D1224" s="4" t="s">
        <v>752</v>
      </c>
      <c r="F1224" s="135"/>
      <c r="G1224" s="72"/>
      <c r="K1224"/>
    </row>
    <row r="1225" spans="2:11" x14ac:dyDescent="0.25">
      <c r="B1225" s="13"/>
      <c r="D1225" s="77" t="s">
        <v>39</v>
      </c>
      <c r="F1225" s="135" t="s">
        <v>3</v>
      </c>
      <c r="G1225" s="72">
        <f>0.04*3.14*0.04*1.2</f>
        <v>6.0288000000000008E-3</v>
      </c>
      <c r="K1225"/>
    </row>
    <row r="1226" spans="2:11" x14ac:dyDescent="0.25">
      <c r="B1226" s="13"/>
      <c r="D1226" s="77" t="s">
        <v>40</v>
      </c>
      <c r="F1226" s="135" t="s">
        <v>3</v>
      </c>
      <c r="G1226" s="72">
        <f>1.5*G1225</f>
        <v>9.0432000000000012E-3</v>
      </c>
      <c r="K1226"/>
    </row>
    <row r="1227" spans="2:11" x14ac:dyDescent="0.25">
      <c r="B1227" s="13"/>
      <c r="D1227" s="77"/>
      <c r="F1227" s="135"/>
      <c r="G1227" s="72"/>
      <c r="K1227"/>
    </row>
    <row r="1228" spans="2:11" x14ac:dyDescent="0.25">
      <c r="B1228" s="14">
        <v>168</v>
      </c>
      <c r="C1228" s="3" t="s">
        <v>764</v>
      </c>
      <c r="D1228" s="77"/>
      <c r="F1228" s="135"/>
      <c r="G1228" s="72"/>
      <c r="I1228" s="4" t="s">
        <v>761</v>
      </c>
      <c r="K1228"/>
    </row>
    <row r="1229" spans="2:11" x14ac:dyDescent="0.25">
      <c r="B1229" s="13"/>
      <c r="C1229" t="s">
        <v>37</v>
      </c>
      <c r="D1229" s="77"/>
      <c r="F1229" s="135" t="s">
        <v>3</v>
      </c>
      <c r="G1229" s="72">
        <f>1.6*0.04*0.2*1.39</f>
        <v>1.7791999999999999E-2</v>
      </c>
      <c r="I1229" s="4" t="s">
        <v>762</v>
      </c>
      <c r="K1229"/>
    </row>
    <row r="1230" spans="2:11" x14ac:dyDescent="0.25">
      <c r="B1230" s="13"/>
      <c r="D1230" s="137" t="s">
        <v>753</v>
      </c>
      <c r="F1230" s="135"/>
      <c r="G1230" s="72"/>
      <c r="K1230"/>
    </row>
    <row r="1231" spans="2:11" x14ac:dyDescent="0.25">
      <c r="B1231" s="13"/>
      <c r="D1231" s="77" t="s">
        <v>39</v>
      </c>
      <c r="F1231" s="135" t="s">
        <v>3</v>
      </c>
      <c r="G1231" s="72">
        <f>0.5*0.04*1.3</f>
        <v>2.6000000000000002E-2</v>
      </c>
      <c r="K1231"/>
    </row>
    <row r="1232" spans="2:11" x14ac:dyDescent="0.25">
      <c r="B1232" s="13"/>
      <c r="D1232" s="77" t="s">
        <v>40</v>
      </c>
      <c r="F1232" s="135" t="s">
        <v>3</v>
      </c>
      <c r="G1232" s="72">
        <f>1.5*G1231</f>
        <v>3.9000000000000007E-2</v>
      </c>
      <c r="K1232"/>
    </row>
    <row r="1233" spans="2:11" x14ac:dyDescent="0.25">
      <c r="B1233" s="13"/>
      <c r="D1233" s="77" t="s">
        <v>8</v>
      </c>
      <c r="F1233" s="135" t="s">
        <v>3</v>
      </c>
      <c r="G1233" s="72">
        <f>0.39*0.39*2*0.15*1.3</f>
        <v>5.9319000000000004E-2</v>
      </c>
      <c r="K1233"/>
    </row>
    <row r="1234" spans="2:11" x14ac:dyDescent="0.25">
      <c r="B1234" s="13"/>
      <c r="D1234" s="77" t="s">
        <v>115</v>
      </c>
      <c r="F1234" s="135" t="s">
        <v>3</v>
      </c>
      <c r="G1234" s="72">
        <f>0.39*0.39*2*0.15*2*1.1</f>
        <v>0.10038600000000002</v>
      </c>
      <c r="K1234"/>
    </row>
    <row r="1235" spans="2:11" x14ac:dyDescent="0.25">
      <c r="B1235" s="13"/>
      <c r="D1235" s="77" t="s">
        <v>12</v>
      </c>
      <c r="F1235" s="135" t="s">
        <v>3</v>
      </c>
      <c r="G1235" s="72">
        <f>0.3*(G1234+G1233)</f>
        <v>4.7911500000000003E-2</v>
      </c>
      <c r="K1235"/>
    </row>
    <row r="1236" spans="2:11" x14ac:dyDescent="0.25">
      <c r="B1236" s="13"/>
      <c r="D1236" s="77"/>
      <c r="E1236" s="4" t="s">
        <v>754</v>
      </c>
      <c r="F1236" s="135"/>
      <c r="G1236" s="72"/>
      <c r="K1236"/>
    </row>
    <row r="1237" spans="2:11" x14ac:dyDescent="0.25">
      <c r="B1237" s="13"/>
      <c r="D1237" s="77"/>
      <c r="E1237" s="25" t="s">
        <v>763</v>
      </c>
      <c r="F1237" s="135" t="s">
        <v>3</v>
      </c>
      <c r="G1237" s="72">
        <f>0.38*0.2*0.15*2</f>
        <v>2.2800000000000004E-2</v>
      </c>
      <c r="K1237"/>
    </row>
    <row r="1238" spans="2:11" x14ac:dyDescent="0.25">
      <c r="B1238" s="13"/>
      <c r="D1238" s="77"/>
      <c r="E1238" s="25" t="s">
        <v>490</v>
      </c>
      <c r="F1238" s="135" t="s">
        <v>3</v>
      </c>
      <c r="G1238" s="72">
        <f>0.3*G1237</f>
        <v>6.8400000000000015E-3</v>
      </c>
      <c r="K1238"/>
    </row>
    <row r="1239" spans="2:11" x14ac:dyDescent="0.25">
      <c r="B1239" s="13"/>
      <c r="D1239" s="77"/>
      <c r="E1239" s="4" t="s">
        <v>757</v>
      </c>
      <c r="F1239" s="135"/>
      <c r="G1239" s="72"/>
      <c r="K1239"/>
    </row>
    <row r="1240" spans="2:11" x14ac:dyDescent="0.25">
      <c r="B1240" s="13"/>
      <c r="D1240" s="77"/>
      <c r="E1240" s="25" t="s">
        <v>759</v>
      </c>
      <c r="F1240" s="135" t="s">
        <v>3</v>
      </c>
      <c r="G1240" s="72">
        <f>0.065*0.295*5*8*1.1</f>
        <v>0.84370000000000012</v>
      </c>
      <c r="K1240"/>
    </row>
    <row r="1241" spans="2:11" x14ac:dyDescent="0.25">
      <c r="B1241" s="13"/>
      <c r="D1241" s="77"/>
      <c r="E1241" s="4" t="s">
        <v>758</v>
      </c>
      <c r="F1241" s="135"/>
      <c r="G1241" s="72"/>
      <c r="K1241"/>
    </row>
    <row r="1242" spans="2:11" x14ac:dyDescent="0.25">
      <c r="B1242" s="13"/>
      <c r="D1242" s="77"/>
      <c r="E1242" s="21" t="s">
        <v>760</v>
      </c>
      <c r="F1242" s="135" t="s">
        <v>3</v>
      </c>
      <c r="G1242" s="72">
        <f>0.4*0.4*1.5*8*1.05</f>
        <v>2.0160000000000005</v>
      </c>
      <c r="K1242"/>
    </row>
    <row r="1243" spans="2:11" x14ac:dyDescent="0.25">
      <c r="B1243" s="13"/>
      <c r="D1243" s="77"/>
      <c r="E1243" s="4" t="s">
        <v>755</v>
      </c>
      <c r="F1243" s="135"/>
      <c r="G1243" s="72"/>
      <c r="K1243"/>
    </row>
    <row r="1244" spans="2:11" x14ac:dyDescent="0.25">
      <c r="B1244" s="13"/>
      <c r="E1244" s="35" t="s">
        <v>722</v>
      </c>
      <c r="F1244" s="135" t="s">
        <v>3</v>
      </c>
      <c r="G1244" s="72">
        <f>0.21*0.382*1.5*8*1.08</f>
        <v>1.0396512</v>
      </c>
      <c r="K1244"/>
    </row>
    <row r="1245" spans="2:11" x14ac:dyDescent="0.25">
      <c r="B1245" s="13"/>
      <c r="E1245" s="25" t="s">
        <v>763</v>
      </c>
      <c r="F1245" s="135" t="s">
        <v>3</v>
      </c>
      <c r="G1245" s="72">
        <f>0.19*0.38*0.15*2*1.1</f>
        <v>2.3826E-2</v>
      </c>
      <c r="K1245"/>
    </row>
    <row r="1246" spans="2:11" x14ac:dyDescent="0.25">
      <c r="B1246" s="13"/>
      <c r="E1246" s="25" t="s">
        <v>490</v>
      </c>
      <c r="F1246" s="135" t="s">
        <v>3</v>
      </c>
      <c r="G1246" s="72">
        <f>0.3*G1245</f>
        <v>7.1477999999999993E-3</v>
      </c>
      <c r="K1246"/>
    </row>
    <row r="1247" spans="2:11" x14ac:dyDescent="0.25">
      <c r="B1247" s="13"/>
      <c r="E1247" s="4" t="s">
        <v>756</v>
      </c>
      <c r="F1247" s="135"/>
      <c r="G1247" s="72"/>
      <c r="K1247"/>
    </row>
    <row r="1248" spans="2:11" x14ac:dyDescent="0.25">
      <c r="B1248" s="13"/>
      <c r="E1248" s="35" t="s">
        <v>722</v>
      </c>
      <c r="F1248" s="135" t="s">
        <v>3</v>
      </c>
      <c r="G1248" s="72">
        <f>0.035*0.06*1.5*8*1.08</f>
        <v>2.7216000000000004E-2</v>
      </c>
      <c r="K1248"/>
    </row>
    <row r="1249" spans="2:12" x14ac:dyDescent="0.25">
      <c r="B1249" s="13"/>
      <c r="E1249" s="25" t="s">
        <v>763</v>
      </c>
      <c r="F1249" s="135" t="s">
        <v>3</v>
      </c>
      <c r="G1249" s="72">
        <f>0.035*0.06*0.15*2*3</f>
        <v>1.8900000000000002E-3</v>
      </c>
      <c r="K1249"/>
    </row>
    <row r="1250" spans="2:12" x14ac:dyDescent="0.25">
      <c r="B1250" s="13"/>
      <c r="E1250" s="25" t="s">
        <v>490</v>
      </c>
      <c r="F1250" s="135" t="s">
        <v>3</v>
      </c>
      <c r="G1250" s="72">
        <v>1E-3</v>
      </c>
      <c r="K1250"/>
    </row>
    <row r="1251" spans="2:12" x14ac:dyDescent="0.25">
      <c r="B1251" s="13"/>
      <c r="F1251"/>
      <c r="G1251" s="72"/>
      <c r="K1251"/>
    </row>
    <row r="1252" spans="2:12" x14ac:dyDescent="0.25">
      <c r="B1252" s="14">
        <v>3</v>
      </c>
      <c r="C1252" s="3" t="s">
        <v>765</v>
      </c>
      <c r="F1252"/>
      <c r="G1252" s="72"/>
      <c r="K1252"/>
    </row>
    <row r="1253" spans="2:12" x14ac:dyDescent="0.25">
      <c r="B1253" s="13"/>
      <c r="D1253" s="4" t="s">
        <v>766</v>
      </c>
      <c r="F1253"/>
      <c r="G1253" s="72"/>
      <c r="K1253"/>
    </row>
    <row r="1254" spans="2:12" x14ac:dyDescent="0.25">
      <c r="B1254" s="13"/>
      <c r="D1254" t="s">
        <v>722</v>
      </c>
      <c r="F1254" s="135" t="s">
        <v>3</v>
      </c>
      <c r="G1254" s="72">
        <v>0.375</v>
      </c>
      <c r="H1254" t="s">
        <v>767</v>
      </c>
      <c r="K1254"/>
    </row>
    <row r="1255" spans="2:12" x14ac:dyDescent="0.25">
      <c r="B1255" s="13"/>
      <c r="F1255"/>
      <c r="G1255" s="72"/>
      <c r="K1255"/>
    </row>
    <row r="1256" spans="2:12" x14ac:dyDescent="0.25">
      <c r="B1256" s="14">
        <v>14</v>
      </c>
      <c r="C1256" s="3" t="s">
        <v>815</v>
      </c>
      <c r="F1256"/>
      <c r="G1256" s="72"/>
      <c r="I1256" s="3" t="s">
        <v>781</v>
      </c>
      <c r="J1256" s="13" t="s">
        <v>625</v>
      </c>
      <c r="K1256"/>
    </row>
    <row r="1257" spans="2:12" x14ac:dyDescent="0.25">
      <c r="C1257" s="25" t="s">
        <v>769</v>
      </c>
      <c r="F1257" s="135" t="s">
        <v>3</v>
      </c>
      <c r="G1257" s="72">
        <v>2E-3</v>
      </c>
      <c r="I1257" s="3" t="s">
        <v>780</v>
      </c>
      <c r="J1257" s="13" t="s">
        <v>782</v>
      </c>
      <c r="K1257"/>
    </row>
    <row r="1258" spans="2:12" x14ac:dyDescent="0.25">
      <c r="C1258" s="25" t="s">
        <v>8</v>
      </c>
      <c r="F1258" s="135" t="s">
        <v>3</v>
      </c>
      <c r="G1258" s="72">
        <f>0.1</f>
        <v>0.1</v>
      </c>
      <c r="I1258" s="3" t="s">
        <v>776</v>
      </c>
      <c r="J1258" s="13" t="s">
        <v>782</v>
      </c>
      <c r="K1258"/>
    </row>
    <row r="1259" spans="2:12" x14ac:dyDescent="0.25">
      <c r="C1259" s="25" t="s">
        <v>12</v>
      </c>
      <c r="F1259" s="135" t="s">
        <v>3</v>
      </c>
      <c r="G1259" s="72">
        <f>0.3*G1258</f>
        <v>0.03</v>
      </c>
      <c r="I1259" s="4" t="s">
        <v>787</v>
      </c>
      <c r="J1259" s="13" t="s">
        <v>99</v>
      </c>
      <c r="K1259"/>
    </row>
    <row r="1260" spans="2:12" x14ac:dyDescent="0.25">
      <c r="C1260" s="25" t="s">
        <v>72</v>
      </c>
      <c r="F1260" s="135" t="s">
        <v>3</v>
      </c>
      <c r="G1260" s="72">
        <f>0.2-(G1267+G1289+G1300+G1313)</f>
        <v>0.12288700000000001</v>
      </c>
      <c r="I1260" s="4" t="s">
        <v>788</v>
      </c>
      <c r="J1260" s="13" t="s">
        <v>625</v>
      </c>
      <c r="K1260"/>
    </row>
    <row r="1261" spans="2:12" x14ac:dyDescent="0.25">
      <c r="C1261" s="25" t="s">
        <v>11</v>
      </c>
      <c r="F1261" s="135" t="s">
        <v>3</v>
      </c>
      <c r="G1261" s="72">
        <f>0.3*G1260</f>
        <v>3.6866099999999999E-2</v>
      </c>
      <c r="I1261" s="4" t="s">
        <v>796</v>
      </c>
      <c r="J1261" s="13" t="s">
        <v>782</v>
      </c>
      <c r="K1261"/>
    </row>
    <row r="1262" spans="2:12" x14ac:dyDescent="0.25">
      <c r="C1262" s="3"/>
      <c r="D1262" s="4" t="s">
        <v>770</v>
      </c>
      <c r="F1262"/>
      <c r="G1262" s="72"/>
      <c r="I1262" s="3" t="s">
        <v>773</v>
      </c>
      <c r="J1262" s="13" t="s">
        <v>625</v>
      </c>
      <c r="K1262"/>
    </row>
    <row r="1263" spans="2:12" x14ac:dyDescent="0.25">
      <c r="C1263" s="3"/>
      <c r="D1263" t="s">
        <v>37</v>
      </c>
      <c r="F1263" s="135" t="s">
        <v>3</v>
      </c>
      <c r="G1263" s="72">
        <f>(0.86*0.02+0.025*0.46)*0.2*1.59</f>
        <v>9.1266000000000021E-3</v>
      </c>
      <c r="I1263" s="4" t="s">
        <v>807</v>
      </c>
      <c r="J1263" s="13" t="s">
        <v>625</v>
      </c>
      <c r="K1263" t="s">
        <v>808</v>
      </c>
      <c r="L1263" s="3" t="s">
        <v>774</v>
      </c>
    </row>
    <row r="1264" spans="2:12" x14ac:dyDescent="0.25">
      <c r="C1264" s="3"/>
      <c r="D1264" t="s">
        <v>114</v>
      </c>
      <c r="F1264" s="135" t="s">
        <v>3</v>
      </c>
      <c r="G1264" s="72">
        <v>1.6E-2</v>
      </c>
      <c r="K1264"/>
    </row>
    <row r="1265" spans="3:13" x14ac:dyDescent="0.25">
      <c r="C1265" s="3"/>
      <c r="D1265" t="s">
        <v>163</v>
      </c>
      <c r="F1265" s="135" t="s">
        <v>3</v>
      </c>
      <c r="G1265" s="72">
        <v>1.6E-2</v>
      </c>
      <c r="K1265"/>
    </row>
    <row r="1266" spans="3:13" x14ac:dyDescent="0.25">
      <c r="C1266" s="3"/>
      <c r="D1266" t="s">
        <v>164</v>
      </c>
      <c r="F1266" s="135" t="s">
        <v>3</v>
      </c>
      <c r="G1266" s="72">
        <f>0.3*(G1265+G1264)</f>
        <v>9.5999999999999992E-3</v>
      </c>
      <c r="K1266"/>
      <c r="M1266" t="s">
        <v>816</v>
      </c>
    </row>
    <row r="1267" spans="3:13" x14ac:dyDescent="0.25">
      <c r="C1267" s="3"/>
      <c r="D1267" t="s">
        <v>72</v>
      </c>
      <c r="F1267" s="135" t="s">
        <v>3</v>
      </c>
      <c r="G1267" s="72">
        <f>(0.475*0.31-(0.3*0.15))*0.15*2*1.2</f>
        <v>3.6809999999999996E-2</v>
      </c>
      <c r="K1267"/>
    </row>
    <row r="1268" spans="3:13" x14ac:dyDescent="0.25">
      <c r="C1268" s="3"/>
      <c r="D1268" t="s">
        <v>444</v>
      </c>
      <c r="F1268" s="135" t="s">
        <v>3</v>
      </c>
      <c r="G1268" s="72">
        <f>0.3*G1267</f>
        <v>1.1042999999999999E-2</v>
      </c>
      <c r="K1268"/>
    </row>
    <row r="1269" spans="3:13" x14ac:dyDescent="0.25">
      <c r="C1269" s="3"/>
      <c r="D1269" s="25" t="s">
        <v>211</v>
      </c>
      <c r="F1269" s="135" t="s">
        <v>3</v>
      </c>
      <c r="G1269" s="72">
        <f>(0.016*3.14*3*0.015+0.05*0.025)*1.3</f>
        <v>4.5640400000000001E-3</v>
      </c>
      <c r="K1269"/>
    </row>
    <row r="1270" spans="3:13" ht="17.25" x14ac:dyDescent="0.25">
      <c r="C1270" s="3"/>
      <c r="D1270" s="25" t="s">
        <v>168</v>
      </c>
      <c r="F1270" s="135" t="s">
        <v>596</v>
      </c>
      <c r="G1270" s="72">
        <f>1.09*G1269</f>
        <v>4.9748036000000001E-3</v>
      </c>
      <c r="K1270"/>
    </row>
    <row r="1271" spans="3:13" x14ac:dyDescent="0.25">
      <c r="C1271" s="3"/>
      <c r="D1271" s="25"/>
      <c r="E1271" s="4" t="s">
        <v>784</v>
      </c>
      <c r="F1271" s="135"/>
      <c r="G1271" s="72"/>
      <c r="K1271"/>
    </row>
    <row r="1272" spans="3:13" x14ac:dyDescent="0.25">
      <c r="C1272" s="3"/>
      <c r="D1272" s="25"/>
      <c r="E1272" t="s">
        <v>789</v>
      </c>
      <c r="F1272" s="135" t="s">
        <v>3</v>
      </c>
      <c r="G1272" s="72">
        <f>0.045*0.04*4*2.7*1.08</f>
        <v>2.0995200000000006E-2</v>
      </c>
      <c r="K1272"/>
    </row>
    <row r="1273" spans="3:13" x14ac:dyDescent="0.25">
      <c r="C1273" s="3"/>
      <c r="D1273" s="25"/>
      <c r="E1273" s="4" t="s">
        <v>785</v>
      </c>
      <c r="F1273" s="135"/>
      <c r="G1273" s="72"/>
      <c r="K1273"/>
    </row>
    <row r="1274" spans="3:13" x14ac:dyDescent="0.25">
      <c r="C1274" s="3"/>
      <c r="D1274" s="25"/>
      <c r="E1274" t="s">
        <v>790</v>
      </c>
      <c r="F1274" s="135" t="s">
        <v>3</v>
      </c>
      <c r="G1274" s="72">
        <f>0.475*0.31*2.5*2.7*1.082</f>
        <v>1.0754403750000001</v>
      </c>
      <c r="K1274"/>
    </row>
    <row r="1275" spans="3:13" x14ac:dyDescent="0.25">
      <c r="C1275" s="3"/>
      <c r="D1275" s="25"/>
      <c r="E1275" s="4" t="s">
        <v>786</v>
      </c>
      <c r="F1275" s="135"/>
      <c r="G1275" s="72"/>
      <c r="K1275"/>
    </row>
    <row r="1276" spans="3:13" x14ac:dyDescent="0.25">
      <c r="C1276" s="3"/>
      <c r="D1276" s="25"/>
      <c r="E1276" t="s">
        <v>791</v>
      </c>
      <c r="F1276" s="135" t="s">
        <v>3</v>
      </c>
      <c r="G1276" s="72">
        <f>0.015</f>
        <v>1.4999999999999999E-2</v>
      </c>
      <c r="K1276"/>
    </row>
    <row r="1277" spans="3:13" x14ac:dyDescent="0.25">
      <c r="C1277" s="3"/>
      <c r="D1277" s="3" t="s">
        <v>771</v>
      </c>
      <c r="F1277"/>
      <c r="G1277" s="72"/>
      <c r="K1277"/>
    </row>
    <row r="1278" spans="3:13" x14ac:dyDescent="0.25">
      <c r="C1278" s="3"/>
      <c r="D1278" s="25" t="s">
        <v>3599</v>
      </c>
      <c r="F1278" s="418" t="s">
        <v>1516</v>
      </c>
      <c r="G1278" s="72">
        <f>1</f>
        <v>1</v>
      </c>
      <c r="K1278"/>
    </row>
    <row r="1279" spans="3:13" x14ac:dyDescent="0.25">
      <c r="E1279" s="4" t="s">
        <v>792</v>
      </c>
      <c r="F1279"/>
      <c r="G1279" s="72"/>
      <c r="K1279"/>
    </row>
    <row r="1280" spans="3:13" x14ac:dyDescent="0.25">
      <c r="E1280" s="77" t="s">
        <v>39</v>
      </c>
      <c r="F1280" s="135" t="s">
        <v>3</v>
      </c>
      <c r="G1280" s="72">
        <f>0.01*3.14*3*0.04*1.2</f>
        <v>4.5216000000000006E-3</v>
      </c>
      <c r="K1280"/>
    </row>
    <row r="1281" spans="2:11" x14ac:dyDescent="0.25">
      <c r="E1281" s="77" t="s">
        <v>40</v>
      </c>
      <c r="F1281" s="135" t="s">
        <v>3</v>
      </c>
      <c r="G1281" s="72">
        <f>1.5*G1280</f>
        <v>6.7824000000000009E-3</v>
      </c>
      <c r="K1281"/>
    </row>
    <row r="1282" spans="2:11" x14ac:dyDescent="0.25">
      <c r="E1282" s="4" t="s">
        <v>795</v>
      </c>
      <c r="F1282"/>
      <c r="G1282" s="72"/>
      <c r="K1282"/>
    </row>
    <row r="1283" spans="2:11" x14ac:dyDescent="0.25">
      <c r="E1283" t="s">
        <v>797</v>
      </c>
      <c r="F1283" s="135" t="s">
        <v>3</v>
      </c>
      <c r="G1283" s="72">
        <f>0.09*0.045*2*8*1.08</f>
        <v>6.9984000000000005E-2</v>
      </c>
      <c r="K1283"/>
    </row>
    <row r="1284" spans="2:11" x14ac:dyDescent="0.25">
      <c r="E1284" s="4" t="s">
        <v>793</v>
      </c>
      <c r="F1284"/>
      <c r="G1284" s="72"/>
      <c r="K1284"/>
    </row>
    <row r="1285" spans="2:11" x14ac:dyDescent="0.25">
      <c r="B1285" s="13"/>
      <c r="E1285" t="s">
        <v>794</v>
      </c>
      <c r="F1285" s="135" t="s">
        <v>3</v>
      </c>
      <c r="G1285" s="72">
        <f>0.055*0.03*0.75*8*1.08</f>
        <v>1.0692E-2</v>
      </c>
      <c r="K1285"/>
    </row>
    <row r="1286" spans="2:11" x14ac:dyDescent="0.25">
      <c r="B1286" s="13"/>
      <c r="D1286" s="3" t="s">
        <v>772</v>
      </c>
      <c r="F1286"/>
      <c r="G1286" s="72"/>
      <c r="K1286"/>
    </row>
    <row r="1287" spans="2:11" x14ac:dyDescent="0.25">
      <c r="B1287" s="13"/>
      <c r="D1287" s="8" t="s">
        <v>8</v>
      </c>
      <c r="E1287" s="8"/>
      <c r="F1287" s="138" t="s">
        <v>3</v>
      </c>
      <c r="G1287" s="72">
        <v>0.02</v>
      </c>
      <c r="K1287"/>
    </row>
    <row r="1288" spans="2:11" x14ac:dyDescent="0.25">
      <c r="B1288" s="13"/>
      <c r="D1288" s="8" t="s">
        <v>12</v>
      </c>
      <c r="E1288" s="8"/>
      <c r="F1288" s="138" t="s">
        <v>3</v>
      </c>
      <c r="G1288" s="72">
        <f>0.3*G1287</f>
        <v>6.0000000000000001E-3</v>
      </c>
      <c r="K1288"/>
    </row>
    <row r="1289" spans="2:11" x14ac:dyDescent="0.25">
      <c r="B1289" s="13"/>
      <c r="D1289" s="8" t="s">
        <v>72</v>
      </c>
      <c r="E1289" s="8"/>
      <c r="F1289" s="138" t="s">
        <v>3</v>
      </c>
      <c r="G1289" s="72">
        <f>0.035*1*2*0.15*2*1.3</f>
        <v>2.7300000000000001E-2</v>
      </c>
      <c r="K1289"/>
    </row>
    <row r="1290" spans="2:11" x14ac:dyDescent="0.25">
      <c r="B1290" s="13"/>
      <c r="D1290" s="8" t="s">
        <v>444</v>
      </c>
      <c r="E1290" s="8"/>
      <c r="F1290" s="138" t="s">
        <v>3</v>
      </c>
      <c r="G1290" s="72">
        <f>0.3*G1289</f>
        <v>8.1899999999999994E-3</v>
      </c>
      <c r="K1290"/>
    </row>
    <row r="1291" spans="2:11" x14ac:dyDescent="0.25">
      <c r="B1291" s="13"/>
      <c r="D1291" s="77" t="s">
        <v>39</v>
      </c>
      <c r="E1291" s="8"/>
      <c r="F1291" s="135" t="s">
        <v>3</v>
      </c>
      <c r="G1291" s="72">
        <f>0.25*0.04*1.2</f>
        <v>1.2E-2</v>
      </c>
      <c r="K1291"/>
    </row>
    <row r="1292" spans="2:11" x14ac:dyDescent="0.25">
      <c r="B1292" s="13"/>
      <c r="D1292" s="77" t="s">
        <v>40</v>
      </c>
      <c r="E1292" s="8"/>
      <c r="F1292" s="135" t="s">
        <v>3</v>
      </c>
      <c r="G1292" s="72">
        <f>1.5*G1291</f>
        <v>1.8000000000000002E-2</v>
      </c>
      <c r="K1292"/>
    </row>
    <row r="1293" spans="2:11" x14ac:dyDescent="0.25">
      <c r="B1293" s="13"/>
      <c r="D1293" s="8"/>
      <c r="E1293" s="16" t="s">
        <v>798</v>
      </c>
      <c r="F1293" s="13"/>
      <c r="G1293" s="72"/>
      <c r="K1293"/>
    </row>
    <row r="1294" spans="2:11" x14ac:dyDescent="0.25">
      <c r="B1294" s="13"/>
      <c r="D1294" s="8"/>
      <c r="E1294" s="8" t="s">
        <v>801</v>
      </c>
      <c r="F1294" s="136" t="s">
        <v>3</v>
      </c>
      <c r="G1294" s="80">
        <f>0.411*0.251*2*8*1.08</f>
        <v>1.7826220799999999</v>
      </c>
      <c r="K1294"/>
    </row>
    <row r="1295" spans="2:11" x14ac:dyDescent="0.25">
      <c r="B1295" s="13"/>
      <c r="D1295" s="8"/>
      <c r="E1295" s="16" t="s">
        <v>799</v>
      </c>
      <c r="F1295"/>
      <c r="G1295" s="72"/>
      <c r="K1295"/>
    </row>
    <row r="1296" spans="2:11" x14ac:dyDescent="0.25">
      <c r="B1296" s="13"/>
      <c r="E1296" t="s">
        <v>800</v>
      </c>
      <c r="F1296" s="135" t="s">
        <v>3</v>
      </c>
      <c r="G1296" s="72">
        <f>0.125*0.04*5*8*1.15</f>
        <v>0.22999999999999998</v>
      </c>
      <c r="K1296"/>
    </row>
    <row r="1297" spans="2:11" x14ac:dyDescent="0.25">
      <c r="B1297" s="13"/>
      <c r="D1297" s="3" t="s">
        <v>774</v>
      </c>
      <c r="F1297"/>
      <c r="G1297" s="80"/>
      <c r="K1297"/>
    </row>
    <row r="1298" spans="2:11" x14ac:dyDescent="0.25">
      <c r="B1298" s="13"/>
      <c r="D1298" s="25" t="s">
        <v>8</v>
      </c>
      <c r="F1298" s="136" t="s">
        <v>3</v>
      </c>
      <c r="G1298" s="80">
        <v>2E-3</v>
      </c>
      <c r="K1298"/>
    </row>
    <row r="1299" spans="2:11" x14ac:dyDescent="0.25">
      <c r="B1299" s="13"/>
      <c r="D1299" s="25" t="s">
        <v>12</v>
      </c>
      <c r="F1299" s="136" t="s">
        <v>3</v>
      </c>
      <c r="G1299" s="80">
        <f>0.3*G1298</f>
        <v>5.9999999999999995E-4</v>
      </c>
      <c r="K1299"/>
    </row>
    <row r="1300" spans="2:11" x14ac:dyDescent="0.25">
      <c r="B1300" s="13"/>
      <c r="D1300" s="25" t="s">
        <v>72</v>
      </c>
      <c r="F1300" s="136" t="s">
        <v>3</v>
      </c>
      <c r="G1300" s="80">
        <f>0.105*0.011*2*1.3</f>
        <v>3.003E-3</v>
      </c>
      <c r="K1300"/>
    </row>
    <row r="1301" spans="2:11" x14ac:dyDescent="0.25">
      <c r="B1301" s="13"/>
      <c r="D1301" s="25" t="s">
        <v>11</v>
      </c>
      <c r="F1301" s="136" t="s">
        <v>3</v>
      </c>
      <c r="G1301" s="80">
        <f>0.3*G1300</f>
        <v>9.0089999999999994E-4</v>
      </c>
      <c r="K1301"/>
    </row>
    <row r="1302" spans="2:11" x14ac:dyDescent="0.25">
      <c r="B1302" s="13"/>
      <c r="D1302" s="3"/>
      <c r="E1302" s="4" t="s">
        <v>806</v>
      </c>
      <c r="F1302"/>
      <c r="G1302" s="80"/>
      <c r="K1302"/>
    </row>
    <row r="1303" spans="2:11" x14ac:dyDescent="0.25">
      <c r="B1303" s="13"/>
      <c r="D1303" s="3"/>
      <c r="E1303" s="25" t="s">
        <v>140</v>
      </c>
      <c r="F1303" s="138" t="s">
        <v>3</v>
      </c>
      <c r="G1303" s="80">
        <v>2E-3</v>
      </c>
      <c r="K1303"/>
    </row>
    <row r="1304" spans="2:11" ht="17.25" x14ac:dyDescent="0.25">
      <c r="B1304" s="13"/>
      <c r="D1304" s="3"/>
      <c r="E1304" s="25" t="s">
        <v>23</v>
      </c>
      <c r="F1304" s="173" t="s">
        <v>596</v>
      </c>
      <c r="G1304" s="80">
        <f>G1303*2</f>
        <v>4.0000000000000001E-3</v>
      </c>
      <c r="K1304"/>
    </row>
    <row r="1305" spans="2:11" x14ac:dyDescent="0.25">
      <c r="B1305" s="13"/>
      <c r="D1305" s="3"/>
      <c r="E1305" s="25" t="s">
        <v>142</v>
      </c>
      <c r="F1305" s="138" t="s">
        <v>3</v>
      </c>
      <c r="G1305" s="80">
        <f>G1303/4</f>
        <v>5.0000000000000001E-4</v>
      </c>
      <c r="K1305"/>
    </row>
    <row r="1306" spans="2:11" x14ac:dyDescent="0.25">
      <c r="B1306" s="13"/>
      <c r="D1306" s="3"/>
      <c r="E1306" s="4" t="s">
        <v>809</v>
      </c>
      <c r="F1306"/>
      <c r="G1306" s="72"/>
      <c r="K1306"/>
    </row>
    <row r="1307" spans="2:11" x14ac:dyDescent="0.25">
      <c r="B1307" s="13"/>
      <c r="D1307" s="3"/>
      <c r="E1307" t="s">
        <v>814</v>
      </c>
      <c r="F1307" s="138" t="s">
        <v>3</v>
      </c>
      <c r="G1307" s="72">
        <f>0.105*0.02*0.7*8*1.15</f>
        <v>1.3523999999999996E-2</v>
      </c>
      <c r="K1307"/>
    </row>
    <row r="1308" spans="2:11" x14ac:dyDescent="0.25">
      <c r="B1308" s="13"/>
      <c r="D1308" s="3"/>
      <c r="E1308" s="4" t="s">
        <v>810</v>
      </c>
      <c r="F1308"/>
      <c r="G1308" s="72"/>
      <c r="K1308"/>
    </row>
    <row r="1309" spans="2:11" x14ac:dyDescent="0.25">
      <c r="B1309" s="13"/>
      <c r="D1309" s="3"/>
      <c r="E1309" t="s">
        <v>813</v>
      </c>
      <c r="F1309" s="138" t="s">
        <v>3</v>
      </c>
      <c r="G1309" s="72">
        <f>0.0054*1.2</f>
        <v>6.4800000000000005E-3</v>
      </c>
      <c r="K1309"/>
    </row>
    <row r="1310" spans="2:11" x14ac:dyDescent="0.25">
      <c r="B1310" s="13"/>
      <c r="D1310" s="3" t="s">
        <v>775</v>
      </c>
      <c r="F1310" s="9"/>
      <c r="G1310" s="149"/>
      <c r="K1310"/>
    </row>
    <row r="1311" spans="2:11" x14ac:dyDescent="0.25">
      <c r="B1311" s="13"/>
      <c r="D1311" s="25" t="s">
        <v>8</v>
      </c>
      <c r="F1311" s="136" t="s">
        <v>3</v>
      </c>
      <c r="G1311" s="72">
        <v>6.0000000000000001E-3</v>
      </c>
      <c r="K1311"/>
    </row>
    <row r="1312" spans="2:11" x14ac:dyDescent="0.25">
      <c r="B1312" s="13"/>
      <c r="D1312" s="25" t="s">
        <v>12</v>
      </c>
      <c r="F1312" s="136" t="s">
        <v>3</v>
      </c>
      <c r="G1312" s="72">
        <f>0.3*G1311</f>
        <v>1.8E-3</v>
      </c>
      <c r="K1312"/>
    </row>
    <row r="1313" spans="2:11" x14ac:dyDescent="0.25">
      <c r="B1313" s="13"/>
      <c r="D1313" s="25" t="s">
        <v>72</v>
      </c>
      <c r="F1313" s="136" t="s">
        <v>3</v>
      </c>
      <c r="G1313" s="72">
        <v>0.01</v>
      </c>
      <c r="K1313"/>
    </row>
    <row r="1314" spans="2:11" x14ac:dyDescent="0.25">
      <c r="B1314" s="13"/>
      <c r="D1314" s="25" t="s">
        <v>11</v>
      </c>
      <c r="F1314" s="136" t="s">
        <v>3</v>
      </c>
      <c r="G1314" s="72">
        <f>0.3*G1313</f>
        <v>3.0000000000000001E-3</v>
      </c>
      <c r="K1314"/>
    </row>
    <row r="1315" spans="2:11" x14ac:dyDescent="0.25">
      <c r="B1315" s="13"/>
      <c r="D1315" s="25"/>
      <c r="E1315" s="4" t="s">
        <v>803</v>
      </c>
      <c r="F1315" s="136"/>
      <c r="G1315" s="72"/>
      <c r="K1315"/>
    </row>
    <row r="1316" spans="2:11" x14ac:dyDescent="0.25">
      <c r="B1316" s="13"/>
      <c r="D1316" s="25"/>
      <c r="E1316" t="s">
        <v>811</v>
      </c>
      <c r="F1316" s="138" t="s">
        <v>3</v>
      </c>
      <c r="G1316" s="72">
        <f>0.082*0.037*2*8*1.23</f>
        <v>5.9709119999999997E-2</v>
      </c>
      <c r="K1316"/>
    </row>
    <row r="1317" spans="2:11" x14ac:dyDescent="0.25">
      <c r="B1317" s="13"/>
      <c r="D1317" s="25"/>
      <c r="E1317" s="4" t="s">
        <v>804</v>
      </c>
      <c r="F1317" s="136"/>
      <c r="G1317" s="72"/>
      <c r="K1317"/>
    </row>
    <row r="1318" spans="2:11" x14ac:dyDescent="0.25">
      <c r="B1318" s="13"/>
      <c r="D1318" s="25"/>
      <c r="E1318" t="s">
        <v>812</v>
      </c>
      <c r="F1318" s="138" t="s">
        <v>3</v>
      </c>
      <c r="G1318" s="72">
        <f>0.125*0.01*1.5*8*1.12</f>
        <v>1.6800000000000002E-2</v>
      </c>
      <c r="K1318"/>
    </row>
    <row r="1319" spans="2:11" x14ac:dyDescent="0.25">
      <c r="B1319" s="13"/>
      <c r="D1319" s="25"/>
      <c r="E1319" s="4" t="s">
        <v>805</v>
      </c>
      <c r="F1319" s="136"/>
      <c r="G1319" s="72"/>
      <c r="K1319"/>
    </row>
    <row r="1320" spans="2:11" x14ac:dyDescent="0.25">
      <c r="B1320" s="13"/>
      <c r="D1320" s="25"/>
      <c r="E1320" t="s">
        <v>812</v>
      </c>
      <c r="F1320" s="138" t="s">
        <v>3</v>
      </c>
      <c r="G1320" s="72">
        <f>0.025*0.033*1.5*8*1.12</f>
        <v>1.1088000000000002E-2</v>
      </c>
      <c r="K1320"/>
    </row>
    <row r="1321" spans="2:11" x14ac:dyDescent="0.25">
      <c r="B1321" s="13"/>
      <c r="D1321" s="3" t="s">
        <v>777</v>
      </c>
      <c r="F1321"/>
      <c r="G1321" s="72"/>
      <c r="K1321"/>
    </row>
    <row r="1322" spans="2:11" x14ac:dyDescent="0.25">
      <c r="B1322" s="13"/>
      <c r="D1322" s="25" t="s">
        <v>783</v>
      </c>
      <c r="F1322" s="135" t="s">
        <v>3</v>
      </c>
      <c r="G1322" s="72">
        <v>3.0000000000000001E-3</v>
      </c>
      <c r="K1322"/>
    </row>
    <row r="1323" spans="2:11" x14ac:dyDescent="0.25">
      <c r="D1323" s="3" t="s">
        <v>778</v>
      </c>
      <c r="F1323" s="18"/>
      <c r="G1323" s="72"/>
      <c r="K1323"/>
    </row>
    <row r="1324" spans="2:11" x14ac:dyDescent="0.25">
      <c r="D1324" s="25" t="s">
        <v>802</v>
      </c>
      <c r="F1324" s="136" t="s">
        <v>3</v>
      </c>
      <c r="G1324" s="72">
        <f>0.075*0.02*0.75*8*1.29</f>
        <v>1.1610000000000002E-2</v>
      </c>
      <c r="K1324"/>
    </row>
    <row r="1325" spans="2:11" x14ac:dyDescent="0.25">
      <c r="D1325" s="3" t="s">
        <v>779</v>
      </c>
      <c r="F1325" s="18"/>
      <c r="G1325" s="72"/>
      <c r="K1325"/>
    </row>
    <row r="1326" spans="2:11" x14ac:dyDescent="0.25">
      <c r="B1326" s="13"/>
      <c r="D1326" s="25" t="s">
        <v>802</v>
      </c>
      <c r="F1326" s="136" t="s">
        <v>3</v>
      </c>
      <c r="G1326" s="72">
        <f>0.065*0.02*0.75*8*1.09</f>
        <v>8.5020000000000026E-3</v>
      </c>
      <c r="K1326"/>
    </row>
    <row r="1327" spans="2:11" x14ac:dyDescent="0.25">
      <c r="B1327" s="13"/>
      <c r="D1327" s="3"/>
      <c r="F1327"/>
      <c r="G1327" s="72"/>
      <c r="K1327"/>
    </row>
    <row r="1328" spans="2:11" x14ac:dyDescent="0.25">
      <c r="B1328" s="14">
        <v>51</v>
      </c>
      <c r="C1328" s="3" t="s">
        <v>659</v>
      </c>
      <c r="F1328" s="140" t="s">
        <v>646</v>
      </c>
      <c r="G1328" s="150"/>
      <c r="K1328"/>
    </row>
    <row r="1329" spans="2:11" x14ac:dyDescent="0.25">
      <c r="C1329" t="s">
        <v>13</v>
      </c>
      <c r="D1329" s="3"/>
      <c r="F1329" s="139" t="s">
        <v>3</v>
      </c>
      <c r="G1329" s="72">
        <v>0.1</v>
      </c>
      <c r="K1329"/>
    </row>
    <row r="1330" spans="2:11" x14ac:dyDescent="0.25">
      <c r="C1330" t="s">
        <v>8</v>
      </c>
      <c r="F1330" s="139" t="s">
        <v>3</v>
      </c>
      <c r="G1330" s="72">
        <f>0.85*0.13*2*3*0.1*1.55</f>
        <v>0.10276500000000002</v>
      </c>
      <c r="K1330"/>
    </row>
    <row r="1331" spans="2:11" x14ac:dyDescent="0.25">
      <c r="C1331" t="s">
        <v>115</v>
      </c>
      <c r="F1331" s="139" t="s">
        <v>3</v>
      </c>
      <c r="G1331" s="72">
        <f>0.85*0.13*2*3*0.15*2*1.1</f>
        <v>0.21879000000000001</v>
      </c>
      <c r="K1331"/>
    </row>
    <row r="1332" spans="2:11" x14ac:dyDescent="0.25">
      <c r="C1332" t="s">
        <v>12</v>
      </c>
      <c r="D1332" s="77"/>
      <c r="F1332" s="139" t="s">
        <v>3</v>
      </c>
      <c r="G1332" s="72">
        <f>0.3*(G1330+G1331)</f>
        <v>9.6466500000000011E-2</v>
      </c>
      <c r="K1332"/>
    </row>
    <row r="1333" spans="2:11" x14ac:dyDescent="0.25">
      <c r="D1333" s="77"/>
      <c r="F1333" s="121"/>
      <c r="G1333" s="72"/>
      <c r="K1333"/>
    </row>
    <row r="1334" spans="2:11" x14ac:dyDescent="0.25">
      <c r="B1334" s="14">
        <v>117</v>
      </c>
      <c r="C1334" s="3" t="s">
        <v>681</v>
      </c>
      <c r="F1334" s="140" t="s">
        <v>646</v>
      </c>
      <c r="G1334" s="150"/>
      <c r="K1334"/>
    </row>
    <row r="1335" spans="2:11" x14ac:dyDescent="0.25">
      <c r="C1335" s="25" t="s">
        <v>143</v>
      </c>
      <c r="F1335" s="139" t="s">
        <v>3</v>
      </c>
      <c r="G1335" s="72">
        <v>0.03</v>
      </c>
      <c r="K1335"/>
    </row>
    <row r="1336" spans="2:11" x14ac:dyDescent="0.25">
      <c r="C1336" s="25" t="s">
        <v>12</v>
      </c>
      <c r="F1336" s="139" t="s">
        <v>3</v>
      </c>
      <c r="G1336" s="72">
        <f>G1335*0.3</f>
        <v>8.9999999999999993E-3</v>
      </c>
      <c r="K1336"/>
    </row>
    <row r="1337" spans="2:11" x14ac:dyDescent="0.25">
      <c r="C1337" s="25" t="s">
        <v>818</v>
      </c>
      <c r="F1337" s="139" t="s">
        <v>3</v>
      </c>
      <c r="G1337" s="72">
        <f>0.15*3.14*0.2*0.15*2*1.3</f>
        <v>3.6738E-2</v>
      </c>
      <c r="K1337"/>
    </row>
    <row r="1338" spans="2:11" x14ac:dyDescent="0.25">
      <c r="C1338" t="s">
        <v>819</v>
      </c>
      <c r="F1338" s="139" t="s">
        <v>3</v>
      </c>
      <c r="G1338" s="72">
        <f>G1337/6</f>
        <v>6.123E-3</v>
      </c>
      <c r="K1338"/>
    </row>
    <row r="1339" spans="2:11" x14ac:dyDescent="0.25">
      <c r="C1339" s="25" t="s">
        <v>313</v>
      </c>
      <c r="F1339" s="139" t="s">
        <v>3</v>
      </c>
      <c r="G1339" s="72">
        <f>0.3*G1337</f>
        <v>1.1021399999999999E-2</v>
      </c>
      <c r="K1339"/>
    </row>
    <row r="1340" spans="2:11" x14ac:dyDescent="0.25">
      <c r="F1340" s="59"/>
      <c r="G1340" s="72"/>
      <c r="K1340"/>
    </row>
    <row r="1341" spans="2:11" x14ac:dyDescent="0.25">
      <c r="B1341" s="14">
        <v>52</v>
      </c>
      <c r="C1341" s="132" t="s">
        <v>817</v>
      </c>
      <c r="F1341"/>
      <c r="G1341" s="72"/>
      <c r="I1341" s="132" t="s">
        <v>817</v>
      </c>
      <c r="J1341" s="13" t="s">
        <v>822</v>
      </c>
      <c r="K1341"/>
    </row>
    <row r="1342" spans="2:11" x14ac:dyDescent="0.25">
      <c r="B1342" s="13"/>
      <c r="D1342" s="4" t="s">
        <v>660</v>
      </c>
      <c r="F1342"/>
      <c r="G1342" s="72"/>
      <c r="K1342"/>
    </row>
    <row r="1343" spans="2:11" x14ac:dyDescent="0.25">
      <c r="B1343" s="13"/>
      <c r="D1343" s="77" t="s">
        <v>39</v>
      </c>
      <c r="F1343" s="139" t="s">
        <v>3</v>
      </c>
      <c r="G1343" s="72">
        <f>(0.045*3.14+0.023*3.14+0.03*3.14)*0.04*1.3</f>
        <v>1.6001440000000002E-2</v>
      </c>
      <c r="K1343"/>
    </row>
    <row r="1344" spans="2:11" x14ac:dyDescent="0.25">
      <c r="B1344" s="13"/>
      <c r="D1344" s="77" t="s">
        <v>40</v>
      </c>
      <c r="F1344" s="139" t="s">
        <v>3</v>
      </c>
      <c r="G1344" s="72">
        <f>1.5*G1343</f>
        <v>2.4002160000000002E-2</v>
      </c>
      <c r="K1344"/>
    </row>
    <row r="1345" spans="2:11" x14ac:dyDescent="0.25">
      <c r="B1345" s="13"/>
      <c r="D1345" s="77" t="s">
        <v>820</v>
      </c>
      <c r="F1345" s="139" t="s">
        <v>3</v>
      </c>
      <c r="G1345" s="72">
        <f>0.05*3.14*0.2*0.15*2*1.5</f>
        <v>1.4130000000000002E-2</v>
      </c>
      <c r="K1345"/>
    </row>
    <row r="1346" spans="2:11" x14ac:dyDescent="0.25">
      <c r="B1346" s="13"/>
      <c r="D1346" s="77" t="s">
        <v>661</v>
      </c>
      <c r="F1346" s="139" t="s">
        <v>3</v>
      </c>
      <c r="G1346" s="72">
        <f>0.3*G1345</f>
        <v>4.2390000000000006E-3</v>
      </c>
      <c r="K1346"/>
    </row>
    <row r="1347" spans="2:11" x14ac:dyDescent="0.25">
      <c r="B1347" s="13"/>
      <c r="F1347"/>
      <c r="G1347" s="72"/>
      <c r="K1347"/>
    </row>
    <row r="1348" spans="2:11" x14ac:dyDescent="0.25">
      <c r="B1348" s="13"/>
      <c r="C1348" s="3" t="s">
        <v>821</v>
      </c>
      <c r="F1348"/>
      <c r="G1348" s="72"/>
      <c r="K1348"/>
    </row>
    <row r="1349" spans="2:11" ht="15.75" thickBot="1" x14ac:dyDescent="0.3">
      <c r="B1349" s="151"/>
      <c r="C1349" s="68"/>
      <c r="D1349" s="68" t="s">
        <v>1012</v>
      </c>
      <c r="E1349" s="68"/>
      <c r="F1349" s="82" t="s">
        <v>3</v>
      </c>
      <c r="G1349" s="83">
        <f>0.085*0.085*3.5*8*1.061</f>
        <v>0.21464030000000003</v>
      </c>
      <c r="K1349"/>
    </row>
    <row r="1350" spans="2:11" x14ac:dyDescent="0.25">
      <c r="B1350" s="13"/>
      <c r="F1350"/>
      <c r="K1350"/>
    </row>
    <row r="1351" spans="2:11" ht="15.75" thickBot="1" x14ac:dyDescent="0.3">
      <c r="B1351" s="151"/>
      <c r="C1351" s="68"/>
      <c r="D1351" s="68"/>
      <c r="E1351" s="68"/>
      <c r="F1351" s="68"/>
      <c r="G1351" s="89"/>
      <c r="K1351"/>
    </row>
    <row r="1352" spans="2:11" x14ac:dyDescent="0.25">
      <c r="B1352" s="13" t="s">
        <v>823</v>
      </c>
      <c r="F1352"/>
      <c r="G1352" s="90"/>
      <c r="H1352" t="s">
        <v>824</v>
      </c>
      <c r="K1352"/>
    </row>
    <row r="1353" spans="2:11" x14ac:dyDescent="0.25">
      <c r="B1353" s="13"/>
      <c r="F1353"/>
      <c r="G1353" s="72"/>
      <c r="K1353"/>
    </row>
    <row r="1354" spans="2:11" x14ac:dyDescent="0.25">
      <c r="B1354" s="13"/>
      <c r="C1354" s="3" t="s">
        <v>825</v>
      </c>
      <c r="F1354"/>
      <c r="G1354" s="72"/>
      <c r="K1354"/>
    </row>
    <row r="1355" spans="2:11" x14ac:dyDescent="0.25">
      <c r="B1355" s="13"/>
      <c r="D1355" t="s">
        <v>826</v>
      </c>
      <c r="F1355" s="74" t="s">
        <v>3</v>
      </c>
      <c r="G1355" s="72">
        <v>5.0000000000000001E-3</v>
      </c>
      <c r="K1355"/>
    </row>
    <row r="1356" spans="2:11" x14ac:dyDescent="0.25">
      <c r="B1356" s="13"/>
      <c r="F1356"/>
      <c r="G1356" s="72"/>
      <c r="K1356"/>
    </row>
    <row r="1357" spans="2:11" x14ac:dyDescent="0.25">
      <c r="B1357" s="13"/>
      <c r="C1357" s="3" t="s">
        <v>827</v>
      </c>
      <c r="F1357"/>
      <c r="G1357" s="72"/>
      <c r="K1357"/>
    </row>
    <row r="1358" spans="2:11" x14ac:dyDescent="0.25">
      <c r="B1358" s="13"/>
      <c r="D1358" t="s">
        <v>828</v>
      </c>
      <c r="F1358" s="74" t="s">
        <v>3</v>
      </c>
      <c r="G1358" s="72">
        <f>0.03*0.06*3*8*1.05</f>
        <v>4.5360000000000004E-2</v>
      </c>
      <c r="K1358"/>
    </row>
    <row r="1359" spans="2:11" x14ac:dyDescent="0.25">
      <c r="B1359" s="13"/>
      <c r="F1359"/>
      <c r="G1359" s="72"/>
      <c r="K1359"/>
    </row>
    <row r="1360" spans="2:11" x14ac:dyDescent="0.25">
      <c r="B1360" s="13"/>
      <c r="C1360" s="3" t="s">
        <v>829</v>
      </c>
      <c r="F1360"/>
      <c r="G1360" s="72"/>
      <c r="K1360"/>
    </row>
    <row r="1361" spans="2:11" x14ac:dyDescent="0.25">
      <c r="B1361" s="13"/>
      <c r="D1361" t="s">
        <v>828</v>
      </c>
      <c r="F1361" s="74" t="s">
        <v>3</v>
      </c>
      <c r="G1361" s="72">
        <f>0.076*0.012*3*8*1.08</f>
        <v>2.3639040000000004E-2</v>
      </c>
      <c r="K1361"/>
    </row>
    <row r="1362" spans="2:11" x14ac:dyDescent="0.25">
      <c r="B1362" s="13"/>
      <c r="F1362"/>
      <c r="G1362" s="72"/>
      <c r="K1362"/>
    </row>
    <row r="1363" spans="2:11" x14ac:dyDescent="0.25">
      <c r="B1363" s="13"/>
      <c r="C1363" s="75" t="s">
        <v>543</v>
      </c>
      <c r="D1363" s="100"/>
      <c r="E1363" s="100"/>
      <c r="F1363" s="103"/>
      <c r="G1363" s="102"/>
      <c r="K1363"/>
    </row>
    <row r="1364" spans="2:11" x14ac:dyDescent="0.25">
      <c r="B1364" s="13"/>
      <c r="C1364" s="73"/>
      <c r="D1364" s="73" t="s">
        <v>226</v>
      </c>
      <c r="E1364" s="100"/>
      <c r="F1364" s="74" t="s">
        <v>3</v>
      </c>
      <c r="G1364" s="102">
        <f>0.075*0.12*5*8</f>
        <v>0.36</v>
      </c>
      <c r="K1364"/>
    </row>
    <row r="1365" spans="2:11" x14ac:dyDescent="0.25">
      <c r="B1365" s="13"/>
      <c r="C1365" s="73"/>
      <c r="D1365" s="100"/>
      <c r="E1365" s="100"/>
      <c r="F1365" s="103"/>
      <c r="G1365" s="102"/>
      <c r="K1365"/>
    </row>
    <row r="1366" spans="2:11" x14ac:dyDescent="0.25">
      <c r="B1366" s="13"/>
      <c r="C1366" s="75" t="s">
        <v>544</v>
      </c>
      <c r="D1366" s="100"/>
      <c r="E1366" s="100"/>
      <c r="F1366" s="103"/>
      <c r="G1366" s="102"/>
      <c r="K1366"/>
    </row>
    <row r="1367" spans="2:11" x14ac:dyDescent="0.25">
      <c r="B1367" s="13"/>
      <c r="C1367" s="73"/>
      <c r="D1367" s="73" t="s">
        <v>226</v>
      </c>
      <c r="E1367" s="100"/>
      <c r="F1367" s="74" t="s">
        <v>3</v>
      </c>
      <c r="G1367" s="102">
        <f>0.15*0.1*5*8</f>
        <v>0.6</v>
      </c>
      <c r="K1367"/>
    </row>
    <row r="1368" spans="2:11" x14ac:dyDescent="0.25">
      <c r="B1368" s="13"/>
      <c r="C1368" s="73"/>
      <c r="D1368" s="100"/>
      <c r="E1368" s="100"/>
      <c r="F1368" s="103"/>
      <c r="G1368" s="102"/>
      <c r="K1368"/>
    </row>
    <row r="1369" spans="2:11" x14ac:dyDescent="0.25">
      <c r="B1369" s="13"/>
      <c r="C1369" s="75" t="s">
        <v>545</v>
      </c>
      <c r="D1369" s="100"/>
      <c r="E1369" s="100"/>
      <c r="F1369" s="103"/>
      <c r="G1369" s="102"/>
      <c r="K1369"/>
    </row>
    <row r="1370" spans="2:11" x14ac:dyDescent="0.25">
      <c r="B1370" s="13"/>
      <c r="C1370" s="73"/>
      <c r="D1370" s="73" t="s">
        <v>226</v>
      </c>
      <c r="E1370" s="100"/>
      <c r="F1370" s="74" t="s">
        <v>3</v>
      </c>
      <c r="G1370" s="102">
        <f>0.1*0.08*5*8*1.01</f>
        <v>0.32319999999999999</v>
      </c>
      <c r="K1370"/>
    </row>
    <row r="1371" spans="2:11" x14ac:dyDescent="0.25">
      <c r="B1371" s="13"/>
      <c r="F1371"/>
      <c r="G1371" s="72"/>
      <c r="K1371"/>
    </row>
    <row r="1372" spans="2:11" x14ac:dyDescent="0.25">
      <c r="C1372" s="3" t="s">
        <v>830</v>
      </c>
      <c r="F1372"/>
      <c r="G1372" s="72"/>
      <c r="K1372"/>
    </row>
    <row r="1373" spans="2:11" x14ac:dyDescent="0.25">
      <c r="B1373" s="13"/>
      <c r="D1373" t="s">
        <v>1029</v>
      </c>
      <c r="F1373" s="74" t="s">
        <v>3</v>
      </c>
      <c r="G1373" s="72">
        <f>0.05*0.045*1.1*8.2</f>
        <v>2.0295000000000001E-2</v>
      </c>
      <c r="K1373"/>
    </row>
    <row r="1374" spans="2:11" x14ac:dyDescent="0.25">
      <c r="B1374" s="13"/>
      <c r="F1374"/>
      <c r="G1374" s="72"/>
      <c r="K1374"/>
    </row>
    <row r="1375" spans="2:11" x14ac:dyDescent="0.25">
      <c r="B1375" s="13"/>
      <c r="C1375" s="3" t="s">
        <v>831</v>
      </c>
      <c r="F1375"/>
      <c r="G1375" s="72"/>
      <c r="K1375"/>
    </row>
    <row r="1376" spans="2:11" x14ac:dyDescent="0.25">
      <c r="B1376" s="13"/>
      <c r="D1376" t="s">
        <v>832</v>
      </c>
      <c r="F1376" s="74" t="s">
        <v>3</v>
      </c>
      <c r="G1376" s="72">
        <v>0.5</v>
      </c>
      <c r="H1376" s="5" t="s">
        <v>834</v>
      </c>
      <c r="K1376"/>
    </row>
    <row r="1377" spans="2:11" x14ac:dyDescent="0.25">
      <c r="B1377" s="13"/>
      <c r="D1377" t="s">
        <v>143</v>
      </c>
      <c r="F1377" s="74" t="s">
        <v>3</v>
      </c>
      <c r="G1377" s="72">
        <f>0.02</f>
        <v>0.02</v>
      </c>
      <c r="K1377"/>
    </row>
    <row r="1378" spans="2:11" x14ac:dyDescent="0.25">
      <c r="B1378" s="13"/>
      <c r="D1378" t="s">
        <v>8</v>
      </c>
      <c r="F1378" s="74" t="s">
        <v>3</v>
      </c>
      <c r="G1378" s="72">
        <f>0.011*1.2*1.3</f>
        <v>1.7159999999999998E-2</v>
      </c>
      <c r="K1378"/>
    </row>
    <row r="1379" spans="2:11" x14ac:dyDescent="0.25">
      <c r="B1379" s="13"/>
      <c r="D1379" t="s">
        <v>833</v>
      </c>
      <c r="F1379" s="74" t="s">
        <v>3</v>
      </c>
      <c r="G1379" s="72">
        <f>0.011*1.2*2*1.05</f>
        <v>2.7719999999999998E-2</v>
      </c>
      <c r="K1379"/>
    </row>
    <row r="1380" spans="2:11" x14ac:dyDescent="0.25">
      <c r="B1380" s="13"/>
      <c r="D1380" t="s">
        <v>12</v>
      </c>
      <c r="F1380" s="74" t="s">
        <v>3</v>
      </c>
      <c r="G1380" s="72">
        <f>0.3*(G1379+G1378+G1377)</f>
        <v>1.9463999999999999E-2</v>
      </c>
      <c r="K1380"/>
    </row>
    <row r="1381" spans="2:11" x14ac:dyDescent="0.25">
      <c r="B1381" s="13"/>
      <c r="F1381"/>
      <c r="G1381" s="72"/>
      <c r="K1381"/>
    </row>
    <row r="1382" spans="2:11" x14ac:dyDescent="0.25">
      <c r="B1382" s="13"/>
      <c r="C1382" s="3" t="s">
        <v>835</v>
      </c>
      <c r="F1382"/>
      <c r="G1382" s="72"/>
      <c r="K1382"/>
    </row>
    <row r="1383" spans="2:11" x14ac:dyDescent="0.25">
      <c r="B1383" s="13"/>
      <c r="D1383" t="s">
        <v>832</v>
      </c>
      <c r="F1383" s="74" t="s">
        <v>3</v>
      </c>
      <c r="G1383" s="72">
        <v>0.55500000000000005</v>
      </c>
      <c r="H1383" s="5" t="s">
        <v>837</v>
      </c>
      <c r="K1383"/>
    </row>
    <row r="1384" spans="2:11" x14ac:dyDescent="0.25">
      <c r="B1384" s="13"/>
      <c r="D1384" t="s">
        <v>143</v>
      </c>
      <c r="F1384" s="74" t="s">
        <v>3</v>
      </c>
      <c r="G1384" s="72">
        <f>G1386/1.4</f>
        <v>2.2275000000000003E-2</v>
      </c>
      <c r="K1384"/>
    </row>
    <row r="1385" spans="2:11" x14ac:dyDescent="0.25">
      <c r="B1385" s="13"/>
      <c r="D1385" t="s">
        <v>8</v>
      </c>
      <c r="F1385" s="74" t="s">
        <v>3</v>
      </c>
      <c r="G1385" s="72">
        <f>0.011*1.35*1.3</f>
        <v>1.9305000000000003E-2</v>
      </c>
      <c r="K1385"/>
    </row>
    <row r="1386" spans="2:11" x14ac:dyDescent="0.25">
      <c r="B1386" s="13"/>
      <c r="D1386" t="s">
        <v>833</v>
      </c>
      <c r="F1386" s="74" t="s">
        <v>3</v>
      </c>
      <c r="G1386" s="72">
        <f>0.011*1.35*2*1.05</f>
        <v>3.1185000000000001E-2</v>
      </c>
      <c r="K1386"/>
    </row>
    <row r="1387" spans="2:11" x14ac:dyDescent="0.25">
      <c r="B1387" s="13"/>
      <c r="D1387" t="s">
        <v>12</v>
      </c>
      <c r="F1387" s="74" t="s">
        <v>3</v>
      </c>
      <c r="G1387" s="72">
        <f>0.3*(G1386+G1385+G1384)</f>
        <v>2.1829500000000002E-2</v>
      </c>
      <c r="K1387"/>
    </row>
    <row r="1388" spans="2:11" x14ac:dyDescent="0.25">
      <c r="B1388" s="13"/>
      <c r="F1388" s="74"/>
      <c r="G1388" s="72"/>
      <c r="K1388"/>
    </row>
    <row r="1389" spans="2:11" x14ac:dyDescent="0.25">
      <c r="B1389" s="13"/>
      <c r="C1389" s="3" t="s">
        <v>836</v>
      </c>
      <c r="F1389"/>
      <c r="G1389" s="72"/>
      <c r="K1389"/>
    </row>
    <row r="1390" spans="2:11" x14ac:dyDescent="0.25">
      <c r="B1390" s="13"/>
      <c r="D1390" t="s">
        <v>838</v>
      </c>
      <c r="F1390" s="74" t="s">
        <v>3</v>
      </c>
      <c r="G1390" s="72">
        <f>0.05*0.02*2*1.08</f>
        <v>2.16E-3</v>
      </c>
      <c r="K1390"/>
    </row>
    <row r="1391" spans="2:11" x14ac:dyDescent="0.25">
      <c r="B1391" s="13"/>
      <c r="F1391"/>
      <c r="G1391" s="72"/>
      <c r="K1391"/>
    </row>
    <row r="1392" spans="2:11" x14ac:dyDescent="0.25">
      <c r="B1392" s="13"/>
      <c r="C1392" s="3" t="s">
        <v>839</v>
      </c>
      <c r="F1392"/>
      <c r="G1392" s="72"/>
      <c r="K1392"/>
    </row>
    <row r="1393" spans="2:11" x14ac:dyDescent="0.25">
      <c r="B1393" s="13"/>
      <c r="D1393" t="s">
        <v>838</v>
      </c>
      <c r="F1393" s="74" t="s">
        <v>3</v>
      </c>
      <c r="G1393" s="72">
        <f>0.047*0.025*2*1.08</f>
        <v>2.5380000000000003E-3</v>
      </c>
      <c r="K1393"/>
    </row>
    <row r="1394" spans="2:11" x14ac:dyDescent="0.25">
      <c r="B1394" s="13"/>
      <c r="F1394"/>
      <c r="G1394" s="72"/>
      <c r="K1394"/>
    </row>
    <row r="1395" spans="2:11" x14ac:dyDescent="0.25">
      <c r="C1395" s="3" t="s">
        <v>840</v>
      </c>
      <c r="F1395"/>
      <c r="G1395" s="72"/>
      <c r="K1395"/>
    </row>
    <row r="1396" spans="2:11" x14ac:dyDescent="0.25">
      <c r="B1396" s="13"/>
      <c r="D1396" t="s">
        <v>849</v>
      </c>
      <c r="F1396" s="74" t="s">
        <v>3</v>
      </c>
      <c r="G1396" s="72">
        <f>0.16*0.16*3.5*7.85*1.05</f>
        <v>0.73852799999999996</v>
      </c>
      <c r="K1396"/>
    </row>
    <row r="1397" spans="2:11" x14ac:dyDescent="0.25">
      <c r="B1397" s="13"/>
      <c r="F1397"/>
      <c r="G1397" s="72"/>
      <c r="K1397"/>
    </row>
    <row r="1398" spans="2:11" x14ac:dyDescent="0.25">
      <c r="B1398" s="13"/>
      <c r="C1398" s="3" t="s">
        <v>441</v>
      </c>
      <c r="F1398"/>
      <c r="G1398" s="72"/>
      <c r="K1398"/>
    </row>
    <row r="1399" spans="2:11" x14ac:dyDescent="0.25">
      <c r="B1399" s="13"/>
      <c r="D1399" t="s">
        <v>177</v>
      </c>
      <c r="F1399" s="74" t="s">
        <v>3</v>
      </c>
      <c r="G1399" s="72">
        <f>0.041*0.08*1*8*1.08</f>
        <v>2.8339200000000005E-2</v>
      </c>
      <c r="K1399"/>
    </row>
    <row r="1400" spans="2:11" x14ac:dyDescent="0.25">
      <c r="B1400" s="13"/>
      <c r="D1400" t="s">
        <v>8</v>
      </c>
      <c r="F1400" s="74" t="s">
        <v>3</v>
      </c>
      <c r="G1400" s="72">
        <v>2E-3</v>
      </c>
      <c r="K1400"/>
    </row>
    <row r="1401" spans="2:11" x14ac:dyDescent="0.25">
      <c r="B1401" s="13"/>
      <c r="D1401" t="s">
        <v>115</v>
      </c>
      <c r="F1401" s="74" t="s">
        <v>3</v>
      </c>
      <c r="G1401" s="72">
        <v>2E-3</v>
      </c>
      <c r="K1401"/>
    </row>
    <row r="1402" spans="2:11" x14ac:dyDescent="0.25">
      <c r="B1402" s="13"/>
      <c r="D1402" t="s">
        <v>12</v>
      </c>
      <c r="F1402" s="74" t="s">
        <v>3</v>
      </c>
      <c r="G1402" s="72">
        <f>0.3*(G1401+G1400)</f>
        <v>1.1999999999999999E-3</v>
      </c>
      <c r="K1402"/>
    </row>
    <row r="1403" spans="2:11" x14ac:dyDescent="0.25">
      <c r="B1403" s="13"/>
      <c r="F1403"/>
      <c r="G1403" s="72"/>
      <c r="K1403"/>
    </row>
    <row r="1404" spans="2:11" x14ac:dyDescent="0.25">
      <c r="B1404" s="13"/>
      <c r="C1404" s="3" t="s">
        <v>841</v>
      </c>
      <c r="F1404"/>
      <c r="G1404" s="72"/>
      <c r="K1404"/>
    </row>
    <row r="1405" spans="2:11" x14ac:dyDescent="0.25">
      <c r="B1405" s="13"/>
      <c r="D1405" t="s">
        <v>847</v>
      </c>
      <c r="F1405" s="74" t="s">
        <v>3</v>
      </c>
      <c r="G1405" s="72">
        <f>0.245*0.03*3*8*1.08</f>
        <v>0.19051200000000001</v>
      </c>
      <c r="K1405"/>
    </row>
    <row r="1406" spans="2:11" x14ac:dyDescent="0.25">
      <c r="B1406" s="13"/>
      <c r="F1406"/>
      <c r="G1406" s="72"/>
      <c r="K1406"/>
    </row>
    <row r="1407" spans="2:11" x14ac:dyDescent="0.25">
      <c r="B1407" s="13"/>
      <c r="C1407" s="3" t="s">
        <v>841</v>
      </c>
      <c r="F1407"/>
      <c r="G1407" s="72"/>
      <c r="K1407"/>
    </row>
    <row r="1408" spans="2:11" x14ac:dyDescent="0.25">
      <c r="B1408" s="13"/>
      <c r="D1408" t="s">
        <v>828</v>
      </c>
      <c r="F1408" s="74" t="s">
        <v>3</v>
      </c>
      <c r="G1408" s="72">
        <f>0.245*0.03*3*8*1.08</f>
        <v>0.19051200000000001</v>
      </c>
      <c r="K1408"/>
    </row>
    <row r="1409" spans="2:11" x14ac:dyDescent="0.25">
      <c r="B1409" s="13"/>
      <c r="F1409"/>
      <c r="G1409" s="72"/>
      <c r="K1409"/>
    </row>
    <row r="1410" spans="2:11" x14ac:dyDescent="0.25">
      <c r="B1410" s="13"/>
      <c r="C1410" s="3" t="s">
        <v>848</v>
      </c>
      <c r="F1410"/>
      <c r="G1410" s="72"/>
      <c r="K1410"/>
    </row>
    <row r="1411" spans="2:11" x14ac:dyDescent="0.25">
      <c r="B1411" s="13"/>
      <c r="D1411" t="s">
        <v>150</v>
      </c>
      <c r="F1411" s="74" t="s">
        <v>3</v>
      </c>
      <c r="G1411" s="72">
        <f>0.037*0.022*2*8*1.08</f>
        <v>1.4065919999999999E-2</v>
      </c>
      <c r="K1411"/>
    </row>
    <row r="1412" spans="2:11" x14ac:dyDescent="0.25">
      <c r="B1412" s="13"/>
      <c r="F1412"/>
      <c r="G1412" s="72"/>
      <c r="K1412"/>
    </row>
    <row r="1413" spans="2:11" x14ac:dyDescent="0.25">
      <c r="B1413" s="13"/>
      <c r="C1413" s="3" t="s">
        <v>850</v>
      </c>
      <c r="F1413"/>
      <c r="G1413" s="72"/>
      <c r="K1413"/>
    </row>
    <row r="1414" spans="2:11" x14ac:dyDescent="0.25">
      <c r="B1414" s="13"/>
      <c r="D1414" t="s">
        <v>598</v>
      </c>
      <c r="F1414" s="74" t="s">
        <v>3</v>
      </c>
      <c r="G1414" s="72">
        <f>0.11*0.235*2.5*2.7*1.08</f>
        <v>0.18844649999999999</v>
      </c>
      <c r="K1414"/>
    </row>
    <row r="1415" spans="2:11" x14ac:dyDescent="0.25">
      <c r="B1415" s="13"/>
      <c r="D1415" t="s">
        <v>163</v>
      </c>
      <c r="F1415" s="74" t="s">
        <v>3</v>
      </c>
      <c r="G1415" s="72">
        <v>1.4999999999999999E-2</v>
      </c>
      <c r="K1415"/>
    </row>
    <row r="1416" spans="2:11" x14ac:dyDescent="0.25">
      <c r="B1416" s="13"/>
      <c r="D1416" t="s">
        <v>164</v>
      </c>
      <c r="F1416" s="74" t="s">
        <v>3</v>
      </c>
      <c r="G1416" s="72">
        <f>0.3*G1415</f>
        <v>4.4999999999999997E-3</v>
      </c>
      <c r="K1416"/>
    </row>
    <row r="1417" spans="2:11" x14ac:dyDescent="0.25">
      <c r="B1417" s="13"/>
      <c r="D1417" t="s">
        <v>36</v>
      </c>
      <c r="F1417" s="74" t="s">
        <v>3</v>
      </c>
      <c r="G1417" s="72">
        <f>0.1*0.235*2*0.15*2*1.3</f>
        <v>1.8329999999999999E-2</v>
      </c>
      <c r="K1417"/>
    </row>
    <row r="1418" spans="2:11" x14ac:dyDescent="0.25">
      <c r="B1418" s="13"/>
      <c r="D1418" t="s">
        <v>12</v>
      </c>
      <c r="F1418" s="74" t="s">
        <v>3</v>
      </c>
      <c r="G1418" s="72">
        <f>0.3*G1417</f>
        <v>5.4989999999999995E-3</v>
      </c>
      <c r="K1418"/>
    </row>
    <row r="1419" spans="2:11" x14ac:dyDescent="0.25">
      <c r="B1419" s="13"/>
      <c r="F1419" s="74"/>
      <c r="G1419" s="72"/>
      <c r="K1419"/>
    </row>
    <row r="1420" spans="2:11" x14ac:dyDescent="0.25">
      <c r="B1420" s="13"/>
      <c r="C1420" s="3" t="s">
        <v>851</v>
      </c>
      <c r="F1420"/>
      <c r="G1420" s="72"/>
      <c r="K1420"/>
    </row>
    <row r="1421" spans="2:11" x14ac:dyDescent="0.25">
      <c r="B1421" s="13"/>
      <c r="D1421" t="s">
        <v>853</v>
      </c>
      <c r="F1421" s="74" t="s">
        <v>3</v>
      </c>
      <c r="G1421" s="72">
        <f>0.071*0.066*1*8*1.08</f>
        <v>4.0487040000000002E-2</v>
      </c>
      <c r="K1421"/>
    </row>
    <row r="1422" spans="2:11" x14ac:dyDescent="0.25">
      <c r="B1422" s="13"/>
      <c r="D1422" t="s">
        <v>8</v>
      </c>
      <c r="F1422" s="74" t="s">
        <v>3</v>
      </c>
      <c r="G1422" s="72">
        <v>4.0000000000000001E-3</v>
      </c>
      <c r="K1422"/>
    </row>
    <row r="1423" spans="2:11" x14ac:dyDescent="0.25">
      <c r="B1423" s="13"/>
      <c r="D1423" t="s">
        <v>115</v>
      </c>
      <c r="F1423" s="74" t="s">
        <v>3</v>
      </c>
      <c r="G1423" s="72">
        <f>0.06*0.07*2*0.15*2*1.5</f>
        <v>3.7800000000000004E-3</v>
      </c>
      <c r="K1423"/>
    </row>
    <row r="1424" spans="2:11" x14ac:dyDescent="0.25">
      <c r="B1424" s="13"/>
      <c r="D1424" t="s">
        <v>12</v>
      </c>
      <c r="F1424" s="74" t="s">
        <v>3</v>
      </c>
      <c r="G1424" s="72">
        <f>0.3*(G1423+G1422)</f>
        <v>2.3340000000000001E-3</v>
      </c>
      <c r="K1424"/>
    </row>
    <row r="1425" spans="2:11" x14ac:dyDescent="0.25">
      <c r="B1425" s="13"/>
      <c r="D1425" t="s">
        <v>854</v>
      </c>
      <c r="F1425" s="74" t="s">
        <v>3</v>
      </c>
      <c r="G1425" s="72">
        <f>0.06*0.07*2*0.15*2*1.5</f>
        <v>3.7800000000000004E-3</v>
      </c>
      <c r="K1425"/>
    </row>
    <row r="1426" spans="2:11" x14ac:dyDescent="0.25">
      <c r="B1426" s="13"/>
      <c r="D1426" t="s">
        <v>313</v>
      </c>
      <c r="F1426" s="74" t="s">
        <v>3</v>
      </c>
      <c r="G1426" s="72">
        <f>0.3*G1425</f>
        <v>1.134E-3</v>
      </c>
      <c r="K1426"/>
    </row>
    <row r="1427" spans="2:11" x14ac:dyDescent="0.25">
      <c r="B1427" s="13"/>
      <c r="F1427"/>
      <c r="G1427" s="72"/>
      <c r="K1427"/>
    </row>
    <row r="1428" spans="2:11" x14ac:dyDescent="0.25">
      <c r="C1428" s="3" t="s">
        <v>852</v>
      </c>
      <c r="F1428"/>
      <c r="G1428" s="72"/>
      <c r="K1428"/>
    </row>
    <row r="1429" spans="2:11" x14ac:dyDescent="0.25">
      <c r="B1429" s="13"/>
      <c r="D1429" t="s">
        <v>855</v>
      </c>
      <c r="F1429" s="74" t="s">
        <v>3</v>
      </c>
      <c r="G1429" s="72">
        <f>0.07*0.055*1.5*2.7*1.08</f>
        <v>1.6839900000000005E-2</v>
      </c>
      <c r="K1429"/>
    </row>
    <row r="1430" spans="2:11" x14ac:dyDescent="0.25">
      <c r="B1430" s="13"/>
      <c r="D1430" s="8" t="s">
        <v>163</v>
      </c>
      <c r="F1430" s="74" t="s">
        <v>3</v>
      </c>
      <c r="G1430" s="72">
        <v>3.0000000000000001E-3</v>
      </c>
      <c r="K1430"/>
    </row>
    <row r="1431" spans="2:11" x14ac:dyDescent="0.25">
      <c r="B1431" s="13"/>
      <c r="D1431" s="8" t="s">
        <v>164</v>
      </c>
      <c r="F1431" s="74" t="s">
        <v>3</v>
      </c>
      <c r="G1431" s="72">
        <f>0.3*G1430</f>
        <v>8.9999999999999998E-4</v>
      </c>
      <c r="K1431"/>
    </row>
    <row r="1432" spans="2:11" x14ac:dyDescent="0.25">
      <c r="B1432" s="13"/>
      <c r="D1432" s="8" t="s">
        <v>879</v>
      </c>
      <c r="F1432" s="74" t="s">
        <v>3</v>
      </c>
      <c r="G1432" s="72">
        <f>0.07*0.06*2*0.2*1.5</f>
        <v>2.5200000000000005E-3</v>
      </c>
      <c r="K1432"/>
    </row>
    <row r="1433" spans="2:11" x14ac:dyDescent="0.25">
      <c r="B1433" s="13"/>
      <c r="D1433" s="8" t="s">
        <v>880</v>
      </c>
      <c r="F1433" s="74" t="s">
        <v>3</v>
      </c>
      <c r="G1433" s="72">
        <v>3.0000000000000001E-3</v>
      </c>
      <c r="K1433"/>
    </row>
    <row r="1434" spans="2:11" x14ac:dyDescent="0.25">
      <c r="B1434" s="13"/>
      <c r="D1434" s="8" t="s">
        <v>313</v>
      </c>
      <c r="F1434" s="74" t="s">
        <v>3</v>
      </c>
      <c r="G1434" s="72">
        <f>0.3*(G1433+G1432)</f>
        <v>1.6560000000000001E-3</v>
      </c>
      <c r="K1434"/>
    </row>
    <row r="1435" spans="2:11" x14ac:dyDescent="0.25">
      <c r="B1435" s="13"/>
      <c r="F1435"/>
      <c r="G1435" s="72"/>
      <c r="K1435"/>
    </row>
    <row r="1436" spans="2:11" x14ac:dyDescent="0.25">
      <c r="B1436" s="13"/>
      <c r="C1436" s="3" t="s">
        <v>856</v>
      </c>
      <c r="F1436"/>
      <c r="G1436" s="72"/>
      <c r="K1436"/>
    </row>
    <row r="1437" spans="2:11" x14ac:dyDescent="0.25">
      <c r="B1437" s="13"/>
      <c r="D1437" t="s">
        <v>855</v>
      </c>
      <c r="F1437" s="74" t="s">
        <v>3</v>
      </c>
      <c r="G1437" s="72">
        <f>0.063*0.063*1.5*2.7*1.09</f>
        <v>1.7521150500000006E-2</v>
      </c>
      <c r="K1437"/>
    </row>
    <row r="1438" spans="2:11" x14ac:dyDescent="0.25">
      <c r="B1438" s="13"/>
      <c r="D1438" t="s">
        <v>163</v>
      </c>
      <c r="F1438" s="74" t="s">
        <v>3</v>
      </c>
      <c r="G1438" s="72">
        <v>3.0000000000000001E-3</v>
      </c>
      <c r="K1438"/>
    </row>
    <row r="1439" spans="2:11" x14ac:dyDescent="0.25">
      <c r="B1439" s="13"/>
      <c r="D1439" t="s">
        <v>164</v>
      </c>
      <c r="F1439" s="74" t="s">
        <v>3</v>
      </c>
      <c r="G1439" s="72">
        <f>0.3*G1438</f>
        <v>8.9999999999999998E-4</v>
      </c>
      <c r="K1439"/>
    </row>
    <row r="1440" spans="2:11" x14ac:dyDescent="0.25">
      <c r="B1440" s="13"/>
      <c r="D1440" t="s">
        <v>115</v>
      </c>
      <c r="F1440" s="74" t="s">
        <v>3</v>
      </c>
      <c r="G1440" s="72">
        <f>0.065*0.065*2*0.15*2*1.3</f>
        <v>3.2955000000000007E-3</v>
      </c>
      <c r="K1440"/>
    </row>
    <row r="1441" spans="2:11" x14ac:dyDescent="0.25">
      <c r="B1441" s="13"/>
      <c r="D1441" t="s">
        <v>12</v>
      </c>
      <c r="F1441" s="74" t="s">
        <v>3</v>
      </c>
      <c r="G1441" s="72">
        <f>0.3*(G1440)</f>
        <v>9.8865000000000021E-4</v>
      </c>
      <c r="K1441"/>
    </row>
    <row r="1442" spans="2:11" x14ac:dyDescent="0.25">
      <c r="B1442" s="13"/>
      <c r="F1442"/>
      <c r="G1442" s="72"/>
      <c r="K1442"/>
    </row>
    <row r="1443" spans="2:11" x14ac:dyDescent="0.25">
      <c r="B1443" s="13"/>
      <c r="C1443" s="3" t="s">
        <v>857</v>
      </c>
      <c r="F1443"/>
      <c r="G1443" s="72"/>
      <c r="K1443"/>
    </row>
    <row r="1444" spans="2:11" x14ac:dyDescent="0.25">
      <c r="B1444" s="13"/>
      <c r="D1444" t="s">
        <v>722</v>
      </c>
      <c r="F1444" s="74" t="s">
        <v>3</v>
      </c>
      <c r="G1444" s="72">
        <f>0.04*0.04*1.5*8*1.08</f>
        <v>2.0736000000000004E-2</v>
      </c>
      <c r="K1444"/>
    </row>
    <row r="1445" spans="2:11" x14ac:dyDescent="0.25">
      <c r="B1445" s="13"/>
      <c r="F1445"/>
      <c r="G1445" s="72"/>
      <c r="K1445"/>
    </row>
    <row r="1446" spans="2:11" x14ac:dyDescent="0.25">
      <c r="B1446" s="13"/>
      <c r="C1446" s="3" t="s">
        <v>858</v>
      </c>
      <c r="F1446"/>
      <c r="G1446" s="72"/>
      <c r="K1446"/>
    </row>
    <row r="1447" spans="2:11" x14ac:dyDescent="0.25">
      <c r="B1447" s="13"/>
      <c r="D1447" t="s">
        <v>828</v>
      </c>
      <c r="F1447" s="74" t="s">
        <v>3</v>
      </c>
      <c r="G1447" s="72">
        <f>0.05*0.12*3*8*1.08</f>
        <v>0.15552000000000002</v>
      </c>
      <c r="K1447"/>
    </row>
    <row r="1448" spans="2:11" x14ac:dyDescent="0.25">
      <c r="B1448" s="13"/>
      <c r="F1448"/>
      <c r="G1448" s="72"/>
      <c r="K1448"/>
    </row>
    <row r="1449" spans="2:11" x14ac:dyDescent="0.25">
      <c r="B1449" s="13"/>
      <c r="C1449" s="3" t="s">
        <v>859</v>
      </c>
      <c r="F1449"/>
      <c r="G1449" s="72"/>
      <c r="K1449"/>
    </row>
    <row r="1450" spans="2:11" x14ac:dyDescent="0.25">
      <c r="B1450" s="13"/>
      <c r="D1450" t="s">
        <v>860</v>
      </c>
      <c r="F1450" s="74" t="s">
        <v>3</v>
      </c>
      <c r="G1450" s="72">
        <f>0.13*0.115*0.2*8*1.08</f>
        <v>2.5833600000000005E-2</v>
      </c>
      <c r="K1450"/>
    </row>
    <row r="1451" spans="2:11" x14ac:dyDescent="0.25">
      <c r="B1451" s="13"/>
      <c r="F1451"/>
      <c r="G1451" s="72"/>
      <c r="K1451"/>
    </row>
    <row r="1452" spans="2:11" x14ac:dyDescent="0.25">
      <c r="B1452" s="13"/>
      <c r="C1452" s="3" t="s">
        <v>861</v>
      </c>
      <c r="F1452"/>
      <c r="G1452" s="72"/>
      <c r="K1452"/>
    </row>
    <row r="1453" spans="2:11" x14ac:dyDescent="0.25">
      <c r="B1453" s="13"/>
      <c r="D1453" t="s">
        <v>722</v>
      </c>
      <c r="F1453" s="74" t="s">
        <v>3</v>
      </c>
      <c r="G1453" s="72">
        <f>0.26*0.175*1.5*8*1.08</f>
        <v>0.58968000000000009</v>
      </c>
      <c r="K1453"/>
    </row>
    <row r="1454" spans="2:11" x14ac:dyDescent="0.25">
      <c r="B1454" s="13"/>
      <c r="F1454"/>
      <c r="G1454" s="72"/>
      <c r="K1454"/>
    </row>
    <row r="1455" spans="2:11" x14ac:dyDescent="0.25">
      <c r="B1455" s="13"/>
      <c r="C1455" s="3" t="s">
        <v>862</v>
      </c>
      <c r="F1455"/>
      <c r="G1455" s="72"/>
      <c r="K1455"/>
    </row>
    <row r="1456" spans="2:11" x14ac:dyDescent="0.25">
      <c r="B1456" s="13"/>
      <c r="D1456" t="s">
        <v>853</v>
      </c>
      <c r="F1456" s="74" t="s">
        <v>3</v>
      </c>
      <c r="G1456" s="72">
        <f>0.06*0.06*1*8*1.08</f>
        <v>3.1104E-2</v>
      </c>
      <c r="K1456"/>
    </row>
    <row r="1457" spans="2:11" x14ac:dyDescent="0.25">
      <c r="B1457" s="13"/>
      <c r="D1457" t="s">
        <v>8</v>
      </c>
      <c r="F1457" s="74" t="s">
        <v>3</v>
      </c>
      <c r="G1457" s="72">
        <v>3.0000000000000001E-3</v>
      </c>
      <c r="K1457"/>
    </row>
    <row r="1458" spans="2:11" x14ac:dyDescent="0.25">
      <c r="B1458" s="13"/>
      <c r="D1458" t="s">
        <v>12</v>
      </c>
      <c r="F1458" s="74" t="s">
        <v>3</v>
      </c>
      <c r="G1458" s="72">
        <f>0.3*G1457</f>
        <v>8.9999999999999998E-4</v>
      </c>
      <c r="K1458"/>
    </row>
    <row r="1459" spans="2:11" x14ac:dyDescent="0.25">
      <c r="B1459" s="13"/>
      <c r="D1459" t="s">
        <v>72</v>
      </c>
      <c r="F1459" s="74" t="s">
        <v>3</v>
      </c>
      <c r="G1459" s="72">
        <f>0.06*0.06*2*0.15*2*1.3</f>
        <v>2.8080000000000002E-3</v>
      </c>
      <c r="K1459"/>
    </row>
    <row r="1460" spans="2:11" x14ac:dyDescent="0.25">
      <c r="B1460" s="13"/>
      <c r="D1460" t="s">
        <v>11</v>
      </c>
      <c r="F1460" s="74" t="s">
        <v>3</v>
      </c>
      <c r="G1460" s="72">
        <f>0.3*G1459</f>
        <v>8.4239999999999998E-4</v>
      </c>
      <c r="K1460"/>
    </row>
    <row r="1461" spans="2:11" x14ac:dyDescent="0.25">
      <c r="B1461" s="13"/>
      <c r="F1461"/>
      <c r="G1461" s="72"/>
      <c r="K1461"/>
    </row>
    <row r="1462" spans="2:11" x14ac:dyDescent="0.25">
      <c r="B1462" s="13"/>
      <c r="C1462" s="3" t="s">
        <v>863</v>
      </c>
      <c r="F1462"/>
      <c r="G1462" s="72"/>
      <c r="K1462"/>
    </row>
    <row r="1463" spans="2:11" x14ac:dyDescent="0.25">
      <c r="B1463" s="13"/>
      <c r="D1463" t="s">
        <v>722</v>
      </c>
      <c r="F1463" s="74" t="s">
        <v>3</v>
      </c>
      <c r="G1463" s="72">
        <f>0.12*0.125*15*1.08</f>
        <v>0.24299999999999999</v>
      </c>
      <c r="K1463"/>
    </row>
    <row r="1464" spans="2:11" x14ac:dyDescent="0.25">
      <c r="B1464" s="13"/>
      <c r="D1464" t="s">
        <v>8</v>
      </c>
      <c r="F1464" s="74" t="s">
        <v>3</v>
      </c>
      <c r="G1464" s="72">
        <v>0.01</v>
      </c>
      <c r="K1464"/>
    </row>
    <row r="1465" spans="2:11" x14ac:dyDescent="0.25">
      <c r="B1465" s="13"/>
      <c r="D1465" t="s">
        <v>115</v>
      </c>
      <c r="F1465" s="74" t="s">
        <v>3</v>
      </c>
      <c r="G1465" s="72">
        <f>0.12*0.125*2*0.15*2*1.59</f>
        <v>1.431E-2</v>
      </c>
      <c r="K1465"/>
    </row>
    <row r="1466" spans="2:11" x14ac:dyDescent="0.25">
      <c r="B1466" s="13"/>
      <c r="D1466" t="s">
        <v>12</v>
      </c>
      <c r="F1466" s="74" t="s">
        <v>3</v>
      </c>
      <c r="G1466" s="72">
        <f>0.3*(G1465+G1464)</f>
        <v>7.2929999999999991E-3</v>
      </c>
      <c r="K1466"/>
    </row>
    <row r="1467" spans="2:11" x14ac:dyDescent="0.25">
      <c r="B1467" s="13"/>
      <c r="F1467" s="74"/>
      <c r="G1467" s="72"/>
      <c r="K1467"/>
    </row>
    <row r="1468" spans="2:11" x14ac:dyDescent="0.25">
      <c r="B1468" s="13"/>
      <c r="C1468" s="3" t="s">
        <v>864</v>
      </c>
      <c r="F1468"/>
      <c r="G1468" s="72"/>
      <c r="K1468"/>
    </row>
    <row r="1469" spans="2:11" x14ac:dyDescent="0.25">
      <c r="B1469" s="13"/>
      <c r="D1469" t="s">
        <v>872</v>
      </c>
      <c r="F1469" s="74" t="s">
        <v>3</v>
      </c>
      <c r="G1469" s="72">
        <f>0.035*0.08*0.8*8*1.08</f>
        <v>1.9353600000000002E-2</v>
      </c>
      <c r="K1469"/>
    </row>
    <row r="1470" spans="2:11" x14ac:dyDescent="0.25">
      <c r="B1470" s="13"/>
      <c r="F1470"/>
      <c r="G1470" s="72"/>
      <c r="K1470"/>
    </row>
    <row r="1471" spans="2:11" x14ac:dyDescent="0.25">
      <c r="B1471" s="13"/>
      <c r="C1471" s="3" t="s">
        <v>865</v>
      </c>
      <c r="F1471"/>
      <c r="G1471" s="72"/>
      <c r="K1471"/>
    </row>
    <row r="1472" spans="2:11" x14ac:dyDescent="0.25">
      <c r="B1472" s="13"/>
      <c r="D1472" t="s">
        <v>853</v>
      </c>
      <c r="F1472" s="74" t="s">
        <v>3</v>
      </c>
      <c r="G1472" s="72">
        <f>0.07*0.34*1*8*1.1</f>
        <v>0.20944000000000007</v>
      </c>
      <c r="K1472"/>
    </row>
    <row r="1473" spans="2:11" x14ac:dyDescent="0.25">
      <c r="B1473" s="13"/>
      <c r="D1473" t="s">
        <v>8</v>
      </c>
      <c r="F1473" s="74" t="s">
        <v>3</v>
      </c>
      <c r="G1473" s="72">
        <v>1.4999999999999999E-2</v>
      </c>
      <c r="K1473"/>
    </row>
    <row r="1474" spans="2:11" x14ac:dyDescent="0.25">
      <c r="B1474" s="13"/>
      <c r="D1474" t="s">
        <v>36</v>
      </c>
      <c r="F1474" s="74" t="s">
        <v>3</v>
      </c>
      <c r="G1474" s="72">
        <f>0.07*0.34*2*0.15*2*1.3</f>
        <v>1.8564000000000004E-2</v>
      </c>
      <c r="K1474"/>
    </row>
    <row r="1475" spans="2:11" x14ac:dyDescent="0.25">
      <c r="B1475" s="13"/>
      <c r="D1475" t="s">
        <v>12</v>
      </c>
      <c r="F1475" s="74" t="s">
        <v>3</v>
      </c>
      <c r="G1475" s="72">
        <f>0.3*(G1474+G1473)</f>
        <v>1.00692E-2</v>
      </c>
      <c r="K1475"/>
    </row>
    <row r="1476" spans="2:11" x14ac:dyDescent="0.25">
      <c r="B1476" s="13"/>
      <c r="F1476"/>
      <c r="G1476" s="72"/>
      <c r="K1476"/>
    </row>
    <row r="1477" spans="2:11" x14ac:dyDescent="0.25">
      <c r="C1477" s="3" t="s">
        <v>866</v>
      </c>
      <c r="F1477"/>
      <c r="G1477" s="72"/>
      <c r="K1477"/>
    </row>
    <row r="1478" spans="2:11" x14ac:dyDescent="0.25">
      <c r="B1478" s="13"/>
      <c r="D1478" t="s">
        <v>722</v>
      </c>
      <c r="F1478" s="74" t="s">
        <v>3</v>
      </c>
      <c r="G1478" s="72">
        <f>0.143*0.215*1.5*8*1.08</f>
        <v>0.39845520000000001</v>
      </c>
      <c r="K1478"/>
    </row>
    <row r="1479" spans="2:11" x14ac:dyDescent="0.25">
      <c r="B1479" s="13"/>
      <c r="D1479" t="s">
        <v>8</v>
      </c>
      <c r="F1479" s="74" t="s">
        <v>3</v>
      </c>
      <c r="G1479" s="72">
        <v>1.4999999999999999E-2</v>
      </c>
      <c r="K1479"/>
    </row>
    <row r="1480" spans="2:11" x14ac:dyDescent="0.25">
      <c r="B1480" s="13"/>
      <c r="D1480" t="s">
        <v>115</v>
      </c>
      <c r="F1480" s="74" t="s">
        <v>3</v>
      </c>
      <c r="G1480" s="72">
        <f>0.143*0.215*2*0.15*2*1.3</f>
        <v>2.3981099999999998E-2</v>
      </c>
      <c r="K1480"/>
    </row>
    <row r="1481" spans="2:11" x14ac:dyDescent="0.25">
      <c r="B1481" s="13"/>
      <c r="D1481" t="s">
        <v>12</v>
      </c>
      <c r="F1481" s="74" t="s">
        <v>3</v>
      </c>
      <c r="G1481" s="72">
        <f>0.3*(G1480+G1479)</f>
        <v>1.1694329999999999E-2</v>
      </c>
      <c r="K1481"/>
    </row>
    <row r="1482" spans="2:11" x14ac:dyDescent="0.25">
      <c r="B1482" s="13"/>
      <c r="F1482"/>
      <c r="G1482" s="72"/>
      <c r="K1482"/>
    </row>
    <row r="1483" spans="2:11" x14ac:dyDescent="0.25">
      <c r="C1483" s="3" t="s">
        <v>867</v>
      </c>
      <c r="F1483"/>
      <c r="G1483" s="72"/>
      <c r="K1483"/>
    </row>
    <row r="1484" spans="2:11" x14ac:dyDescent="0.25">
      <c r="B1484" s="13"/>
      <c r="C1484" s="3"/>
      <c r="D1484" t="s">
        <v>272</v>
      </c>
      <c r="F1484" s="74" t="s">
        <v>3</v>
      </c>
      <c r="G1484" s="72">
        <f>0.11*0.12*2*8*1.1</f>
        <v>0.23232000000000003</v>
      </c>
      <c r="K1484"/>
    </row>
    <row r="1485" spans="2:11" x14ac:dyDescent="0.25">
      <c r="B1485" s="13"/>
      <c r="C1485" s="3"/>
      <c r="D1485" s="77" t="s">
        <v>39</v>
      </c>
      <c r="F1485" s="74" t="s">
        <v>3</v>
      </c>
      <c r="G1485" s="72">
        <f>0.15*0.04*1.3</f>
        <v>7.8000000000000005E-3</v>
      </c>
      <c r="K1485"/>
    </row>
    <row r="1486" spans="2:11" x14ac:dyDescent="0.25">
      <c r="B1486" s="13"/>
      <c r="C1486" s="3"/>
      <c r="D1486" s="77" t="s">
        <v>40</v>
      </c>
      <c r="F1486" s="74" t="s">
        <v>3</v>
      </c>
      <c r="G1486" s="72">
        <f>1.5*G1485</f>
        <v>1.17E-2</v>
      </c>
      <c r="K1486"/>
    </row>
    <row r="1487" spans="2:11" x14ac:dyDescent="0.25">
      <c r="B1487" s="13"/>
      <c r="C1487" s="3"/>
      <c r="D1487" s="77" t="s">
        <v>8</v>
      </c>
      <c r="E1487" s="8"/>
      <c r="F1487" s="74" t="s">
        <v>3</v>
      </c>
      <c r="G1487" s="72">
        <v>6.0000000000000001E-3</v>
      </c>
      <c r="K1487"/>
    </row>
    <row r="1488" spans="2:11" x14ac:dyDescent="0.25">
      <c r="B1488" s="13"/>
      <c r="C1488" s="3"/>
      <c r="D1488" s="77" t="s">
        <v>325</v>
      </c>
      <c r="F1488" s="74" t="s">
        <v>3</v>
      </c>
      <c r="G1488" s="72">
        <f>0.1*0.11*2*0.15*2*1.3</f>
        <v>8.5800000000000008E-3</v>
      </c>
      <c r="K1488"/>
    </row>
    <row r="1489" spans="2:11" x14ac:dyDescent="0.25">
      <c r="B1489" s="13"/>
      <c r="C1489" s="3"/>
      <c r="D1489" s="77" t="s">
        <v>12</v>
      </c>
      <c r="F1489" s="74" t="s">
        <v>3</v>
      </c>
      <c r="G1489" s="72" t="e">
        <f>0.3*(G1488+#REF!)</f>
        <v>#REF!</v>
      </c>
      <c r="K1489"/>
    </row>
    <row r="1490" spans="2:11" x14ac:dyDescent="0.25">
      <c r="B1490" s="13"/>
      <c r="F1490" s="74"/>
      <c r="G1490" s="72"/>
      <c r="K1490"/>
    </row>
    <row r="1491" spans="2:11" x14ac:dyDescent="0.25">
      <c r="B1491" s="13"/>
      <c r="C1491" s="3" t="s">
        <v>868</v>
      </c>
      <c r="F1491"/>
      <c r="G1491" s="72"/>
      <c r="K1491"/>
    </row>
    <row r="1492" spans="2:11" x14ac:dyDescent="0.25">
      <c r="B1492" s="13"/>
      <c r="D1492" t="s">
        <v>873</v>
      </c>
      <c r="F1492" s="74" t="s">
        <v>3</v>
      </c>
      <c r="G1492" s="72">
        <f>0.14*0.016*4*8*1.08</f>
        <v>7.7414400000000008E-2</v>
      </c>
      <c r="K1492"/>
    </row>
    <row r="1493" spans="2:11" x14ac:dyDescent="0.25">
      <c r="B1493" s="13"/>
      <c r="D1493" t="s">
        <v>8</v>
      </c>
      <c r="F1493" s="74" t="s">
        <v>3</v>
      </c>
      <c r="G1493" s="72">
        <v>3.0000000000000001E-3</v>
      </c>
      <c r="K1493"/>
    </row>
    <row r="1494" spans="2:11" x14ac:dyDescent="0.25">
      <c r="B1494" s="13"/>
      <c r="D1494" t="s">
        <v>115</v>
      </c>
      <c r="F1494" s="74" t="s">
        <v>3</v>
      </c>
      <c r="G1494" s="72">
        <f>0.14*0.011*2*1.3</f>
        <v>4.0040000000000006E-3</v>
      </c>
      <c r="K1494"/>
    </row>
    <row r="1495" spans="2:11" x14ac:dyDescent="0.25">
      <c r="B1495" s="13"/>
      <c r="D1495" t="s">
        <v>12</v>
      </c>
      <c r="F1495" s="74" t="s">
        <v>3</v>
      </c>
      <c r="G1495" s="72">
        <f>0.3*(G1494+G1493)</f>
        <v>2.1012000000000001E-3</v>
      </c>
      <c r="K1495"/>
    </row>
    <row r="1496" spans="2:11" x14ac:dyDescent="0.25">
      <c r="B1496" s="13"/>
      <c r="F1496" s="74"/>
      <c r="G1496" s="72"/>
      <c r="K1496"/>
    </row>
    <row r="1497" spans="2:11" x14ac:dyDescent="0.25">
      <c r="B1497" s="13"/>
      <c r="C1497" s="3" t="s">
        <v>869</v>
      </c>
      <c r="F1497"/>
      <c r="G1497" s="72"/>
      <c r="K1497"/>
    </row>
    <row r="1498" spans="2:11" x14ac:dyDescent="0.25">
      <c r="B1498" s="13"/>
      <c r="C1498" s="3"/>
      <c r="D1498" t="s">
        <v>874</v>
      </c>
      <c r="F1498" s="152" t="s">
        <v>3</v>
      </c>
      <c r="G1498" s="72">
        <v>7.0000000000000007E-2</v>
      </c>
      <c r="H1498" s="5" t="s">
        <v>875</v>
      </c>
      <c r="K1498"/>
    </row>
    <row r="1499" spans="2:11" x14ac:dyDescent="0.25">
      <c r="B1499" s="13"/>
      <c r="C1499" s="3"/>
      <c r="D1499" t="s">
        <v>876</v>
      </c>
      <c r="F1499" s="152" t="s">
        <v>3</v>
      </c>
      <c r="G1499" s="72">
        <v>4.0000000000000001E-3</v>
      </c>
      <c r="K1499"/>
    </row>
    <row r="1500" spans="2:11" ht="17.25" x14ac:dyDescent="0.25">
      <c r="B1500" s="13"/>
      <c r="D1500" t="s">
        <v>23</v>
      </c>
      <c r="F1500" s="173" t="s">
        <v>596</v>
      </c>
      <c r="G1500" s="72">
        <f>G1499*2</f>
        <v>8.0000000000000002E-3</v>
      </c>
      <c r="K1500"/>
    </row>
    <row r="1501" spans="2:11" x14ac:dyDescent="0.25">
      <c r="B1501" s="13"/>
      <c r="D1501" t="s">
        <v>24</v>
      </c>
      <c r="F1501" s="152" t="s">
        <v>3</v>
      </c>
      <c r="G1501" s="72">
        <f>G1499/4</f>
        <v>1E-3</v>
      </c>
      <c r="K1501"/>
    </row>
    <row r="1502" spans="2:11" x14ac:dyDescent="0.25">
      <c r="B1502" s="13"/>
      <c r="F1502"/>
      <c r="G1502" s="72"/>
      <c r="K1502"/>
    </row>
    <row r="1503" spans="2:11" x14ac:dyDescent="0.25">
      <c r="B1503" s="13"/>
      <c r="C1503" s="3" t="s">
        <v>870</v>
      </c>
      <c r="F1503"/>
      <c r="G1503" s="72"/>
      <c r="K1503"/>
    </row>
    <row r="1504" spans="2:11" x14ac:dyDescent="0.25">
      <c r="B1504" s="13"/>
      <c r="D1504" t="s">
        <v>877</v>
      </c>
      <c r="F1504" s="152" t="s">
        <v>3</v>
      </c>
      <c r="G1504" s="72">
        <v>0.02</v>
      </c>
      <c r="K1504"/>
    </row>
    <row r="1505" spans="2:11" x14ac:dyDescent="0.25">
      <c r="B1505" s="13"/>
      <c r="F1505"/>
      <c r="G1505" s="72"/>
      <c r="K1505"/>
    </row>
    <row r="1506" spans="2:11" x14ac:dyDescent="0.25">
      <c r="B1506" s="13"/>
      <c r="C1506" s="3" t="s">
        <v>871</v>
      </c>
      <c r="F1506"/>
      <c r="G1506" s="72"/>
      <c r="K1506"/>
    </row>
    <row r="1507" spans="2:11" x14ac:dyDescent="0.25">
      <c r="B1507" s="13"/>
      <c r="D1507" t="s">
        <v>878</v>
      </c>
      <c r="F1507" s="152" t="s">
        <v>3</v>
      </c>
      <c r="G1507" s="72">
        <f>0.15*0.44*0.5*8*1.1</f>
        <v>0.29040000000000005</v>
      </c>
      <c r="K1507"/>
    </row>
    <row r="1508" spans="2:11" x14ac:dyDescent="0.25">
      <c r="B1508" s="13"/>
      <c r="D1508" t="s">
        <v>8</v>
      </c>
      <c r="F1508" s="152" t="s">
        <v>3</v>
      </c>
      <c r="G1508" s="72">
        <f>0.15*0.25*2*0.15*1.39</f>
        <v>1.5637499999999999E-2</v>
      </c>
      <c r="K1508"/>
    </row>
    <row r="1509" spans="2:11" x14ac:dyDescent="0.25">
      <c r="B1509" s="13"/>
      <c r="D1509" t="s">
        <v>115</v>
      </c>
      <c r="F1509" s="152" t="s">
        <v>3</v>
      </c>
      <c r="G1509" s="72">
        <f>0.15*0.25*2*0.15*2*1.15</f>
        <v>2.5874999999999999E-2</v>
      </c>
      <c r="K1509"/>
    </row>
    <row r="1510" spans="2:11" x14ac:dyDescent="0.25">
      <c r="B1510" s="13"/>
      <c r="D1510" t="s">
        <v>12</v>
      </c>
      <c r="F1510" s="152" t="s">
        <v>3</v>
      </c>
      <c r="G1510" s="72">
        <f>0.3*(G1509+G1508)</f>
        <v>1.2453749999999998E-2</v>
      </c>
      <c r="K1510"/>
    </row>
    <row r="1511" spans="2:11" x14ac:dyDescent="0.25">
      <c r="B1511" s="13"/>
      <c r="D1511" t="s">
        <v>876</v>
      </c>
      <c r="F1511" s="152" t="s">
        <v>3</v>
      </c>
      <c r="G1511" s="72">
        <f>0.1*0.08*1.3</f>
        <v>1.0400000000000001E-2</v>
      </c>
      <c r="K1511"/>
    </row>
    <row r="1512" spans="2:11" ht="17.25" x14ac:dyDescent="0.25">
      <c r="B1512" s="13"/>
      <c r="D1512" t="s">
        <v>23</v>
      </c>
      <c r="F1512" s="173" t="s">
        <v>596</v>
      </c>
      <c r="G1512" s="72">
        <f>G1511*2</f>
        <v>2.0800000000000003E-2</v>
      </c>
      <c r="K1512"/>
    </row>
    <row r="1513" spans="2:11" x14ac:dyDescent="0.25">
      <c r="B1513" s="13"/>
      <c r="D1513" t="s">
        <v>24</v>
      </c>
      <c r="F1513" s="152" t="s">
        <v>3</v>
      </c>
      <c r="G1513" s="72">
        <f>G1511/4</f>
        <v>2.6000000000000003E-3</v>
      </c>
      <c r="K1513"/>
    </row>
    <row r="1514" spans="2:11" x14ac:dyDescent="0.25">
      <c r="B1514" s="13"/>
      <c r="F1514"/>
      <c r="G1514" s="72"/>
      <c r="K1514"/>
    </row>
    <row r="1515" spans="2:11" x14ac:dyDescent="0.25">
      <c r="B1515" s="13"/>
      <c r="C1515" s="3" t="s">
        <v>881</v>
      </c>
      <c r="F1515"/>
      <c r="G1515" s="72"/>
      <c r="K1515"/>
    </row>
    <row r="1516" spans="2:11" x14ac:dyDescent="0.25">
      <c r="B1516" s="13"/>
      <c r="D1516" t="s">
        <v>890</v>
      </c>
      <c r="F1516" s="152" t="s">
        <v>3</v>
      </c>
      <c r="G1516" s="72">
        <f>0.092*1.512*2.5*8*1.1</f>
        <v>3.0602880000000003</v>
      </c>
      <c r="K1516"/>
    </row>
    <row r="1517" spans="2:11" x14ac:dyDescent="0.25">
      <c r="B1517" s="13"/>
      <c r="D1517" s="77" t="s">
        <v>39</v>
      </c>
      <c r="F1517" s="152" t="s">
        <v>3</v>
      </c>
      <c r="G1517" s="72">
        <f>0.2*0.05*1.3</f>
        <v>1.3000000000000003E-2</v>
      </c>
      <c r="K1517"/>
    </row>
    <row r="1518" spans="2:11" x14ac:dyDescent="0.25">
      <c r="B1518" s="13"/>
      <c r="D1518" s="77" t="s">
        <v>40</v>
      </c>
      <c r="F1518" s="152" t="s">
        <v>3</v>
      </c>
      <c r="G1518" s="72">
        <f>1.5*G1517</f>
        <v>1.9500000000000003E-2</v>
      </c>
      <c r="K1518"/>
    </row>
    <row r="1519" spans="2:11" x14ac:dyDescent="0.25">
      <c r="B1519" s="13"/>
      <c r="F1519"/>
      <c r="G1519" s="72"/>
      <c r="K1519"/>
    </row>
    <row r="1520" spans="2:11" x14ac:dyDescent="0.25">
      <c r="B1520" s="13"/>
      <c r="C1520" s="3" t="s">
        <v>882</v>
      </c>
      <c r="F1520"/>
      <c r="G1520" s="72"/>
      <c r="K1520"/>
    </row>
    <row r="1521" spans="2:11" ht="17.25" x14ac:dyDescent="0.25">
      <c r="B1521" s="13"/>
      <c r="D1521" t="s">
        <v>891</v>
      </c>
      <c r="F1521" s="152" t="s">
        <v>677</v>
      </c>
      <c r="G1521" s="72">
        <f>0.752*0.28*1.15</f>
        <v>0.242144</v>
      </c>
      <c r="K1521"/>
    </row>
    <row r="1522" spans="2:11" x14ac:dyDescent="0.25">
      <c r="B1522" s="13"/>
      <c r="F1522"/>
      <c r="G1522" s="72"/>
      <c r="K1522"/>
    </row>
    <row r="1523" spans="2:11" x14ac:dyDescent="0.25">
      <c r="B1523" s="13"/>
      <c r="C1523" s="3" t="s">
        <v>883</v>
      </c>
      <c r="F1523"/>
      <c r="G1523" s="72"/>
      <c r="K1523"/>
    </row>
    <row r="1524" spans="2:11" x14ac:dyDescent="0.25">
      <c r="B1524" s="13"/>
      <c r="D1524" t="s">
        <v>300</v>
      </c>
      <c r="F1524" s="152" t="s">
        <v>3</v>
      </c>
      <c r="G1524" s="72">
        <f>0.08*0.46*3*8*1.1</f>
        <v>0.97152000000000005</v>
      </c>
      <c r="K1524"/>
    </row>
    <row r="1525" spans="2:11" x14ac:dyDescent="0.25">
      <c r="B1525" s="13"/>
      <c r="F1525"/>
      <c r="G1525" s="72"/>
      <c r="K1525"/>
    </row>
    <row r="1526" spans="2:11" x14ac:dyDescent="0.25">
      <c r="B1526" s="13"/>
      <c r="C1526" s="3" t="s">
        <v>884</v>
      </c>
      <c r="F1526"/>
      <c r="G1526" s="72"/>
      <c r="K1526"/>
    </row>
    <row r="1527" spans="2:11" x14ac:dyDescent="0.25">
      <c r="B1527" s="13"/>
      <c r="D1527" t="s">
        <v>89</v>
      </c>
      <c r="F1527" s="152" t="s">
        <v>3</v>
      </c>
      <c r="G1527" s="72">
        <f>0.53*0.6*4*8*1.08</f>
        <v>10.990080000000001</v>
      </c>
      <c r="K1527"/>
    </row>
    <row r="1528" spans="2:11" x14ac:dyDescent="0.25">
      <c r="B1528" s="13"/>
      <c r="F1528"/>
      <c r="G1528" s="72"/>
      <c r="K1528"/>
    </row>
    <row r="1529" spans="2:11" x14ac:dyDescent="0.25">
      <c r="B1529" s="13"/>
      <c r="C1529" s="3" t="s">
        <v>885</v>
      </c>
      <c r="F1529"/>
      <c r="G1529" s="72"/>
      <c r="K1529"/>
    </row>
    <row r="1530" spans="2:11" x14ac:dyDescent="0.25">
      <c r="B1530" s="13"/>
      <c r="C1530" s="3"/>
      <c r="D1530" t="s">
        <v>892</v>
      </c>
      <c r="F1530" s="152" t="s">
        <v>3</v>
      </c>
      <c r="G1530" s="72">
        <v>5.6349999999999998</v>
      </c>
      <c r="H1530" s="5" t="s">
        <v>893</v>
      </c>
      <c r="K1530"/>
    </row>
    <row r="1531" spans="2:11" x14ac:dyDescent="0.25">
      <c r="B1531" s="13"/>
      <c r="C1531" s="3"/>
      <c r="F1531"/>
      <c r="G1531" s="72"/>
      <c r="K1531"/>
    </row>
    <row r="1532" spans="2:11" x14ac:dyDescent="0.25">
      <c r="B1532" s="13"/>
      <c r="C1532" s="3" t="s">
        <v>886</v>
      </c>
      <c r="F1532"/>
      <c r="G1532" s="72"/>
      <c r="K1532"/>
    </row>
    <row r="1533" spans="2:11" x14ac:dyDescent="0.25">
      <c r="B1533" s="13"/>
      <c r="C1533" s="3"/>
      <c r="D1533" t="s">
        <v>892</v>
      </c>
      <c r="F1533" s="152" t="s">
        <v>3</v>
      </c>
      <c r="G1533" s="72">
        <v>3.77</v>
      </c>
      <c r="H1533" s="5" t="s">
        <v>897</v>
      </c>
      <c r="K1533"/>
    </row>
    <row r="1534" spans="2:11" x14ac:dyDescent="0.25">
      <c r="B1534" s="13"/>
      <c r="C1534" s="3"/>
      <c r="F1534"/>
      <c r="G1534" s="72"/>
      <c r="K1534"/>
    </row>
    <row r="1535" spans="2:11" x14ac:dyDescent="0.25">
      <c r="B1535" s="13"/>
      <c r="C1535" s="3" t="s">
        <v>887</v>
      </c>
      <c r="F1535"/>
      <c r="G1535" s="72"/>
      <c r="K1535"/>
    </row>
    <row r="1536" spans="2:11" x14ac:dyDescent="0.25">
      <c r="B1536" s="13"/>
      <c r="C1536" s="3"/>
      <c r="D1536" t="s">
        <v>892</v>
      </c>
      <c r="F1536" s="152" t="s">
        <v>3</v>
      </c>
      <c r="G1536" s="72">
        <v>7.37</v>
      </c>
      <c r="H1536" s="5" t="s">
        <v>894</v>
      </c>
      <c r="K1536"/>
    </row>
    <row r="1537" spans="2:11" x14ac:dyDescent="0.25">
      <c r="B1537" s="13"/>
      <c r="C1537" s="3"/>
      <c r="F1537"/>
      <c r="G1537" s="72"/>
      <c r="K1537"/>
    </row>
    <row r="1538" spans="2:11" x14ac:dyDescent="0.25">
      <c r="B1538" s="13"/>
      <c r="C1538" s="3" t="s">
        <v>888</v>
      </c>
      <c r="F1538"/>
      <c r="G1538" s="72"/>
      <c r="K1538"/>
    </row>
    <row r="1539" spans="2:11" x14ac:dyDescent="0.25">
      <c r="B1539" s="13"/>
      <c r="D1539" t="s">
        <v>892</v>
      </c>
      <c r="F1539" s="152" t="s">
        <v>3</v>
      </c>
      <c r="G1539" s="72">
        <v>2.3849999999999998</v>
      </c>
      <c r="H1539" s="5" t="s">
        <v>895</v>
      </c>
      <c r="K1539"/>
    </row>
    <row r="1540" spans="2:11" x14ac:dyDescent="0.25">
      <c r="B1540" s="13"/>
      <c r="F1540"/>
      <c r="G1540" s="72"/>
      <c r="K1540"/>
    </row>
    <row r="1541" spans="2:11" x14ac:dyDescent="0.25">
      <c r="B1541" s="13"/>
      <c r="C1541" s="3" t="s">
        <v>889</v>
      </c>
      <c r="F1541"/>
      <c r="G1541" s="72"/>
      <c r="K1541"/>
    </row>
    <row r="1542" spans="2:11" x14ac:dyDescent="0.25">
      <c r="B1542" s="13"/>
      <c r="D1542" t="s">
        <v>892</v>
      </c>
      <c r="F1542" s="152" t="s">
        <v>3</v>
      </c>
      <c r="G1542" s="72">
        <v>5.5250000000000004</v>
      </c>
      <c r="H1542" s="5" t="s">
        <v>896</v>
      </c>
      <c r="K1542"/>
    </row>
    <row r="1543" spans="2:11" x14ac:dyDescent="0.25">
      <c r="B1543" s="13"/>
      <c r="F1543"/>
      <c r="G1543" s="72"/>
      <c r="K1543"/>
    </row>
    <row r="1544" spans="2:11" x14ac:dyDescent="0.25">
      <c r="B1544" s="13"/>
      <c r="C1544" s="3" t="s">
        <v>899</v>
      </c>
      <c r="F1544"/>
      <c r="G1544" s="72"/>
      <c r="K1544"/>
    </row>
    <row r="1545" spans="2:11" x14ac:dyDescent="0.25">
      <c r="B1545" s="13"/>
      <c r="D1545" t="s">
        <v>900</v>
      </c>
      <c r="F1545" s="152" t="s">
        <v>3</v>
      </c>
      <c r="G1545" s="72">
        <f>0.09*0.068*2*8*1.1</f>
        <v>0.10771200000000002</v>
      </c>
      <c r="K1545"/>
    </row>
    <row r="1546" spans="2:11" x14ac:dyDescent="0.25">
      <c r="B1546" s="13"/>
      <c r="D1546" t="s">
        <v>114</v>
      </c>
      <c r="F1546" s="152" t="s">
        <v>3</v>
      </c>
      <c r="G1546" s="72">
        <v>2E-3</v>
      </c>
      <c r="K1546"/>
    </row>
    <row r="1547" spans="2:11" x14ac:dyDescent="0.25">
      <c r="B1547" s="13"/>
      <c r="D1547" t="s">
        <v>164</v>
      </c>
      <c r="F1547" s="152" t="s">
        <v>3</v>
      </c>
      <c r="G1547" s="72">
        <f>0.3*G1546</f>
        <v>5.9999999999999995E-4</v>
      </c>
      <c r="K1547"/>
    </row>
    <row r="1548" spans="2:11" x14ac:dyDescent="0.25">
      <c r="B1548" s="13"/>
      <c r="D1548" t="s">
        <v>115</v>
      </c>
      <c r="F1548" s="152" t="s">
        <v>3</v>
      </c>
      <c r="G1548" s="72">
        <f>0.07*0.09*0.15*2*1.3</f>
        <v>2.457E-3</v>
      </c>
      <c r="K1548"/>
    </row>
    <row r="1549" spans="2:11" x14ac:dyDescent="0.25">
      <c r="B1549" s="13"/>
      <c r="D1549" t="s">
        <v>12</v>
      </c>
      <c r="F1549" s="152" t="s">
        <v>3</v>
      </c>
      <c r="G1549" s="72">
        <f>0.3*G1548</f>
        <v>7.3709999999999997E-4</v>
      </c>
      <c r="K1549"/>
    </row>
    <row r="1550" spans="2:11" x14ac:dyDescent="0.25">
      <c r="B1550" s="13"/>
      <c r="F1550"/>
      <c r="G1550" s="72"/>
      <c r="K1550"/>
    </row>
    <row r="1551" spans="2:11" x14ac:dyDescent="0.25">
      <c r="C1551" s="3" t="s">
        <v>898</v>
      </c>
      <c r="F1551"/>
      <c r="G1551" s="72"/>
      <c r="K1551"/>
    </row>
    <row r="1552" spans="2:11" x14ac:dyDescent="0.25">
      <c r="B1552" s="13"/>
      <c r="D1552" t="s">
        <v>901</v>
      </c>
      <c r="F1552" s="152" t="s">
        <v>3</v>
      </c>
      <c r="G1552" s="72">
        <f>0.09*0.061*2*2*1.08</f>
        <v>2.3716800000000003E-2</v>
      </c>
      <c r="K1552"/>
    </row>
    <row r="1553" spans="2:11" x14ac:dyDescent="0.25">
      <c r="B1553" s="13"/>
      <c r="F1553"/>
      <c r="G1553" s="72"/>
      <c r="K1553"/>
    </row>
    <row r="1554" spans="2:11" x14ac:dyDescent="0.25">
      <c r="B1554" s="13"/>
      <c r="C1554" s="3" t="s">
        <v>902</v>
      </c>
      <c r="F1554"/>
      <c r="G1554" s="72"/>
      <c r="K1554"/>
    </row>
    <row r="1555" spans="2:11" x14ac:dyDescent="0.25">
      <c r="B1555" s="13"/>
      <c r="D1555" t="s">
        <v>911</v>
      </c>
      <c r="F1555" s="152" t="s">
        <v>3</v>
      </c>
      <c r="G1555" s="72">
        <f>0.745*0.143*1*8*1.1</f>
        <v>0.93750800000000001</v>
      </c>
      <c r="K1555"/>
    </row>
    <row r="1556" spans="2:11" x14ac:dyDescent="0.25">
      <c r="B1556" s="13"/>
      <c r="D1556" t="s">
        <v>912</v>
      </c>
      <c r="F1556" s="152" t="s">
        <v>3</v>
      </c>
      <c r="G1556" s="72">
        <f>0.745*0.143*2*0.15*1.3</f>
        <v>4.1548649999999999E-2</v>
      </c>
      <c r="K1556"/>
    </row>
    <row r="1557" spans="2:11" x14ac:dyDescent="0.25">
      <c r="B1557" s="13"/>
      <c r="D1557" t="s">
        <v>819</v>
      </c>
      <c r="F1557" s="152" t="s">
        <v>3</v>
      </c>
      <c r="G1557" s="72">
        <f>G1556/6</f>
        <v>6.9247750000000002E-3</v>
      </c>
      <c r="K1557"/>
    </row>
    <row r="1558" spans="2:11" x14ac:dyDescent="0.25">
      <c r="B1558" s="13"/>
      <c r="D1558" t="s">
        <v>313</v>
      </c>
      <c r="F1558" s="152" t="s">
        <v>3</v>
      </c>
      <c r="G1558" s="72">
        <f>0.3*G1556</f>
        <v>1.2464595E-2</v>
      </c>
      <c r="K1558"/>
    </row>
    <row r="1559" spans="2:11" x14ac:dyDescent="0.25">
      <c r="B1559" s="13"/>
      <c r="F1559"/>
      <c r="G1559" s="72"/>
      <c r="K1559"/>
    </row>
    <row r="1560" spans="2:11" x14ac:dyDescent="0.25">
      <c r="B1560" s="13"/>
      <c r="C1560" s="3" t="s">
        <v>903</v>
      </c>
      <c r="F1560"/>
      <c r="G1560" s="72"/>
      <c r="K1560"/>
    </row>
    <row r="1561" spans="2:11" x14ac:dyDescent="0.25">
      <c r="B1561" s="13"/>
      <c r="D1561" t="s">
        <v>913</v>
      </c>
      <c r="F1561" s="152" t="s">
        <v>3</v>
      </c>
      <c r="G1561" s="72">
        <f>0.06*0.02*2.5*8*1.1</f>
        <v>2.64E-2</v>
      </c>
      <c r="K1561"/>
    </row>
    <row r="1562" spans="2:11" x14ac:dyDescent="0.25">
      <c r="B1562" s="13"/>
      <c r="F1562"/>
      <c r="G1562" s="72"/>
      <c r="K1562"/>
    </row>
    <row r="1563" spans="2:11" x14ac:dyDescent="0.25">
      <c r="C1563" s="3" t="s">
        <v>904</v>
      </c>
      <c r="F1563"/>
      <c r="G1563" s="72"/>
      <c r="K1563"/>
    </row>
    <row r="1564" spans="2:11" x14ac:dyDescent="0.25">
      <c r="B1564" s="13"/>
      <c r="D1564" t="s">
        <v>172</v>
      </c>
      <c r="F1564" s="152" t="s">
        <v>3</v>
      </c>
      <c r="G1564" s="72">
        <v>7.0000000000000001E-3</v>
      </c>
      <c r="K1564"/>
    </row>
    <row r="1565" spans="2:11" x14ac:dyDescent="0.25">
      <c r="B1565" s="13"/>
      <c r="F1565" s="152"/>
      <c r="G1565" s="72"/>
      <c r="K1565"/>
    </row>
    <row r="1566" spans="2:11" x14ac:dyDescent="0.25">
      <c r="B1566" s="13"/>
      <c r="C1566" s="3" t="s">
        <v>905</v>
      </c>
      <c r="F1566"/>
      <c r="G1566" s="72"/>
      <c r="K1566"/>
    </row>
    <row r="1567" spans="2:11" x14ac:dyDescent="0.25">
      <c r="B1567" s="13"/>
      <c r="C1567" s="3"/>
      <c r="D1567" t="s">
        <v>855</v>
      </c>
      <c r="F1567" s="152" t="s">
        <v>3</v>
      </c>
      <c r="G1567" s="72">
        <f>0.06*0.02*1.5*2.7*1.08</f>
        <v>5.2488000000000014E-3</v>
      </c>
      <c r="K1567"/>
    </row>
    <row r="1568" spans="2:11" x14ac:dyDescent="0.25">
      <c r="B1568" s="13"/>
      <c r="C1568" s="3"/>
      <c r="D1568" s="8" t="s">
        <v>163</v>
      </c>
      <c r="F1568" s="152" t="s">
        <v>3</v>
      </c>
      <c r="G1568" s="72">
        <v>3.0000000000000001E-3</v>
      </c>
      <c r="K1568"/>
    </row>
    <row r="1569" spans="2:11" x14ac:dyDescent="0.25">
      <c r="B1569" s="13"/>
      <c r="C1569" s="3"/>
      <c r="D1569" s="8" t="s">
        <v>164</v>
      </c>
      <c r="F1569" s="152" t="s">
        <v>3</v>
      </c>
      <c r="G1569" s="72">
        <f>0.3*G1568</f>
        <v>8.9999999999999998E-4</v>
      </c>
      <c r="K1569"/>
    </row>
    <row r="1570" spans="2:11" x14ac:dyDescent="0.25">
      <c r="B1570" s="13"/>
      <c r="C1570" s="3"/>
      <c r="D1570" s="8" t="s">
        <v>879</v>
      </c>
      <c r="F1570" s="152" t="s">
        <v>3</v>
      </c>
      <c r="G1570" s="72">
        <v>3.0000000000000001E-3</v>
      </c>
      <c r="K1570"/>
    </row>
    <row r="1571" spans="2:11" x14ac:dyDescent="0.25">
      <c r="B1571" s="13"/>
      <c r="C1571" s="3"/>
      <c r="D1571" s="8" t="s">
        <v>12</v>
      </c>
      <c r="F1571" s="152" t="s">
        <v>3</v>
      </c>
      <c r="G1571" s="72">
        <f>0.3*G1570</f>
        <v>8.9999999999999998E-4</v>
      </c>
      <c r="K1571"/>
    </row>
    <row r="1572" spans="2:11" x14ac:dyDescent="0.25">
      <c r="B1572" s="13"/>
      <c r="C1572" s="3"/>
      <c r="F1572"/>
      <c r="G1572" s="72"/>
      <c r="K1572"/>
    </row>
    <row r="1573" spans="2:11" x14ac:dyDescent="0.25">
      <c r="B1573" s="13"/>
      <c r="C1573" s="3" t="s">
        <v>906</v>
      </c>
      <c r="F1573"/>
      <c r="G1573" s="72"/>
      <c r="K1573"/>
    </row>
    <row r="1574" spans="2:11" x14ac:dyDescent="0.25">
      <c r="B1574" s="13"/>
      <c r="D1574" t="s">
        <v>847</v>
      </c>
      <c r="F1574" s="152" t="s">
        <v>3</v>
      </c>
      <c r="G1574" s="72">
        <f>0.095*0.016*3*8*1.1</f>
        <v>4.0128000000000004E-2</v>
      </c>
      <c r="K1574"/>
    </row>
    <row r="1575" spans="2:11" x14ac:dyDescent="0.25">
      <c r="B1575" s="13"/>
      <c r="F1575"/>
      <c r="G1575" s="72"/>
      <c r="K1575"/>
    </row>
    <row r="1576" spans="2:11" x14ac:dyDescent="0.25">
      <c r="C1576" s="3" t="s">
        <v>907</v>
      </c>
      <c r="F1576"/>
      <c r="G1576" s="72"/>
      <c r="K1576"/>
    </row>
    <row r="1577" spans="2:11" x14ac:dyDescent="0.25">
      <c r="B1577" s="13"/>
      <c r="D1577" t="s">
        <v>920</v>
      </c>
      <c r="F1577" s="152" t="s">
        <v>3</v>
      </c>
      <c r="G1577" s="72">
        <f>0.076*0.03*4*8*1.1</f>
        <v>8.0256000000000008E-2</v>
      </c>
      <c r="K1577"/>
    </row>
    <row r="1578" spans="2:11" x14ac:dyDescent="0.25">
      <c r="B1578" s="13"/>
      <c r="D1578" s="154" t="s">
        <v>8</v>
      </c>
      <c r="E1578" s="8"/>
      <c r="F1578" s="152" t="s">
        <v>3</v>
      </c>
      <c r="G1578" s="72">
        <v>2E-3</v>
      </c>
      <c r="K1578"/>
    </row>
    <row r="1579" spans="2:11" x14ac:dyDescent="0.25">
      <c r="B1579" s="13"/>
      <c r="D1579" s="25" t="s">
        <v>612</v>
      </c>
      <c r="F1579" s="152" t="s">
        <v>3</v>
      </c>
      <c r="G1579" s="72">
        <f>0.08*0.03*2*0.15*2*1.3</f>
        <v>1.872E-3</v>
      </c>
      <c r="K1579"/>
    </row>
    <row r="1580" spans="2:11" x14ac:dyDescent="0.25">
      <c r="B1580" s="13"/>
      <c r="D1580" s="25" t="s">
        <v>12</v>
      </c>
      <c r="F1580" s="152" t="s">
        <v>3</v>
      </c>
      <c r="G1580" s="72" t="e">
        <f>0.3*(G1579+#REF!)</f>
        <v>#REF!</v>
      </c>
      <c r="K1580"/>
    </row>
    <row r="1581" spans="2:11" x14ac:dyDescent="0.25">
      <c r="B1581" s="13"/>
      <c r="F1581"/>
      <c r="G1581" s="72"/>
      <c r="K1581"/>
    </row>
    <row r="1582" spans="2:11" x14ac:dyDescent="0.25">
      <c r="B1582" s="13"/>
      <c r="C1582" s="3" t="s">
        <v>908</v>
      </c>
      <c r="F1582"/>
      <c r="G1582" s="72"/>
      <c r="K1582"/>
    </row>
    <row r="1583" spans="2:11" x14ac:dyDescent="0.25">
      <c r="B1583" s="13"/>
      <c r="D1583" t="s">
        <v>914</v>
      </c>
      <c r="F1583" s="152" t="s">
        <v>3</v>
      </c>
      <c r="G1583" s="72">
        <v>1.4999999999999999E-2</v>
      </c>
      <c r="K1583"/>
    </row>
    <row r="1584" spans="2:11" x14ac:dyDescent="0.25">
      <c r="B1584" s="13"/>
      <c r="F1584"/>
      <c r="G1584" s="72"/>
      <c r="K1584"/>
    </row>
    <row r="1585" spans="2:11" x14ac:dyDescent="0.25">
      <c r="B1585" s="13"/>
      <c r="C1585" s="3" t="s">
        <v>909</v>
      </c>
      <c r="F1585"/>
      <c r="G1585" s="72"/>
      <c r="K1585"/>
    </row>
    <row r="1586" spans="2:11" x14ac:dyDescent="0.25">
      <c r="B1586" s="13"/>
      <c r="D1586" t="s">
        <v>915</v>
      </c>
      <c r="F1586" s="152" t="s">
        <v>3</v>
      </c>
      <c r="G1586" s="72">
        <f>0.028</f>
        <v>2.8000000000000001E-2</v>
      </c>
      <c r="K1586"/>
    </row>
    <row r="1587" spans="2:11" x14ac:dyDescent="0.25">
      <c r="B1587" s="13"/>
      <c r="F1587"/>
      <c r="G1587" s="72"/>
      <c r="K1587"/>
    </row>
    <row r="1588" spans="2:11" x14ac:dyDescent="0.25">
      <c r="B1588" s="13"/>
      <c r="C1588" s="3" t="s">
        <v>910</v>
      </c>
      <c r="F1588"/>
      <c r="G1588" s="72"/>
      <c r="K1588"/>
    </row>
    <row r="1589" spans="2:11" x14ac:dyDescent="0.25">
      <c r="B1589" s="13"/>
      <c r="D1589" t="s">
        <v>916</v>
      </c>
      <c r="F1589" s="152" t="s">
        <v>3</v>
      </c>
      <c r="G1589" s="72">
        <f>0.11*0.38*1*2.7*1.1</f>
        <v>0.12414600000000003</v>
      </c>
      <c r="K1589"/>
    </row>
    <row r="1590" spans="2:11" x14ac:dyDescent="0.25">
      <c r="B1590" s="13"/>
      <c r="D1590" t="s">
        <v>163</v>
      </c>
      <c r="F1590" s="152" t="s">
        <v>3</v>
      </c>
      <c r="G1590" s="72">
        <v>0.01</v>
      </c>
      <c r="K1590"/>
    </row>
    <row r="1591" spans="2:11" x14ac:dyDescent="0.25">
      <c r="B1591" s="13"/>
      <c r="D1591" t="s">
        <v>164</v>
      </c>
      <c r="F1591" s="152" t="s">
        <v>3</v>
      </c>
      <c r="G1591" s="72">
        <f>0.3*G1590</f>
        <v>3.0000000000000001E-3</v>
      </c>
      <c r="K1591"/>
    </row>
    <row r="1592" spans="2:11" x14ac:dyDescent="0.25">
      <c r="B1592" s="13"/>
      <c r="D1592" t="s">
        <v>325</v>
      </c>
      <c r="F1592" s="152" t="s">
        <v>3</v>
      </c>
      <c r="G1592" s="72">
        <f>0.11*0.38*0.15*2*1.1</f>
        <v>1.3794000000000002E-2</v>
      </c>
      <c r="K1592"/>
    </row>
    <row r="1593" spans="2:11" x14ac:dyDescent="0.25">
      <c r="B1593" s="13"/>
      <c r="D1593" t="s">
        <v>12</v>
      </c>
      <c r="F1593" s="152" t="s">
        <v>3</v>
      </c>
      <c r="G1593" s="72">
        <f>0.3*G1592</f>
        <v>4.1382000000000007E-3</v>
      </c>
      <c r="K1593"/>
    </row>
    <row r="1594" spans="2:11" x14ac:dyDescent="0.25">
      <c r="B1594" s="13"/>
      <c r="F1594" s="152"/>
      <c r="G1594" s="72"/>
      <c r="K1594"/>
    </row>
    <row r="1595" spans="2:11" x14ac:dyDescent="0.25">
      <c r="B1595" s="13"/>
      <c r="C1595" s="3" t="s">
        <v>917</v>
      </c>
      <c r="F1595" s="152"/>
      <c r="G1595" s="72"/>
      <c r="K1595"/>
    </row>
    <row r="1596" spans="2:11" x14ac:dyDescent="0.25">
      <c r="B1596" s="13"/>
      <c r="D1596" t="s">
        <v>918</v>
      </c>
      <c r="F1596" s="152" t="s">
        <v>3</v>
      </c>
      <c r="G1596" s="72">
        <v>0.54</v>
      </c>
      <c r="H1596" s="5" t="s">
        <v>919</v>
      </c>
      <c r="K1596"/>
    </row>
    <row r="1597" spans="2:11" x14ac:dyDescent="0.25">
      <c r="B1597" s="13"/>
      <c r="D1597" t="s">
        <v>143</v>
      </c>
      <c r="F1597" s="152" t="s">
        <v>3</v>
      </c>
      <c r="G1597" s="72">
        <v>0.02</v>
      </c>
      <c r="K1597"/>
    </row>
    <row r="1598" spans="2:11" x14ac:dyDescent="0.25">
      <c r="B1598" s="13"/>
      <c r="D1598" t="s">
        <v>12</v>
      </c>
      <c r="F1598" s="152" t="s">
        <v>3</v>
      </c>
      <c r="G1598" s="72">
        <f>0.3*G1597</f>
        <v>6.0000000000000001E-3</v>
      </c>
      <c r="K1598"/>
    </row>
    <row r="1599" spans="2:11" x14ac:dyDescent="0.25">
      <c r="B1599" s="13"/>
      <c r="D1599" s="8" t="s">
        <v>8</v>
      </c>
      <c r="E1599" s="8"/>
      <c r="F1599" s="152" t="s">
        <v>3</v>
      </c>
      <c r="G1599" s="72">
        <f>1.32*0.011*1.35</f>
        <v>1.9602000000000001E-2</v>
      </c>
      <c r="K1599"/>
    </row>
    <row r="1600" spans="2:11" x14ac:dyDescent="0.25">
      <c r="B1600" s="13"/>
      <c r="D1600" t="s">
        <v>148</v>
      </c>
      <c r="F1600" s="152" t="s">
        <v>3</v>
      </c>
      <c r="G1600" s="72">
        <f>1.32*0.011*2*1.1</f>
        <v>3.1944E-2</v>
      </c>
      <c r="K1600"/>
    </row>
    <row r="1601" spans="2:11" x14ac:dyDescent="0.25">
      <c r="B1601" s="13"/>
      <c r="D1601" t="s">
        <v>12</v>
      </c>
      <c r="F1601" s="152" t="s">
        <v>3</v>
      </c>
      <c r="G1601" s="72" t="e">
        <f>0.3*(G1600+#REF!)</f>
        <v>#REF!</v>
      </c>
      <c r="K1601"/>
    </row>
    <row r="1602" spans="2:11" x14ac:dyDescent="0.25">
      <c r="B1602" s="13"/>
      <c r="F1602"/>
      <c r="G1602" s="72"/>
      <c r="K1602"/>
    </row>
    <row r="1603" spans="2:11" x14ac:dyDescent="0.25">
      <c r="B1603" s="13"/>
      <c r="C1603" s="3" t="s">
        <v>921</v>
      </c>
      <c r="F1603"/>
      <c r="G1603" s="72"/>
      <c r="K1603"/>
    </row>
    <row r="1604" spans="2:11" x14ac:dyDescent="0.25">
      <c r="B1604" s="13"/>
      <c r="D1604" t="s">
        <v>925</v>
      </c>
      <c r="F1604" s="152" t="s">
        <v>3</v>
      </c>
      <c r="G1604" s="72">
        <v>0.44500000000000001</v>
      </c>
      <c r="H1604" s="5" t="s">
        <v>926</v>
      </c>
      <c r="K1604"/>
    </row>
    <row r="1605" spans="2:11" x14ac:dyDescent="0.25">
      <c r="B1605" s="13"/>
      <c r="D1605" t="s">
        <v>143</v>
      </c>
      <c r="F1605" s="152" t="s">
        <v>3</v>
      </c>
      <c r="G1605" s="72">
        <v>1.7999999999999999E-2</v>
      </c>
      <c r="K1605"/>
    </row>
    <row r="1606" spans="2:11" x14ac:dyDescent="0.25">
      <c r="B1606" s="13"/>
      <c r="D1606" s="8" t="s">
        <v>8</v>
      </c>
      <c r="F1606" s="152" t="s">
        <v>3</v>
      </c>
      <c r="G1606" s="72">
        <f>0.65*0.02*1.35</f>
        <v>1.7550000000000003E-2</v>
      </c>
      <c r="K1606"/>
    </row>
    <row r="1607" spans="2:11" x14ac:dyDescent="0.25">
      <c r="B1607" s="13"/>
      <c r="D1607" t="s">
        <v>148</v>
      </c>
      <c r="F1607" s="152" t="s">
        <v>3</v>
      </c>
      <c r="G1607" s="72">
        <f>0.65*0.02*2*1.1</f>
        <v>2.8600000000000004E-2</v>
      </c>
      <c r="K1607"/>
    </row>
    <row r="1608" spans="2:11" x14ac:dyDescent="0.25">
      <c r="B1608" s="13"/>
      <c r="D1608" t="s">
        <v>12</v>
      </c>
      <c r="F1608" s="152" t="s">
        <v>3</v>
      </c>
      <c r="G1608" s="72" t="e">
        <f>0.3*(G1607+#REF!+G1605)</f>
        <v>#REF!</v>
      </c>
      <c r="K1608"/>
    </row>
    <row r="1609" spans="2:11" x14ac:dyDescent="0.25">
      <c r="B1609" s="13"/>
      <c r="F1609"/>
      <c r="G1609" s="72"/>
      <c r="K1609"/>
    </row>
    <row r="1610" spans="2:11" x14ac:dyDescent="0.25">
      <c r="B1610" s="13"/>
      <c r="C1610" s="3" t="s">
        <v>922</v>
      </c>
      <c r="F1610"/>
      <c r="G1610" s="72"/>
      <c r="K1610"/>
    </row>
    <row r="1611" spans="2:11" x14ac:dyDescent="0.25">
      <c r="B1611" s="13"/>
      <c r="D1611" t="s">
        <v>928</v>
      </c>
      <c r="F1611" s="152" t="s">
        <v>3</v>
      </c>
      <c r="G1611" s="72">
        <v>0.2</v>
      </c>
      <c r="H1611" s="5" t="s">
        <v>927</v>
      </c>
      <c r="K1611"/>
    </row>
    <row r="1612" spans="2:11" x14ac:dyDescent="0.25">
      <c r="B1612" s="13"/>
      <c r="D1612" t="s">
        <v>143</v>
      </c>
      <c r="F1612" s="152" t="s">
        <v>3</v>
      </c>
      <c r="G1612" s="72">
        <v>1.4999999999999999E-2</v>
      </c>
      <c r="H1612" s="5"/>
      <c r="K1612"/>
    </row>
    <row r="1613" spans="2:11" x14ac:dyDescent="0.25">
      <c r="B1613" s="13"/>
      <c r="D1613" s="8" t="s">
        <v>8</v>
      </c>
      <c r="F1613" s="152" t="s">
        <v>3</v>
      </c>
      <c r="G1613" s="72">
        <f>0.9*0.011*1.49</f>
        <v>1.4750999999999998E-2</v>
      </c>
      <c r="H1613" s="5"/>
      <c r="K1613"/>
    </row>
    <row r="1614" spans="2:11" x14ac:dyDescent="0.25">
      <c r="B1614" s="13"/>
      <c r="D1614" t="s">
        <v>148</v>
      </c>
      <c r="F1614" s="152" t="s">
        <v>3</v>
      </c>
      <c r="G1614" s="72">
        <f>0.9*0.011*2*1.1</f>
        <v>2.1780000000000001E-2</v>
      </c>
      <c r="H1614" s="5"/>
      <c r="K1614"/>
    </row>
    <row r="1615" spans="2:11" x14ac:dyDescent="0.25">
      <c r="B1615" s="13"/>
      <c r="D1615" t="s">
        <v>12</v>
      </c>
      <c r="F1615" s="152" t="s">
        <v>3</v>
      </c>
      <c r="G1615" s="72">
        <f>0.3*(G1614+G1613+G1612)</f>
        <v>1.5459299999999999E-2</v>
      </c>
      <c r="H1615" s="5"/>
      <c r="K1615"/>
    </row>
    <row r="1616" spans="2:11" x14ac:dyDescent="0.25">
      <c r="B1616" s="13"/>
      <c r="F1616"/>
      <c r="G1616" s="72"/>
      <c r="K1616"/>
    </row>
    <row r="1617" spans="2:11" x14ac:dyDescent="0.25">
      <c r="B1617" s="13"/>
      <c r="C1617" s="3" t="s">
        <v>923</v>
      </c>
      <c r="F1617"/>
      <c r="G1617" s="72"/>
      <c r="K1617"/>
    </row>
    <row r="1618" spans="2:11" x14ac:dyDescent="0.25">
      <c r="B1618" s="13"/>
      <c r="C1618" s="25"/>
      <c r="D1618" t="s">
        <v>651</v>
      </c>
      <c r="F1618" s="152" t="s">
        <v>3</v>
      </c>
      <c r="G1618" s="72">
        <f>0.38*0.105*2*2.7*1.1</f>
        <v>0.23700600000000002</v>
      </c>
      <c r="K1618"/>
    </row>
    <row r="1619" spans="2:11" x14ac:dyDescent="0.25">
      <c r="B1619" s="13"/>
      <c r="F1619"/>
      <c r="G1619" s="72"/>
      <c r="K1619"/>
    </row>
    <row r="1620" spans="2:11" x14ac:dyDescent="0.25">
      <c r="B1620" s="13"/>
      <c r="C1620" s="3" t="s">
        <v>932</v>
      </c>
      <c r="F1620"/>
      <c r="G1620" s="72"/>
      <c r="K1620"/>
    </row>
    <row r="1621" spans="2:11" ht="17.25" x14ac:dyDescent="0.25">
      <c r="B1621" s="13"/>
      <c r="C1621" s="3"/>
      <c r="D1621" t="s">
        <v>933</v>
      </c>
      <c r="F1621" t="s">
        <v>677</v>
      </c>
      <c r="G1621" s="72">
        <f>0.11*0.06*1.1</f>
        <v>7.2600000000000008E-3</v>
      </c>
      <c r="K1621"/>
    </row>
    <row r="1622" spans="2:11" x14ac:dyDescent="0.25">
      <c r="B1622" s="13"/>
      <c r="C1622" s="3"/>
      <c r="F1622"/>
      <c r="G1622" s="72"/>
      <c r="K1622"/>
    </row>
    <row r="1623" spans="2:11" x14ac:dyDescent="0.25">
      <c r="B1623" s="13"/>
      <c r="C1623" s="3" t="s">
        <v>934</v>
      </c>
      <c r="F1623"/>
      <c r="G1623" s="72"/>
      <c r="K1623"/>
    </row>
    <row r="1624" spans="2:11" x14ac:dyDescent="0.25">
      <c r="B1624" s="13"/>
      <c r="C1624" s="3"/>
      <c r="D1624" t="s">
        <v>935</v>
      </c>
      <c r="F1624" s="152" t="s">
        <v>3</v>
      </c>
      <c r="G1624" s="72">
        <f>0.024*0.018*0.8*8*1.1</f>
        <v>3.0412800000000004E-3</v>
      </c>
      <c r="K1624"/>
    </row>
    <row r="1625" spans="2:11" x14ac:dyDescent="0.25">
      <c r="B1625" s="13"/>
      <c r="C1625" s="3"/>
      <c r="F1625"/>
      <c r="G1625" s="72"/>
      <c r="K1625"/>
    </row>
    <row r="1626" spans="2:11" x14ac:dyDescent="0.25">
      <c r="B1626" s="13"/>
      <c r="C1626" s="3" t="s">
        <v>936</v>
      </c>
      <c r="F1626"/>
      <c r="G1626" s="72"/>
      <c r="K1626"/>
    </row>
    <row r="1627" spans="2:11" x14ac:dyDescent="0.25">
      <c r="B1627" s="13"/>
      <c r="C1627" s="3"/>
      <c r="D1627" t="s">
        <v>938</v>
      </c>
      <c r="F1627" s="152" t="s">
        <v>3</v>
      </c>
      <c r="G1627" s="72">
        <f>0.015*0.015*0.5*8.5</f>
        <v>9.5624999999999996E-4</v>
      </c>
      <c r="K1627"/>
    </row>
    <row r="1628" spans="2:11" x14ac:dyDescent="0.25">
      <c r="B1628" s="13"/>
      <c r="C1628" s="3"/>
      <c r="F1628"/>
      <c r="G1628" s="72"/>
      <c r="K1628"/>
    </row>
    <row r="1629" spans="2:11" x14ac:dyDescent="0.25">
      <c r="B1629" s="13"/>
      <c r="C1629" s="3" t="s">
        <v>937</v>
      </c>
      <c r="F1629"/>
      <c r="G1629" s="72"/>
      <c r="K1629"/>
    </row>
    <row r="1630" spans="2:11" x14ac:dyDescent="0.25">
      <c r="B1630" s="13"/>
      <c r="C1630" s="3"/>
      <c r="D1630" t="s">
        <v>853</v>
      </c>
      <c r="F1630" s="152" t="s">
        <v>3</v>
      </c>
      <c r="G1630" s="72">
        <f>0.037*0.016*1*8*1.01</f>
        <v>4.7833599999999995E-3</v>
      </c>
      <c r="K1630"/>
    </row>
    <row r="1631" spans="2:11" x14ac:dyDescent="0.25">
      <c r="B1631" s="13"/>
      <c r="F1631"/>
      <c r="G1631" s="72"/>
      <c r="K1631"/>
    </row>
    <row r="1632" spans="2:11" x14ac:dyDescent="0.25">
      <c r="B1632" s="13"/>
      <c r="C1632" s="3" t="s">
        <v>939</v>
      </c>
      <c r="F1632"/>
      <c r="G1632" s="72"/>
      <c r="K1632"/>
    </row>
    <row r="1633" spans="2:11" x14ac:dyDescent="0.25">
      <c r="B1633" s="13"/>
      <c r="D1633" t="s">
        <v>942</v>
      </c>
      <c r="F1633" s="152" t="s">
        <v>3</v>
      </c>
      <c r="G1633" s="72">
        <f>0.04*0.04*3*8.96</f>
        <v>4.3008000000000011E-2</v>
      </c>
      <c r="K1633"/>
    </row>
    <row r="1634" spans="2:11" x14ac:dyDescent="0.25">
      <c r="B1634" s="13"/>
      <c r="F1634"/>
      <c r="G1634" s="72"/>
      <c r="K1634"/>
    </row>
    <row r="1635" spans="2:11" x14ac:dyDescent="0.25">
      <c r="B1635" s="13"/>
      <c r="C1635" s="3" t="s">
        <v>940</v>
      </c>
      <c r="F1635"/>
      <c r="G1635" s="72"/>
      <c r="K1635"/>
    </row>
    <row r="1636" spans="2:11" x14ac:dyDescent="0.25">
      <c r="B1636" s="13"/>
      <c r="D1636" t="s">
        <v>945</v>
      </c>
      <c r="F1636" s="152" t="s">
        <v>3</v>
      </c>
      <c r="G1636" s="72">
        <f>0.07*0.05*4*8</f>
        <v>0.11200000000000002</v>
      </c>
      <c r="K1636"/>
    </row>
    <row r="1637" spans="2:11" x14ac:dyDescent="0.25">
      <c r="B1637" s="13"/>
      <c r="F1637"/>
      <c r="G1637" s="72"/>
      <c r="K1637"/>
    </row>
    <row r="1638" spans="2:11" x14ac:dyDescent="0.25">
      <c r="B1638" s="13"/>
      <c r="C1638" s="3" t="s">
        <v>941</v>
      </c>
      <c r="F1638"/>
      <c r="G1638" s="72"/>
      <c r="K1638"/>
    </row>
    <row r="1639" spans="2:11" x14ac:dyDescent="0.25">
      <c r="B1639" s="13"/>
      <c r="D1639" t="s">
        <v>588</v>
      </c>
      <c r="F1639" s="152" t="s">
        <v>3</v>
      </c>
      <c r="G1639" s="72">
        <f>0.106*0.04*5*8*1.1</f>
        <v>0.18656</v>
      </c>
      <c r="K1639"/>
    </row>
    <row r="1640" spans="2:11" x14ac:dyDescent="0.25">
      <c r="B1640" s="13"/>
      <c r="F1640"/>
      <c r="G1640" s="72"/>
      <c r="K1640"/>
    </row>
    <row r="1641" spans="2:11" x14ac:dyDescent="0.25">
      <c r="B1641" s="13"/>
      <c r="C1641" s="3" t="s">
        <v>943</v>
      </c>
      <c r="F1641"/>
      <c r="G1641" s="72"/>
      <c r="K1641"/>
    </row>
    <row r="1642" spans="2:11" x14ac:dyDescent="0.25">
      <c r="B1642" s="13"/>
      <c r="D1642" t="s">
        <v>946</v>
      </c>
      <c r="F1642" s="152" t="s">
        <v>3</v>
      </c>
      <c r="G1642" s="72">
        <f>0.045*0.012*1*8*1.1</f>
        <v>4.7520000000000001E-3</v>
      </c>
      <c r="K1642"/>
    </row>
    <row r="1643" spans="2:11" x14ac:dyDescent="0.25">
      <c r="B1643" s="13"/>
      <c r="F1643"/>
      <c r="G1643" s="72"/>
      <c r="K1643"/>
    </row>
    <row r="1644" spans="2:11" x14ac:dyDescent="0.25">
      <c r="B1644" s="13"/>
      <c r="C1644" s="3" t="s">
        <v>947</v>
      </c>
      <c r="F1644" s="9"/>
      <c r="G1644" s="72"/>
      <c r="K1644"/>
    </row>
    <row r="1645" spans="2:11" x14ac:dyDescent="0.25">
      <c r="B1645" s="13"/>
      <c r="D1645" t="s">
        <v>948</v>
      </c>
      <c r="F1645" s="152" t="s">
        <v>3</v>
      </c>
      <c r="G1645" s="72">
        <f>0.045*0.02*0.25*8*1.1</f>
        <v>1.98E-3</v>
      </c>
      <c r="H1645" s="5" t="s">
        <v>949</v>
      </c>
      <c r="K1645"/>
    </row>
    <row r="1646" spans="2:11" x14ac:dyDescent="0.25">
      <c r="B1646" s="13"/>
      <c r="F1646"/>
      <c r="G1646" s="72"/>
      <c r="K1646"/>
    </row>
    <row r="1647" spans="2:11" x14ac:dyDescent="0.25">
      <c r="B1647" s="13"/>
      <c r="C1647" s="3" t="s">
        <v>929</v>
      </c>
      <c r="F1647"/>
      <c r="G1647" s="72"/>
      <c r="K1647"/>
    </row>
    <row r="1648" spans="2:11" ht="17.25" x14ac:dyDescent="0.25">
      <c r="B1648" s="13"/>
      <c r="C1648" s="3"/>
      <c r="D1648" t="s">
        <v>950</v>
      </c>
      <c r="F1648" s="152" t="s">
        <v>677</v>
      </c>
      <c r="G1648" s="72">
        <f>0.085*0.091*1.12</f>
        <v>8.6632000000000011E-3</v>
      </c>
      <c r="K1648"/>
    </row>
    <row r="1649" spans="2:11" x14ac:dyDescent="0.25">
      <c r="B1649" s="13"/>
      <c r="C1649" s="3"/>
      <c r="D1649" t="s">
        <v>951</v>
      </c>
      <c r="F1649" s="152" t="s">
        <v>3</v>
      </c>
      <c r="G1649" s="72">
        <f>0.08*0.08*1.3</f>
        <v>8.320000000000001E-3</v>
      </c>
      <c r="K1649"/>
    </row>
    <row r="1650" spans="2:11" x14ac:dyDescent="0.25">
      <c r="B1650" s="13"/>
      <c r="D1650" t="s">
        <v>104</v>
      </c>
      <c r="F1650" s="152" t="s">
        <v>3</v>
      </c>
      <c r="G1650" s="72">
        <f>G1649*2</f>
        <v>1.6640000000000002E-2</v>
      </c>
      <c r="K1650"/>
    </row>
    <row r="1651" spans="2:11" x14ac:dyDescent="0.25">
      <c r="B1651" s="13"/>
      <c r="F1651" s="152"/>
      <c r="G1651" s="72"/>
      <c r="K1651"/>
    </row>
    <row r="1652" spans="2:11" x14ac:dyDescent="0.25">
      <c r="B1652" s="13"/>
      <c r="C1652" s="3" t="s">
        <v>930</v>
      </c>
      <c r="F1652"/>
      <c r="G1652" s="72"/>
      <c r="K1652"/>
    </row>
    <row r="1653" spans="2:11" x14ac:dyDescent="0.25">
      <c r="B1653" s="13"/>
      <c r="D1653" t="s">
        <v>952</v>
      </c>
      <c r="F1653" s="152" t="s">
        <v>3</v>
      </c>
      <c r="G1653" s="72">
        <f>0.03*0.03*1*8.5*1.12</f>
        <v>8.568000000000001E-3</v>
      </c>
      <c r="K1653"/>
    </row>
    <row r="1654" spans="2:11" x14ac:dyDescent="0.25">
      <c r="B1654" s="13"/>
      <c r="F1654"/>
      <c r="G1654" s="72"/>
      <c r="K1654"/>
    </row>
    <row r="1655" spans="2:11" x14ac:dyDescent="0.25">
      <c r="B1655" s="13"/>
      <c r="C1655" s="3" t="s">
        <v>954</v>
      </c>
      <c r="F1655"/>
      <c r="G1655" s="72"/>
      <c r="K1655"/>
    </row>
    <row r="1656" spans="2:11" x14ac:dyDescent="0.25">
      <c r="B1656" s="13"/>
      <c r="D1656" t="s">
        <v>953</v>
      </c>
      <c r="F1656" s="152" t="s">
        <v>3</v>
      </c>
      <c r="G1656" s="72">
        <f>0.032*0.032*1.5*1.4*1.35</f>
        <v>2.90304E-3</v>
      </c>
      <c r="J1656" s="10"/>
      <c r="K1656"/>
    </row>
    <row r="1657" spans="2:11" x14ac:dyDescent="0.25">
      <c r="B1657" s="13"/>
      <c r="F1657" s="152"/>
      <c r="G1657" s="72"/>
      <c r="J1657" s="10"/>
      <c r="K1657"/>
    </row>
    <row r="1658" spans="2:11" x14ac:dyDescent="0.25">
      <c r="B1658" s="13"/>
      <c r="C1658" s="3" t="s">
        <v>955</v>
      </c>
      <c r="F1658" s="152"/>
      <c r="G1658" s="72"/>
      <c r="J1658" s="10"/>
      <c r="K1658"/>
    </row>
    <row r="1659" spans="2:11" x14ac:dyDescent="0.25">
      <c r="B1659" s="13"/>
      <c r="D1659" t="s">
        <v>953</v>
      </c>
      <c r="F1659" s="152" t="s">
        <v>3</v>
      </c>
      <c r="G1659" s="72">
        <f>0.026*0.026*1.5*1.4*1.2</f>
        <v>1.7035199999999998E-3</v>
      </c>
      <c r="J1659" s="10"/>
      <c r="K1659"/>
    </row>
    <row r="1660" spans="2:11" x14ac:dyDescent="0.25">
      <c r="B1660" s="13"/>
      <c r="F1660" s="152"/>
      <c r="G1660" s="72"/>
      <c r="J1660" s="10"/>
      <c r="K1660"/>
    </row>
    <row r="1661" spans="2:11" x14ac:dyDescent="0.25">
      <c r="B1661" s="13"/>
      <c r="C1661" s="3" t="s">
        <v>956</v>
      </c>
      <c r="F1661" s="9"/>
      <c r="G1661" s="72"/>
      <c r="J1661" s="10"/>
      <c r="K1661"/>
    </row>
    <row r="1662" spans="2:11" x14ac:dyDescent="0.25">
      <c r="B1662" s="13"/>
      <c r="D1662" t="s">
        <v>957</v>
      </c>
      <c r="F1662" s="152" t="s">
        <v>3</v>
      </c>
      <c r="G1662" s="72">
        <f>0.04</f>
        <v>0.04</v>
      </c>
      <c r="J1662" s="10"/>
      <c r="K1662"/>
    </row>
    <row r="1663" spans="2:11" x14ac:dyDescent="0.25">
      <c r="B1663" s="13"/>
      <c r="F1663" s="152"/>
      <c r="G1663" s="72"/>
      <c r="J1663" s="10"/>
      <c r="K1663"/>
    </row>
    <row r="1664" spans="2:11" x14ac:dyDescent="0.25">
      <c r="C1664" s="3" t="s">
        <v>931</v>
      </c>
      <c r="F1664" s="152"/>
      <c r="G1664" s="72"/>
      <c r="J1664" s="10"/>
      <c r="K1664"/>
    </row>
    <row r="1665" spans="2:11" x14ac:dyDescent="0.25">
      <c r="B1665" s="13"/>
      <c r="D1665" t="s">
        <v>853</v>
      </c>
      <c r="F1665" s="152" t="s">
        <v>3</v>
      </c>
      <c r="G1665" s="72">
        <f>0.063*0.058*1*8*1.1</f>
        <v>3.2155200000000002E-2</v>
      </c>
      <c r="J1665" s="10"/>
      <c r="K1665"/>
    </row>
    <row r="1666" spans="2:11" x14ac:dyDescent="0.25">
      <c r="B1666" s="13"/>
      <c r="F1666" s="152"/>
      <c r="G1666" s="72"/>
      <c r="J1666" s="10"/>
      <c r="K1666"/>
    </row>
    <row r="1667" spans="2:11" x14ac:dyDescent="0.25">
      <c r="B1667" s="13"/>
      <c r="C1667" s="3" t="s">
        <v>944</v>
      </c>
      <c r="F1667" s="152"/>
      <c r="G1667" s="72"/>
      <c r="J1667" s="10"/>
      <c r="K1667"/>
    </row>
    <row r="1668" spans="2:11" x14ac:dyDescent="0.25">
      <c r="B1668" s="13"/>
      <c r="C1668" s="3"/>
      <c r="D1668" t="s">
        <v>722</v>
      </c>
      <c r="F1668" s="152" t="s">
        <v>3</v>
      </c>
      <c r="G1668" s="72">
        <f>0.048*0.03*1.5*8*1.1</f>
        <v>1.9007999999999997E-2</v>
      </c>
      <c r="J1668" s="10"/>
      <c r="K1668"/>
    </row>
    <row r="1669" spans="2:11" x14ac:dyDescent="0.25">
      <c r="B1669" s="13"/>
      <c r="C1669" s="3"/>
      <c r="F1669" s="152"/>
      <c r="G1669" s="72"/>
      <c r="J1669" s="10"/>
      <c r="K1669"/>
    </row>
    <row r="1670" spans="2:11" x14ac:dyDescent="0.25">
      <c r="B1670" s="13"/>
      <c r="C1670" s="3" t="s">
        <v>958</v>
      </c>
      <c r="F1670" s="152"/>
      <c r="G1670" s="72"/>
      <c r="J1670" s="10"/>
      <c r="K1670"/>
    </row>
    <row r="1671" spans="2:11" x14ac:dyDescent="0.25">
      <c r="B1671" s="13"/>
      <c r="C1671" s="3"/>
      <c r="D1671" t="s">
        <v>959</v>
      </c>
      <c r="F1671" s="152" t="s">
        <v>3</v>
      </c>
      <c r="G1671" s="72">
        <f>1.745*0.58*1.5*8*1.12</f>
        <v>13.602624</v>
      </c>
      <c r="J1671" s="10"/>
      <c r="K1671"/>
    </row>
    <row r="1672" spans="2:11" x14ac:dyDescent="0.25">
      <c r="B1672" s="13"/>
      <c r="C1672" s="3"/>
      <c r="F1672" s="152"/>
      <c r="G1672" s="72"/>
      <c r="J1672" s="10"/>
      <c r="K1672"/>
    </row>
    <row r="1673" spans="2:11" x14ac:dyDescent="0.25">
      <c r="B1673" s="13"/>
      <c r="C1673" s="3" t="s">
        <v>961</v>
      </c>
      <c r="F1673" s="152"/>
      <c r="G1673" s="72"/>
      <c r="J1673" s="10"/>
      <c r="K1673"/>
    </row>
    <row r="1674" spans="2:11" x14ac:dyDescent="0.25">
      <c r="B1674" s="13"/>
      <c r="C1674" s="3"/>
      <c r="D1674" t="s">
        <v>960</v>
      </c>
      <c r="F1674" s="152" t="s">
        <v>3</v>
      </c>
      <c r="G1674" s="72">
        <v>0.63500000000000001</v>
      </c>
      <c r="J1674" s="10"/>
      <c r="K1674"/>
    </row>
    <row r="1675" spans="2:11" x14ac:dyDescent="0.25">
      <c r="B1675" s="13"/>
      <c r="C1675" s="3"/>
      <c r="F1675" s="152"/>
      <c r="G1675" s="72"/>
      <c r="J1675" s="10"/>
      <c r="K1675"/>
    </row>
    <row r="1676" spans="2:11" x14ac:dyDescent="0.25">
      <c r="B1676" s="13"/>
      <c r="C1676" s="3" t="s">
        <v>962</v>
      </c>
      <c r="F1676" s="152"/>
      <c r="G1676" s="72"/>
      <c r="J1676" s="10"/>
      <c r="K1676"/>
    </row>
    <row r="1677" spans="2:11" x14ac:dyDescent="0.25">
      <c r="B1677" s="13"/>
      <c r="C1677" s="3"/>
      <c r="D1677" t="s">
        <v>963</v>
      </c>
      <c r="F1677" s="152" t="s">
        <v>3</v>
      </c>
      <c r="G1677" s="72">
        <f>0.105*0.035*5*8*1.1</f>
        <v>0.16170000000000004</v>
      </c>
      <c r="J1677" s="10"/>
      <c r="K1677"/>
    </row>
    <row r="1678" spans="2:11" x14ac:dyDescent="0.25">
      <c r="B1678" s="13"/>
      <c r="C1678" s="3"/>
      <c r="F1678" s="152"/>
      <c r="G1678" s="72"/>
      <c r="J1678" s="10"/>
      <c r="K1678"/>
    </row>
    <row r="1679" spans="2:11" x14ac:dyDescent="0.25">
      <c r="B1679" s="13"/>
      <c r="C1679" s="3" t="s">
        <v>964</v>
      </c>
      <c r="F1679" s="152"/>
      <c r="G1679" s="72"/>
      <c r="J1679" s="10"/>
      <c r="K1679"/>
    </row>
    <row r="1680" spans="2:11" x14ac:dyDescent="0.25">
      <c r="B1680" s="13"/>
      <c r="C1680" s="3"/>
      <c r="D1680" t="s">
        <v>853</v>
      </c>
      <c r="F1680" s="152" t="s">
        <v>3</v>
      </c>
      <c r="G1680" s="72">
        <f>0.62*0.1*1*8*1.1</f>
        <v>0.54560000000000008</v>
      </c>
      <c r="J1680" s="10"/>
      <c r="K1680"/>
    </row>
    <row r="1681" spans="2:11" x14ac:dyDescent="0.25">
      <c r="B1681" s="13"/>
      <c r="C1681" s="3"/>
      <c r="D1681" t="s">
        <v>14</v>
      </c>
      <c r="F1681" s="152" t="s">
        <v>3</v>
      </c>
      <c r="G1681" s="72">
        <f>0.62*0.1*2*0.15*1.39</f>
        <v>2.5853999999999995E-2</v>
      </c>
      <c r="J1681" s="10"/>
      <c r="K1681"/>
    </row>
    <row r="1682" spans="2:11" x14ac:dyDescent="0.25">
      <c r="B1682" s="13"/>
      <c r="C1682" s="3"/>
      <c r="D1682" t="s">
        <v>36</v>
      </c>
      <c r="F1682" s="152" t="s">
        <v>3</v>
      </c>
      <c r="G1682" s="72">
        <f>0.62*0.1*2*0.15*2*1.1</f>
        <v>4.0919999999999998E-2</v>
      </c>
      <c r="J1682" s="10"/>
      <c r="K1682"/>
    </row>
    <row r="1683" spans="2:11" x14ac:dyDescent="0.25">
      <c r="B1683" s="13"/>
      <c r="C1683" s="3"/>
      <c r="D1683" t="s">
        <v>12</v>
      </c>
      <c r="F1683" s="152" t="s">
        <v>3</v>
      </c>
      <c r="G1683" s="72">
        <f>0.3*(G1682+G1681)</f>
        <v>2.00322E-2</v>
      </c>
      <c r="J1683" s="10"/>
      <c r="K1683"/>
    </row>
    <row r="1684" spans="2:11" x14ac:dyDescent="0.25">
      <c r="B1684" s="13"/>
      <c r="C1684" s="3"/>
      <c r="F1684" s="152"/>
      <c r="G1684" s="72"/>
      <c r="J1684" s="10"/>
      <c r="K1684"/>
    </row>
    <row r="1685" spans="2:11" x14ac:dyDescent="0.25">
      <c r="B1685" s="13"/>
      <c r="C1685" s="3" t="s">
        <v>965</v>
      </c>
      <c r="F1685" s="152"/>
      <c r="G1685" s="72"/>
      <c r="J1685" s="10"/>
      <c r="K1685"/>
    </row>
    <row r="1686" spans="2:11" x14ac:dyDescent="0.25">
      <c r="B1686" s="13"/>
      <c r="C1686" s="3"/>
      <c r="D1686" t="s">
        <v>150</v>
      </c>
      <c r="F1686" s="152" t="s">
        <v>3</v>
      </c>
      <c r="G1686" s="72">
        <f>(0.47*0.155+0.232*0.1)*2*8*1.1</f>
        <v>1.69048</v>
      </c>
      <c r="J1686" s="10"/>
      <c r="K1686"/>
    </row>
    <row r="1687" spans="2:11" x14ac:dyDescent="0.25">
      <c r="B1687" s="13"/>
      <c r="C1687" s="3"/>
      <c r="D1687" s="77" t="s">
        <v>39</v>
      </c>
      <c r="F1687" s="152" t="s">
        <v>3</v>
      </c>
      <c r="G1687" s="72">
        <f>0.4*0.04*1.3</f>
        <v>2.0800000000000003E-2</v>
      </c>
      <c r="J1687" s="10"/>
      <c r="K1687"/>
    </row>
    <row r="1688" spans="2:11" x14ac:dyDescent="0.25">
      <c r="B1688" s="13"/>
      <c r="C1688" s="3"/>
      <c r="D1688" s="77" t="s">
        <v>40</v>
      </c>
      <c r="F1688" s="152" t="s">
        <v>3</v>
      </c>
      <c r="G1688" s="72">
        <f>1.5*G1687</f>
        <v>3.1200000000000006E-2</v>
      </c>
      <c r="J1688" s="10"/>
      <c r="K1688"/>
    </row>
    <row r="1689" spans="2:11" x14ac:dyDescent="0.25">
      <c r="B1689" s="13"/>
      <c r="C1689" s="3"/>
      <c r="D1689" s="77" t="s">
        <v>14</v>
      </c>
      <c r="F1689" s="152" t="s">
        <v>3</v>
      </c>
      <c r="G1689" s="72">
        <f>G1691*0.7</f>
        <v>3.0508799999999996E-2</v>
      </c>
      <c r="J1689" s="10"/>
      <c r="K1689"/>
    </row>
    <row r="1690" spans="2:11" x14ac:dyDescent="0.25">
      <c r="B1690" s="13"/>
      <c r="C1690" s="3"/>
      <c r="D1690" s="77" t="s">
        <v>12</v>
      </c>
      <c r="F1690" s="152" t="s">
        <v>3</v>
      </c>
      <c r="G1690" s="72">
        <f>0.3*G1689</f>
        <v>9.1526399999999983E-3</v>
      </c>
      <c r="J1690" s="10"/>
      <c r="K1690"/>
    </row>
    <row r="1691" spans="2:11" x14ac:dyDescent="0.25">
      <c r="B1691" s="13"/>
      <c r="C1691" s="3"/>
      <c r="D1691" s="77" t="s">
        <v>72</v>
      </c>
      <c r="F1691" s="152" t="s">
        <v>3</v>
      </c>
      <c r="G1691" s="72">
        <f>(0.47*0.12+0.232*0.07)*2*0.15*2</f>
        <v>4.3583999999999998E-2</v>
      </c>
      <c r="J1691" s="10"/>
      <c r="K1691"/>
    </row>
    <row r="1692" spans="2:11" x14ac:dyDescent="0.25">
      <c r="B1692" s="13"/>
      <c r="C1692" s="3"/>
      <c r="D1692" s="77" t="s">
        <v>11</v>
      </c>
      <c r="F1692" s="152" t="s">
        <v>3</v>
      </c>
      <c r="G1692" s="72">
        <f>0.3*G1691</f>
        <v>1.3075199999999999E-2</v>
      </c>
      <c r="J1692" s="10"/>
      <c r="K1692"/>
    </row>
    <row r="1693" spans="2:11" x14ac:dyDescent="0.25">
      <c r="B1693" s="13"/>
      <c r="C1693" s="3"/>
      <c r="D1693" s="77" t="s">
        <v>13</v>
      </c>
      <c r="F1693" s="152" t="s">
        <v>3</v>
      </c>
      <c r="G1693" s="72">
        <v>0.05</v>
      </c>
      <c r="J1693" s="10"/>
      <c r="K1693"/>
    </row>
    <row r="1694" spans="2:11" x14ac:dyDescent="0.25">
      <c r="B1694" s="13"/>
      <c r="C1694" s="3"/>
      <c r="F1694" s="152"/>
      <c r="G1694" s="72"/>
      <c r="J1694" s="10"/>
      <c r="K1694"/>
    </row>
    <row r="1695" spans="2:11" x14ac:dyDescent="0.25">
      <c r="B1695" s="13"/>
      <c r="C1695" s="3" t="s">
        <v>966</v>
      </c>
      <c r="F1695" s="152"/>
      <c r="G1695" s="72"/>
      <c r="J1695" s="10"/>
      <c r="K1695"/>
    </row>
    <row r="1696" spans="2:11" x14ac:dyDescent="0.25">
      <c r="B1696" s="13"/>
      <c r="C1696" s="3"/>
      <c r="D1696" t="s">
        <v>499</v>
      </c>
      <c r="F1696" s="152" t="s">
        <v>3</v>
      </c>
      <c r="G1696" s="72">
        <v>0.36</v>
      </c>
      <c r="H1696" s="5" t="s">
        <v>967</v>
      </c>
      <c r="J1696" s="10"/>
      <c r="K1696"/>
    </row>
    <row r="1697" spans="2:11" x14ac:dyDescent="0.25">
      <c r="B1697" s="13"/>
      <c r="C1697" s="3"/>
      <c r="D1697" t="s">
        <v>114</v>
      </c>
      <c r="F1697" s="152" t="s">
        <v>3</v>
      </c>
      <c r="G1697" s="72">
        <v>1.4999999999999999E-2</v>
      </c>
      <c r="J1697" s="10"/>
      <c r="K1697"/>
    </row>
    <row r="1698" spans="2:11" x14ac:dyDescent="0.25">
      <c r="B1698" s="13"/>
      <c r="C1698" s="3"/>
      <c r="D1698" t="s">
        <v>164</v>
      </c>
      <c r="F1698" s="152" t="s">
        <v>3</v>
      </c>
      <c r="G1698" s="72">
        <f>0.3*G1697</f>
        <v>4.4999999999999997E-3</v>
      </c>
      <c r="J1698" s="10"/>
      <c r="K1698"/>
    </row>
    <row r="1699" spans="2:11" x14ac:dyDescent="0.25">
      <c r="B1699" s="13"/>
      <c r="C1699" s="3"/>
      <c r="D1699" t="s">
        <v>115</v>
      </c>
      <c r="F1699" s="152" t="s">
        <v>3</v>
      </c>
      <c r="G1699" s="72">
        <f>0.02*0.6*2</f>
        <v>2.4E-2</v>
      </c>
      <c r="J1699" s="10"/>
      <c r="K1699"/>
    </row>
    <row r="1700" spans="2:11" x14ac:dyDescent="0.25">
      <c r="B1700" s="13"/>
      <c r="C1700" s="3"/>
      <c r="D1700" t="s">
        <v>12</v>
      </c>
      <c r="F1700" s="152" t="s">
        <v>3</v>
      </c>
      <c r="G1700" s="72">
        <f>0.3*G1699</f>
        <v>7.1999999999999998E-3</v>
      </c>
      <c r="J1700" s="10"/>
      <c r="K1700"/>
    </row>
    <row r="1701" spans="2:11" x14ac:dyDescent="0.25">
      <c r="B1701" s="13"/>
      <c r="C1701" s="3"/>
      <c r="F1701" s="152"/>
      <c r="G1701" s="72"/>
      <c r="J1701" s="10"/>
      <c r="K1701"/>
    </row>
    <row r="1702" spans="2:11" x14ac:dyDescent="0.25">
      <c r="B1702" s="13"/>
      <c r="C1702" s="3" t="s">
        <v>968</v>
      </c>
      <c r="F1702" s="152"/>
      <c r="G1702" s="72"/>
      <c r="J1702" s="10"/>
      <c r="K1702"/>
    </row>
    <row r="1703" spans="2:11" x14ac:dyDescent="0.25">
      <c r="B1703" s="13"/>
      <c r="C1703" s="3"/>
      <c r="D1703" t="s">
        <v>969</v>
      </c>
      <c r="F1703" s="152" t="s">
        <v>3</v>
      </c>
      <c r="G1703" s="72">
        <v>0.28499999999999998</v>
      </c>
      <c r="H1703" s="5" t="s">
        <v>970</v>
      </c>
      <c r="J1703" s="10"/>
      <c r="K1703"/>
    </row>
    <row r="1704" spans="2:11" x14ac:dyDescent="0.25">
      <c r="B1704" s="13"/>
      <c r="C1704" s="3"/>
      <c r="D1704" t="s">
        <v>143</v>
      </c>
      <c r="F1704" s="152" t="s">
        <v>3</v>
      </c>
      <c r="G1704" s="72">
        <v>1.4999999999999999E-2</v>
      </c>
      <c r="J1704" s="10"/>
      <c r="K1704"/>
    </row>
    <row r="1705" spans="2:11" x14ac:dyDescent="0.25">
      <c r="B1705" s="13"/>
      <c r="C1705" s="3"/>
      <c r="D1705" t="s">
        <v>8</v>
      </c>
      <c r="F1705" s="152" t="s">
        <v>3</v>
      </c>
      <c r="G1705" s="72">
        <f>0.011*0.9*2</f>
        <v>1.9799999999999998E-2</v>
      </c>
      <c r="J1705" s="10"/>
      <c r="K1705"/>
    </row>
    <row r="1706" spans="2:11" x14ac:dyDescent="0.25">
      <c r="B1706" s="13"/>
      <c r="C1706" s="3"/>
      <c r="D1706" t="s">
        <v>148</v>
      </c>
      <c r="F1706" s="152" t="s">
        <v>3</v>
      </c>
      <c r="G1706" s="72">
        <f>0.3*(G1705+G1704)</f>
        <v>1.044E-2</v>
      </c>
      <c r="J1706" s="10"/>
      <c r="K1706"/>
    </row>
    <row r="1707" spans="2:11" x14ac:dyDescent="0.25">
      <c r="B1707" s="13"/>
      <c r="C1707" s="3"/>
      <c r="F1707" s="152"/>
      <c r="G1707" s="72"/>
      <c r="J1707" s="10"/>
      <c r="K1707"/>
    </row>
    <row r="1708" spans="2:11" x14ac:dyDescent="0.25">
      <c r="B1708" s="13"/>
      <c r="C1708" s="3" t="s">
        <v>971</v>
      </c>
      <c r="F1708" s="152"/>
      <c r="G1708" s="72"/>
      <c r="J1708" s="10"/>
      <c r="K1708"/>
    </row>
    <row r="1709" spans="2:11" x14ac:dyDescent="0.25">
      <c r="B1709" s="13"/>
      <c r="C1709" s="3"/>
      <c r="D1709" t="s">
        <v>972</v>
      </c>
      <c r="F1709" s="152" t="s">
        <v>3</v>
      </c>
      <c r="G1709" s="72">
        <v>2.15</v>
      </c>
      <c r="H1709" s="5" t="s">
        <v>973</v>
      </c>
      <c r="J1709" s="10"/>
      <c r="K1709"/>
    </row>
    <row r="1710" spans="2:11" x14ac:dyDescent="0.25">
      <c r="B1710" s="13"/>
      <c r="C1710" s="3"/>
      <c r="D1710" t="s">
        <v>143</v>
      </c>
      <c r="F1710" s="152" t="s">
        <v>3</v>
      </c>
      <c r="G1710" s="72">
        <v>0.05</v>
      </c>
      <c r="J1710" s="10"/>
      <c r="K1710"/>
    </row>
    <row r="1711" spans="2:11" x14ac:dyDescent="0.25">
      <c r="B1711" s="13"/>
      <c r="C1711" s="3"/>
      <c r="D1711" t="s">
        <v>8</v>
      </c>
      <c r="F1711" s="152" t="s">
        <v>3</v>
      </c>
      <c r="G1711" s="72">
        <v>0.05</v>
      </c>
      <c r="J1711" s="10"/>
      <c r="K1711"/>
    </row>
    <row r="1712" spans="2:11" x14ac:dyDescent="0.25">
      <c r="B1712" s="13"/>
      <c r="C1712" s="3"/>
      <c r="D1712" t="s">
        <v>974</v>
      </c>
      <c r="F1712" s="152" t="s">
        <v>3</v>
      </c>
      <c r="G1712" s="72">
        <f>0.03*2*1.3</f>
        <v>7.8E-2</v>
      </c>
      <c r="J1712" s="10"/>
      <c r="K1712"/>
    </row>
    <row r="1713" spans="2:11" x14ac:dyDescent="0.25">
      <c r="B1713" s="13"/>
      <c r="C1713" s="3"/>
      <c r="D1713" t="s">
        <v>12</v>
      </c>
      <c r="F1713" s="152" t="s">
        <v>3</v>
      </c>
      <c r="G1713" s="72">
        <f>3*(G1712+G1711)</f>
        <v>0.38400000000000001</v>
      </c>
      <c r="J1713" s="10"/>
      <c r="K1713"/>
    </row>
    <row r="1714" spans="2:11" x14ac:dyDescent="0.25">
      <c r="B1714" s="13"/>
      <c r="C1714" s="3"/>
      <c r="F1714" s="152"/>
      <c r="G1714" s="72"/>
      <c r="J1714" s="10"/>
      <c r="K1714"/>
    </row>
    <row r="1715" spans="2:11" x14ac:dyDescent="0.25">
      <c r="B1715" s="13"/>
      <c r="C1715" s="3" t="s">
        <v>975</v>
      </c>
      <c r="F1715" s="152"/>
      <c r="G1715" s="72"/>
      <c r="J1715" s="10"/>
      <c r="K1715"/>
    </row>
    <row r="1716" spans="2:11" x14ac:dyDescent="0.25">
      <c r="B1716" s="13"/>
      <c r="C1716" s="3"/>
      <c r="D1716" t="s">
        <v>976</v>
      </c>
      <c r="F1716" s="152" t="s">
        <v>3</v>
      </c>
      <c r="G1716" s="72">
        <f>(0.15*0.54+0.285*0.1)*2*8*1.1</f>
        <v>1.9272000000000002</v>
      </c>
      <c r="J1716" s="10"/>
      <c r="K1716"/>
    </row>
    <row r="1717" spans="2:11" x14ac:dyDescent="0.25">
      <c r="B1717" s="13"/>
      <c r="C1717" s="3"/>
      <c r="D1717" s="77" t="s">
        <v>39</v>
      </c>
      <c r="F1717" s="152" t="s">
        <v>3</v>
      </c>
      <c r="G1717" s="72">
        <f>0.4*0.04*1.3</f>
        <v>2.0800000000000003E-2</v>
      </c>
      <c r="J1717" s="10"/>
      <c r="K1717"/>
    </row>
    <row r="1718" spans="2:11" x14ac:dyDescent="0.25">
      <c r="B1718" s="13"/>
      <c r="C1718" s="3"/>
      <c r="D1718" s="77" t="s">
        <v>40</v>
      </c>
      <c r="F1718" s="152" t="s">
        <v>3</v>
      </c>
      <c r="G1718" s="72">
        <f>1.5*G1717</f>
        <v>3.1200000000000006E-2</v>
      </c>
      <c r="J1718" s="10"/>
      <c r="K1718"/>
    </row>
    <row r="1719" spans="2:11" x14ac:dyDescent="0.25">
      <c r="B1719" s="13"/>
      <c r="C1719" s="3"/>
      <c r="D1719" s="77" t="s">
        <v>8</v>
      </c>
      <c r="F1719" s="152" t="s">
        <v>3</v>
      </c>
      <c r="G1719" s="72">
        <v>0.03</v>
      </c>
      <c r="J1719" s="10"/>
      <c r="K1719"/>
    </row>
    <row r="1720" spans="2:11" x14ac:dyDescent="0.25">
      <c r="B1720" s="13"/>
      <c r="C1720" s="3"/>
      <c r="D1720" s="77" t="s">
        <v>12</v>
      </c>
      <c r="F1720" s="152" t="s">
        <v>3</v>
      </c>
      <c r="G1720" s="72">
        <f>0.3*G1719</f>
        <v>8.9999999999999993E-3</v>
      </c>
      <c r="J1720" s="10"/>
      <c r="K1720"/>
    </row>
    <row r="1721" spans="2:11" x14ac:dyDescent="0.25">
      <c r="B1721" s="13"/>
      <c r="C1721" s="3"/>
      <c r="D1721" s="77" t="s">
        <v>72</v>
      </c>
      <c r="F1721" s="152" t="s">
        <v>3</v>
      </c>
      <c r="G1721" s="72">
        <f>(0.15*0.5+0.28*0.1)*2*0.15*1.3</f>
        <v>4.0170000000000004E-2</v>
      </c>
      <c r="J1721" s="10"/>
      <c r="K1721"/>
    </row>
    <row r="1722" spans="2:11" x14ac:dyDescent="0.25">
      <c r="B1722" s="13"/>
      <c r="C1722" s="3"/>
      <c r="D1722" s="77" t="s">
        <v>11</v>
      </c>
      <c r="F1722" s="152" t="s">
        <v>3</v>
      </c>
      <c r="G1722" s="72">
        <f>0.3*G1721</f>
        <v>1.2051000000000001E-2</v>
      </c>
      <c r="J1722" s="10"/>
      <c r="K1722"/>
    </row>
    <row r="1723" spans="2:11" x14ac:dyDescent="0.25">
      <c r="B1723" s="13"/>
      <c r="C1723" s="3"/>
      <c r="D1723" s="77" t="s">
        <v>13</v>
      </c>
      <c r="F1723" s="152" t="s">
        <v>3</v>
      </c>
      <c r="G1723" s="72">
        <v>0.05</v>
      </c>
      <c r="J1723" s="10"/>
      <c r="K1723"/>
    </row>
    <row r="1724" spans="2:11" x14ac:dyDescent="0.25">
      <c r="B1724" s="13"/>
      <c r="C1724" s="3"/>
      <c r="F1724" s="152"/>
      <c r="G1724" s="72"/>
      <c r="J1724" s="10"/>
      <c r="K1724"/>
    </row>
    <row r="1725" spans="2:11" x14ac:dyDescent="0.25">
      <c r="B1725" s="13"/>
      <c r="C1725" s="3" t="s">
        <v>977</v>
      </c>
      <c r="F1725" s="152"/>
      <c r="G1725" s="72"/>
      <c r="J1725" s="10"/>
      <c r="K1725"/>
    </row>
    <row r="1726" spans="2:11" x14ac:dyDescent="0.25">
      <c r="B1726" s="13"/>
      <c r="C1726" s="3"/>
      <c r="D1726" t="s">
        <v>978</v>
      </c>
      <c r="F1726" s="152" t="s">
        <v>3</v>
      </c>
      <c r="G1726" s="72">
        <f>0.05*0.05*2*9*1.05</f>
        <v>4.7250000000000014E-2</v>
      </c>
      <c r="J1726" s="10"/>
      <c r="K1726"/>
    </row>
    <row r="1727" spans="2:11" x14ac:dyDescent="0.25">
      <c r="B1727" s="13"/>
      <c r="C1727" s="3"/>
      <c r="F1727" s="152"/>
      <c r="G1727" s="72"/>
      <c r="J1727" s="10"/>
      <c r="K1727"/>
    </row>
    <row r="1728" spans="2:11" x14ac:dyDescent="0.25">
      <c r="B1728" s="13"/>
      <c r="C1728" s="3" t="s">
        <v>939</v>
      </c>
      <c r="F1728" s="152"/>
      <c r="G1728" s="72"/>
      <c r="J1728" s="10"/>
      <c r="K1728"/>
    </row>
    <row r="1729" spans="2:11" x14ac:dyDescent="0.25">
      <c r="B1729" s="13"/>
      <c r="C1729" s="3"/>
      <c r="D1729" t="s">
        <v>979</v>
      </c>
      <c r="F1729" s="152" t="s">
        <v>3</v>
      </c>
      <c r="G1729" s="72">
        <f>0.04*0.04*3*9*1.05</f>
        <v>4.5360000000000004E-2</v>
      </c>
      <c r="J1729" s="10"/>
      <c r="K1729"/>
    </row>
    <row r="1730" spans="2:11" x14ac:dyDescent="0.25">
      <c r="B1730" s="13"/>
      <c r="C1730" s="3"/>
      <c r="F1730" s="152"/>
      <c r="G1730" s="72"/>
      <c r="J1730" s="10"/>
      <c r="K1730"/>
    </row>
    <row r="1731" spans="2:11" x14ac:dyDescent="0.25">
      <c r="B1731" s="13"/>
      <c r="C1731" s="3" t="s">
        <v>980</v>
      </c>
      <c r="F1731" s="152"/>
      <c r="G1731" s="72"/>
      <c r="J1731" s="10"/>
      <c r="K1731"/>
    </row>
    <row r="1732" spans="2:11" x14ac:dyDescent="0.25">
      <c r="B1732" s="13"/>
      <c r="C1732" s="3"/>
      <c r="D1732" t="s">
        <v>981</v>
      </c>
      <c r="F1732" s="152" t="s">
        <v>3</v>
      </c>
      <c r="G1732" s="72">
        <f>0.11*0.11*0.5*8*1.06</f>
        <v>5.1304000000000002E-2</v>
      </c>
      <c r="J1732" s="10"/>
      <c r="K1732"/>
    </row>
    <row r="1733" spans="2:11" x14ac:dyDescent="0.25">
      <c r="B1733" s="13"/>
      <c r="C1733" s="3"/>
      <c r="F1733" s="152"/>
      <c r="G1733" s="72"/>
      <c r="J1733" s="10"/>
      <c r="K1733"/>
    </row>
    <row r="1734" spans="2:11" x14ac:dyDescent="0.25">
      <c r="C1734" s="3" t="s">
        <v>982</v>
      </c>
      <c r="F1734" s="152"/>
      <c r="G1734" s="72"/>
      <c r="J1734" s="10"/>
      <c r="K1734"/>
    </row>
    <row r="1735" spans="2:11" x14ac:dyDescent="0.25">
      <c r="C1735" s="3"/>
      <c r="D1735" t="s">
        <v>412</v>
      </c>
      <c r="F1735" s="152" t="s">
        <v>3</v>
      </c>
      <c r="G1735" s="72">
        <f>0.025*0.025*2*8*1.05</f>
        <v>1.0500000000000002E-2</v>
      </c>
      <c r="J1735" s="10"/>
      <c r="K1735"/>
    </row>
    <row r="1736" spans="2:11" x14ac:dyDescent="0.25">
      <c r="C1736" s="3"/>
      <c r="F1736" s="152"/>
      <c r="G1736" s="72"/>
      <c r="J1736" s="10"/>
      <c r="K1736"/>
    </row>
    <row r="1737" spans="2:11" x14ac:dyDescent="0.25">
      <c r="C1737" s="3" t="s">
        <v>983</v>
      </c>
      <c r="F1737" s="152"/>
      <c r="G1737" s="72"/>
      <c r="J1737" s="10"/>
      <c r="K1737"/>
    </row>
    <row r="1738" spans="2:11" x14ac:dyDescent="0.25">
      <c r="B1738" s="13"/>
      <c r="C1738" s="3"/>
      <c r="D1738" t="s">
        <v>984</v>
      </c>
      <c r="F1738" s="152" t="s">
        <v>3</v>
      </c>
      <c r="G1738" s="72">
        <f>0.035*0.035*1*8*1.05</f>
        <v>1.0290000000000002E-2</v>
      </c>
      <c r="J1738" s="10"/>
      <c r="K1738"/>
    </row>
    <row r="1739" spans="2:11" x14ac:dyDescent="0.25">
      <c r="B1739" s="13"/>
      <c r="C1739" s="3"/>
      <c r="F1739" s="152"/>
      <c r="G1739" s="72"/>
      <c r="J1739" s="10"/>
      <c r="K1739"/>
    </row>
    <row r="1740" spans="2:11" x14ac:dyDescent="0.25">
      <c r="B1740" s="13"/>
      <c r="C1740" s="3" t="s">
        <v>985</v>
      </c>
      <c r="F1740" s="152"/>
      <c r="G1740" s="72"/>
      <c r="J1740" s="10"/>
      <c r="K1740"/>
    </row>
    <row r="1741" spans="2:11" x14ac:dyDescent="0.25">
      <c r="B1741" s="13"/>
      <c r="C1741" s="3"/>
      <c r="D1741" t="s">
        <v>986</v>
      </c>
      <c r="F1741" s="152" t="s">
        <v>3</v>
      </c>
      <c r="G1741" s="72">
        <f>0.1*0.1*2.5*0.75*1.05</f>
        <v>1.9687500000000004E-2</v>
      </c>
      <c r="J1741" s="10"/>
      <c r="K1741"/>
    </row>
    <row r="1742" spans="2:11" x14ac:dyDescent="0.25">
      <c r="B1742" s="13"/>
      <c r="C1742" s="3"/>
      <c r="F1742" s="152"/>
      <c r="G1742" s="72"/>
      <c r="J1742" s="10"/>
      <c r="K1742"/>
    </row>
    <row r="1743" spans="2:11" x14ac:dyDescent="0.25">
      <c r="B1743" s="13"/>
      <c r="C1743" s="3" t="s">
        <v>988</v>
      </c>
      <c r="F1743" s="152"/>
      <c r="G1743" s="72"/>
      <c r="J1743" s="10"/>
      <c r="K1743"/>
    </row>
    <row r="1744" spans="2:11" x14ac:dyDescent="0.25">
      <c r="B1744" s="13"/>
      <c r="C1744" s="3"/>
      <c r="D1744" t="s">
        <v>990</v>
      </c>
      <c r="F1744" s="152" t="s">
        <v>3</v>
      </c>
      <c r="G1744" s="72">
        <v>3.0000000000000001E-3</v>
      </c>
      <c r="J1744" s="10"/>
      <c r="K1744"/>
    </row>
    <row r="1745" spans="2:11" x14ac:dyDescent="0.25">
      <c r="B1745" s="13"/>
      <c r="C1745" s="3"/>
      <c r="F1745" s="152"/>
      <c r="G1745" s="72"/>
      <c r="J1745" s="10"/>
      <c r="K1745"/>
    </row>
    <row r="1746" spans="2:11" x14ac:dyDescent="0.25">
      <c r="B1746" s="13"/>
      <c r="C1746" s="3" t="s">
        <v>987</v>
      </c>
      <c r="F1746" s="152"/>
      <c r="G1746" s="72"/>
      <c r="J1746" s="10"/>
      <c r="K1746"/>
    </row>
    <row r="1747" spans="2:11" x14ac:dyDescent="0.25">
      <c r="B1747" s="13"/>
      <c r="C1747" s="3"/>
      <c r="D1747" t="s">
        <v>989</v>
      </c>
      <c r="F1747" s="152" t="s">
        <v>3</v>
      </c>
      <c r="G1747" s="72">
        <v>3.0000000000000001E-3</v>
      </c>
      <c r="J1747" s="10"/>
      <c r="K1747"/>
    </row>
    <row r="1748" spans="2:11" x14ac:dyDescent="0.25">
      <c r="B1748" s="13"/>
      <c r="C1748" s="3"/>
      <c r="F1748" s="152"/>
      <c r="G1748" s="72"/>
      <c r="J1748" s="10"/>
      <c r="K1748"/>
    </row>
    <row r="1749" spans="2:11" x14ac:dyDescent="0.25">
      <c r="B1749" s="13"/>
      <c r="C1749" s="3" t="s">
        <v>924</v>
      </c>
      <c r="F1749"/>
      <c r="G1749" s="72"/>
      <c r="J1749" s="10"/>
      <c r="K1749"/>
    </row>
    <row r="1750" spans="2:11" x14ac:dyDescent="0.25">
      <c r="B1750" s="13"/>
      <c r="C1750" s="3"/>
      <c r="D1750" t="s">
        <v>855</v>
      </c>
      <c r="F1750" s="152" t="s">
        <v>3</v>
      </c>
      <c r="G1750" s="72">
        <f>0.063*0.063*1.5*2.7*1.1</f>
        <v>1.7681895000000006E-2</v>
      </c>
      <c r="J1750" s="10"/>
      <c r="K1750"/>
    </row>
    <row r="1751" spans="2:11" x14ac:dyDescent="0.25">
      <c r="B1751" s="13"/>
      <c r="C1751" s="3"/>
      <c r="D1751" s="8" t="s">
        <v>163</v>
      </c>
      <c r="E1751" s="8"/>
      <c r="F1751" s="152" t="s">
        <v>3</v>
      </c>
      <c r="G1751" s="72">
        <v>2E-3</v>
      </c>
      <c r="J1751" s="10"/>
      <c r="K1751"/>
    </row>
    <row r="1752" spans="2:11" x14ac:dyDescent="0.25">
      <c r="B1752" s="13"/>
      <c r="C1752" s="3"/>
      <c r="D1752" t="s">
        <v>164</v>
      </c>
      <c r="F1752" s="152" t="s">
        <v>3</v>
      </c>
      <c r="G1752" s="72">
        <f>0.3*G1751</f>
        <v>5.9999999999999995E-4</v>
      </c>
      <c r="J1752" s="10"/>
      <c r="K1752"/>
    </row>
    <row r="1753" spans="2:11" x14ac:dyDescent="0.25">
      <c r="B1753" s="13"/>
      <c r="D1753" t="s">
        <v>879</v>
      </c>
      <c r="F1753" s="152" t="s">
        <v>3</v>
      </c>
      <c r="G1753" s="72">
        <v>2E-3</v>
      </c>
      <c r="J1753" s="10"/>
      <c r="K1753"/>
    </row>
    <row r="1754" spans="2:11" x14ac:dyDescent="0.25">
      <c r="B1754" s="13"/>
      <c r="D1754" t="s">
        <v>12</v>
      </c>
      <c r="F1754" s="152" t="s">
        <v>3</v>
      </c>
      <c r="G1754" s="72">
        <f>0.3*G1753</f>
        <v>5.9999999999999995E-4</v>
      </c>
      <c r="J1754" s="10"/>
      <c r="K1754"/>
    </row>
    <row r="1755" spans="2:11" x14ac:dyDescent="0.25">
      <c r="B1755" s="13"/>
      <c r="D1755" t="s">
        <v>854</v>
      </c>
      <c r="F1755" s="152" t="s">
        <v>3</v>
      </c>
      <c r="G1755" s="72">
        <f>0.063*0.063*2*0.15*2*1.3</f>
        <v>3.0958200000000004E-3</v>
      </c>
      <c r="J1755" s="10"/>
      <c r="K1755"/>
    </row>
    <row r="1756" spans="2:11" x14ac:dyDescent="0.25">
      <c r="B1756" s="13"/>
      <c r="D1756" t="s">
        <v>313</v>
      </c>
      <c r="F1756" s="152" t="s">
        <v>3</v>
      </c>
      <c r="G1756" s="72">
        <f>0.3*G1755</f>
        <v>9.2874600000000004E-4</v>
      </c>
      <c r="J1756" s="10"/>
      <c r="K1756"/>
    </row>
    <row r="1757" spans="2:11" x14ac:dyDescent="0.25">
      <c r="B1757" s="13"/>
      <c r="F1757" s="152"/>
      <c r="G1757" s="72"/>
      <c r="J1757" s="10"/>
      <c r="K1757"/>
    </row>
    <row r="1758" spans="2:11" x14ac:dyDescent="0.25">
      <c r="B1758" s="13"/>
      <c r="C1758" s="3" t="s">
        <v>993</v>
      </c>
      <c r="F1758" s="152"/>
      <c r="G1758" s="72"/>
      <c r="J1758" s="10"/>
      <c r="K1758"/>
    </row>
    <row r="1759" spans="2:11" x14ac:dyDescent="0.25">
      <c r="B1759" s="96"/>
      <c r="C1759" s="73"/>
      <c r="D1759" s="73" t="s">
        <v>994</v>
      </c>
      <c r="E1759" s="98"/>
      <c r="F1759" s="152" t="s">
        <v>3</v>
      </c>
      <c r="G1759" s="72">
        <f>0.02*0.02*1*8*1.1</f>
        <v>3.5200000000000006E-3</v>
      </c>
      <c r="J1759" s="10"/>
      <c r="K1759"/>
    </row>
    <row r="1760" spans="2:11" x14ac:dyDescent="0.25">
      <c r="B1760" s="13"/>
      <c r="F1760" s="152"/>
      <c r="G1760" s="72"/>
      <c r="I1760" s="73"/>
      <c r="J1760" s="10"/>
      <c r="K1760"/>
    </row>
    <row r="1761" spans="2:11" x14ac:dyDescent="0.25">
      <c r="B1761" s="13"/>
      <c r="C1761" s="3" t="s">
        <v>995</v>
      </c>
      <c r="F1761" s="152"/>
      <c r="G1761" s="72"/>
      <c r="J1761" s="10"/>
      <c r="K1761"/>
    </row>
    <row r="1762" spans="2:11" x14ac:dyDescent="0.25">
      <c r="B1762" s="13"/>
      <c r="D1762" t="s">
        <v>996</v>
      </c>
      <c r="F1762" s="152" t="s">
        <v>3</v>
      </c>
      <c r="G1762" s="72">
        <f>0.015*0.015*1.5*2.7*1.05</f>
        <v>9.5681250000000009E-4</v>
      </c>
      <c r="J1762" s="10"/>
      <c r="K1762"/>
    </row>
    <row r="1763" spans="2:11" x14ac:dyDescent="0.25">
      <c r="B1763" s="13"/>
      <c r="F1763" s="152"/>
      <c r="G1763" s="72"/>
      <c r="J1763" s="10"/>
      <c r="K1763"/>
    </row>
    <row r="1764" spans="2:11" x14ac:dyDescent="0.25">
      <c r="B1764" s="13"/>
      <c r="C1764" s="3" t="s">
        <v>997</v>
      </c>
      <c r="F1764" s="152"/>
      <c r="G1764" s="72"/>
      <c r="J1764" s="10"/>
      <c r="K1764"/>
    </row>
    <row r="1765" spans="2:11" x14ac:dyDescent="0.25">
      <c r="B1765" s="13"/>
      <c r="D1765" t="s">
        <v>998</v>
      </c>
      <c r="F1765" s="152" t="s">
        <v>3</v>
      </c>
      <c r="G1765" s="148">
        <f>0.075*0.03*0.15*8.5*1.21</f>
        <v>3.4711874999999994E-3</v>
      </c>
      <c r="J1765" s="10"/>
      <c r="K1765"/>
    </row>
    <row r="1766" spans="2:11" x14ac:dyDescent="0.25">
      <c r="B1766" s="13"/>
      <c r="F1766" s="152"/>
      <c r="G1766" s="72"/>
      <c r="J1766" s="10"/>
      <c r="K1766"/>
    </row>
    <row r="1767" spans="2:11" x14ac:dyDescent="0.25">
      <c r="C1767" s="3" t="s">
        <v>999</v>
      </c>
      <c r="F1767" s="152"/>
      <c r="G1767" s="72"/>
      <c r="H1767" s="26"/>
      <c r="J1767" s="10"/>
      <c r="K1767"/>
    </row>
    <row r="1768" spans="2:11" x14ac:dyDescent="0.25">
      <c r="B1768" s="13"/>
      <c r="D1768" t="s">
        <v>1001</v>
      </c>
      <c r="F1768" s="152" t="s">
        <v>3</v>
      </c>
      <c r="G1768" s="72">
        <f>0.43*0.267*3*8*1.194</f>
        <v>3.2899953599999998</v>
      </c>
      <c r="J1768" s="10"/>
      <c r="K1768"/>
    </row>
    <row r="1769" spans="2:11" x14ac:dyDescent="0.25">
      <c r="B1769" s="13"/>
      <c r="D1769" t="s">
        <v>8</v>
      </c>
      <c r="F1769" s="152" t="s">
        <v>3</v>
      </c>
      <c r="G1769" s="72">
        <f>0.045*0.6687</f>
        <v>3.0091499999999997E-2</v>
      </c>
      <c r="J1769" s="10"/>
      <c r="K1769"/>
    </row>
    <row r="1770" spans="2:11" x14ac:dyDescent="0.25">
      <c r="B1770" s="13"/>
      <c r="D1770" t="s">
        <v>147</v>
      </c>
      <c r="F1770" s="152" t="s">
        <v>3</v>
      </c>
      <c r="G1770" s="72">
        <f>0.03*0.6687</f>
        <v>2.0060999999999999E-2</v>
      </c>
      <c r="J1770" s="10"/>
      <c r="K1770"/>
    </row>
    <row r="1771" spans="2:11" x14ac:dyDescent="0.25">
      <c r="B1771" s="13"/>
      <c r="D1771" t="s">
        <v>72</v>
      </c>
      <c r="F1771" s="152" t="s">
        <v>3</v>
      </c>
      <c r="G1771" s="72">
        <f>0.078*0.6687</f>
        <v>5.2158599999999999E-2</v>
      </c>
      <c r="J1771" s="10"/>
      <c r="K1771"/>
    </row>
    <row r="1772" spans="2:11" x14ac:dyDescent="0.25">
      <c r="B1772" s="13"/>
      <c r="D1772" t="s">
        <v>1011</v>
      </c>
      <c r="F1772" s="152" t="s">
        <v>3</v>
      </c>
      <c r="G1772" s="72">
        <f>0.28*G1771</f>
        <v>1.4604408000000001E-2</v>
      </c>
      <c r="J1772" s="10"/>
      <c r="K1772"/>
    </row>
    <row r="1773" spans="2:11" x14ac:dyDescent="0.25">
      <c r="B1773" s="13"/>
      <c r="D1773" t="s">
        <v>13</v>
      </c>
      <c r="F1773" s="152" t="s">
        <v>3</v>
      </c>
      <c r="G1773" s="72">
        <f>0.012*0.6687</f>
        <v>8.0243999999999992E-3</v>
      </c>
      <c r="J1773" s="10"/>
      <c r="K1773"/>
    </row>
    <row r="1774" spans="2:11" x14ac:dyDescent="0.25">
      <c r="B1774" s="13"/>
      <c r="D1774" t="s">
        <v>1010</v>
      </c>
      <c r="F1774" s="152" t="s">
        <v>3</v>
      </c>
      <c r="G1774" s="148">
        <v>2.5000000000000001E-3</v>
      </c>
      <c r="J1774" s="10"/>
      <c r="K1774"/>
    </row>
    <row r="1775" spans="2:11" x14ac:dyDescent="0.25">
      <c r="B1775" s="13"/>
      <c r="D1775" t="s">
        <v>420</v>
      </c>
      <c r="F1775" s="152" t="s">
        <v>3</v>
      </c>
      <c r="G1775" s="72">
        <v>2E-3</v>
      </c>
      <c r="J1775" s="10"/>
      <c r="K1775"/>
    </row>
    <row r="1776" spans="2:11" x14ac:dyDescent="0.25">
      <c r="B1776" s="13"/>
      <c r="F1776" s="152"/>
      <c r="G1776" s="72"/>
      <c r="J1776" s="10"/>
      <c r="K1776"/>
    </row>
    <row r="1777" spans="2:11" x14ac:dyDescent="0.25">
      <c r="C1777" s="3" t="s">
        <v>1000</v>
      </c>
      <c r="F1777" s="152"/>
      <c r="G1777" s="72"/>
      <c r="H1777" s="26"/>
      <c r="J1777" s="10"/>
      <c r="K1777"/>
    </row>
    <row r="1778" spans="2:11" x14ac:dyDescent="0.25">
      <c r="B1778" s="13"/>
      <c r="D1778" t="s">
        <v>1001</v>
      </c>
      <c r="F1778" s="152" t="s">
        <v>3</v>
      </c>
      <c r="G1778" s="72">
        <f>0.34*0.13*3*8*1.197</f>
        <v>1.2697776000000001</v>
      </c>
      <c r="I1778" s="10"/>
      <c r="J1778" s="10" t="e">
        <f>G1778*100/J1804</f>
        <v>#DIV/0!</v>
      </c>
      <c r="K1778"/>
    </row>
    <row r="1779" spans="2:11" x14ac:dyDescent="0.25">
      <c r="B1779" s="13"/>
      <c r="D1779" t="s">
        <v>8</v>
      </c>
      <c r="F1779" s="152" t="s">
        <v>3</v>
      </c>
      <c r="G1779" s="72">
        <f>0.045*0.258</f>
        <v>1.1610000000000001E-2</v>
      </c>
      <c r="I1779" s="10"/>
      <c r="J1779" s="10"/>
      <c r="K1779"/>
    </row>
    <row r="1780" spans="2:11" x14ac:dyDescent="0.25">
      <c r="B1780" s="13"/>
      <c r="D1780" t="s">
        <v>147</v>
      </c>
      <c r="F1780" s="152" t="s">
        <v>3</v>
      </c>
      <c r="G1780" s="72">
        <f>0.03*0.258</f>
        <v>7.7400000000000004E-3</v>
      </c>
      <c r="I1780" s="10"/>
      <c r="J1780" s="10"/>
      <c r="K1780"/>
    </row>
    <row r="1781" spans="2:11" x14ac:dyDescent="0.25">
      <c r="B1781" s="13"/>
      <c r="D1781" t="s">
        <v>72</v>
      </c>
      <c r="F1781" s="152" t="s">
        <v>3</v>
      </c>
      <c r="G1781" s="72">
        <f>0.078*0.258</f>
        <v>2.0124E-2</v>
      </c>
      <c r="I1781" s="10"/>
      <c r="J1781" s="10"/>
      <c r="K1781"/>
    </row>
    <row r="1782" spans="2:11" x14ac:dyDescent="0.25">
      <c r="B1782" s="13"/>
      <c r="D1782" t="s">
        <v>1011</v>
      </c>
      <c r="F1782" s="152" t="s">
        <v>3</v>
      </c>
      <c r="G1782" s="72">
        <f>0.25*G1781</f>
        <v>5.0309999999999999E-3</v>
      </c>
      <c r="I1782" s="10"/>
      <c r="J1782" s="10"/>
      <c r="K1782"/>
    </row>
    <row r="1783" spans="2:11" x14ac:dyDescent="0.25">
      <c r="B1783" s="13"/>
      <c r="D1783" t="s">
        <v>13</v>
      </c>
      <c r="F1783" s="152" t="s">
        <v>3</v>
      </c>
      <c r="G1783" s="72">
        <f>0.012*0.258</f>
        <v>3.0960000000000002E-3</v>
      </c>
      <c r="I1783" s="10"/>
      <c r="J1783" s="10"/>
      <c r="K1783"/>
    </row>
    <row r="1784" spans="2:11" x14ac:dyDescent="0.25">
      <c r="B1784" s="13"/>
      <c r="F1784" s="152"/>
      <c r="G1784" s="72"/>
      <c r="J1784" s="10"/>
      <c r="K1784"/>
    </row>
    <row r="1785" spans="2:11" x14ac:dyDescent="0.25">
      <c r="C1785" s="3" t="s">
        <v>1002</v>
      </c>
      <c r="F1785" s="152"/>
      <c r="G1785" s="72"/>
      <c r="H1785" s="26"/>
      <c r="K1785"/>
    </row>
    <row r="1786" spans="2:11" x14ac:dyDescent="0.25">
      <c r="B1786" s="13"/>
      <c r="D1786" t="s">
        <v>1001</v>
      </c>
      <c r="F1786" s="152" t="s">
        <v>3</v>
      </c>
      <c r="G1786" s="72">
        <f>0.13*0.1*3*8*1.154</f>
        <v>0.36004800000000003</v>
      </c>
      <c r="I1786" s="10"/>
      <c r="J1786" s="10" t="e">
        <f>G1786*100/J1804</f>
        <v>#DIV/0!</v>
      </c>
      <c r="K1786"/>
    </row>
    <row r="1787" spans="2:11" x14ac:dyDescent="0.25">
      <c r="B1787" s="13"/>
      <c r="D1787" t="s">
        <v>8</v>
      </c>
      <c r="F1787" s="152" t="s">
        <v>3</v>
      </c>
      <c r="G1787" s="72">
        <f>0.045*0.07318</f>
        <v>3.2930999999999998E-3</v>
      </c>
      <c r="I1787" s="10"/>
      <c r="J1787" s="10"/>
      <c r="K1787"/>
    </row>
    <row r="1788" spans="2:11" x14ac:dyDescent="0.25">
      <c r="B1788" s="13"/>
      <c r="D1788" t="s">
        <v>147</v>
      </c>
      <c r="F1788" s="152" t="s">
        <v>3</v>
      </c>
      <c r="G1788" s="72">
        <f>0.03*0.07318</f>
        <v>2.1953999999999997E-3</v>
      </c>
      <c r="I1788" s="10"/>
      <c r="J1788" s="10"/>
      <c r="K1788"/>
    </row>
    <row r="1789" spans="2:11" x14ac:dyDescent="0.25">
      <c r="B1789" s="13"/>
      <c r="D1789" t="s">
        <v>72</v>
      </c>
      <c r="F1789" s="152" t="s">
        <v>3</v>
      </c>
      <c r="G1789" s="72">
        <f>0.078*0.07318</f>
        <v>5.7080399999999993E-3</v>
      </c>
      <c r="I1789" s="10"/>
      <c r="J1789" s="10"/>
      <c r="K1789"/>
    </row>
    <row r="1790" spans="2:11" x14ac:dyDescent="0.25">
      <c r="B1790" s="13"/>
      <c r="D1790" t="s">
        <v>1011</v>
      </c>
      <c r="F1790" s="152" t="s">
        <v>3</v>
      </c>
      <c r="G1790" s="72">
        <f>0.328*G1789</f>
        <v>1.8722371199999999E-3</v>
      </c>
      <c r="I1790" s="10"/>
      <c r="J1790" s="10"/>
      <c r="K1790"/>
    </row>
    <row r="1791" spans="2:11" x14ac:dyDescent="0.25">
      <c r="B1791" s="13"/>
      <c r="D1791" t="s">
        <v>13</v>
      </c>
      <c r="F1791" s="152" t="s">
        <v>3</v>
      </c>
      <c r="G1791" s="72">
        <f>0.012*0.07318</f>
        <v>8.7816000000000001E-4</v>
      </c>
      <c r="I1791" s="10"/>
      <c r="J1791" s="10"/>
      <c r="K1791"/>
    </row>
    <row r="1792" spans="2:11" x14ac:dyDescent="0.25">
      <c r="B1792" s="13"/>
      <c r="F1792" s="152"/>
      <c r="G1792" s="72"/>
      <c r="K1792"/>
    </row>
    <row r="1793" spans="2:11" x14ac:dyDescent="0.25">
      <c r="C1793" s="3" t="s">
        <v>1003</v>
      </c>
      <c r="F1793" s="152"/>
      <c r="G1793" s="72"/>
      <c r="K1793"/>
    </row>
    <row r="1794" spans="2:11" x14ac:dyDescent="0.25">
      <c r="B1794" s="13"/>
      <c r="D1794" t="s">
        <v>1001</v>
      </c>
      <c r="F1794" s="152" t="s">
        <v>3</v>
      </c>
      <c r="G1794" s="72">
        <v>2.59</v>
      </c>
      <c r="J1794" s="13" t="e">
        <f>G1794*100/J1804</f>
        <v>#DIV/0!</v>
      </c>
      <c r="K1794"/>
    </row>
    <row r="1795" spans="2:11" x14ac:dyDescent="0.25">
      <c r="B1795" s="13"/>
      <c r="D1795" t="s">
        <v>8</v>
      </c>
      <c r="F1795" s="152" t="s">
        <v>3</v>
      </c>
      <c r="G1795" s="72">
        <f>0.042*0.6137</f>
        <v>2.5775400000000004E-2</v>
      </c>
      <c r="K1795"/>
    </row>
    <row r="1796" spans="2:11" x14ac:dyDescent="0.25">
      <c r="B1796" s="13"/>
      <c r="D1796" t="s">
        <v>147</v>
      </c>
      <c r="F1796" s="152" t="s">
        <v>3</v>
      </c>
      <c r="G1796" s="72">
        <f>0.028*0.6137</f>
        <v>1.71836E-2</v>
      </c>
      <c r="K1796"/>
    </row>
    <row r="1797" spans="2:11" x14ac:dyDescent="0.25">
      <c r="B1797" s="13"/>
      <c r="D1797" t="s">
        <v>72</v>
      </c>
      <c r="F1797" s="152" t="s">
        <v>3</v>
      </c>
      <c r="G1797" s="72">
        <f>0.07*0.6137</f>
        <v>4.2959000000000004E-2</v>
      </c>
      <c r="K1797"/>
    </row>
    <row r="1798" spans="2:11" x14ac:dyDescent="0.25">
      <c r="B1798" s="13"/>
      <c r="D1798" t="s">
        <v>1011</v>
      </c>
      <c r="F1798" s="152" t="s">
        <v>3</v>
      </c>
      <c r="G1798" s="72">
        <f>0.02*0.6137</f>
        <v>1.2274E-2</v>
      </c>
      <c r="K1798"/>
    </row>
    <row r="1799" spans="2:11" x14ac:dyDescent="0.25">
      <c r="B1799" s="13"/>
      <c r="D1799" t="s">
        <v>420</v>
      </c>
      <c r="F1799" s="152" t="s">
        <v>3</v>
      </c>
      <c r="G1799" s="72">
        <v>2E-3</v>
      </c>
      <c r="K1799"/>
    </row>
    <row r="1800" spans="2:11" x14ac:dyDescent="0.25">
      <c r="B1800" s="13"/>
      <c r="D1800" t="s">
        <v>13</v>
      </c>
      <c r="F1800" s="152" t="s">
        <v>3</v>
      </c>
      <c r="G1800" s="72">
        <f>0.013*0.6137</f>
        <v>7.9781000000000001E-3</v>
      </c>
      <c r="K1800"/>
    </row>
    <row r="1801" spans="2:11" x14ac:dyDescent="0.25">
      <c r="B1801" s="13"/>
      <c r="D1801" t="s">
        <v>1010</v>
      </c>
      <c r="F1801" s="152" t="s">
        <v>3</v>
      </c>
      <c r="G1801" s="72">
        <v>2E-3</v>
      </c>
      <c r="K1801"/>
    </row>
    <row r="1802" spans="2:11" x14ac:dyDescent="0.25">
      <c r="B1802" s="13"/>
      <c r="D1802" t="s">
        <v>420</v>
      </c>
      <c r="F1802" s="152" t="s">
        <v>3</v>
      </c>
      <c r="G1802" s="72">
        <v>2E-3</v>
      </c>
      <c r="K1802"/>
    </row>
    <row r="1803" spans="2:11" x14ac:dyDescent="0.25">
      <c r="B1803" s="13"/>
      <c r="F1803" s="152"/>
      <c r="G1803" s="72"/>
      <c r="K1803"/>
    </row>
    <row r="1804" spans="2:11" x14ac:dyDescent="0.25">
      <c r="B1804" s="13"/>
      <c r="C1804" s="3" t="s">
        <v>1004</v>
      </c>
      <c r="F1804" s="152"/>
      <c r="G1804" s="72"/>
      <c r="J1804" s="10"/>
      <c r="K1804"/>
    </row>
    <row r="1805" spans="2:11" ht="17.25" x14ac:dyDescent="0.25">
      <c r="B1805" s="13"/>
      <c r="D1805" t="s">
        <v>1005</v>
      </c>
      <c r="F1805" s="152" t="s">
        <v>677</v>
      </c>
      <c r="G1805" s="72">
        <f>0.03*0.03</f>
        <v>8.9999999999999998E-4</v>
      </c>
      <c r="K1805"/>
    </row>
    <row r="1806" spans="2:11" x14ac:dyDescent="0.25">
      <c r="B1806" s="13"/>
      <c r="F1806" s="152"/>
      <c r="G1806" s="72"/>
      <c r="J1806" s="10"/>
      <c r="K1806" s="2"/>
    </row>
    <row r="1807" spans="2:11" x14ac:dyDescent="0.25">
      <c r="B1807" s="13"/>
      <c r="C1807" s="3" t="s">
        <v>1007</v>
      </c>
      <c r="F1807" s="152"/>
      <c r="G1807" s="72"/>
      <c r="J1807" s="10"/>
      <c r="K1807"/>
    </row>
    <row r="1808" spans="2:11" x14ac:dyDescent="0.25">
      <c r="B1808" s="13"/>
      <c r="D1808" t="s">
        <v>1008</v>
      </c>
      <c r="F1808" s="152" t="s">
        <v>3</v>
      </c>
      <c r="G1808" s="72">
        <f>0.282*0.035*2*2*1.1</f>
        <v>4.3428000000000008E-2</v>
      </c>
      <c r="J1808" s="10"/>
      <c r="K1808"/>
    </row>
    <row r="1809" spans="2:15" x14ac:dyDescent="0.25">
      <c r="B1809" s="13"/>
      <c r="F1809" s="152"/>
      <c r="G1809" s="72"/>
      <c r="J1809" s="10"/>
      <c r="K1809"/>
    </row>
    <row r="1810" spans="2:15" x14ac:dyDescent="0.25">
      <c r="B1810" s="13"/>
      <c r="C1810" s="3" t="s">
        <v>1009</v>
      </c>
      <c r="F1810" s="152"/>
      <c r="G1810" s="72"/>
      <c r="H1810" s="73"/>
      <c r="J1810" s="15"/>
      <c r="K1810"/>
    </row>
    <row r="1811" spans="2:15" x14ac:dyDescent="0.25">
      <c r="B1811" s="13"/>
      <c r="C1811" s="3"/>
      <c r="D1811" t="s">
        <v>177</v>
      </c>
      <c r="F1811" s="152" t="s">
        <v>3</v>
      </c>
      <c r="G1811" s="72">
        <f>0.06*0.06*1*8*1.08</f>
        <v>3.1104E-2</v>
      </c>
      <c r="J1811" s="10"/>
      <c r="K1811"/>
    </row>
    <row r="1812" spans="2:15" x14ac:dyDescent="0.25">
      <c r="B1812" s="13"/>
      <c r="C1812" s="3"/>
      <c r="F1812" s="152"/>
      <c r="G1812" s="72"/>
      <c r="J1812" s="10"/>
      <c r="K1812"/>
    </row>
    <row r="1813" spans="2:15" x14ac:dyDescent="0.25">
      <c r="B1813" s="13"/>
      <c r="C1813" s="3" t="s">
        <v>1013</v>
      </c>
      <c r="F1813" s="152"/>
      <c r="G1813" s="72"/>
      <c r="J1813" s="10"/>
      <c r="K1813"/>
    </row>
    <row r="1814" spans="2:15" x14ac:dyDescent="0.25">
      <c r="B1814" s="13"/>
      <c r="C1814" s="3"/>
      <c r="D1814" t="s">
        <v>275</v>
      </c>
      <c r="F1814" s="152" t="s">
        <v>3</v>
      </c>
      <c r="G1814" s="72">
        <f>0.055*0.046*1.5*8</f>
        <v>3.0360000000000002E-2</v>
      </c>
      <c r="J1814" s="10"/>
      <c r="K1814"/>
    </row>
    <row r="1815" spans="2:15" ht="15.75" thickBot="1" x14ac:dyDescent="0.3">
      <c r="B1815" s="96"/>
      <c r="C1815" s="73"/>
      <c r="D1815" s="73"/>
      <c r="E1815" s="73"/>
      <c r="F1815" s="152"/>
      <c r="G1815" s="72"/>
      <c r="I1815" s="2"/>
      <c r="J1815" s="10"/>
      <c r="K1815"/>
    </row>
    <row r="1816" spans="2:15" x14ac:dyDescent="0.25">
      <c r="B1816" s="166"/>
      <c r="C1816" s="93"/>
      <c r="D1816" s="93"/>
      <c r="E1816" s="94" t="s">
        <v>1047</v>
      </c>
      <c r="F1816" s="167"/>
      <c r="G1816" s="90"/>
      <c r="I1816" s="2"/>
      <c r="J1816" s="10"/>
      <c r="K1816"/>
    </row>
    <row r="1817" spans="2:15" x14ac:dyDescent="0.25">
      <c r="B1817" s="168"/>
      <c r="C1817" s="73" t="s">
        <v>1014</v>
      </c>
      <c r="D1817" s="73"/>
      <c r="E1817" s="73"/>
      <c r="F1817" s="152"/>
      <c r="G1817" s="72"/>
      <c r="I1817" s="2"/>
      <c r="J1817" s="10"/>
      <c r="K1817"/>
    </row>
    <row r="1818" spans="2:15" x14ac:dyDescent="0.25">
      <c r="B1818" s="168"/>
      <c r="C1818" s="73"/>
      <c r="D1818" s="73"/>
      <c r="E1818" s="73"/>
      <c r="F1818" s="152"/>
      <c r="G1818" s="72"/>
      <c r="I1818" s="2"/>
      <c r="J1818" s="10"/>
      <c r="K1818"/>
    </row>
    <row r="1819" spans="2:15" x14ac:dyDescent="0.25">
      <c r="B1819" s="71"/>
      <c r="C1819" s="75" t="s">
        <v>1015</v>
      </c>
      <c r="D1819" s="73"/>
      <c r="E1819" s="73"/>
      <c r="F1819" s="152"/>
      <c r="G1819" s="72"/>
      <c r="K1819"/>
    </row>
    <row r="1820" spans="2:15" x14ac:dyDescent="0.25">
      <c r="B1820" s="71"/>
      <c r="C1820" s="73"/>
      <c r="D1820" s="75" t="s">
        <v>1016</v>
      </c>
      <c r="E1820" s="73"/>
      <c r="F1820" s="152"/>
      <c r="G1820" s="72"/>
    </row>
    <row r="1821" spans="2:15" x14ac:dyDescent="0.25">
      <c r="B1821" s="71"/>
      <c r="C1821" s="73"/>
      <c r="D1821" s="73" t="s">
        <v>1018</v>
      </c>
      <c r="E1821" s="73"/>
      <c r="F1821" s="152" t="s">
        <v>3</v>
      </c>
      <c r="G1821" s="72">
        <f>0.26*0.034*5*8*1.08</f>
        <v>0.38188800000000006</v>
      </c>
      <c r="I1821" s="2"/>
    </row>
    <row r="1822" spans="2:15" x14ac:dyDescent="0.25">
      <c r="B1822" s="71"/>
      <c r="C1822" s="73"/>
      <c r="D1822" s="75" t="s">
        <v>1017</v>
      </c>
      <c r="E1822" s="73"/>
      <c r="F1822" s="152"/>
      <c r="G1822" s="72"/>
      <c r="I1822" s="2"/>
      <c r="J1822" s="10"/>
      <c r="K1822" t="s">
        <v>1024</v>
      </c>
      <c r="M1822" s="6" t="s">
        <v>624</v>
      </c>
      <c r="N1822" t="s">
        <v>1031</v>
      </c>
      <c r="O1822" s="100" t="s">
        <v>1015</v>
      </c>
    </row>
    <row r="1823" spans="2:15" x14ac:dyDescent="0.25">
      <c r="B1823" s="71"/>
      <c r="C1823" s="73"/>
      <c r="D1823" s="73" t="s">
        <v>1018</v>
      </c>
      <c r="E1823" s="73"/>
      <c r="F1823" s="152" t="s">
        <v>3</v>
      </c>
      <c r="G1823" s="72">
        <f>0.205*0.02*5*1.07</f>
        <v>2.1935E-2</v>
      </c>
      <c r="I1823" s="2"/>
      <c r="J1823" s="10"/>
      <c r="K1823" s="2" t="s">
        <v>1019</v>
      </c>
      <c r="M1823" s="6" t="s">
        <v>624</v>
      </c>
      <c r="N1823" t="s">
        <v>1031</v>
      </c>
      <c r="O1823" s="100" t="s">
        <v>1015</v>
      </c>
    </row>
    <row r="1824" spans="2:15" x14ac:dyDescent="0.25">
      <c r="B1824" s="71"/>
      <c r="C1824" s="73"/>
      <c r="D1824" s="73"/>
      <c r="E1824" s="73"/>
      <c r="F1824" s="152"/>
      <c r="G1824" s="72"/>
      <c r="I1824" s="2"/>
      <c r="J1824" s="10"/>
      <c r="K1824" t="s">
        <v>1036</v>
      </c>
      <c r="M1824" s="6" t="s">
        <v>624</v>
      </c>
      <c r="N1824" t="s">
        <v>1031</v>
      </c>
      <c r="O1824" t="s">
        <v>1037</v>
      </c>
    </row>
    <row r="1825" spans="2:15" x14ac:dyDescent="0.25">
      <c r="B1825" s="71"/>
      <c r="C1825" s="75" t="s">
        <v>1028</v>
      </c>
      <c r="D1825" s="73"/>
      <c r="E1825" s="73"/>
      <c r="F1825" s="152"/>
      <c r="G1825" s="72"/>
      <c r="I1825" s="2"/>
      <c r="J1825" s="10"/>
      <c r="K1825" t="s">
        <v>1040</v>
      </c>
      <c r="M1825" s="6" t="s">
        <v>624</v>
      </c>
      <c r="N1825" t="s">
        <v>1031</v>
      </c>
      <c r="O1825" t="s">
        <v>1041</v>
      </c>
    </row>
    <row r="1826" spans="2:15" x14ac:dyDescent="0.25">
      <c r="B1826" s="71"/>
      <c r="C1826" s="73"/>
      <c r="D1826" s="73" t="s">
        <v>8</v>
      </c>
      <c r="E1826" s="73"/>
      <c r="F1826" s="152" t="s">
        <v>3</v>
      </c>
      <c r="G1826" s="72">
        <v>1.4999999999999999E-2</v>
      </c>
      <c r="I1826" s="2"/>
      <c r="J1826" s="10"/>
      <c r="K1826" t="s">
        <v>1046</v>
      </c>
      <c r="M1826" s="6" t="s">
        <v>624</v>
      </c>
      <c r="N1826" t="s">
        <v>1031</v>
      </c>
      <c r="O1826" t="s">
        <v>1039</v>
      </c>
    </row>
    <row r="1827" spans="2:15" x14ac:dyDescent="0.25">
      <c r="B1827" s="71"/>
      <c r="C1827" s="73"/>
      <c r="D1827" s="73" t="s">
        <v>12</v>
      </c>
      <c r="E1827" s="73"/>
      <c r="F1827" s="152" t="s">
        <v>3</v>
      </c>
      <c r="G1827" s="72">
        <f>0.3*G1826</f>
        <v>4.4999999999999997E-3</v>
      </c>
      <c r="I1827" s="2"/>
      <c r="J1827" s="10"/>
      <c r="K1827" t="s">
        <v>1044</v>
      </c>
      <c r="M1827" s="6" t="s">
        <v>624</v>
      </c>
      <c r="N1827" t="s">
        <v>1031</v>
      </c>
      <c r="O1827" t="s">
        <v>1041</v>
      </c>
    </row>
    <row r="1828" spans="2:15" x14ac:dyDescent="0.25">
      <c r="B1828" s="71"/>
      <c r="C1828" s="73"/>
      <c r="D1828" s="73" t="s">
        <v>72</v>
      </c>
      <c r="E1828" s="73"/>
      <c r="F1828" s="152" t="s">
        <v>3</v>
      </c>
      <c r="G1828" s="72">
        <f>0.35*0.02*2*1.3</f>
        <v>1.8199999999999997E-2</v>
      </c>
      <c r="I1828" s="2"/>
      <c r="J1828" s="10"/>
      <c r="K1828" s="10" t="s">
        <v>1030</v>
      </c>
      <c r="M1828" s="6" t="s">
        <v>624</v>
      </c>
      <c r="N1828" t="s">
        <v>1031</v>
      </c>
      <c r="O1828" t="s">
        <v>1032</v>
      </c>
    </row>
    <row r="1829" spans="2:15" x14ac:dyDescent="0.25">
      <c r="B1829" s="71"/>
      <c r="C1829" s="73"/>
      <c r="D1829" s="73" t="s">
        <v>11</v>
      </c>
      <c r="E1829" s="73"/>
      <c r="F1829" s="152" t="s">
        <v>3</v>
      </c>
      <c r="G1829" s="72">
        <f>0.3*G1828</f>
        <v>5.4599999999999987E-3</v>
      </c>
      <c r="I1829" s="2"/>
      <c r="J1829" s="10"/>
      <c r="K1829" s="13" t="s">
        <v>1025</v>
      </c>
      <c r="M1829" s="6" t="s">
        <v>624</v>
      </c>
      <c r="N1829" t="s">
        <v>1031</v>
      </c>
      <c r="O1829" s="100" t="s">
        <v>1015</v>
      </c>
    </row>
    <row r="1830" spans="2:15" x14ac:dyDescent="0.25">
      <c r="B1830" s="71"/>
      <c r="C1830" s="73"/>
      <c r="D1830" s="73"/>
      <c r="E1830" s="73"/>
      <c r="F1830" s="152"/>
      <c r="G1830" s="72"/>
      <c r="I1830" s="2"/>
      <c r="J1830" s="10"/>
      <c r="K1830" s="13" t="s">
        <v>1026</v>
      </c>
      <c r="M1830" s="155" t="s">
        <v>1027</v>
      </c>
      <c r="N1830" t="s">
        <v>1031</v>
      </c>
      <c r="O1830" s="100" t="s">
        <v>1015</v>
      </c>
    </row>
    <row r="1831" spans="2:15" x14ac:dyDescent="0.25">
      <c r="B1831" s="71"/>
      <c r="C1831" s="75" t="s">
        <v>1033</v>
      </c>
      <c r="D1831" s="73"/>
      <c r="E1831" s="73"/>
      <c r="F1831" s="152"/>
      <c r="G1831" s="72"/>
      <c r="I1831" s="2"/>
      <c r="K1831" s="13"/>
      <c r="M1831" s="155"/>
    </row>
    <row r="1832" spans="2:15" x14ac:dyDescent="0.25">
      <c r="B1832" s="71"/>
      <c r="C1832" s="77" t="s">
        <v>489</v>
      </c>
      <c r="D1832" s="77"/>
      <c r="E1832" s="77"/>
      <c r="F1832" s="152" t="s">
        <v>3</v>
      </c>
      <c r="G1832" s="72">
        <f>0.06*3.14*0.1*0.15*2*1.9</f>
        <v>1.0738800000000001E-2</v>
      </c>
      <c r="I1832" s="2"/>
      <c r="J1832" s="10"/>
      <c r="K1832" s="13"/>
      <c r="M1832" s="155"/>
    </row>
    <row r="1833" spans="2:15" x14ac:dyDescent="0.25">
      <c r="B1833" s="71"/>
      <c r="C1833" s="73" t="s">
        <v>490</v>
      </c>
      <c r="D1833" s="73"/>
      <c r="E1833" s="73"/>
      <c r="F1833" s="74" t="s">
        <v>3</v>
      </c>
      <c r="G1833" s="72">
        <f>0.3*G1832</f>
        <v>3.2216400000000004E-3</v>
      </c>
      <c r="I1833" s="2"/>
      <c r="J1833" s="10"/>
      <c r="K1833" s="13"/>
      <c r="M1833" s="155"/>
    </row>
    <row r="1834" spans="2:15" x14ac:dyDescent="0.25">
      <c r="B1834" s="71"/>
      <c r="C1834" s="73"/>
      <c r="D1834" s="78" t="s">
        <v>1034</v>
      </c>
      <c r="E1834" s="73"/>
      <c r="F1834" s="152"/>
      <c r="G1834" s="72"/>
      <c r="I1834" s="2"/>
      <c r="J1834" s="10"/>
      <c r="K1834" s="13"/>
      <c r="M1834" s="155"/>
    </row>
    <row r="1835" spans="2:15" x14ac:dyDescent="0.25">
      <c r="B1835" s="71"/>
      <c r="C1835" s="73"/>
      <c r="D1835" s="73" t="s">
        <v>588</v>
      </c>
      <c r="E1835" s="73"/>
      <c r="F1835" s="152" t="s">
        <v>3</v>
      </c>
      <c r="G1835" s="72">
        <f>0.06*0.065*5*8*1.1</f>
        <v>0.1716</v>
      </c>
      <c r="I1835" s="2"/>
      <c r="J1835" s="10"/>
      <c r="K1835"/>
    </row>
    <row r="1836" spans="2:15" x14ac:dyDescent="0.25">
      <c r="B1836" s="71"/>
      <c r="C1836" s="73"/>
      <c r="D1836" s="75" t="s">
        <v>1035</v>
      </c>
      <c r="E1836" s="73"/>
      <c r="F1836" s="152"/>
      <c r="G1836" s="72"/>
      <c r="I1836" s="2"/>
      <c r="J1836" s="10"/>
      <c r="K1836"/>
    </row>
    <row r="1837" spans="2:15" x14ac:dyDescent="0.25">
      <c r="B1837" s="71"/>
      <c r="C1837" s="73"/>
      <c r="D1837" s="73" t="s">
        <v>828</v>
      </c>
      <c r="E1837" s="73"/>
      <c r="F1837" s="152" t="s">
        <v>3</v>
      </c>
      <c r="G1837" s="72">
        <f>0.04*0.012*3*8*1.1</f>
        <v>1.2672000000000001E-2</v>
      </c>
      <c r="I1837" s="2"/>
      <c r="J1837" s="10"/>
      <c r="K1837"/>
    </row>
    <row r="1838" spans="2:15" x14ac:dyDescent="0.25">
      <c r="B1838" s="71"/>
      <c r="C1838" s="73"/>
      <c r="D1838" s="75" t="s">
        <v>1038</v>
      </c>
      <c r="E1838" s="73"/>
      <c r="F1838" s="152"/>
      <c r="G1838" s="72"/>
      <c r="I1838" s="2"/>
      <c r="J1838" s="10"/>
      <c r="K1838"/>
    </row>
    <row r="1839" spans="2:15" x14ac:dyDescent="0.25">
      <c r="B1839" s="71"/>
      <c r="C1839" s="73"/>
      <c r="D1839" s="77" t="s">
        <v>588</v>
      </c>
      <c r="E1839" s="73"/>
      <c r="F1839" s="152" t="s">
        <v>3</v>
      </c>
      <c r="G1839" s="72">
        <f>0.08*0.08*5*8*1.1</f>
        <v>0.28160000000000002</v>
      </c>
      <c r="I1839" s="2"/>
      <c r="J1839" s="10"/>
      <c r="K1839"/>
    </row>
    <row r="1840" spans="2:15" x14ac:dyDescent="0.25">
      <c r="B1840" s="71"/>
      <c r="C1840" s="73"/>
      <c r="D1840" s="73"/>
      <c r="E1840" s="73"/>
      <c r="F1840" s="152"/>
      <c r="G1840" s="72"/>
      <c r="I1840" s="2"/>
      <c r="J1840" s="10"/>
      <c r="K1840"/>
    </row>
    <row r="1841" spans="2:11" x14ac:dyDescent="0.25">
      <c r="B1841" s="71"/>
      <c r="C1841" s="75" t="s">
        <v>1042</v>
      </c>
      <c r="D1841" s="73"/>
      <c r="E1841" s="73"/>
      <c r="F1841" s="152"/>
      <c r="G1841" s="72"/>
      <c r="I1841" s="2"/>
      <c r="J1841" s="10"/>
      <c r="K1841"/>
    </row>
    <row r="1842" spans="2:11" x14ac:dyDescent="0.25">
      <c r="B1842" s="71"/>
      <c r="C1842" s="73"/>
      <c r="D1842" s="78" t="s">
        <v>1043</v>
      </c>
      <c r="E1842" s="73"/>
      <c r="F1842" s="74"/>
      <c r="G1842" s="72"/>
      <c r="I1842" s="2"/>
      <c r="J1842" s="10"/>
      <c r="K1842"/>
    </row>
    <row r="1843" spans="2:11" x14ac:dyDescent="0.25">
      <c r="B1843" s="71"/>
      <c r="C1843" s="73"/>
      <c r="D1843" s="77" t="s">
        <v>588</v>
      </c>
      <c r="E1843" s="73"/>
      <c r="F1843" s="152" t="s">
        <v>3</v>
      </c>
      <c r="G1843" s="72">
        <f>0.09*0.04*5*8*1.08</f>
        <v>0.15551999999999999</v>
      </c>
      <c r="I1843" s="2"/>
      <c r="J1843" s="10"/>
      <c r="K1843"/>
    </row>
    <row r="1844" spans="2:11" x14ac:dyDescent="0.25">
      <c r="B1844" s="71"/>
      <c r="C1844" s="73"/>
      <c r="D1844" s="73"/>
      <c r="E1844" s="73"/>
      <c r="F1844" s="74"/>
      <c r="G1844" s="72"/>
      <c r="I1844" s="2"/>
      <c r="J1844" s="10"/>
      <c r="K1844"/>
    </row>
    <row r="1845" spans="2:11" x14ac:dyDescent="0.25">
      <c r="B1845" s="71"/>
      <c r="C1845" s="75" t="s">
        <v>1045</v>
      </c>
      <c r="D1845" s="73"/>
      <c r="E1845" s="73"/>
      <c r="F1845" s="74"/>
      <c r="G1845" s="72"/>
      <c r="I1845" s="2"/>
      <c r="J1845" s="10"/>
      <c r="K1845"/>
    </row>
    <row r="1846" spans="2:11" x14ac:dyDescent="0.25">
      <c r="B1846" s="168"/>
      <c r="C1846" s="73"/>
      <c r="D1846" s="73" t="s">
        <v>8</v>
      </c>
      <c r="E1846" s="73"/>
      <c r="F1846" s="152" t="s">
        <v>3</v>
      </c>
      <c r="G1846" s="72">
        <v>1.2E-2</v>
      </c>
      <c r="I1846" s="2"/>
      <c r="J1846" s="10"/>
      <c r="K1846"/>
    </row>
    <row r="1847" spans="2:11" x14ac:dyDescent="0.25">
      <c r="B1847" s="168"/>
      <c r="C1847" s="73"/>
      <c r="D1847" s="77" t="s">
        <v>115</v>
      </c>
      <c r="E1847" s="73"/>
      <c r="F1847" s="152" t="s">
        <v>3</v>
      </c>
      <c r="G1847" s="72">
        <f>0.2*0.02*2*1.89</f>
        <v>1.512E-2</v>
      </c>
      <c r="I1847" s="2"/>
      <c r="J1847" s="10"/>
      <c r="K1847"/>
    </row>
    <row r="1848" spans="2:11" ht="15.75" thickBot="1" x14ac:dyDescent="0.3">
      <c r="B1848" s="169"/>
      <c r="C1848" s="68"/>
      <c r="D1848" s="170" t="s">
        <v>12</v>
      </c>
      <c r="E1848" s="68"/>
      <c r="F1848" s="171" t="s">
        <v>3</v>
      </c>
      <c r="G1848" s="83">
        <f>0.3*(G1847+G1846)</f>
        <v>8.1359999999999991E-3</v>
      </c>
      <c r="I1848" s="2"/>
      <c r="J1848" s="10"/>
      <c r="K1848"/>
    </row>
    <row r="1849" spans="2:11" x14ac:dyDescent="0.25">
      <c r="B1849" s="166"/>
      <c r="C1849" s="93"/>
      <c r="D1849" s="93"/>
      <c r="E1849" s="94" t="s">
        <v>1051</v>
      </c>
      <c r="F1849" s="167"/>
      <c r="G1849" s="172"/>
      <c r="I1849" s="2"/>
      <c r="J1849" s="10"/>
      <c r="K1849"/>
    </row>
    <row r="1850" spans="2:11" x14ac:dyDescent="0.25">
      <c r="B1850" s="168"/>
      <c r="C1850" s="75" t="s">
        <v>1048</v>
      </c>
      <c r="D1850" s="73"/>
      <c r="E1850" s="73"/>
      <c r="F1850" s="152"/>
      <c r="G1850" s="72"/>
      <c r="I1850" s="2"/>
      <c r="J1850" s="10"/>
      <c r="K1850"/>
    </row>
    <row r="1851" spans="2:11" x14ac:dyDescent="0.25">
      <c r="B1851" s="168"/>
      <c r="C1851" s="77" t="s">
        <v>8</v>
      </c>
      <c r="D1851" s="77"/>
      <c r="E1851" s="77"/>
      <c r="F1851" s="152" t="s">
        <v>3</v>
      </c>
      <c r="G1851" s="72">
        <f>0.6*0.07*2*0.15*1.39</f>
        <v>1.7513999999999998E-2</v>
      </c>
      <c r="I1851" s="2"/>
      <c r="J1851" s="10"/>
      <c r="K1851"/>
    </row>
    <row r="1852" spans="2:11" x14ac:dyDescent="0.25">
      <c r="B1852" s="168"/>
      <c r="C1852" s="73" t="s">
        <v>12</v>
      </c>
      <c r="D1852" s="73"/>
      <c r="E1852" s="73"/>
      <c r="F1852" s="152" t="s">
        <v>3</v>
      </c>
      <c r="G1852" s="72">
        <f>0.3*G1851</f>
        <v>5.2541999999999997E-3</v>
      </c>
      <c r="I1852" s="2"/>
      <c r="J1852" s="10"/>
      <c r="K1852"/>
    </row>
    <row r="1853" spans="2:11" x14ac:dyDescent="0.25">
      <c r="B1853" s="168"/>
      <c r="C1853" s="77" t="s">
        <v>72</v>
      </c>
      <c r="D1853" s="73"/>
      <c r="E1853" s="73"/>
      <c r="F1853" s="152" t="s">
        <v>3</v>
      </c>
      <c r="G1853" s="72">
        <f>0.6*0.07*2*0.15*2*1.2</f>
        <v>3.024E-2</v>
      </c>
      <c r="I1853" s="2"/>
      <c r="J1853" s="10"/>
      <c r="K1853"/>
    </row>
    <row r="1854" spans="2:11" x14ac:dyDescent="0.25">
      <c r="B1854" s="168"/>
      <c r="C1854" s="77" t="s">
        <v>444</v>
      </c>
      <c r="D1854" s="73"/>
      <c r="E1854" s="73"/>
      <c r="F1854" s="152" t="s">
        <v>3</v>
      </c>
      <c r="G1854" s="72">
        <f>0.3*G1853</f>
        <v>9.0720000000000002E-3</v>
      </c>
      <c r="I1854" s="2"/>
      <c r="J1854" s="10"/>
      <c r="K1854"/>
    </row>
    <row r="1855" spans="2:11" x14ac:dyDescent="0.25">
      <c r="B1855" s="168"/>
      <c r="C1855" s="77" t="s">
        <v>13</v>
      </c>
      <c r="D1855" s="73"/>
      <c r="E1855" s="73"/>
      <c r="F1855" s="152" t="s">
        <v>3</v>
      </c>
      <c r="G1855" s="72">
        <v>0.02</v>
      </c>
      <c r="I1855" s="2"/>
      <c r="J1855" s="10"/>
      <c r="K1855"/>
    </row>
    <row r="1856" spans="2:11" x14ac:dyDescent="0.25">
      <c r="B1856" s="168"/>
      <c r="C1856" s="73"/>
      <c r="D1856" s="75" t="s">
        <v>1049</v>
      </c>
      <c r="E1856" s="73"/>
      <c r="F1856" s="152"/>
      <c r="G1856" s="72"/>
      <c r="I1856" s="2"/>
      <c r="J1856" s="10"/>
      <c r="K1856"/>
    </row>
    <row r="1857" spans="2:11" x14ac:dyDescent="0.25">
      <c r="B1857" s="168"/>
      <c r="C1857" s="73"/>
      <c r="D1857" s="73" t="s">
        <v>430</v>
      </c>
      <c r="E1857" s="73"/>
      <c r="F1857" s="152" t="s">
        <v>3</v>
      </c>
      <c r="G1857" s="72">
        <f>0.05*0.035*2.5*8*1.15</f>
        <v>4.0250000000000001E-2</v>
      </c>
      <c r="I1857" s="2"/>
      <c r="J1857" s="10"/>
      <c r="K1857"/>
    </row>
    <row r="1858" spans="2:11" x14ac:dyDescent="0.25">
      <c r="B1858" s="168"/>
      <c r="C1858" s="73"/>
      <c r="D1858" s="75" t="s">
        <v>1050</v>
      </c>
      <c r="E1858" s="73"/>
      <c r="F1858" s="152"/>
      <c r="G1858" s="72"/>
      <c r="I1858" s="2"/>
      <c r="J1858" s="10"/>
      <c r="K1858"/>
    </row>
    <row r="1859" spans="2:11" ht="15.75" thickBot="1" x14ac:dyDescent="0.3">
      <c r="B1859" s="169"/>
      <c r="C1859" s="68"/>
      <c r="D1859" s="68" t="s">
        <v>430</v>
      </c>
      <c r="E1859" s="68"/>
      <c r="F1859" s="171" t="s">
        <v>3</v>
      </c>
      <c r="G1859" s="83">
        <f>0.65*0.035*2.5*8*1.15</f>
        <v>0.52324999999999999</v>
      </c>
      <c r="I1859" s="2"/>
      <c r="J1859" s="10"/>
      <c r="K1859"/>
    </row>
    <row r="1860" spans="2:11" x14ac:dyDescent="0.25">
      <c r="B1860" s="166"/>
      <c r="C1860" s="93" t="s">
        <v>1066</v>
      </c>
      <c r="D1860" s="93"/>
      <c r="E1860" s="93"/>
      <c r="F1860" s="175" t="s">
        <v>1065</v>
      </c>
      <c r="G1860" s="176"/>
      <c r="I1860" s="2"/>
      <c r="J1860" s="10"/>
      <c r="K1860"/>
    </row>
    <row r="1861" spans="2:11" x14ac:dyDescent="0.25">
      <c r="B1861" s="71"/>
      <c r="C1861" s="75" t="s">
        <v>1053</v>
      </c>
      <c r="D1861" s="73"/>
      <c r="E1861" s="73"/>
      <c r="F1861" s="74"/>
      <c r="G1861" s="72"/>
    </row>
    <row r="1862" spans="2:11" x14ac:dyDescent="0.25">
      <c r="B1862" s="71"/>
      <c r="C1862" s="77" t="s">
        <v>1054</v>
      </c>
      <c r="D1862" s="73"/>
      <c r="E1862" s="73"/>
      <c r="F1862" s="152" t="s">
        <v>3</v>
      </c>
      <c r="G1862" s="72">
        <f>0.18*0.08*1.2</f>
        <v>1.728E-2</v>
      </c>
    </row>
    <row r="1863" spans="2:11" ht="17.25" x14ac:dyDescent="0.25">
      <c r="B1863" s="71"/>
      <c r="C1863" s="73" t="s">
        <v>1055</v>
      </c>
      <c r="D1863" s="73"/>
      <c r="E1863" s="73"/>
      <c r="F1863" s="152" t="s">
        <v>596</v>
      </c>
      <c r="G1863" s="72">
        <f>G1862</f>
        <v>1.728E-2</v>
      </c>
    </row>
    <row r="1864" spans="2:11" x14ac:dyDescent="0.25">
      <c r="B1864" s="71"/>
      <c r="C1864" s="73"/>
      <c r="D1864" s="75" t="s">
        <v>1056</v>
      </c>
      <c r="E1864" s="73"/>
      <c r="F1864" s="74"/>
      <c r="G1864" s="72"/>
    </row>
    <row r="1865" spans="2:11" x14ac:dyDescent="0.25">
      <c r="B1865" s="71"/>
      <c r="C1865" s="73"/>
      <c r="D1865" s="73" t="s">
        <v>54</v>
      </c>
      <c r="E1865" s="73"/>
      <c r="F1865" s="74" t="s">
        <v>3</v>
      </c>
      <c r="G1865" s="72">
        <f>0.075*0.11*4*8*1.1</f>
        <v>0.29040000000000005</v>
      </c>
    </row>
    <row r="1866" spans="2:11" x14ac:dyDescent="0.25">
      <c r="B1866" s="71"/>
      <c r="C1866" s="73"/>
      <c r="D1866" s="75" t="s">
        <v>1057</v>
      </c>
      <c r="E1866" s="73"/>
      <c r="F1866" s="74"/>
      <c r="G1866" s="72"/>
    </row>
    <row r="1867" spans="2:11" x14ac:dyDescent="0.25">
      <c r="B1867" s="71"/>
      <c r="C1867" s="73"/>
      <c r="D1867" s="73" t="s">
        <v>54</v>
      </c>
      <c r="E1867" s="73"/>
      <c r="F1867" s="74" t="s">
        <v>3</v>
      </c>
      <c r="G1867" s="72">
        <f>0.085*0.05*4*8*1.1</f>
        <v>0.14960000000000001</v>
      </c>
    </row>
    <row r="1868" spans="2:11" x14ac:dyDescent="0.25">
      <c r="B1868" s="71"/>
      <c r="C1868" s="73"/>
      <c r="D1868" s="73"/>
      <c r="E1868" s="73"/>
      <c r="F1868" s="74"/>
      <c r="G1868" s="72"/>
    </row>
    <row r="1869" spans="2:11" x14ac:dyDescent="0.25">
      <c r="B1869" s="71"/>
      <c r="C1869" s="75" t="s">
        <v>1058</v>
      </c>
      <c r="D1869" s="73"/>
      <c r="E1869" s="73"/>
      <c r="F1869" s="74"/>
      <c r="G1869" s="72"/>
      <c r="I1869" s="8"/>
    </row>
    <row r="1870" spans="2:11" x14ac:dyDescent="0.25">
      <c r="B1870" s="71"/>
      <c r="C1870" s="77" t="s">
        <v>1054</v>
      </c>
      <c r="D1870" s="73"/>
      <c r="E1870" s="73"/>
      <c r="F1870" s="152" t="s">
        <v>3</v>
      </c>
      <c r="G1870" s="72">
        <f>0.04*0.08*1.3</f>
        <v>4.1600000000000005E-3</v>
      </c>
    </row>
    <row r="1871" spans="2:11" ht="17.25" x14ac:dyDescent="0.25">
      <c r="B1871" s="71"/>
      <c r="C1871" s="73" t="s">
        <v>1055</v>
      </c>
      <c r="D1871" s="73"/>
      <c r="E1871" s="73"/>
      <c r="F1871" s="152" t="s">
        <v>596</v>
      </c>
      <c r="G1871" s="72">
        <f>G1870</f>
        <v>4.1600000000000005E-3</v>
      </c>
    </row>
    <row r="1872" spans="2:11" x14ac:dyDescent="0.25">
      <c r="B1872" s="71"/>
      <c r="C1872" s="73"/>
      <c r="D1872" s="75" t="s">
        <v>1059</v>
      </c>
      <c r="E1872" s="73"/>
      <c r="F1872" s="74"/>
      <c r="G1872" s="72"/>
    </row>
    <row r="1873" spans="2:12" x14ac:dyDescent="0.25">
      <c r="B1873" s="71"/>
      <c r="C1873" s="73"/>
      <c r="D1873" s="73" t="s">
        <v>1062</v>
      </c>
      <c r="E1873" s="73"/>
      <c r="F1873" s="152" t="s">
        <v>3</v>
      </c>
      <c r="G1873" s="72">
        <v>0.91</v>
      </c>
      <c r="I1873" t="s">
        <v>1063</v>
      </c>
    </row>
    <row r="1874" spans="2:12" x14ac:dyDescent="0.25">
      <c r="B1874" s="71"/>
      <c r="C1874" s="73"/>
      <c r="D1874" s="75" t="s">
        <v>1060</v>
      </c>
      <c r="E1874" s="73"/>
      <c r="F1874" s="74"/>
      <c r="G1874" s="72"/>
    </row>
    <row r="1875" spans="2:12" x14ac:dyDescent="0.25">
      <c r="B1875" s="71"/>
      <c r="C1875" s="73"/>
      <c r="D1875" s="73" t="s">
        <v>1061</v>
      </c>
      <c r="E1875" s="73"/>
      <c r="F1875" s="152" t="s">
        <v>3</v>
      </c>
      <c r="G1875" s="72">
        <f>1.13</f>
        <v>1.1299999999999999</v>
      </c>
      <c r="I1875" t="s">
        <v>1064</v>
      </c>
    </row>
    <row r="1876" spans="2:12" ht="15.75" thickBot="1" x14ac:dyDescent="0.3">
      <c r="B1876" s="81"/>
      <c r="C1876" s="68"/>
      <c r="D1876" s="68"/>
      <c r="E1876" s="68"/>
      <c r="F1876" s="82"/>
      <c r="G1876" s="83"/>
    </row>
    <row r="1877" spans="2:12" x14ac:dyDescent="0.25">
      <c r="B1877" s="181"/>
      <c r="C1877" s="93"/>
      <c r="D1877" s="93"/>
      <c r="E1877" s="93"/>
      <c r="F1877" s="175" t="s">
        <v>1113</v>
      </c>
      <c r="G1877" s="182"/>
      <c r="H1877" s="163"/>
      <c r="I1877" s="73"/>
      <c r="J1877" s="96"/>
      <c r="K1877" s="74"/>
      <c r="L1877" s="73"/>
    </row>
    <row r="1878" spans="2:12" x14ac:dyDescent="0.25">
      <c r="B1878" s="71"/>
      <c r="C1878" s="75" t="s">
        <v>940</v>
      </c>
      <c r="D1878" s="73"/>
      <c r="E1878" s="73"/>
      <c r="F1878" s="152"/>
      <c r="G1878" s="72"/>
      <c r="I1878" s="183"/>
      <c r="J1878" s="96"/>
      <c r="K1878" s="74"/>
      <c r="L1878" s="73"/>
    </row>
    <row r="1879" spans="2:12" x14ac:dyDescent="0.25">
      <c r="B1879" s="71"/>
      <c r="C1879" s="73"/>
      <c r="D1879" s="77" t="s">
        <v>1052</v>
      </c>
      <c r="E1879" s="73"/>
      <c r="F1879" s="152" t="s">
        <v>3</v>
      </c>
      <c r="G1879" s="72">
        <f>0.07*0.05*4*8*1.12</f>
        <v>0.12544000000000002</v>
      </c>
    </row>
    <row r="1880" spans="2:12" x14ac:dyDescent="0.25">
      <c r="B1880" s="71"/>
      <c r="C1880" s="73"/>
      <c r="D1880" s="73"/>
      <c r="E1880" s="73"/>
      <c r="F1880" s="74"/>
      <c r="G1880" s="72"/>
    </row>
    <row r="1881" spans="2:12" x14ac:dyDescent="0.25">
      <c r="B1881" s="71"/>
      <c r="C1881" s="75" t="s">
        <v>1067</v>
      </c>
      <c r="D1881" s="73"/>
      <c r="E1881" s="73"/>
      <c r="F1881" s="74"/>
      <c r="G1881" s="72"/>
    </row>
    <row r="1882" spans="2:12" x14ac:dyDescent="0.25">
      <c r="B1882" s="71"/>
      <c r="C1882" s="73"/>
      <c r="D1882" s="73" t="s">
        <v>1068</v>
      </c>
      <c r="E1882" s="73"/>
      <c r="F1882" s="74" t="s">
        <v>3</v>
      </c>
      <c r="G1882" s="72">
        <f>0.03*0.07*4*8*1.1</f>
        <v>7.3920000000000013E-2</v>
      </c>
    </row>
    <row r="1883" spans="2:12" x14ac:dyDescent="0.25">
      <c r="B1883" s="71"/>
      <c r="C1883" s="73"/>
      <c r="D1883" s="73"/>
      <c r="E1883" s="73"/>
      <c r="F1883" s="74"/>
      <c r="G1883" s="72"/>
    </row>
    <row r="1884" spans="2:12" x14ac:dyDescent="0.25">
      <c r="B1884" s="71"/>
      <c r="C1884" s="75" t="s">
        <v>1069</v>
      </c>
      <c r="D1884" s="73"/>
      <c r="E1884" s="73"/>
      <c r="F1884" s="74"/>
      <c r="G1884" s="72"/>
    </row>
    <row r="1885" spans="2:12" x14ac:dyDescent="0.25">
      <c r="B1885" s="71"/>
      <c r="C1885" s="73"/>
      <c r="D1885" s="75" t="s">
        <v>1070</v>
      </c>
      <c r="E1885" s="73"/>
      <c r="F1885" s="74"/>
      <c r="G1885" s="72"/>
    </row>
    <row r="1886" spans="2:12" x14ac:dyDescent="0.25">
      <c r="B1886" s="71"/>
      <c r="C1886" s="73"/>
      <c r="D1886" s="100" t="s">
        <v>55</v>
      </c>
      <c r="E1886" s="73"/>
      <c r="F1886" s="74" t="s">
        <v>3</v>
      </c>
      <c r="G1886" s="72">
        <f>0.12*0.45*3*8*1.1</f>
        <v>1.4256000000000002</v>
      </c>
      <c r="K1886" s="174"/>
    </row>
    <row r="1887" spans="2:12" x14ac:dyDescent="0.25">
      <c r="B1887" s="71"/>
      <c r="C1887" s="73"/>
      <c r="D1887" s="75" t="s">
        <v>1071</v>
      </c>
      <c r="E1887" s="73"/>
      <c r="F1887" s="74"/>
      <c r="G1887" s="72"/>
    </row>
    <row r="1888" spans="2:12" x14ac:dyDescent="0.25">
      <c r="B1888" s="71"/>
      <c r="C1888" s="73"/>
      <c r="D1888" s="100" t="s">
        <v>984</v>
      </c>
      <c r="E1888" s="73"/>
      <c r="F1888" s="74" t="s">
        <v>3</v>
      </c>
      <c r="G1888" s="72">
        <f>0.06*0.025*1*8*1.1</f>
        <v>1.3200000000000002E-2</v>
      </c>
      <c r="K1888" s="174"/>
    </row>
    <row r="1889" spans="2:11" x14ac:dyDescent="0.25">
      <c r="B1889" s="71"/>
      <c r="C1889" s="73"/>
      <c r="D1889" s="73"/>
      <c r="E1889" s="73"/>
      <c r="F1889" s="74"/>
      <c r="G1889" s="72"/>
    </row>
    <row r="1890" spans="2:11" x14ac:dyDescent="0.25">
      <c r="B1890" s="71"/>
      <c r="C1890" s="75" t="s">
        <v>1073</v>
      </c>
      <c r="D1890" s="73"/>
      <c r="E1890" s="73"/>
      <c r="F1890" s="74"/>
      <c r="G1890" s="72"/>
    </row>
    <row r="1891" spans="2:11" x14ac:dyDescent="0.25">
      <c r="B1891" s="71"/>
      <c r="C1891" s="73"/>
      <c r="D1891" s="75" t="s">
        <v>1074</v>
      </c>
      <c r="E1891" s="73"/>
      <c r="F1891" s="74"/>
      <c r="G1891" s="72"/>
    </row>
    <row r="1892" spans="2:11" x14ac:dyDescent="0.25">
      <c r="B1892" s="71"/>
      <c r="C1892" s="73"/>
      <c r="D1892" s="73" t="s">
        <v>1092</v>
      </c>
      <c r="E1892" s="73"/>
      <c r="F1892" s="74" t="s">
        <v>3</v>
      </c>
      <c r="G1892" s="72">
        <v>1.135</v>
      </c>
    </row>
    <row r="1893" spans="2:11" x14ac:dyDescent="0.25">
      <c r="B1893" s="71"/>
      <c r="C1893" s="73"/>
      <c r="D1893" s="75" t="s">
        <v>1072</v>
      </c>
      <c r="E1893" s="73"/>
      <c r="F1893" s="74"/>
      <c r="G1893" s="72"/>
    </row>
    <row r="1894" spans="2:11" x14ac:dyDescent="0.25">
      <c r="B1894" s="71"/>
      <c r="C1894" s="73"/>
      <c r="D1894" s="100" t="s">
        <v>55</v>
      </c>
      <c r="E1894" s="73"/>
      <c r="F1894" s="74" t="s">
        <v>3</v>
      </c>
      <c r="G1894" s="72">
        <f>0.03*0.01*3*8*1.1</f>
        <v>7.92E-3</v>
      </c>
      <c r="K1894" s="174"/>
    </row>
    <row r="1895" spans="2:11" x14ac:dyDescent="0.25">
      <c r="B1895" s="71"/>
      <c r="C1895" s="73"/>
      <c r="D1895" s="73"/>
      <c r="E1895" s="73"/>
      <c r="F1895" s="74"/>
      <c r="G1895" s="72"/>
    </row>
    <row r="1896" spans="2:11" x14ac:dyDescent="0.25">
      <c r="B1896" s="71"/>
      <c r="C1896" s="75" t="s">
        <v>1075</v>
      </c>
      <c r="D1896" s="73"/>
      <c r="E1896" s="73"/>
      <c r="F1896" s="74"/>
      <c r="G1896" s="72"/>
    </row>
    <row r="1897" spans="2:11" x14ac:dyDescent="0.25">
      <c r="B1897" s="71"/>
      <c r="C1897" s="77" t="s">
        <v>1054</v>
      </c>
      <c r="D1897" s="73"/>
      <c r="E1897" s="73"/>
      <c r="F1897" s="152" t="s">
        <v>3</v>
      </c>
      <c r="G1897" s="72">
        <f>0.1*0.07*1.2</f>
        <v>8.4000000000000012E-3</v>
      </c>
      <c r="K1897" s="174"/>
    </row>
    <row r="1898" spans="2:11" ht="17.25" x14ac:dyDescent="0.25">
      <c r="B1898" s="71"/>
      <c r="C1898" s="73" t="s">
        <v>1055</v>
      </c>
      <c r="D1898" s="73"/>
      <c r="E1898" s="73"/>
      <c r="F1898" s="152" t="s">
        <v>596</v>
      </c>
      <c r="G1898" s="72">
        <f>G1897</f>
        <v>8.4000000000000012E-3</v>
      </c>
      <c r="K1898" s="174"/>
    </row>
    <row r="1899" spans="2:11" x14ac:dyDescent="0.25">
      <c r="B1899" s="71"/>
      <c r="C1899" s="73"/>
      <c r="D1899" s="75" t="s">
        <v>1076</v>
      </c>
      <c r="E1899" s="73"/>
      <c r="F1899" s="74"/>
      <c r="G1899" s="72"/>
    </row>
    <row r="1900" spans="2:11" x14ac:dyDescent="0.25">
      <c r="B1900" s="71"/>
      <c r="C1900" s="73"/>
      <c r="D1900" s="73" t="s">
        <v>557</v>
      </c>
      <c r="E1900" s="73"/>
      <c r="F1900" s="74" t="s">
        <v>3</v>
      </c>
      <c r="G1900" s="72">
        <v>1.1499999999999999</v>
      </c>
      <c r="I1900" t="s">
        <v>1077</v>
      </c>
    </row>
    <row r="1901" spans="2:11" x14ac:dyDescent="0.25">
      <c r="B1901" s="71"/>
      <c r="C1901" s="73"/>
      <c r="D1901" s="77" t="s">
        <v>489</v>
      </c>
      <c r="E1901" s="77"/>
      <c r="F1901" s="74" t="s">
        <v>3</v>
      </c>
      <c r="G1901" s="72">
        <f>1*0.02*2</f>
        <v>0.04</v>
      </c>
    </row>
    <row r="1902" spans="2:11" x14ac:dyDescent="0.25">
      <c r="B1902" s="71"/>
      <c r="C1902" s="73"/>
      <c r="D1902" s="73"/>
      <c r="E1902" s="73"/>
      <c r="F1902" s="74"/>
      <c r="G1902" s="72"/>
    </row>
    <row r="1903" spans="2:11" x14ac:dyDescent="0.25">
      <c r="B1903" s="71"/>
      <c r="C1903" s="75" t="s">
        <v>1078</v>
      </c>
      <c r="D1903" s="73"/>
      <c r="E1903" s="73"/>
      <c r="F1903" s="74"/>
      <c r="G1903" s="72"/>
    </row>
    <row r="1904" spans="2:11" x14ac:dyDescent="0.25">
      <c r="B1904" s="71"/>
      <c r="C1904" s="77" t="s">
        <v>1054</v>
      </c>
      <c r="D1904" s="73"/>
      <c r="E1904" s="73"/>
      <c r="F1904" s="152" t="s">
        <v>3</v>
      </c>
      <c r="G1904" s="72">
        <f>0.8*0.08*1.3</f>
        <v>8.320000000000001E-2</v>
      </c>
      <c r="K1904" s="174"/>
    </row>
    <row r="1905" spans="2:11" ht="17.25" x14ac:dyDescent="0.25">
      <c r="B1905" s="71"/>
      <c r="C1905" s="73" t="s">
        <v>1055</v>
      </c>
      <c r="D1905" s="73"/>
      <c r="E1905" s="73"/>
      <c r="F1905" s="152" t="s">
        <v>596</v>
      </c>
      <c r="G1905" s="72">
        <f>G1904</f>
        <v>8.320000000000001E-2</v>
      </c>
      <c r="K1905" s="174"/>
    </row>
    <row r="1906" spans="2:11" x14ac:dyDescent="0.25">
      <c r="B1906" s="71"/>
      <c r="C1906" s="77" t="s">
        <v>8</v>
      </c>
      <c r="D1906" s="77"/>
      <c r="E1906" s="73"/>
      <c r="F1906" s="152" t="s">
        <v>3</v>
      </c>
      <c r="G1906" s="72">
        <f>(0.33*0.43+0.21*0.2)*2*0.15*1.9</f>
        <v>0.104823</v>
      </c>
      <c r="K1906" s="174"/>
    </row>
    <row r="1907" spans="2:11" x14ac:dyDescent="0.25">
      <c r="B1907" s="71"/>
      <c r="C1907" s="77" t="s">
        <v>1091</v>
      </c>
      <c r="D1907" s="77"/>
      <c r="E1907" s="73"/>
      <c r="F1907" s="152" t="s">
        <v>3</v>
      </c>
      <c r="G1907" s="72">
        <f>(0.33*0.43+0.21*0.2)*2*0.15*2*1.22</f>
        <v>0.13461480000000001</v>
      </c>
      <c r="K1907" s="174"/>
    </row>
    <row r="1908" spans="2:11" x14ac:dyDescent="0.25">
      <c r="B1908" s="71"/>
      <c r="C1908" s="77" t="s">
        <v>12</v>
      </c>
      <c r="D1908" s="77"/>
      <c r="E1908" s="73"/>
      <c r="F1908" s="152" t="s">
        <v>3</v>
      </c>
      <c r="G1908" s="72">
        <f>0.3*(G1907+G1906)</f>
        <v>7.1831339999999994E-2</v>
      </c>
      <c r="K1908" s="174"/>
    </row>
    <row r="1909" spans="2:11" x14ac:dyDescent="0.25">
      <c r="B1909" s="71"/>
      <c r="C1909" s="73"/>
      <c r="D1909" s="75" t="s">
        <v>1079</v>
      </c>
      <c r="E1909" s="73"/>
      <c r="F1909" s="74"/>
      <c r="G1909" s="72"/>
    </row>
    <row r="1910" spans="2:11" x14ac:dyDescent="0.25">
      <c r="B1910" s="71"/>
      <c r="C1910" s="73"/>
      <c r="D1910" s="100" t="s">
        <v>828</v>
      </c>
      <c r="E1910" s="73"/>
      <c r="F1910" s="74" t="s">
        <v>3</v>
      </c>
      <c r="G1910" s="72">
        <f>0.39*0.435*3*8*1.12</f>
        <v>4.5601920000000007</v>
      </c>
      <c r="K1910" s="174"/>
    </row>
    <row r="1911" spans="2:11" x14ac:dyDescent="0.25">
      <c r="B1911" s="71"/>
      <c r="C1911" s="73"/>
      <c r="D1911" s="75" t="s">
        <v>1080</v>
      </c>
      <c r="E1911" s="73"/>
      <c r="F1911" s="74"/>
      <c r="G1911" s="72"/>
    </row>
    <row r="1912" spans="2:11" x14ac:dyDescent="0.25">
      <c r="B1912" s="71"/>
      <c r="C1912" s="73"/>
      <c r="D1912" s="73" t="s">
        <v>349</v>
      </c>
      <c r="E1912" s="73"/>
      <c r="F1912" s="74" t="s">
        <v>3</v>
      </c>
      <c r="G1912" s="72">
        <f>0.18*0.23*4*8*1.04</f>
        <v>1.3777920000000001</v>
      </c>
      <c r="K1912" s="174"/>
    </row>
    <row r="1913" spans="2:11" x14ac:dyDescent="0.25">
      <c r="B1913" s="71"/>
      <c r="C1913" s="73"/>
      <c r="D1913" s="75" t="s">
        <v>1081</v>
      </c>
      <c r="E1913" s="73"/>
      <c r="F1913" s="74"/>
      <c r="G1913" s="72"/>
    </row>
    <row r="1914" spans="2:11" x14ac:dyDescent="0.25">
      <c r="B1914" s="71"/>
      <c r="C1914" s="73"/>
      <c r="D1914" s="73" t="s">
        <v>349</v>
      </c>
      <c r="E1914" s="73"/>
      <c r="F1914" s="74" t="s">
        <v>3</v>
      </c>
      <c r="G1914" s="72">
        <f>0.18*0.23*4*8*1.03</f>
        <v>1.364544</v>
      </c>
      <c r="K1914" s="174"/>
    </row>
    <row r="1915" spans="2:11" x14ac:dyDescent="0.25">
      <c r="B1915" s="71"/>
      <c r="C1915" s="75"/>
      <c r="D1915" s="75" t="s">
        <v>1082</v>
      </c>
      <c r="E1915" s="73"/>
      <c r="F1915" s="152"/>
      <c r="G1915" s="72"/>
      <c r="I1915" s="2"/>
      <c r="J1915" s="10"/>
      <c r="K1915"/>
    </row>
    <row r="1916" spans="2:11" x14ac:dyDescent="0.25">
      <c r="B1916" s="71"/>
      <c r="C1916" s="75"/>
      <c r="D1916" s="73" t="s">
        <v>349</v>
      </c>
      <c r="E1916" s="73"/>
      <c r="F1916" s="74" t="s">
        <v>3</v>
      </c>
      <c r="G1916" s="72">
        <f>0.021*0.016*4*8*1.1</f>
        <v>1.1827200000000003E-2</v>
      </c>
      <c r="I1916" s="2"/>
      <c r="J1916" s="10"/>
      <c r="K1916"/>
    </row>
    <row r="1917" spans="2:11" x14ac:dyDescent="0.25">
      <c r="B1917" s="71"/>
      <c r="C1917" s="73"/>
      <c r="D1917" s="73"/>
      <c r="E1917" s="73"/>
      <c r="F1917" s="152"/>
      <c r="G1917" s="72"/>
      <c r="I1917" s="2"/>
      <c r="J1917" s="10"/>
      <c r="K1917"/>
    </row>
    <row r="1918" spans="2:11" x14ac:dyDescent="0.25">
      <c r="B1918" s="71"/>
      <c r="C1918" s="75" t="s">
        <v>1083</v>
      </c>
      <c r="D1918" s="73"/>
      <c r="E1918" s="73"/>
      <c r="F1918" s="152"/>
      <c r="G1918" s="72"/>
      <c r="I1918" s="2"/>
      <c r="J1918" s="10"/>
      <c r="K1918"/>
    </row>
    <row r="1919" spans="2:11" x14ac:dyDescent="0.25">
      <c r="B1919" s="71"/>
      <c r="C1919" s="77" t="s">
        <v>1054</v>
      </c>
      <c r="D1919" s="73"/>
      <c r="E1919" s="73"/>
      <c r="F1919" s="152" t="s">
        <v>3</v>
      </c>
      <c r="G1919" s="72">
        <f>(0.16+0.12)*0.08*1.2</f>
        <v>2.6880000000000005E-2</v>
      </c>
      <c r="I1919" s="2"/>
      <c r="J1919" s="10"/>
      <c r="K1919"/>
    </row>
    <row r="1920" spans="2:11" ht="17.25" x14ac:dyDescent="0.25">
      <c r="B1920" s="71"/>
      <c r="C1920" s="73" t="s">
        <v>1055</v>
      </c>
      <c r="D1920" s="73"/>
      <c r="E1920" s="73"/>
      <c r="F1920" s="152" t="s">
        <v>596</v>
      </c>
      <c r="G1920" s="72">
        <f>G1919</f>
        <v>2.6880000000000005E-2</v>
      </c>
      <c r="I1920" s="2"/>
      <c r="J1920" s="10"/>
      <c r="K1920"/>
    </row>
    <row r="1921" spans="2:11" x14ac:dyDescent="0.25">
      <c r="B1921" s="71"/>
      <c r="C1921" s="77" t="s">
        <v>8</v>
      </c>
      <c r="D1921" s="77"/>
      <c r="E1921" s="73"/>
      <c r="F1921" s="152" t="s">
        <v>3</v>
      </c>
      <c r="G1921" s="72">
        <f>G1922*0.84</f>
        <v>5.0182272000000007E-2</v>
      </c>
      <c r="I1921" s="2"/>
      <c r="J1921" s="10"/>
      <c r="K1921"/>
    </row>
    <row r="1922" spans="2:11" x14ac:dyDescent="0.25">
      <c r="B1922" s="71"/>
      <c r="C1922" s="77" t="s">
        <v>1091</v>
      </c>
      <c r="D1922" s="77"/>
      <c r="E1922" s="73"/>
      <c r="F1922" s="152" t="s">
        <v>3</v>
      </c>
      <c r="G1922" s="72">
        <f>(0.1*(0.226+0.164*2)+0.23*0.1)*2*0.15*2*1.27</f>
        <v>5.9740800000000011E-2</v>
      </c>
      <c r="I1922" s="2"/>
      <c r="J1922" s="10"/>
      <c r="K1922"/>
    </row>
    <row r="1923" spans="2:11" x14ac:dyDescent="0.25">
      <c r="B1923" s="71"/>
      <c r="C1923" s="77" t="s">
        <v>12</v>
      </c>
      <c r="D1923" s="77"/>
      <c r="E1923" s="73"/>
      <c r="F1923" s="152" t="s">
        <v>3</v>
      </c>
      <c r="G1923" s="72">
        <f>0.3*(G1922+G1921)</f>
        <v>3.29769216E-2</v>
      </c>
      <c r="I1923" s="2"/>
      <c r="J1923" s="10"/>
      <c r="K1923"/>
    </row>
    <row r="1924" spans="2:11" x14ac:dyDescent="0.25">
      <c r="B1924" s="71"/>
      <c r="C1924" s="73"/>
      <c r="D1924" s="75" t="s">
        <v>1084</v>
      </c>
      <c r="E1924" s="73"/>
      <c r="F1924" s="152"/>
      <c r="G1924" s="72"/>
      <c r="I1924" s="2"/>
      <c r="J1924" s="10"/>
      <c r="K1924"/>
    </row>
    <row r="1925" spans="2:11" x14ac:dyDescent="0.25">
      <c r="B1925" s="71"/>
      <c r="C1925" s="73"/>
      <c r="D1925" s="100" t="s">
        <v>55</v>
      </c>
      <c r="E1925" s="73"/>
      <c r="F1925" s="152" t="s">
        <v>3</v>
      </c>
      <c r="G1925" s="72">
        <f>0.06*0.015*3*8*1.15</f>
        <v>2.4840000000000001E-2</v>
      </c>
      <c r="I1925" s="2"/>
      <c r="J1925" s="10"/>
      <c r="K1925"/>
    </row>
    <row r="1926" spans="2:11" x14ac:dyDescent="0.25">
      <c r="B1926" s="71"/>
      <c r="C1926" s="73"/>
      <c r="D1926" s="75" t="s">
        <v>1085</v>
      </c>
      <c r="E1926" s="73"/>
      <c r="F1926" s="152"/>
      <c r="G1926" s="72"/>
      <c r="I1926" s="2"/>
      <c r="J1926" s="10"/>
      <c r="K1926"/>
    </row>
    <row r="1927" spans="2:11" x14ac:dyDescent="0.25">
      <c r="B1927" s="71"/>
      <c r="C1927" s="73"/>
      <c r="D1927" s="100" t="s">
        <v>89</v>
      </c>
      <c r="E1927" s="73"/>
      <c r="F1927" s="152" t="s">
        <v>3</v>
      </c>
      <c r="G1927" s="72">
        <f>0.22*(0.226+0.164*2)*4*8*1.1</f>
        <v>4.2901760000000007</v>
      </c>
      <c r="I1927" s="2"/>
      <c r="J1927" s="10"/>
      <c r="K1927"/>
    </row>
    <row r="1928" spans="2:11" x14ac:dyDescent="0.25">
      <c r="B1928" s="71"/>
      <c r="C1928" s="73"/>
      <c r="D1928" s="75" t="s">
        <v>1086</v>
      </c>
      <c r="E1928" s="73"/>
      <c r="F1928" s="152"/>
      <c r="G1928" s="72"/>
      <c r="I1928" s="2"/>
      <c r="J1928" s="10"/>
      <c r="K1928"/>
    </row>
    <row r="1929" spans="2:11" x14ac:dyDescent="0.25">
      <c r="B1929" s="71"/>
      <c r="C1929" s="73"/>
      <c r="D1929" s="100" t="s">
        <v>89</v>
      </c>
      <c r="E1929" s="73"/>
      <c r="F1929" s="152" t="s">
        <v>3</v>
      </c>
      <c r="G1929" s="72">
        <f>0.21*0.018*4*8*1.1</f>
        <v>0.13305599999999998</v>
      </c>
      <c r="I1929" s="2"/>
      <c r="J1929" s="10"/>
      <c r="K1929"/>
    </row>
    <row r="1930" spans="2:11" x14ac:dyDescent="0.25">
      <c r="B1930" s="71"/>
      <c r="C1930" s="73"/>
      <c r="D1930" s="75" t="s">
        <v>1087</v>
      </c>
      <c r="E1930" s="73"/>
      <c r="F1930" s="152"/>
      <c r="G1930" s="72"/>
      <c r="I1930" s="2"/>
      <c r="J1930" s="10"/>
      <c r="K1930"/>
    </row>
    <row r="1931" spans="2:11" x14ac:dyDescent="0.25">
      <c r="B1931" s="71"/>
      <c r="C1931" s="73"/>
      <c r="D1931" s="100" t="s">
        <v>55</v>
      </c>
      <c r="E1931" s="73"/>
      <c r="F1931" s="152" t="s">
        <v>3</v>
      </c>
      <c r="G1931" s="72">
        <f>0.02*0.02*3*8*1.1</f>
        <v>1.0560000000000002E-2</v>
      </c>
      <c r="I1931" s="2"/>
      <c r="J1931" s="10"/>
      <c r="K1931"/>
    </row>
    <row r="1932" spans="2:11" x14ac:dyDescent="0.25">
      <c r="B1932" s="71"/>
      <c r="C1932" s="73"/>
      <c r="D1932" s="75" t="s">
        <v>1088</v>
      </c>
      <c r="E1932" s="73"/>
      <c r="F1932" s="152"/>
      <c r="G1932" s="72"/>
      <c r="I1932" s="2"/>
      <c r="J1932" s="10"/>
      <c r="K1932"/>
    </row>
    <row r="1933" spans="2:11" x14ac:dyDescent="0.25">
      <c r="B1933" s="71"/>
      <c r="C1933" s="73"/>
      <c r="D1933" s="100" t="s">
        <v>55</v>
      </c>
      <c r="E1933" s="73"/>
      <c r="F1933" s="152" t="s">
        <v>3</v>
      </c>
      <c r="G1933" s="72">
        <f>0.025*0.025*3*8*1.12</f>
        <v>1.6800000000000006E-2</v>
      </c>
      <c r="I1933" s="2"/>
      <c r="J1933" s="10"/>
      <c r="K1933"/>
    </row>
    <row r="1934" spans="2:11" x14ac:dyDescent="0.25">
      <c r="B1934" s="71"/>
      <c r="C1934" s="73"/>
      <c r="D1934" s="75" t="s">
        <v>1089</v>
      </c>
      <c r="E1934" s="73"/>
      <c r="F1934" s="152"/>
      <c r="G1934" s="72"/>
      <c r="I1934" s="2"/>
      <c r="J1934" s="10"/>
      <c r="K1934"/>
    </row>
    <row r="1935" spans="2:11" x14ac:dyDescent="0.25">
      <c r="B1935" s="71"/>
      <c r="C1935" s="73"/>
      <c r="D1935" s="100" t="s">
        <v>55</v>
      </c>
      <c r="E1935" s="73"/>
      <c r="F1935" s="152" t="s">
        <v>3</v>
      </c>
      <c r="G1935" s="72">
        <f>0.04*0.04*3*8*1.1</f>
        <v>4.2240000000000007E-2</v>
      </c>
      <c r="I1935" s="2"/>
      <c r="J1935" s="10"/>
      <c r="K1935"/>
    </row>
    <row r="1936" spans="2:11" x14ac:dyDescent="0.25">
      <c r="B1936" s="71"/>
      <c r="C1936" s="73"/>
      <c r="D1936" s="100"/>
      <c r="E1936" s="73"/>
      <c r="F1936" s="152"/>
      <c r="G1936" s="72"/>
      <c r="I1936" s="2"/>
      <c r="J1936" s="10"/>
      <c r="K1936"/>
    </row>
    <row r="1937" spans="2:11" x14ac:dyDescent="0.25">
      <c r="B1937" s="71"/>
      <c r="C1937" s="75" t="s">
        <v>1090</v>
      </c>
      <c r="D1937" s="100"/>
      <c r="E1937" s="73"/>
      <c r="F1937" s="152"/>
      <c r="G1937" s="72"/>
      <c r="I1937" s="2"/>
      <c r="J1937" s="10"/>
      <c r="K1937"/>
    </row>
    <row r="1938" spans="2:11" ht="15.75" thickBot="1" x14ac:dyDescent="0.3">
      <c r="B1938" s="169"/>
      <c r="C1938" s="68"/>
      <c r="D1938" s="68" t="s">
        <v>957</v>
      </c>
      <c r="E1938" s="68"/>
      <c r="F1938" s="171" t="s">
        <v>3</v>
      </c>
      <c r="G1938" s="83">
        <f>0.03*0.015*1*8.5*1.2</f>
        <v>4.5899999999999995E-3</v>
      </c>
      <c r="I1938" s="2"/>
      <c r="J1938" s="10"/>
      <c r="K1938"/>
    </row>
    <row r="1939" spans="2:11" ht="15.75" thickBot="1" x14ac:dyDescent="0.3">
      <c r="B1939" s="96"/>
      <c r="C1939" s="73"/>
      <c r="D1939" s="73"/>
      <c r="E1939" s="73"/>
      <c r="F1939" s="152"/>
      <c r="I1939" s="2"/>
      <c r="J1939" s="10"/>
      <c r="K1939"/>
    </row>
    <row r="1940" spans="2:11" ht="18.75" x14ac:dyDescent="0.3">
      <c r="B1940" s="166"/>
      <c r="C1940" s="93"/>
      <c r="D1940" s="93"/>
      <c r="E1940" s="178" t="s">
        <v>1093</v>
      </c>
      <c r="F1940" s="180" t="s">
        <v>1112</v>
      </c>
      <c r="G1940" s="90"/>
      <c r="I1940" s="2"/>
      <c r="J1940" s="10"/>
      <c r="K1940"/>
    </row>
    <row r="1941" spans="2:11" x14ac:dyDescent="0.25">
      <c r="B1941" s="168"/>
      <c r="C1941" s="73"/>
      <c r="D1941" s="73"/>
      <c r="E1941" s="73"/>
      <c r="F1941" s="152"/>
      <c r="G1941" s="72"/>
      <c r="I1941" s="2"/>
      <c r="J1941" s="10"/>
      <c r="K1941"/>
    </row>
    <row r="1942" spans="2:11" x14ac:dyDescent="0.25">
      <c r="B1942" s="177"/>
      <c r="C1942" s="75" t="s">
        <v>1094</v>
      </c>
      <c r="D1942" s="73"/>
      <c r="E1942" s="73"/>
      <c r="F1942" s="152"/>
      <c r="G1942" s="72"/>
      <c r="I1942" s="2"/>
      <c r="J1942" s="10"/>
      <c r="K1942"/>
    </row>
    <row r="1943" spans="2:11" x14ac:dyDescent="0.25">
      <c r="B1943" s="168"/>
      <c r="C1943" s="73" t="s">
        <v>853</v>
      </c>
      <c r="D1943" s="73"/>
      <c r="E1943" s="73"/>
      <c r="F1943" s="152" t="s">
        <v>3</v>
      </c>
      <c r="G1943" s="72">
        <f>0.555*0.312*1*8*1.1</f>
        <v>1.5238080000000003</v>
      </c>
      <c r="I1943" s="2"/>
      <c r="J1943" s="10"/>
      <c r="K1943"/>
    </row>
    <row r="1944" spans="2:11" x14ac:dyDescent="0.25">
      <c r="B1944" s="168"/>
      <c r="C1944" s="77" t="s">
        <v>1054</v>
      </c>
      <c r="D1944" s="73"/>
      <c r="E1944" s="73"/>
      <c r="F1944" s="152" t="s">
        <v>3</v>
      </c>
      <c r="G1944" s="72">
        <f>0.1*0.05*1.3</f>
        <v>6.5000000000000014E-3</v>
      </c>
      <c r="I1944" s="2"/>
      <c r="J1944" s="10"/>
      <c r="K1944"/>
    </row>
    <row r="1945" spans="2:11" ht="17.25" x14ac:dyDescent="0.25">
      <c r="B1945" s="168"/>
      <c r="C1945" s="73" t="s">
        <v>1055</v>
      </c>
      <c r="D1945" s="73"/>
      <c r="E1945" s="73"/>
      <c r="F1945" s="152" t="s">
        <v>596</v>
      </c>
      <c r="G1945" s="72">
        <f>G1944</f>
        <v>6.5000000000000014E-3</v>
      </c>
      <c r="I1945" s="2"/>
      <c r="J1945" s="10"/>
      <c r="K1945"/>
    </row>
    <row r="1946" spans="2:11" x14ac:dyDescent="0.25">
      <c r="B1946" s="168"/>
      <c r="C1946" s="77" t="s">
        <v>14</v>
      </c>
      <c r="D1946" s="73"/>
      <c r="E1946" s="73"/>
      <c r="F1946" s="152" t="s">
        <v>3</v>
      </c>
      <c r="G1946" s="72">
        <f>G1948*0.85</f>
        <v>0.11480508</v>
      </c>
      <c r="I1946" s="2"/>
      <c r="J1946" s="10"/>
      <c r="K1946"/>
    </row>
    <row r="1947" spans="2:11" x14ac:dyDescent="0.25">
      <c r="B1947" s="168"/>
      <c r="C1947" s="77" t="s">
        <v>12</v>
      </c>
      <c r="D1947" s="73"/>
      <c r="E1947" s="73"/>
      <c r="F1947" s="152" t="s">
        <v>3</v>
      </c>
      <c r="G1947" s="72">
        <f>0.3*G1946</f>
        <v>3.4441524000000001E-2</v>
      </c>
      <c r="I1947" s="2"/>
      <c r="J1947" s="10"/>
      <c r="K1947"/>
    </row>
    <row r="1948" spans="2:11" x14ac:dyDescent="0.25">
      <c r="B1948" s="168"/>
      <c r="C1948" s="77" t="s">
        <v>72</v>
      </c>
      <c r="D1948" s="73"/>
      <c r="E1948" s="73"/>
      <c r="F1948" s="152" t="s">
        <v>3</v>
      </c>
      <c r="G1948" s="72">
        <f>0.555*0.312*2*0.15*2*1.3</f>
        <v>0.13506480000000001</v>
      </c>
      <c r="I1948" s="2"/>
      <c r="J1948" s="10"/>
      <c r="K1948"/>
    </row>
    <row r="1949" spans="2:11" x14ac:dyDescent="0.25">
      <c r="B1949" s="168"/>
      <c r="C1949" s="77" t="s">
        <v>11</v>
      </c>
      <c r="D1949" s="73"/>
      <c r="E1949" s="73"/>
      <c r="F1949" s="152" t="s">
        <v>3</v>
      </c>
      <c r="G1949" s="72">
        <f>0.3*G1948</f>
        <v>4.0519440000000004E-2</v>
      </c>
      <c r="I1949" s="2"/>
      <c r="J1949" s="10"/>
      <c r="K1949"/>
    </row>
    <row r="1950" spans="2:11" x14ac:dyDescent="0.25">
      <c r="B1950" s="168"/>
      <c r="C1950" s="73"/>
      <c r="D1950" s="73"/>
      <c r="E1950" s="73"/>
      <c r="F1950" s="152"/>
      <c r="G1950" s="72"/>
      <c r="I1950" s="2"/>
      <c r="J1950" s="10"/>
      <c r="K1950"/>
    </row>
    <row r="1951" spans="2:11" x14ac:dyDescent="0.25">
      <c r="B1951" s="177"/>
      <c r="C1951" s="78" t="s">
        <v>1095</v>
      </c>
      <c r="D1951" s="73"/>
      <c r="E1951" s="73"/>
      <c r="F1951" s="152"/>
      <c r="G1951" s="72"/>
      <c r="I1951" s="2"/>
      <c r="J1951" s="10"/>
      <c r="K1951"/>
    </row>
    <row r="1952" spans="2:11" x14ac:dyDescent="0.25">
      <c r="B1952" s="168"/>
      <c r="C1952" s="77" t="s">
        <v>300</v>
      </c>
      <c r="D1952" s="73"/>
      <c r="E1952" s="73"/>
      <c r="F1952" s="152" t="s">
        <v>3</v>
      </c>
      <c r="G1952" s="72">
        <f>1.455*0.14*3*8*1.15</f>
        <v>5.6221200000000007</v>
      </c>
      <c r="I1952" s="2"/>
      <c r="J1952" s="10"/>
      <c r="K1952"/>
    </row>
    <row r="1953" spans="2:11" x14ac:dyDescent="0.25">
      <c r="B1953" s="168"/>
      <c r="C1953" s="77" t="s">
        <v>14</v>
      </c>
      <c r="D1953" s="73"/>
      <c r="E1953" s="73"/>
      <c r="F1953" s="152" t="s">
        <v>3</v>
      </c>
      <c r="G1953" s="72">
        <f>G1955*0.85</f>
        <v>0.11979899999999997</v>
      </c>
      <c r="I1953" s="2"/>
      <c r="J1953" s="10"/>
      <c r="K1953"/>
    </row>
    <row r="1954" spans="2:11" x14ac:dyDescent="0.25">
      <c r="B1954" s="168"/>
      <c r="C1954" s="77" t="s">
        <v>12</v>
      </c>
      <c r="D1954" s="73"/>
      <c r="E1954" s="73"/>
      <c r="F1954" s="152" t="s">
        <v>3</v>
      </c>
      <c r="G1954" s="72">
        <f>0.3*G1953</f>
        <v>3.5939699999999991E-2</v>
      </c>
      <c r="I1954" s="2"/>
      <c r="J1954" s="10"/>
      <c r="K1954"/>
    </row>
    <row r="1955" spans="2:11" x14ac:dyDescent="0.25">
      <c r="B1955" s="168"/>
      <c r="C1955" s="77" t="s">
        <v>72</v>
      </c>
      <c r="D1955" s="73"/>
      <c r="E1955" s="73"/>
      <c r="F1955" s="152" t="s">
        <v>3</v>
      </c>
      <c r="G1955" s="72">
        <f>1.45*0.135*2*0.15*2*1.2</f>
        <v>0.14093999999999998</v>
      </c>
      <c r="I1955" s="2"/>
      <c r="J1955" s="10"/>
      <c r="K1955"/>
    </row>
    <row r="1956" spans="2:11" x14ac:dyDescent="0.25">
      <c r="B1956" s="168"/>
      <c r="C1956" s="77" t="s">
        <v>11</v>
      </c>
      <c r="D1956" s="73"/>
      <c r="E1956" s="73"/>
      <c r="F1956" s="152" t="s">
        <v>3</v>
      </c>
      <c r="G1956" s="72">
        <f>0.3*G1955</f>
        <v>4.2281999999999993E-2</v>
      </c>
      <c r="I1956" s="2"/>
      <c r="J1956" s="10"/>
      <c r="K1956"/>
    </row>
    <row r="1957" spans="2:11" x14ac:dyDescent="0.25">
      <c r="B1957" s="168"/>
      <c r="C1957" s="73"/>
      <c r="D1957" s="73"/>
      <c r="E1957" s="73"/>
      <c r="F1957" s="152"/>
      <c r="G1957" s="72"/>
      <c r="I1957" s="2"/>
      <c r="J1957" s="10"/>
      <c r="K1957"/>
    </row>
    <row r="1958" spans="2:11" x14ac:dyDescent="0.25">
      <c r="B1958" s="179"/>
      <c r="C1958" s="78" t="s">
        <v>1096</v>
      </c>
      <c r="D1958" s="73"/>
      <c r="E1958" s="73"/>
      <c r="F1958" s="152" t="s">
        <v>1097</v>
      </c>
      <c r="G1958" s="72"/>
      <c r="I1958" s="2"/>
      <c r="J1958" s="10"/>
      <c r="K1958"/>
    </row>
    <row r="1959" spans="2:11" x14ac:dyDescent="0.25">
      <c r="B1959" s="168"/>
      <c r="C1959" s="73"/>
      <c r="D1959" s="75" t="s">
        <v>1098</v>
      </c>
      <c r="E1959" s="73"/>
      <c r="F1959" s="152"/>
      <c r="G1959" s="72"/>
      <c r="I1959" s="2"/>
      <c r="J1959" s="10"/>
      <c r="K1959"/>
    </row>
    <row r="1960" spans="2:11" x14ac:dyDescent="0.25">
      <c r="B1960" s="168"/>
      <c r="C1960" s="73"/>
      <c r="D1960" s="73"/>
      <c r="E1960" s="75"/>
      <c r="F1960" s="152"/>
      <c r="G1960" s="72"/>
      <c r="I1960" s="2"/>
      <c r="J1960" s="10"/>
      <c r="K1960"/>
    </row>
    <row r="1961" spans="2:11" x14ac:dyDescent="0.25">
      <c r="B1961" s="168"/>
      <c r="C1961" s="73"/>
      <c r="D1961" s="73"/>
      <c r="E1961" s="75" t="s">
        <v>1100</v>
      </c>
      <c r="F1961" s="152"/>
      <c r="G1961" s="72"/>
      <c r="I1961" s="2"/>
      <c r="J1961" s="10"/>
      <c r="K1961"/>
    </row>
    <row r="1962" spans="2:11" x14ac:dyDescent="0.25">
      <c r="B1962" s="168"/>
      <c r="C1962" s="73"/>
      <c r="D1962" s="73"/>
      <c r="E1962" s="75" t="s">
        <v>1101</v>
      </c>
      <c r="F1962" s="152"/>
      <c r="G1962" s="72"/>
      <c r="I1962" s="2"/>
      <c r="J1962" s="10"/>
      <c r="K1962"/>
    </row>
    <row r="1963" spans="2:11" x14ac:dyDescent="0.25">
      <c r="B1963" s="168"/>
      <c r="C1963" s="73"/>
      <c r="D1963" s="75" t="s">
        <v>1099</v>
      </c>
      <c r="E1963" s="73"/>
      <c r="F1963" s="152"/>
      <c r="G1963" s="72"/>
      <c r="I1963" s="2"/>
      <c r="J1963" s="10"/>
      <c r="K1963"/>
    </row>
    <row r="1964" spans="2:11" x14ac:dyDescent="0.25">
      <c r="B1964" s="168"/>
      <c r="C1964" s="73"/>
      <c r="D1964" s="73"/>
      <c r="E1964" s="73"/>
      <c r="F1964" s="152"/>
      <c r="G1964" s="72"/>
      <c r="I1964" s="2"/>
      <c r="J1964" s="10"/>
      <c r="K1964"/>
    </row>
    <row r="1965" spans="2:11" x14ac:dyDescent="0.25">
      <c r="B1965" s="177"/>
      <c r="C1965" s="75" t="s">
        <v>1102</v>
      </c>
      <c r="D1965" s="73"/>
      <c r="E1965" s="73"/>
      <c r="F1965" s="152" t="s">
        <v>1105</v>
      </c>
      <c r="G1965" s="72"/>
      <c r="I1965" s="2"/>
      <c r="J1965" s="10"/>
      <c r="K1965"/>
    </row>
    <row r="1966" spans="2:11" x14ac:dyDescent="0.25">
      <c r="B1966" s="168"/>
      <c r="C1966" s="73" t="s">
        <v>292</v>
      </c>
      <c r="D1966" s="73"/>
      <c r="E1966" s="73"/>
      <c r="F1966" s="152" t="s">
        <v>3</v>
      </c>
      <c r="G1966" s="72">
        <f>0.015</f>
        <v>1.4999999999999999E-2</v>
      </c>
      <c r="I1966" s="2"/>
      <c r="J1966" s="10"/>
      <c r="K1966"/>
    </row>
    <row r="1967" spans="2:11" x14ac:dyDescent="0.25">
      <c r="B1967" s="168"/>
      <c r="C1967" s="73" t="s">
        <v>293</v>
      </c>
      <c r="D1967" s="73"/>
      <c r="E1967" s="73"/>
      <c r="F1967" s="152" t="s">
        <v>3</v>
      </c>
      <c r="G1967" s="72">
        <f>G1966</f>
        <v>1.4999999999999999E-2</v>
      </c>
      <c r="I1967" s="2"/>
      <c r="J1967" s="10"/>
      <c r="K1967"/>
    </row>
    <row r="1968" spans="2:11" x14ac:dyDescent="0.25">
      <c r="B1968" s="168"/>
      <c r="C1968" s="73" t="s">
        <v>1103</v>
      </c>
      <c r="D1968" s="73"/>
      <c r="E1968" s="73"/>
      <c r="F1968" s="152" t="s">
        <v>195</v>
      </c>
      <c r="G1968" s="72">
        <v>1.4</v>
      </c>
      <c r="I1968" s="2"/>
      <c r="J1968" s="10"/>
      <c r="K1968"/>
    </row>
    <row r="1969" spans="2:11" x14ac:dyDescent="0.25">
      <c r="B1969" s="168"/>
      <c r="C1969" s="77" t="s">
        <v>1104</v>
      </c>
      <c r="D1969" s="73"/>
      <c r="E1969" s="73"/>
      <c r="F1969" s="152" t="s">
        <v>3</v>
      </c>
      <c r="G1969" s="72">
        <v>7.0000000000000001E-3</v>
      </c>
      <c r="I1969" s="2"/>
      <c r="J1969" s="10"/>
      <c r="K1969"/>
    </row>
    <row r="1970" spans="2:11" x14ac:dyDescent="0.25">
      <c r="B1970" s="168"/>
      <c r="C1970" s="73"/>
      <c r="D1970" s="73"/>
      <c r="E1970" s="73"/>
      <c r="F1970" s="152"/>
      <c r="G1970" s="72"/>
      <c r="I1970" s="2"/>
      <c r="J1970" s="10"/>
      <c r="K1970"/>
    </row>
    <row r="1971" spans="2:11" x14ac:dyDescent="0.25">
      <c r="B1971" s="168"/>
      <c r="C1971" s="75" t="s">
        <v>1110</v>
      </c>
      <c r="D1971" s="73"/>
      <c r="E1971" s="73"/>
      <c r="F1971" s="152"/>
      <c r="G1971" s="72"/>
      <c r="I1971" s="2"/>
      <c r="J1971" s="10"/>
      <c r="K1971"/>
    </row>
    <row r="1972" spans="2:11" x14ac:dyDescent="0.25">
      <c r="B1972" s="168"/>
      <c r="C1972" s="73" t="s">
        <v>763</v>
      </c>
      <c r="D1972" s="73"/>
      <c r="E1972" s="73"/>
      <c r="F1972" s="152" t="s">
        <v>3</v>
      </c>
      <c r="G1972" s="72"/>
      <c r="I1972" s="2"/>
      <c r="J1972" s="10"/>
      <c r="K1972"/>
    </row>
    <row r="1973" spans="2:11" x14ac:dyDescent="0.25">
      <c r="B1973" s="168"/>
      <c r="C1973" s="73" t="s">
        <v>490</v>
      </c>
      <c r="D1973" s="73"/>
      <c r="E1973" s="73"/>
      <c r="F1973" s="152" t="s">
        <v>3</v>
      </c>
      <c r="G1973" s="72">
        <f>0.3*G1972</f>
        <v>0</v>
      </c>
      <c r="I1973" s="2"/>
      <c r="J1973" s="10"/>
      <c r="K1973"/>
    </row>
    <row r="1974" spans="2:11" x14ac:dyDescent="0.25">
      <c r="B1974" s="168"/>
      <c r="C1974" s="73"/>
      <c r="D1974" s="75" t="s">
        <v>1111</v>
      </c>
      <c r="E1974" s="73"/>
      <c r="F1974" s="152"/>
      <c r="G1974" s="72"/>
      <c r="I1974" s="2"/>
      <c r="J1974" s="10"/>
      <c r="K1974"/>
    </row>
    <row r="1975" spans="2:11" ht="15.75" thickBot="1" x14ac:dyDescent="0.3">
      <c r="B1975" s="169"/>
      <c r="C1975" s="68"/>
      <c r="D1975" s="68"/>
      <c r="E1975" s="68"/>
      <c r="F1975" s="171"/>
      <c r="G1975" s="83"/>
      <c r="I1975" s="2"/>
      <c r="J1975" s="10"/>
      <c r="K1975"/>
    </row>
    <row r="1976" spans="2:11" x14ac:dyDescent="0.25">
      <c r="B1976" s="166"/>
      <c r="C1976" s="93"/>
      <c r="D1976" s="184"/>
      <c r="E1976" s="93"/>
      <c r="F1976" s="175" t="s">
        <v>1123</v>
      </c>
      <c r="G1976" s="176"/>
      <c r="I1976" s="2"/>
      <c r="J1976" s="10"/>
      <c r="K1976"/>
    </row>
    <row r="1977" spans="2:11" ht="18.75" x14ac:dyDescent="0.3">
      <c r="B1977" s="168"/>
      <c r="C1977" s="73"/>
      <c r="D1977" s="73"/>
      <c r="E1977" s="126" t="s">
        <v>1121</v>
      </c>
      <c r="F1977" s="152"/>
      <c r="G1977" s="72"/>
      <c r="I1977" s="2"/>
      <c r="J1977" s="10"/>
      <c r="K1977"/>
    </row>
    <row r="1978" spans="2:11" x14ac:dyDescent="0.25">
      <c r="B1978" s="168"/>
      <c r="C1978" s="73"/>
      <c r="D1978" s="73"/>
      <c r="E1978" s="73"/>
      <c r="F1978" s="152"/>
      <c r="G1978" s="72"/>
      <c r="I1978" s="2"/>
      <c r="J1978" s="10"/>
      <c r="K1978"/>
    </row>
    <row r="1979" spans="2:11" x14ac:dyDescent="0.25">
      <c r="B1979" s="168"/>
      <c r="C1979" s="75" t="s">
        <v>1114</v>
      </c>
      <c r="D1979" s="73"/>
      <c r="E1979" s="73"/>
      <c r="F1979" s="152"/>
      <c r="G1979" s="72"/>
      <c r="I1979" s="2"/>
      <c r="J1979" s="10"/>
      <c r="K1979"/>
    </row>
    <row r="1980" spans="2:11" x14ac:dyDescent="0.25">
      <c r="B1980" s="168"/>
      <c r="C1980" s="73" t="s">
        <v>1116</v>
      </c>
      <c r="D1980" s="73"/>
      <c r="E1980" s="73"/>
      <c r="F1980" s="152" t="s">
        <v>3</v>
      </c>
      <c r="G1980" s="72">
        <v>3.3000000000000002E-2</v>
      </c>
      <c r="I1980" s="2"/>
      <c r="J1980" s="10"/>
      <c r="K1980"/>
    </row>
    <row r="1981" spans="2:11" x14ac:dyDescent="0.25">
      <c r="B1981" s="168"/>
      <c r="C1981" s="73"/>
      <c r="D1981" s="73"/>
      <c r="E1981" s="73"/>
      <c r="F1981" s="152"/>
      <c r="G1981" s="72"/>
      <c r="I1981" s="2"/>
      <c r="J1981" s="10"/>
      <c r="K1981"/>
    </row>
    <row r="1982" spans="2:11" x14ac:dyDescent="0.25">
      <c r="B1982" s="168"/>
      <c r="C1982" s="75" t="s">
        <v>1115</v>
      </c>
      <c r="D1982" s="73"/>
      <c r="E1982" s="73"/>
      <c r="F1982" s="152"/>
      <c r="G1982" s="72"/>
      <c r="I1982" s="2"/>
      <c r="J1982" s="10"/>
      <c r="K1982"/>
    </row>
    <row r="1983" spans="2:11" x14ac:dyDescent="0.25">
      <c r="B1983" s="168"/>
      <c r="C1983" s="77" t="s">
        <v>957</v>
      </c>
      <c r="D1983" s="73"/>
      <c r="E1983" s="73"/>
      <c r="F1983" s="152" t="s">
        <v>3</v>
      </c>
      <c r="G1983" s="72">
        <f>0.03*0.025*1*8.5*1.1</f>
        <v>7.0125000000000014E-3</v>
      </c>
      <c r="I1983" s="2"/>
      <c r="J1983" s="10"/>
      <c r="K1983"/>
    </row>
    <row r="1984" spans="2:11" x14ac:dyDescent="0.25">
      <c r="B1984" s="168"/>
      <c r="C1984" s="77" t="s">
        <v>1120</v>
      </c>
      <c r="D1984" s="73"/>
      <c r="E1984" s="73"/>
      <c r="F1984" s="152"/>
      <c r="G1984" s="72"/>
      <c r="I1984" s="2"/>
      <c r="J1984" s="10"/>
      <c r="K1984"/>
    </row>
    <row r="1985" spans="2:11" x14ac:dyDescent="0.25">
      <c r="B1985" s="168"/>
      <c r="C1985" s="77"/>
      <c r="D1985" s="73"/>
      <c r="E1985" s="73"/>
      <c r="F1985" s="152"/>
      <c r="G1985" s="72"/>
      <c r="I1985" s="2"/>
      <c r="J1985" s="10"/>
      <c r="K1985"/>
    </row>
    <row r="1986" spans="2:11" x14ac:dyDescent="0.25">
      <c r="B1986" s="168"/>
      <c r="C1986" s="77"/>
      <c r="D1986" s="73"/>
      <c r="E1986" s="73"/>
      <c r="F1986" s="152"/>
      <c r="G1986" s="72"/>
      <c r="I1986" s="2"/>
      <c r="J1986" s="10"/>
      <c r="K1986"/>
    </row>
    <row r="1987" spans="2:11" ht="18.75" x14ac:dyDescent="0.3">
      <c r="B1987" s="168"/>
      <c r="C1987" s="77"/>
      <c r="D1987" s="73"/>
      <c r="E1987" s="126" t="s">
        <v>1122</v>
      </c>
      <c r="F1987" s="152"/>
      <c r="G1987" s="72"/>
      <c r="I1987" s="2"/>
      <c r="J1987" s="10"/>
      <c r="K1987"/>
    </row>
    <row r="1988" spans="2:11" x14ac:dyDescent="0.25">
      <c r="B1988" s="168"/>
      <c r="C1988" s="77"/>
      <c r="D1988" s="73"/>
      <c r="E1988" s="73"/>
      <c r="F1988" s="152"/>
      <c r="G1988" s="72"/>
      <c r="I1988" s="2"/>
      <c r="J1988" s="10"/>
      <c r="K1988"/>
    </row>
    <row r="1989" spans="2:11" x14ac:dyDescent="0.25">
      <c r="B1989" s="71"/>
      <c r="C1989" s="75" t="s">
        <v>1118</v>
      </c>
      <c r="D1989" s="73"/>
      <c r="E1989" s="73"/>
      <c r="F1989" s="152"/>
      <c r="G1989" s="72"/>
      <c r="I1989" s="2"/>
      <c r="J1989" s="10"/>
      <c r="K1989"/>
    </row>
    <row r="1990" spans="2:11" x14ac:dyDescent="0.25">
      <c r="B1990" s="168"/>
      <c r="C1990" s="77" t="s">
        <v>1119</v>
      </c>
      <c r="D1990" s="73"/>
      <c r="E1990" s="73"/>
      <c r="F1990" s="152" t="s">
        <v>3</v>
      </c>
      <c r="G1990" s="72">
        <f>0.035*0.025*0.5*8</f>
        <v>3.5000000000000005E-3</v>
      </c>
      <c r="I1990" s="2"/>
      <c r="J1990" s="10"/>
      <c r="K1990"/>
    </row>
    <row r="1991" spans="2:11" x14ac:dyDescent="0.25">
      <c r="B1991" s="168"/>
      <c r="C1991" s="73"/>
      <c r="D1991" s="73"/>
      <c r="E1991" s="73"/>
      <c r="F1991" s="152"/>
      <c r="G1991" s="72"/>
      <c r="I1991" s="2"/>
      <c r="J1991" s="10"/>
      <c r="K1991"/>
    </row>
    <row r="1992" spans="2:11" x14ac:dyDescent="0.25">
      <c r="B1992" s="71"/>
      <c r="C1992" s="75" t="s">
        <v>1117</v>
      </c>
      <c r="D1992" s="100"/>
      <c r="E1992" s="73"/>
      <c r="F1992" s="152"/>
      <c r="G1992" s="72"/>
      <c r="I1992" s="2"/>
      <c r="J1992" s="10"/>
      <c r="K1992"/>
    </row>
    <row r="1993" spans="2:11" ht="15.75" thickBot="1" x14ac:dyDescent="0.3">
      <c r="B1993" s="169"/>
      <c r="C1993" s="170" t="s">
        <v>984</v>
      </c>
      <c r="D1993" s="104"/>
      <c r="E1993" s="68"/>
      <c r="F1993" s="171" t="s">
        <v>3</v>
      </c>
      <c r="G1993" s="83">
        <f>0.035*0.025*1*8</f>
        <v>7.000000000000001E-3</v>
      </c>
      <c r="I1993" s="2"/>
      <c r="J1993" s="10"/>
      <c r="K1993"/>
    </row>
    <row r="1994" spans="2:11" x14ac:dyDescent="0.25">
      <c r="B1994" s="166"/>
      <c r="C1994" s="93"/>
      <c r="D1994" s="124"/>
      <c r="E1994" s="93"/>
      <c r="F1994" s="175" t="s">
        <v>1123</v>
      </c>
      <c r="G1994" s="176"/>
      <c r="I1994" s="2"/>
      <c r="J1994" s="10"/>
      <c r="K1994"/>
    </row>
    <row r="1995" spans="2:11" x14ac:dyDescent="0.25">
      <c r="B1995" s="168"/>
      <c r="C1995" s="75" t="s">
        <v>1128</v>
      </c>
      <c r="D1995" s="100"/>
      <c r="E1995" s="73"/>
      <c r="F1995" s="152"/>
      <c r="G1995" s="72"/>
      <c r="I1995" s="2"/>
      <c r="J1995" s="10"/>
      <c r="K1995"/>
    </row>
    <row r="1996" spans="2:11" x14ac:dyDescent="0.25">
      <c r="B1996" s="168"/>
      <c r="C1996" s="73"/>
      <c r="D1996" s="73" t="s">
        <v>1126</v>
      </c>
      <c r="E1996" s="73"/>
      <c r="F1996" s="152" t="s">
        <v>3</v>
      </c>
      <c r="G1996" s="72">
        <f>8.5/203</f>
        <v>4.1871921182266007E-2</v>
      </c>
      <c r="I1996" s="2"/>
      <c r="J1996" s="10"/>
      <c r="K1996"/>
    </row>
    <row r="1997" spans="2:11" x14ac:dyDescent="0.25">
      <c r="B1997" s="168"/>
      <c r="C1997" s="73"/>
      <c r="D1997" s="73" t="s">
        <v>1127</v>
      </c>
      <c r="E1997" s="73"/>
      <c r="F1997" s="152" t="s">
        <v>3</v>
      </c>
      <c r="G1997" s="72">
        <f>G1996/2</f>
        <v>2.0935960591133004E-2</v>
      </c>
      <c r="I1997" s="2"/>
      <c r="J1997" s="10"/>
      <c r="K1997"/>
    </row>
    <row r="1998" spans="2:11" x14ac:dyDescent="0.25">
      <c r="B1998" s="168"/>
      <c r="C1998" s="73"/>
      <c r="D1998" s="73" t="s">
        <v>1125</v>
      </c>
      <c r="E1998" s="73"/>
      <c r="F1998" s="152" t="s">
        <v>3</v>
      </c>
      <c r="G1998" s="148">
        <f>G1996/12</f>
        <v>3.4893267651888338E-3</v>
      </c>
      <c r="I1998" s="2"/>
      <c r="J1998" s="10"/>
      <c r="K1998"/>
    </row>
    <row r="1999" spans="2:11" x14ac:dyDescent="0.25">
      <c r="B1999" s="168"/>
      <c r="C1999" s="73"/>
      <c r="D1999" s="73"/>
      <c r="E1999" s="73"/>
      <c r="F1999" s="152"/>
      <c r="G1999" s="148"/>
      <c r="I1999" s="2"/>
      <c r="J1999" s="10"/>
      <c r="K1999"/>
    </row>
    <row r="2000" spans="2:11" x14ac:dyDescent="0.25">
      <c r="B2000" s="168"/>
      <c r="C2000" s="75" t="s">
        <v>1124</v>
      </c>
      <c r="D2000" s="100"/>
      <c r="E2000" s="73"/>
      <c r="F2000" s="152"/>
      <c r="G2000" s="72"/>
      <c r="I2000" s="2"/>
      <c r="J2000" s="10"/>
      <c r="K2000"/>
    </row>
    <row r="2001" spans="2:11" x14ac:dyDescent="0.25">
      <c r="B2001" s="168"/>
      <c r="C2001" s="73"/>
      <c r="D2001" s="73" t="s">
        <v>1126</v>
      </c>
      <c r="E2001" s="73"/>
      <c r="F2001" s="152" t="s">
        <v>3</v>
      </c>
      <c r="G2001" s="72">
        <f>8.5/203</f>
        <v>4.1871921182266007E-2</v>
      </c>
      <c r="I2001" s="2"/>
      <c r="J2001" s="10"/>
      <c r="K2001"/>
    </row>
    <row r="2002" spans="2:11" x14ac:dyDescent="0.25">
      <c r="B2002" s="168"/>
      <c r="C2002" s="73"/>
      <c r="D2002" s="73" t="s">
        <v>1127</v>
      </c>
      <c r="E2002" s="73"/>
      <c r="F2002" s="152" t="s">
        <v>3</v>
      </c>
      <c r="G2002" s="72">
        <f>G2001/2</f>
        <v>2.0935960591133004E-2</v>
      </c>
      <c r="I2002" s="2"/>
      <c r="J2002" s="10"/>
      <c r="K2002"/>
    </row>
    <row r="2003" spans="2:11" ht="15.75" thickBot="1" x14ac:dyDescent="0.3">
      <c r="B2003" s="169"/>
      <c r="C2003" s="68"/>
      <c r="D2003" s="68" t="s">
        <v>1125</v>
      </c>
      <c r="E2003" s="68"/>
      <c r="F2003" s="171" t="s">
        <v>3</v>
      </c>
      <c r="G2003" s="185">
        <f>G2001/12</f>
        <v>3.4893267651888338E-3</v>
      </c>
      <c r="I2003" s="2"/>
      <c r="J2003" s="10"/>
      <c r="K2003"/>
    </row>
    <row r="2004" spans="2:11" x14ac:dyDescent="0.25">
      <c r="B2004" s="166"/>
      <c r="C2004" s="93"/>
      <c r="D2004" s="124"/>
      <c r="E2004" s="93"/>
      <c r="F2004" s="175" t="s">
        <v>1131</v>
      </c>
      <c r="G2004" s="176"/>
      <c r="I2004" s="2"/>
      <c r="J2004" s="10"/>
      <c r="K2004"/>
    </row>
    <row r="2005" spans="2:11" x14ac:dyDescent="0.25">
      <c r="B2005" s="168"/>
      <c r="C2005" s="75" t="s">
        <v>1129</v>
      </c>
      <c r="D2005" s="100"/>
      <c r="E2005" s="73"/>
      <c r="F2005" s="152"/>
      <c r="G2005" s="72"/>
      <c r="I2005" s="2"/>
      <c r="J2005" s="10"/>
      <c r="K2005"/>
    </row>
    <row r="2006" spans="2:11" x14ac:dyDescent="0.25">
      <c r="B2006" s="168"/>
      <c r="C2006" s="73"/>
      <c r="D2006" s="186" t="s">
        <v>1130</v>
      </c>
      <c r="E2006" s="73"/>
      <c r="F2006" s="152" t="s">
        <v>3</v>
      </c>
      <c r="G2006" s="72">
        <f>0.04*0.04*3.5*2.7*1.12</f>
        <v>1.6934400000000002E-2</v>
      </c>
      <c r="I2006" s="2"/>
      <c r="J2006" s="10"/>
      <c r="K2006"/>
    </row>
    <row r="2007" spans="2:11" x14ac:dyDescent="0.25">
      <c r="B2007" s="168"/>
      <c r="C2007" s="73"/>
      <c r="D2007" s="100"/>
      <c r="E2007" s="73"/>
      <c r="F2007" s="152"/>
      <c r="G2007" s="72"/>
      <c r="I2007" s="2"/>
      <c r="J2007" s="10"/>
      <c r="K2007"/>
    </row>
    <row r="2008" spans="2:11" x14ac:dyDescent="0.25">
      <c r="B2008" s="168"/>
      <c r="C2008" s="75" t="s">
        <v>1132</v>
      </c>
      <c r="D2008" s="100"/>
      <c r="E2008" s="73"/>
      <c r="F2008" s="152"/>
      <c r="G2008" s="72"/>
      <c r="I2008" s="2"/>
      <c r="J2008" s="10"/>
      <c r="K2008"/>
    </row>
    <row r="2009" spans="2:11" x14ac:dyDescent="0.25">
      <c r="B2009" s="168"/>
      <c r="C2009" s="73" t="s">
        <v>1137</v>
      </c>
      <c r="D2009" s="100"/>
      <c r="E2009" s="73"/>
      <c r="F2009" s="152" t="s">
        <v>3</v>
      </c>
      <c r="G2009" s="72">
        <f>0.075*0.075*4*8*1.12</f>
        <v>0.2016</v>
      </c>
      <c r="I2009" s="2"/>
      <c r="J2009" s="10"/>
      <c r="K2009"/>
    </row>
    <row r="2010" spans="2:11" x14ac:dyDescent="0.25">
      <c r="B2010" s="168"/>
      <c r="C2010" s="73"/>
      <c r="D2010" s="100"/>
      <c r="E2010" s="73"/>
      <c r="F2010" s="152"/>
      <c r="G2010" s="72"/>
      <c r="I2010" s="2"/>
      <c r="J2010" s="10"/>
      <c r="K2010"/>
    </row>
    <row r="2011" spans="2:11" x14ac:dyDescent="0.25">
      <c r="B2011" s="168"/>
      <c r="C2011" s="75" t="s">
        <v>1133</v>
      </c>
      <c r="D2011" s="100"/>
      <c r="E2011" s="73"/>
      <c r="F2011" s="152"/>
      <c r="G2011" s="72"/>
      <c r="I2011" s="2"/>
      <c r="J2011" s="10"/>
      <c r="K2011"/>
    </row>
    <row r="2012" spans="2:11" x14ac:dyDescent="0.25">
      <c r="B2012" s="168"/>
      <c r="C2012" s="100" t="s">
        <v>1138</v>
      </c>
      <c r="D2012" s="100"/>
      <c r="E2012" s="73"/>
      <c r="F2012" s="152" t="s">
        <v>3</v>
      </c>
      <c r="G2012" s="72">
        <f>0.225*0.225*4*2.7*1.098</f>
        <v>0.60033150000000013</v>
      </c>
      <c r="I2012" s="2"/>
      <c r="J2012" s="10"/>
      <c r="K2012"/>
    </row>
    <row r="2013" spans="2:11" x14ac:dyDescent="0.25">
      <c r="B2013" s="168"/>
      <c r="C2013" s="73"/>
      <c r="D2013" s="100"/>
      <c r="E2013" s="73"/>
      <c r="F2013" s="152"/>
      <c r="G2013" s="72"/>
      <c r="I2013" s="2"/>
      <c r="J2013" s="10"/>
      <c r="K2013"/>
    </row>
    <row r="2014" spans="2:11" x14ac:dyDescent="0.25">
      <c r="B2014" s="168"/>
      <c r="C2014" s="75" t="s">
        <v>1134</v>
      </c>
      <c r="D2014" s="100"/>
      <c r="E2014" s="73"/>
      <c r="F2014" s="152"/>
      <c r="G2014" s="72"/>
      <c r="I2014" s="2"/>
      <c r="J2014" s="10"/>
      <c r="K2014"/>
    </row>
    <row r="2015" spans="2:11" x14ac:dyDescent="0.25">
      <c r="B2015" s="168"/>
      <c r="C2015" s="77" t="s">
        <v>1054</v>
      </c>
      <c r="D2015" s="73"/>
      <c r="E2015" s="73"/>
      <c r="F2015" s="152" t="s">
        <v>3</v>
      </c>
      <c r="G2015" s="72">
        <f>0.07*0.07*1.2</f>
        <v>5.8800000000000007E-3</v>
      </c>
      <c r="I2015" s="2"/>
      <c r="J2015" s="10"/>
      <c r="K2015"/>
    </row>
    <row r="2016" spans="2:11" ht="17.25" x14ac:dyDescent="0.25">
      <c r="B2016" s="168"/>
      <c r="C2016" s="73" t="s">
        <v>1055</v>
      </c>
      <c r="D2016" s="73"/>
      <c r="E2016" s="73"/>
      <c r="F2016" s="152" t="s">
        <v>596</v>
      </c>
      <c r="G2016" s="72">
        <f>G2015</f>
        <v>5.8800000000000007E-3</v>
      </c>
      <c r="I2016" s="2"/>
      <c r="J2016" s="10"/>
      <c r="K2016"/>
    </row>
    <row r="2017" spans="2:11" x14ac:dyDescent="0.25">
      <c r="B2017" s="168"/>
      <c r="C2017" s="75"/>
      <c r="D2017" s="75" t="s">
        <v>1142</v>
      </c>
      <c r="E2017" s="73"/>
      <c r="F2017" s="152"/>
      <c r="G2017" s="72"/>
      <c r="I2017" s="2"/>
      <c r="J2017" s="10"/>
      <c r="K2017"/>
    </row>
    <row r="2018" spans="2:11" x14ac:dyDescent="0.25">
      <c r="B2018" s="168"/>
      <c r="C2018" s="75"/>
      <c r="D2018" s="100" t="s">
        <v>1143</v>
      </c>
      <c r="E2018" s="73"/>
      <c r="F2018" s="152" t="s">
        <v>3</v>
      </c>
      <c r="G2018" s="72">
        <f>0.13*0.12*3*8*1.1</f>
        <v>0.41183999999999998</v>
      </c>
      <c r="I2018" s="2"/>
      <c r="J2018" s="10"/>
      <c r="K2018"/>
    </row>
    <row r="2019" spans="2:11" x14ac:dyDescent="0.25">
      <c r="B2019" s="168"/>
      <c r="C2019" s="73"/>
      <c r="D2019" s="100"/>
      <c r="E2019" s="73"/>
      <c r="F2019" s="152"/>
      <c r="G2019" s="72"/>
      <c r="I2019" s="2"/>
      <c r="J2019" s="10"/>
      <c r="K2019"/>
    </row>
    <row r="2020" spans="2:11" x14ac:dyDescent="0.25">
      <c r="B2020" s="168"/>
      <c r="C2020" s="75" t="s">
        <v>1135</v>
      </c>
      <c r="D2020" s="100"/>
      <c r="E2020" s="73"/>
      <c r="F2020" s="152"/>
      <c r="G2020" s="72"/>
      <c r="I2020" s="2"/>
      <c r="J2020" s="10"/>
      <c r="K2020"/>
    </row>
    <row r="2021" spans="2:11" x14ac:dyDescent="0.25">
      <c r="B2021" s="168"/>
      <c r="C2021" s="100" t="s">
        <v>1139</v>
      </c>
      <c r="D2021" s="100"/>
      <c r="E2021" s="73"/>
      <c r="F2021" s="152" t="s">
        <v>3</v>
      </c>
      <c r="G2021" s="72">
        <v>0.06</v>
      </c>
      <c r="I2021" s="2"/>
      <c r="J2021" s="10"/>
      <c r="K2021"/>
    </row>
    <row r="2022" spans="2:11" x14ac:dyDescent="0.25">
      <c r="B2022" s="168"/>
      <c r="C2022" s="73"/>
      <c r="D2022" s="100"/>
      <c r="E2022" s="73"/>
      <c r="F2022" s="152"/>
      <c r="G2022" s="72"/>
      <c r="I2022" s="2"/>
      <c r="J2022" s="10"/>
      <c r="K2022"/>
    </row>
    <row r="2023" spans="2:11" x14ac:dyDescent="0.25">
      <c r="B2023" s="168"/>
      <c r="C2023" s="75" t="s">
        <v>1140</v>
      </c>
      <c r="D2023" s="73"/>
      <c r="E2023" s="73"/>
      <c r="F2023" s="152"/>
      <c r="G2023" s="72"/>
      <c r="I2023" s="2"/>
      <c r="J2023" s="10"/>
      <c r="K2023"/>
    </row>
    <row r="2024" spans="2:11" x14ac:dyDescent="0.25">
      <c r="B2024" s="168"/>
      <c r="C2024" s="100" t="s">
        <v>1141</v>
      </c>
      <c r="D2024" s="73"/>
      <c r="E2024" s="73"/>
      <c r="F2024" s="152" t="s">
        <v>3</v>
      </c>
      <c r="G2024" s="72">
        <f>0.13*0.13*5*8*1.035</f>
        <v>0.69965999999999995</v>
      </c>
      <c r="I2024" s="2"/>
      <c r="J2024" s="10"/>
      <c r="K2024"/>
    </row>
    <row r="2025" spans="2:11" x14ac:dyDescent="0.25">
      <c r="B2025" s="168"/>
      <c r="C2025" s="100"/>
      <c r="D2025" s="73"/>
      <c r="E2025" s="73"/>
      <c r="F2025" s="152"/>
      <c r="G2025" s="72"/>
      <c r="I2025" s="2"/>
      <c r="J2025" s="10"/>
      <c r="K2025"/>
    </row>
    <row r="2026" spans="2:11" x14ac:dyDescent="0.25">
      <c r="B2026" s="168"/>
      <c r="C2026" s="75" t="s">
        <v>1136</v>
      </c>
      <c r="D2026" s="73"/>
      <c r="E2026" s="73"/>
      <c r="F2026" s="152"/>
      <c r="G2026" s="72"/>
      <c r="I2026" s="2"/>
      <c r="J2026" s="10"/>
      <c r="K2026"/>
    </row>
    <row r="2027" spans="2:11" ht="15.75" thickBot="1" x14ac:dyDescent="0.3">
      <c r="B2027" s="169"/>
      <c r="C2027" s="104" t="s">
        <v>984</v>
      </c>
      <c r="D2027" s="68"/>
      <c r="E2027" s="68"/>
      <c r="F2027" s="171" t="s">
        <v>3</v>
      </c>
      <c r="G2027" s="83">
        <f>0.165*0.035*1*8*1.15</f>
        <v>5.3130000000000004E-2</v>
      </c>
      <c r="I2027" s="2"/>
      <c r="J2027" s="10"/>
      <c r="K2027"/>
    </row>
    <row r="2028" spans="2:11" x14ac:dyDescent="0.25">
      <c r="B2028" s="166"/>
      <c r="C2028" s="124"/>
      <c r="D2028" s="93"/>
      <c r="E2028" s="93"/>
      <c r="F2028" s="175" t="s">
        <v>1149</v>
      </c>
      <c r="G2028" s="176"/>
      <c r="I2028" s="2"/>
      <c r="J2028" s="10"/>
      <c r="K2028"/>
    </row>
    <row r="2029" spans="2:11" ht="15.75" x14ac:dyDescent="0.25">
      <c r="B2029" s="168"/>
      <c r="C2029" s="100"/>
      <c r="D2029" s="187" t="s">
        <v>1148</v>
      </c>
      <c r="E2029" s="73"/>
      <c r="F2029" s="152"/>
      <c r="G2029" s="72"/>
      <c r="I2029" s="2"/>
      <c r="J2029" s="10"/>
      <c r="K2029"/>
    </row>
    <row r="2030" spans="2:11" x14ac:dyDescent="0.25">
      <c r="B2030" s="168"/>
      <c r="C2030" s="75"/>
      <c r="D2030" s="73"/>
      <c r="E2030" s="73"/>
      <c r="F2030" s="152"/>
      <c r="G2030" s="72"/>
      <c r="I2030" s="2"/>
      <c r="J2030" s="10"/>
      <c r="K2030"/>
    </row>
    <row r="2031" spans="2:11" x14ac:dyDescent="0.25">
      <c r="B2031" s="71"/>
      <c r="C2031" s="75" t="s">
        <v>1144</v>
      </c>
      <c r="D2031" s="73"/>
      <c r="E2031" s="73"/>
      <c r="F2031" s="74"/>
      <c r="G2031" s="72"/>
      <c r="K2031"/>
    </row>
    <row r="2032" spans="2:11" x14ac:dyDescent="0.25">
      <c r="B2032" s="168"/>
      <c r="C2032" s="73" t="s">
        <v>1145</v>
      </c>
      <c r="D2032" s="73"/>
      <c r="E2032" s="73"/>
      <c r="F2032" s="74" t="s">
        <v>3</v>
      </c>
      <c r="G2032" s="72">
        <f>0.05*0.012*4*8*1.12</f>
        <v>2.1504000000000006E-2</v>
      </c>
      <c r="K2032"/>
    </row>
    <row r="2033" spans="1:11" x14ac:dyDescent="0.25">
      <c r="B2033" s="168"/>
      <c r="C2033" s="73"/>
      <c r="D2033" s="73"/>
      <c r="E2033" s="73"/>
      <c r="F2033" s="74"/>
      <c r="G2033" s="72"/>
      <c r="K2033"/>
    </row>
    <row r="2034" spans="1:11" x14ac:dyDescent="0.25">
      <c r="B2034" s="168"/>
      <c r="C2034" s="75" t="s">
        <v>1146</v>
      </c>
      <c r="D2034" s="73"/>
      <c r="E2034" s="73"/>
      <c r="F2034" s="74"/>
      <c r="G2034" s="72"/>
      <c r="K2034"/>
    </row>
    <row r="2035" spans="1:11" x14ac:dyDescent="0.25">
      <c r="B2035" s="168"/>
      <c r="C2035" s="73" t="s">
        <v>1147</v>
      </c>
      <c r="D2035" s="73"/>
      <c r="E2035" s="73"/>
      <c r="F2035" s="74" t="s">
        <v>3</v>
      </c>
      <c r="G2035" s="72">
        <f>0.025*0.025*2*8*1.12</f>
        <v>1.1200000000000003E-2</v>
      </c>
      <c r="K2035"/>
    </row>
    <row r="2036" spans="1:11" ht="15.75" thickBot="1" x14ac:dyDescent="0.3">
      <c r="B2036" s="168"/>
      <c r="C2036" s="75"/>
      <c r="D2036" s="73"/>
      <c r="E2036" s="73"/>
      <c r="F2036" s="152"/>
      <c r="G2036" s="72"/>
      <c r="I2036" s="2"/>
      <c r="J2036" s="10"/>
      <c r="K2036"/>
    </row>
    <row r="2037" spans="1:11" x14ac:dyDescent="0.25">
      <c r="A2037" s="159"/>
      <c r="B2037" s="192" t="s">
        <v>1151</v>
      </c>
      <c r="C2037" s="93"/>
      <c r="D2037" s="93"/>
      <c r="E2037" s="93"/>
      <c r="F2037" s="175" t="s">
        <v>1389</v>
      </c>
      <c r="G2037" s="176"/>
      <c r="I2037" s="2"/>
      <c r="J2037" s="10"/>
      <c r="K2037"/>
    </row>
    <row r="2038" spans="1:11" x14ac:dyDescent="0.25">
      <c r="A2038" s="163"/>
      <c r="B2038" s="96"/>
      <c r="C2038" s="73"/>
      <c r="D2038" s="73"/>
      <c r="E2038" s="73"/>
      <c r="F2038" s="152"/>
      <c r="G2038" s="72"/>
      <c r="I2038" s="2"/>
      <c r="J2038" s="10"/>
      <c r="K2038"/>
    </row>
    <row r="2039" spans="1:11" ht="18.75" x14ac:dyDescent="0.3">
      <c r="A2039" s="163"/>
      <c r="B2039" s="96"/>
      <c r="C2039" s="73"/>
      <c r="D2039" s="73"/>
      <c r="E2039" s="188" t="s">
        <v>1121</v>
      </c>
      <c r="F2039" s="152"/>
      <c r="G2039" s="72"/>
      <c r="I2039" s="2"/>
      <c r="J2039" s="10"/>
      <c r="K2039"/>
    </row>
    <row r="2040" spans="1:11" x14ac:dyDescent="0.25">
      <c r="A2040" s="163"/>
      <c r="B2040" s="96"/>
      <c r="C2040" s="73"/>
      <c r="D2040" s="73"/>
      <c r="E2040" s="73"/>
      <c r="F2040" s="152"/>
      <c r="G2040" s="72"/>
      <c r="I2040" s="2"/>
      <c r="J2040" s="10"/>
      <c r="K2040"/>
    </row>
    <row r="2041" spans="1:11" x14ac:dyDescent="0.25">
      <c r="A2041" s="193">
        <v>7</v>
      </c>
      <c r="B2041" s="96"/>
      <c r="C2041" s="75" t="s">
        <v>1150</v>
      </c>
      <c r="D2041" s="73"/>
      <c r="E2041" s="73"/>
      <c r="F2041" s="152"/>
      <c r="G2041" s="72"/>
      <c r="I2041" s="2"/>
      <c r="J2041" s="10"/>
      <c r="K2041"/>
    </row>
    <row r="2042" spans="1:11" x14ac:dyDescent="0.25">
      <c r="A2042" s="163"/>
      <c r="B2042" s="96"/>
      <c r="C2042" s="73" t="s">
        <v>51</v>
      </c>
      <c r="D2042" s="73"/>
      <c r="E2042" s="73"/>
      <c r="F2042" s="74" t="s">
        <v>3</v>
      </c>
      <c r="G2042" s="72">
        <f>0.01*3.14*6*0.08*1.2</f>
        <v>1.8086400000000002E-2</v>
      </c>
      <c r="I2042" s="2"/>
      <c r="J2042" s="10"/>
      <c r="K2042"/>
    </row>
    <row r="2043" spans="1:11" ht="17.25" x14ac:dyDescent="0.25">
      <c r="A2043" s="163"/>
      <c r="B2043" s="96"/>
      <c r="C2043" s="73" t="s">
        <v>52</v>
      </c>
      <c r="D2043" s="73"/>
      <c r="E2043" s="73"/>
      <c r="F2043" s="74" t="s">
        <v>596</v>
      </c>
      <c r="G2043" s="72">
        <f>G2042*2</f>
        <v>3.6172800000000005E-2</v>
      </c>
      <c r="I2043" s="2"/>
      <c r="J2043" s="10"/>
      <c r="K2043"/>
    </row>
    <row r="2044" spans="1:11" x14ac:dyDescent="0.25">
      <c r="A2044" s="163"/>
      <c r="B2044" s="96"/>
      <c r="C2044" s="73" t="s">
        <v>24</v>
      </c>
      <c r="D2044" s="73"/>
      <c r="E2044" s="73"/>
      <c r="F2044" s="74" t="s">
        <v>3</v>
      </c>
      <c r="G2044" s="72">
        <f>G2042/4</f>
        <v>4.5216000000000006E-3</v>
      </c>
      <c r="I2044" s="2"/>
      <c r="J2044" s="10"/>
      <c r="K2044"/>
    </row>
    <row r="2045" spans="1:11" x14ac:dyDescent="0.25">
      <c r="A2045" s="163"/>
      <c r="B2045" s="96"/>
      <c r="C2045" s="73" t="s">
        <v>8</v>
      </c>
      <c r="D2045" s="73"/>
      <c r="E2045" s="73"/>
      <c r="F2045" s="74" t="s">
        <v>3</v>
      </c>
      <c r="G2045" s="72">
        <f>G2046</f>
        <v>1.4678399999999996E-2</v>
      </c>
      <c r="I2045" s="2"/>
      <c r="J2045" s="10"/>
      <c r="K2045"/>
    </row>
    <row r="2046" spans="1:11" x14ac:dyDescent="0.25">
      <c r="A2046" s="163"/>
      <c r="B2046" s="96"/>
      <c r="C2046" s="77" t="s">
        <v>148</v>
      </c>
      <c r="D2046" s="73"/>
      <c r="E2046" s="73"/>
      <c r="F2046" s="74" t="s">
        <v>3</v>
      </c>
      <c r="G2046" s="72">
        <f>0.48*0.011*2*1.39</f>
        <v>1.4678399999999996E-2</v>
      </c>
      <c r="I2046" s="2"/>
      <c r="J2046" s="10"/>
      <c r="K2046"/>
    </row>
    <row r="2047" spans="1:11" x14ac:dyDescent="0.25">
      <c r="A2047" s="163"/>
      <c r="B2047" s="96"/>
      <c r="C2047" s="77" t="s">
        <v>143</v>
      </c>
      <c r="D2047" s="73"/>
      <c r="E2047" s="73"/>
      <c r="F2047" s="74" t="s">
        <v>3</v>
      </c>
      <c r="G2047" s="72">
        <f>G2046</f>
        <v>1.4678399999999996E-2</v>
      </c>
      <c r="I2047" s="2"/>
      <c r="J2047" s="10"/>
      <c r="K2047"/>
    </row>
    <row r="2048" spans="1:11" x14ac:dyDescent="0.25">
      <c r="A2048" s="163"/>
      <c r="B2048" s="96"/>
      <c r="C2048" s="77" t="s">
        <v>12</v>
      </c>
      <c r="D2048" s="73"/>
      <c r="E2048" s="73"/>
      <c r="F2048" s="74" t="s">
        <v>3</v>
      </c>
      <c r="G2048" s="72">
        <f>0.3*(G2046+G2045+G2047)</f>
        <v>1.3210559999999996E-2</v>
      </c>
      <c r="I2048" s="2"/>
      <c r="J2048" s="10"/>
      <c r="K2048"/>
    </row>
    <row r="2049" spans="1:11" x14ac:dyDescent="0.25">
      <c r="A2049" s="163"/>
      <c r="B2049" s="96"/>
      <c r="C2049" s="73"/>
      <c r="D2049" s="75" t="s">
        <v>1152</v>
      </c>
      <c r="E2049" s="73"/>
      <c r="F2049" s="152"/>
      <c r="G2049" s="72"/>
      <c r="I2049" s="2"/>
      <c r="J2049" s="10"/>
      <c r="K2049"/>
    </row>
    <row r="2050" spans="1:11" x14ac:dyDescent="0.25">
      <c r="A2050" s="163"/>
      <c r="B2050" s="96"/>
      <c r="C2050" s="73"/>
      <c r="D2050" s="73" t="s">
        <v>480</v>
      </c>
      <c r="E2050" s="73"/>
      <c r="F2050" s="152" t="s">
        <v>3</v>
      </c>
      <c r="G2050" s="72">
        <v>0.08</v>
      </c>
      <c r="I2050" t="s">
        <v>1153</v>
      </c>
      <c r="J2050" s="10"/>
      <c r="K2050"/>
    </row>
    <row r="2051" spans="1:11" x14ac:dyDescent="0.25">
      <c r="A2051" s="163"/>
      <c r="B2051" s="96"/>
      <c r="C2051" s="73"/>
      <c r="D2051" s="73"/>
      <c r="E2051" s="73"/>
      <c r="F2051" s="152"/>
      <c r="G2051" s="72"/>
      <c r="J2051" s="10"/>
      <c r="K2051"/>
    </row>
    <row r="2052" spans="1:11" x14ac:dyDescent="0.25">
      <c r="A2052" s="193">
        <v>46</v>
      </c>
      <c r="B2052" s="96"/>
      <c r="C2052" s="75" t="s">
        <v>1163</v>
      </c>
      <c r="D2052" s="73"/>
      <c r="E2052" s="73"/>
      <c r="F2052" s="152"/>
      <c r="G2052" s="72"/>
      <c r="J2052" s="10"/>
      <c r="K2052"/>
    </row>
    <row r="2053" spans="1:11" x14ac:dyDescent="0.25">
      <c r="A2053" s="163"/>
      <c r="B2053" s="96"/>
      <c r="C2053" s="73" t="s">
        <v>1164</v>
      </c>
      <c r="D2053" s="73"/>
      <c r="E2053" s="73"/>
      <c r="F2053" s="152" t="s">
        <v>195</v>
      </c>
      <c r="G2053" s="72">
        <v>0.6</v>
      </c>
      <c r="J2053" s="10"/>
      <c r="K2053"/>
    </row>
    <row r="2054" spans="1:11" x14ac:dyDescent="0.25">
      <c r="A2054" s="163"/>
      <c r="B2054" s="96"/>
      <c r="C2054" s="73"/>
      <c r="D2054" s="73"/>
      <c r="E2054" s="73"/>
      <c r="F2054" s="152"/>
      <c r="G2054" s="72"/>
      <c r="J2054" s="10"/>
      <c r="K2054"/>
    </row>
    <row r="2055" spans="1:11" x14ac:dyDescent="0.25">
      <c r="A2055" s="193">
        <v>47</v>
      </c>
      <c r="B2055" s="96"/>
      <c r="C2055" s="75" t="s">
        <v>1165</v>
      </c>
      <c r="D2055" s="73"/>
      <c r="E2055" s="73"/>
      <c r="F2055" s="152"/>
      <c r="G2055" s="72"/>
      <c r="J2055" s="10"/>
      <c r="K2055"/>
    </row>
    <row r="2056" spans="1:11" x14ac:dyDescent="0.25">
      <c r="A2056" s="163"/>
      <c r="B2056" s="96"/>
      <c r="C2056" s="73" t="s">
        <v>1164</v>
      </c>
      <c r="D2056" s="73"/>
      <c r="E2056" s="73"/>
      <c r="F2056" s="152" t="s">
        <v>195</v>
      </c>
      <c r="G2056" s="72">
        <v>0.53</v>
      </c>
      <c r="J2056" s="10"/>
      <c r="K2056"/>
    </row>
    <row r="2057" spans="1:11" x14ac:dyDescent="0.25">
      <c r="A2057" s="163"/>
      <c r="B2057" s="96"/>
      <c r="C2057" s="73"/>
      <c r="D2057" s="73"/>
      <c r="E2057" s="73"/>
      <c r="F2057" s="152"/>
      <c r="G2057" s="72"/>
      <c r="J2057" s="10"/>
      <c r="K2057"/>
    </row>
    <row r="2058" spans="1:11" x14ac:dyDescent="0.25">
      <c r="A2058" s="193">
        <v>48</v>
      </c>
      <c r="B2058" s="96"/>
      <c r="C2058" s="78" t="s">
        <v>1166</v>
      </c>
      <c r="D2058" s="73"/>
      <c r="E2058" s="73"/>
      <c r="F2058" s="152"/>
      <c r="G2058" s="72"/>
      <c r="J2058" s="10"/>
      <c r="K2058"/>
    </row>
    <row r="2059" spans="1:11" x14ac:dyDescent="0.25">
      <c r="A2059" s="168"/>
      <c r="B2059" s="96"/>
      <c r="C2059" s="73" t="s">
        <v>1164</v>
      </c>
      <c r="D2059" s="73"/>
      <c r="E2059" s="73"/>
      <c r="F2059" s="152" t="s">
        <v>195</v>
      </c>
      <c r="G2059" s="72">
        <v>0.39</v>
      </c>
      <c r="J2059" s="10"/>
      <c r="K2059"/>
    </row>
    <row r="2060" spans="1:11" x14ac:dyDescent="0.25">
      <c r="A2060" s="168"/>
      <c r="B2060" s="96"/>
      <c r="C2060" s="78"/>
      <c r="D2060" s="73"/>
      <c r="E2060" s="73"/>
      <c r="F2060" s="152"/>
      <c r="G2060" s="72"/>
      <c r="J2060" s="10"/>
      <c r="K2060"/>
    </row>
    <row r="2061" spans="1:11" x14ac:dyDescent="0.25">
      <c r="A2061" s="193">
        <v>51</v>
      </c>
      <c r="B2061" s="96"/>
      <c r="C2061" s="75" t="s">
        <v>1167</v>
      </c>
      <c r="D2061" s="73"/>
      <c r="E2061" s="73"/>
      <c r="F2061" s="152"/>
      <c r="G2061" s="72"/>
      <c r="I2061" s="2"/>
      <c r="J2061" s="10"/>
      <c r="K2061"/>
    </row>
    <row r="2062" spans="1:11" x14ac:dyDescent="0.25">
      <c r="A2062" s="163"/>
      <c r="B2062" s="96"/>
      <c r="C2062" s="100" t="s">
        <v>1172</v>
      </c>
      <c r="D2062" s="73"/>
      <c r="E2062" s="73"/>
      <c r="F2062" s="152" t="s">
        <v>195</v>
      </c>
      <c r="G2062" s="72">
        <v>0.37</v>
      </c>
      <c r="I2062" s="2"/>
      <c r="J2062" s="10"/>
      <c r="K2062"/>
    </row>
    <row r="2063" spans="1:11" x14ac:dyDescent="0.25">
      <c r="A2063" s="163"/>
      <c r="B2063" s="96"/>
      <c r="C2063" s="73"/>
      <c r="D2063" s="75" t="s">
        <v>1168</v>
      </c>
      <c r="E2063" s="73"/>
      <c r="F2063" s="152"/>
      <c r="G2063" s="72"/>
      <c r="I2063" s="2"/>
      <c r="J2063" s="10"/>
      <c r="K2063"/>
    </row>
    <row r="2064" spans="1:11" x14ac:dyDescent="0.25">
      <c r="A2064" s="163"/>
      <c r="B2064" s="96"/>
      <c r="C2064" s="73"/>
      <c r="D2064" s="73" t="s">
        <v>140</v>
      </c>
      <c r="E2064" s="73"/>
      <c r="F2064" s="74" t="s">
        <v>3</v>
      </c>
      <c r="G2064" s="72">
        <f>0.025*3.14*2*0.08*1.2</f>
        <v>1.5072000000000002E-2</v>
      </c>
      <c r="I2064" s="2"/>
      <c r="J2064" s="10"/>
      <c r="K2064"/>
    </row>
    <row r="2065" spans="1:11" ht="17.25" x14ac:dyDescent="0.25">
      <c r="A2065" s="163"/>
      <c r="B2065" s="96"/>
      <c r="C2065" s="73"/>
      <c r="D2065" s="73" t="s">
        <v>23</v>
      </c>
      <c r="E2065" s="73"/>
      <c r="F2065" s="74" t="s">
        <v>596</v>
      </c>
      <c r="G2065" s="72">
        <f>G2064*1.5</f>
        <v>2.2608000000000003E-2</v>
      </c>
      <c r="I2065" s="2"/>
      <c r="J2065" s="10"/>
      <c r="K2065"/>
    </row>
    <row r="2066" spans="1:11" x14ac:dyDescent="0.25">
      <c r="A2066" s="163"/>
      <c r="B2066" s="96"/>
      <c r="C2066" s="73"/>
      <c r="D2066" s="73" t="s">
        <v>142</v>
      </c>
      <c r="E2066" s="73"/>
      <c r="F2066" s="74" t="s">
        <v>3</v>
      </c>
      <c r="G2066" s="72">
        <f>G2064/4</f>
        <v>3.7680000000000005E-3</v>
      </c>
      <c r="I2066" s="2"/>
      <c r="J2066" s="10"/>
      <c r="K2066"/>
    </row>
    <row r="2067" spans="1:11" x14ac:dyDescent="0.25">
      <c r="A2067" s="163"/>
      <c r="B2067" s="96"/>
      <c r="C2067" s="73"/>
      <c r="D2067" s="100" t="s">
        <v>14</v>
      </c>
      <c r="E2067" s="73"/>
      <c r="F2067" s="152" t="s">
        <v>3</v>
      </c>
      <c r="G2067" s="72">
        <f>G2068</f>
        <v>6.7200000000000011E-3</v>
      </c>
      <c r="I2067" s="2"/>
      <c r="J2067" s="10"/>
      <c r="K2067"/>
    </row>
    <row r="2068" spans="1:11" x14ac:dyDescent="0.25">
      <c r="A2068" s="163"/>
      <c r="B2068" s="96"/>
      <c r="C2068" s="73"/>
      <c r="D2068" s="100" t="s">
        <v>325</v>
      </c>
      <c r="E2068" s="73"/>
      <c r="F2068" s="152" t="s">
        <v>3</v>
      </c>
      <c r="G2068" s="72">
        <f>0.14*0.02*2*1.2</f>
        <v>6.7200000000000011E-3</v>
      </c>
      <c r="I2068" s="2"/>
      <c r="J2068" s="10"/>
      <c r="K2068"/>
    </row>
    <row r="2069" spans="1:11" x14ac:dyDescent="0.25">
      <c r="A2069" s="163"/>
      <c r="B2069" s="96"/>
      <c r="C2069" s="73"/>
      <c r="D2069" s="100" t="s">
        <v>12</v>
      </c>
      <c r="E2069" s="73"/>
      <c r="F2069" s="152" t="s">
        <v>3</v>
      </c>
      <c r="G2069" s="72">
        <f>0.3*(G2068+G2067)</f>
        <v>4.0320000000000009E-3</v>
      </c>
      <c r="I2069" s="2"/>
      <c r="J2069" s="10"/>
      <c r="K2069"/>
    </row>
    <row r="2070" spans="1:11" x14ac:dyDescent="0.25">
      <c r="A2070" s="163"/>
      <c r="B2070" s="96"/>
      <c r="C2070" s="73"/>
      <c r="D2070" s="73"/>
      <c r="E2070" s="75" t="s">
        <v>1169</v>
      </c>
      <c r="F2070" s="152"/>
      <c r="G2070" s="72"/>
      <c r="J2070" s="10"/>
      <c r="K2070"/>
    </row>
    <row r="2071" spans="1:11" x14ac:dyDescent="0.25">
      <c r="A2071" s="163"/>
      <c r="B2071" s="96"/>
      <c r="C2071" s="73"/>
      <c r="D2071" s="73"/>
      <c r="E2071" s="100" t="s">
        <v>925</v>
      </c>
      <c r="F2071" s="152" t="s">
        <v>3</v>
      </c>
      <c r="G2071" s="72">
        <v>0.09</v>
      </c>
      <c r="I2071" t="s">
        <v>1173</v>
      </c>
      <c r="J2071" s="10"/>
      <c r="K2071"/>
    </row>
    <row r="2072" spans="1:11" x14ac:dyDescent="0.25">
      <c r="A2072" s="163"/>
      <c r="B2072" s="96"/>
      <c r="C2072" s="73"/>
      <c r="D2072" s="75" t="s">
        <v>1170</v>
      </c>
      <c r="E2072" s="73"/>
      <c r="F2072" s="152"/>
      <c r="G2072" s="72"/>
      <c r="I2072" s="2"/>
      <c r="J2072" s="10"/>
      <c r="K2072"/>
    </row>
    <row r="2073" spans="1:11" x14ac:dyDescent="0.25">
      <c r="A2073" s="163"/>
      <c r="B2073" s="96"/>
      <c r="C2073" s="73"/>
      <c r="D2073" s="73" t="s">
        <v>140</v>
      </c>
      <c r="E2073" s="73"/>
      <c r="F2073" s="74" t="s">
        <v>3</v>
      </c>
      <c r="G2073" s="72">
        <f>0.025*3.14*2*0.08*1.2</f>
        <v>1.5072000000000002E-2</v>
      </c>
      <c r="I2073" s="2"/>
      <c r="J2073" s="10"/>
      <c r="K2073"/>
    </row>
    <row r="2074" spans="1:11" ht="17.25" x14ac:dyDescent="0.25">
      <c r="A2074" s="163"/>
      <c r="B2074" s="96"/>
      <c r="C2074" s="73"/>
      <c r="D2074" s="73" t="s">
        <v>23</v>
      </c>
      <c r="E2074" s="73"/>
      <c r="F2074" s="74" t="s">
        <v>596</v>
      </c>
      <c r="G2074" s="72">
        <f>G2073*1.5</f>
        <v>2.2608000000000003E-2</v>
      </c>
      <c r="I2074" s="2"/>
      <c r="J2074" s="10"/>
      <c r="K2074"/>
    </row>
    <row r="2075" spans="1:11" x14ac:dyDescent="0.25">
      <c r="A2075" s="163"/>
      <c r="B2075" s="96"/>
      <c r="C2075" s="73"/>
      <c r="D2075" s="73" t="s">
        <v>142</v>
      </c>
      <c r="E2075" s="73"/>
      <c r="F2075" s="74" t="s">
        <v>3</v>
      </c>
      <c r="G2075" s="72">
        <f>G2073/4</f>
        <v>3.7680000000000005E-3</v>
      </c>
      <c r="I2075" s="2"/>
      <c r="J2075" s="10"/>
      <c r="K2075"/>
    </row>
    <row r="2076" spans="1:11" x14ac:dyDescent="0.25">
      <c r="A2076" s="163"/>
      <c r="B2076" s="96"/>
      <c r="C2076" s="73"/>
      <c r="D2076" s="100" t="s">
        <v>14</v>
      </c>
      <c r="E2076" s="73"/>
      <c r="F2076" s="152" t="s">
        <v>3</v>
      </c>
      <c r="G2076" s="72">
        <f>G2077</f>
        <v>6.7200000000000011E-3</v>
      </c>
      <c r="I2076" s="2"/>
      <c r="J2076" s="10"/>
      <c r="K2076"/>
    </row>
    <row r="2077" spans="1:11" x14ac:dyDescent="0.25">
      <c r="A2077" s="163"/>
      <c r="B2077" s="96"/>
      <c r="C2077" s="73"/>
      <c r="D2077" s="100" t="s">
        <v>325</v>
      </c>
      <c r="E2077" s="73"/>
      <c r="F2077" s="152" t="s">
        <v>3</v>
      </c>
      <c r="G2077" s="72">
        <f>0.14*0.02*2*1.2</f>
        <v>6.7200000000000011E-3</v>
      </c>
      <c r="I2077" s="2"/>
      <c r="J2077" s="10"/>
      <c r="K2077"/>
    </row>
    <row r="2078" spans="1:11" x14ac:dyDescent="0.25">
      <c r="A2078" s="163"/>
      <c r="B2078" s="96"/>
      <c r="C2078" s="73"/>
      <c r="D2078" s="100" t="s">
        <v>12</v>
      </c>
      <c r="E2078" s="73"/>
      <c r="F2078" s="152" t="s">
        <v>3</v>
      </c>
      <c r="G2078" s="72">
        <f>0.3*(G2077+G2076)</f>
        <v>4.0320000000000009E-3</v>
      </c>
      <c r="I2078" s="2"/>
      <c r="J2078" s="10"/>
      <c r="K2078"/>
    </row>
    <row r="2079" spans="1:11" x14ac:dyDescent="0.25">
      <c r="A2079" s="163"/>
      <c r="B2079" s="96"/>
      <c r="C2079" s="73"/>
      <c r="D2079" s="73"/>
      <c r="E2079" s="75" t="s">
        <v>1171</v>
      </c>
      <c r="F2079" s="152"/>
      <c r="G2079" s="72"/>
      <c r="I2079" s="2"/>
      <c r="J2079" s="10"/>
      <c r="K2079"/>
    </row>
    <row r="2080" spans="1:11" x14ac:dyDescent="0.25">
      <c r="A2080" s="163"/>
      <c r="B2080" s="96"/>
      <c r="C2080" s="73"/>
      <c r="D2080" s="73"/>
      <c r="E2080" s="100" t="s">
        <v>925</v>
      </c>
      <c r="F2080" s="152" t="s">
        <v>3</v>
      </c>
      <c r="G2080" s="72">
        <v>0.09</v>
      </c>
      <c r="I2080" t="s">
        <v>1174</v>
      </c>
      <c r="J2080" s="10"/>
      <c r="K2080"/>
    </row>
    <row r="2081" spans="1:11" x14ac:dyDescent="0.25">
      <c r="A2081" s="163"/>
      <c r="B2081" s="96"/>
      <c r="C2081" s="73"/>
      <c r="D2081" s="73"/>
      <c r="E2081" s="100"/>
      <c r="F2081" s="152"/>
      <c r="G2081" s="72"/>
      <c r="J2081" s="10"/>
      <c r="K2081"/>
    </row>
    <row r="2082" spans="1:11" x14ac:dyDescent="0.25">
      <c r="A2082" s="193">
        <v>52</v>
      </c>
      <c r="B2082" s="96"/>
      <c r="C2082" s="75" t="s">
        <v>1175</v>
      </c>
      <c r="D2082" s="73"/>
      <c r="E2082" s="100"/>
      <c r="F2082" s="152"/>
      <c r="G2082" s="72"/>
      <c r="J2082" s="10"/>
      <c r="K2082"/>
    </row>
    <row r="2083" spans="1:11" x14ac:dyDescent="0.25">
      <c r="A2083" s="163"/>
      <c r="B2083" s="96"/>
      <c r="C2083" s="100" t="s">
        <v>1172</v>
      </c>
      <c r="D2083" s="73"/>
      <c r="E2083" s="100"/>
      <c r="F2083" s="152" t="s">
        <v>195</v>
      </c>
      <c r="G2083" s="72">
        <v>0.37</v>
      </c>
      <c r="J2083" s="10"/>
      <c r="K2083"/>
    </row>
    <row r="2084" spans="1:11" x14ac:dyDescent="0.25">
      <c r="A2084" s="163"/>
      <c r="B2084" s="96"/>
      <c r="C2084" s="73"/>
      <c r="D2084" s="75" t="s">
        <v>1176</v>
      </c>
      <c r="E2084" s="73"/>
      <c r="F2084" s="74"/>
      <c r="G2084" s="72"/>
      <c r="J2084" s="10"/>
      <c r="K2084"/>
    </row>
    <row r="2085" spans="1:11" x14ac:dyDescent="0.25">
      <c r="A2085" s="163"/>
      <c r="B2085" s="96"/>
      <c r="C2085" s="73"/>
      <c r="D2085" s="77" t="s">
        <v>1054</v>
      </c>
      <c r="E2085" s="73"/>
      <c r="F2085" s="152" t="s">
        <v>3</v>
      </c>
      <c r="G2085" s="72">
        <f>0.032*3.14*0.08*1.2</f>
        <v>9.6460799999999996E-3</v>
      </c>
      <c r="J2085" s="10"/>
      <c r="K2085"/>
    </row>
    <row r="2086" spans="1:11" ht="17.25" x14ac:dyDescent="0.25">
      <c r="A2086" s="163"/>
      <c r="B2086" s="96"/>
      <c r="C2086" s="73"/>
      <c r="D2086" s="73" t="s">
        <v>1055</v>
      </c>
      <c r="E2086" s="73"/>
      <c r="F2086" s="152" t="s">
        <v>596</v>
      </c>
      <c r="G2086" s="72">
        <f>G2085</f>
        <v>9.6460799999999996E-3</v>
      </c>
      <c r="J2086" s="10"/>
      <c r="K2086"/>
    </row>
    <row r="2087" spans="1:11" x14ac:dyDescent="0.25">
      <c r="A2087" s="163"/>
      <c r="B2087" s="96"/>
      <c r="C2087" s="73"/>
      <c r="D2087" s="100" t="s">
        <v>14</v>
      </c>
      <c r="E2087" s="73"/>
      <c r="F2087" s="152" t="s">
        <v>3</v>
      </c>
      <c r="G2087" s="72">
        <f>G2088</f>
        <v>5.7374999999999995E-3</v>
      </c>
      <c r="J2087" s="10"/>
      <c r="K2087"/>
    </row>
    <row r="2088" spans="1:11" x14ac:dyDescent="0.25">
      <c r="A2088" s="163"/>
      <c r="B2088" s="96"/>
      <c r="C2088" s="73"/>
      <c r="D2088" s="100" t="s">
        <v>325</v>
      </c>
      <c r="E2088" s="73"/>
      <c r="F2088" s="152" t="s">
        <v>3</v>
      </c>
      <c r="G2088" s="72">
        <f>0.075*0.075*2*0.15*2*1.7</f>
        <v>5.7374999999999995E-3</v>
      </c>
      <c r="J2088" s="10"/>
      <c r="K2088"/>
    </row>
    <row r="2089" spans="1:11" x14ac:dyDescent="0.25">
      <c r="A2089" s="163"/>
      <c r="B2089" s="96"/>
      <c r="C2089" s="73"/>
      <c r="D2089" s="100" t="s">
        <v>12</v>
      </c>
      <c r="E2089" s="73"/>
      <c r="F2089" s="152" t="s">
        <v>3</v>
      </c>
      <c r="G2089" s="72">
        <f>0.3*(G2088+G2087)</f>
        <v>3.4424999999999998E-3</v>
      </c>
      <c r="J2089" s="10"/>
      <c r="K2089"/>
    </row>
    <row r="2090" spans="1:11" x14ac:dyDescent="0.25">
      <c r="A2090" s="163"/>
      <c r="B2090" s="96"/>
      <c r="C2090" s="73"/>
      <c r="D2090" s="100"/>
      <c r="E2090" s="73"/>
      <c r="F2090" s="152"/>
      <c r="G2090" s="72"/>
      <c r="J2090" s="10"/>
      <c r="K2090"/>
    </row>
    <row r="2091" spans="1:11" x14ac:dyDescent="0.25">
      <c r="A2091" s="163"/>
      <c r="B2091" s="96"/>
      <c r="C2091" s="73"/>
      <c r="D2091" s="100"/>
      <c r="E2091" s="73"/>
      <c r="F2091" s="152"/>
      <c r="G2091" s="72"/>
      <c r="J2091" s="10"/>
      <c r="K2091"/>
    </row>
    <row r="2092" spans="1:11" x14ac:dyDescent="0.25">
      <c r="A2092" s="193">
        <v>53</v>
      </c>
      <c r="B2092" s="96"/>
      <c r="C2092" s="75" t="s">
        <v>1177</v>
      </c>
      <c r="D2092" s="100"/>
      <c r="E2092" s="73"/>
      <c r="F2092" s="152"/>
      <c r="G2092" s="72"/>
      <c r="J2092" s="10"/>
      <c r="K2092"/>
    </row>
    <row r="2093" spans="1:11" x14ac:dyDescent="0.25">
      <c r="A2093" s="163"/>
      <c r="B2093" s="96"/>
      <c r="C2093" s="73" t="s">
        <v>1178</v>
      </c>
      <c r="D2093" s="100"/>
      <c r="E2093" s="73"/>
      <c r="F2093" s="152" t="s">
        <v>195</v>
      </c>
      <c r="G2093" s="72">
        <v>0.42</v>
      </c>
      <c r="J2093" s="10"/>
      <c r="K2093"/>
    </row>
    <row r="2094" spans="1:11" x14ac:dyDescent="0.25">
      <c r="A2094" s="163"/>
      <c r="B2094" s="96"/>
      <c r="C2094" s="73"/>
      <c r="D2094" s="75" t="s">
        <v>1179</v>
      </c>
      <c r="E2094" s="73"/>
      <c r="F2094" s="152"/>
      <c r="G2094" s="72"/>
      <c r="J2094" s="10"/>
      <c r="K2094"/>
    </row>
    <row r="2095" spans="1:11" x14ac:dyDescent="0.25">
      <c r="A2095" s="163"/>
      <c r="B2095" s="96"/>
      <c r="C2095" s="73"/>
      <c r="D2095" s="73" t="s">
        <v>140</v>
      </c>
      <c r="E2095" s="73"/>
      <c r="F2095" s="74" t="s">
        <v>3</v>
      </c>
      <c r="G2095" s="72">
        <f>0.02*3.14*2*0.08*1.2</f>
        <v>1.2057600000000002E-2</v>
      </c>
      <c r="J2095" s="10"/>
      <c r="K2095"/>
    </row>
    <row r="2096" spans="1:11" ht="17.25" x14ac:dyDescent="0.25">
      <c r="A2096" s="163"/>
      <c r="B2096" s="96"/>
      <c r="C2096" s="73"/>
      <c r="D2096" s="73" t="s">
        <v>23</v>
      </c>
      <c r="E2096" s="73"/>
      <c r="F2096" s="74" t="s">
        <v>596</v>
      </c>
      <c r="G2096" s="72">
        <f>G2095*1.5</f>
        <v>1.8086400000000002E-2</v>
      </c>
      <c r="J2096" s="10"/>
      <c r="K2096"/>
    </row>
    <row r="2097" spans="1:11" x14ac:dyDescent="0.25">
      <c r="A2097" s="163"/>
      <c r="B2097" s="96"/>
      <c r="C2097" s="73"/>
      <c r="D2097" s="73" t="s">
        <v>142</v>
      </c>
      <c r="E2097" s="73"/>
      <c r="F2097" s="74" t="s">
        <v>3</v>
      </c>
      <c r="G2097" s="72">
        <f>G2095/4</f>
        <v>3.0144000000000004E-3</v>
      </c>
      <c r="J2097" s="10"/>
      <c r="K2097"/>
    </row>
    <row r="2098" spans="1:11" x14ac:dyDescent="0.25">
      <c r="A2098" s="163"/>
      <c r="B2098" s="96"/>
      <c r="C2098" s="73"/>
      <c r="D2098" s="100" t="s">
        <v>14</v>
      </c>
      <c r="E2098" s="73"/>
      <c r="F2098" s="152" t="s">
        <v>3</v>
      </c>
      <c r="G2098" s="72">
        <f>G2099</f>
        <v>9.5999999999999992E-3</v>
      </c>
      <c r="J2098" s="10"/>
      <c r="K2098"/>
    </row>
    <row r="2099" spans="1:11" x14ac:dyDescent="0.25">
      <c r="A2099" s="163"/>
      <c r="B2099" s="96"/>
      <c r="C2099" s="73"/>
      <c r="D2099" s="100" t="s">
        <v>325</v>
      </c>
      <c r="E2099" s="73"/>
      <c r="F2099" s="152" t="s">
        <v>3</v>
      </c>
      <c r="G2099" s="72">
        <f>0.2*0.02*2*1.2</f>
        <v>9.5999999999999992E-3</v>
      </c>
      <c r="J2099" s="10"/>
      <c r="K2099"/>
    </row>
    <row r="2100" spans="1:11" x14ac:dyDescent="0.25">
      <c r="A2100" s="163"/>
      <c r="B2100" s="96"/>
      <c r="C2100" s="73"/>
      <c r="D2100" s="100" t="s">
        <v>12</v>
      </c>
      <c r="E2100" s="73"/>
      <c r="F2100" s="152" t="s">
        <v>3</v>
      </c>
      <c r="G2100" s="72">
        <f>0.3*(G2099+G2098)</f>
        <v>5.7599999999999995E-3</v>
      </c>
      <c r="J2100" s="10"/>
      <c r="K2100"/>
    </row>
    <row r="2101" spans="1:11" x14ac:dyDescent="0.25">
      <c r="A2101" s="163"/>
      <c r="B2101" s="96"/>
      <c r="C2101" s="73"/>
      <c r="D2101" s="100"/>
      <c r="E2101" s="75" t="s">
        <v>1180</v>
      </c>
      <c r="F2101" s="152"/>
      <c r="G2101" s="72"/>
      <c r="J2101" s="10"/>
      <c r="K2101"/>
    </row>
    <row r="2102" spans="1:11" x14ac:dyDescent="0.25">
      <c r="A2102" s="168"/>
      <c r="B2102" s="96"/>
      <c r="C2102" s="78"/>
      <c r="D2102" s="73"/>
      <c r="E2102" s="73" t="s">
        <v>327</v>
      </c>
      <c r="F2102" s="152" t="s">
        <v>3</v>
      </c>
      <c r="G2102" s="72">
        <v>0.12</v>
      </c>
      <c r="I2102" t="s">
        <v>1181</v>
      </c>
      <c r="J2102" s="10"/>
      <c r="K2102"/>
    </row>
    <row r="2103" spans="1:11" x14ac:dyDescent="0.25">
      <c r="A2103" s="168"/>
      <c r="B2103" s="96"/>
      <c r="C2103" s="78"/>
      <c r="D2103" s="73"/>
      <c r="E2103" s="73"/>
      <c r="F2103" s="152"/>
      <c r="G2103" s="72"/>
      <c r="J2103" s="10"/>
      <c r="K2103"/>
    </row>
    <row r="2104" spans="1:11" x14ac:dyDescent="0.25">
      <c r="A2104" s="177">
        <v>54</v>
      </c>
      <c r="B2104" s="96"/>
      <c r="C2104" s="78" t="s">
        <v>1182</v>
      </c>
      <c r="D2104" s="73"/>
      <c r="E2104" s="73"/>
      <c r="F2104" s="152"/>
      <c r="G2104" s="72"/>
      <c r="J2104" s="10"/>
      <c r="K2104"/>
    </row>
    <row r="2105" spans="1:11" x14ac:dyDescent="0.25">
      <c r="A2105" s="168"/>
      <c r="B2105" s="96"/>
      <c r="C2105" s="100" t="s">
        <v>1172</v>
      </c>
      <c r="D2105" s="73"/>
      <c r="E2105" s="73"/>
      <c r="F2105" s="152" t="s">
        <v>195</v>
      </c>
      <c r="G2105" s="72">
        <v>0.65</v>
      </c>
      <c r="J2105" s="10"/>
      <c r="K2105"/>
    </row>
    <row r="2106" spans="1:11" x14ac:dyDescent="0.25">
      <c r="A2106" s="168"/>
      <c r="B2106" s="96"/>
      <c r="C2106" s="78"/>
      <c r="D2106" s="75" t="s">
        <v>1183</v>
      </c>
      <c r="E2106" s="73"/>
      <c r="F2106" s="152"/>
      <c r="G2106" s="72"/>
      <c r="J2106" s="10"/>
      <c r="K2106"/>
    </row>
    <row r="2107" spans="1:11" x14ac:dyDescent="0.25">
      <c r="A2107" s="168"/>
      <c r="B2107" s="96"/>
      <c r="C2107" s="78"/>
      <c r="D2107" s="73" t="s">
        <v>140</v>
      </c>
      <c r="E2107" s="73"/>
      <c r="F2107" s="74" t="s">
        <v>3</v>
      </c>
      <c r="G2107" s="72">
        <f>0.025*3.14*2*0.08*1.2</f>
        <v>1.5072000000000002E-2</v>
      </c>
      <c r="J2107" s="10"/>
      <c r="K2107"/>
    </row>
    <row r="2108" spans="1:11" ht="17.25" x14ac:dyDescent="0.25">
      <c r="A2108" s="168"/>
      <c r="B2108" s="96"/>
      <c r="C2108" s="78"/>
      <c r="D2108" s="73" t="s">
        <v>23</v>
      </c>
      <c r="E2108" s="73"/>
      <c r="F2108" s="74" t="s">
        <v>596</v>
      </c>
      <c r="G2108" s="72">
        <f>G2107*1.5</f>
        <v>2.2608000000000003E-2</v>
      </c>
      <c r="J2108" s="10"/>
      <c r="K2108"/>
    </row>
    <row r="2109" spans="1:11" x14ac:dyDescent="0.25">
      <c r="A2109" s="168"/>
      <c r="B2109" s="96"/>
      <c r="C2109" s="78"/>
      <c r="D2109" s="73" t="s">
        <v>142</v>
      </c>
      <c r="E2109" s="73"/>
      <c r="F2109" s="74" t="s">
        <v>3</v>
      </c>
      <c r="G2109" s="72">
        <f>G2107/4</f>
        <v>3.7680000000000005E-3</v>
      </c>
      <c r="J2109" s="10"/>
      <c r="K2109"/>
    </row>
    <row r="2110" spans="1:11" x14ac:dyDescent="0.25">
      <c r="A2110" s="168"/>
      <c r="B2110" s="96"/>
      <c r="C2110" s="78"/>
      <c r="D2110" s="100" t="s">
        <v>14</v>
      </c>
      <c r="E2110" s="73"/>
      <c r="F2110" s="152" t="s">
        <v>3</v>
      </c>
      <c r="G2110" s="72">
        <f>G2111</f>
        <v>1.4999999999999999E-2</v>
      </c>
      <c r="J2110" s="10"/>
      <c r="K2110"/>
    </row>
    <row r="2111" spans="1:11" x14ac:dyDescent="0.25">
      <c r="A2111" s="168"/>
      <c r="B2111" s="96"/>
      <c r="C2111" s="78"/>
      <c r="D2111" s="100" t="s">
        <v>325</v>
      </c>
      <c r="E2111" s="73"/>
      <c r="F2111" s="152" t="s">
        <v>3</v>
      </c>
      <c r="G2111" s="72">
        <f>0.3*0.02*2*1.25</f>
        <v>1.4999999999999999E-2</v>
      </c>
      <c r="J2111" s="10"/>
      <c r="K2111"/>
    </row>
    <row r="2112" spans="1:11" x14ac:dyDescent="0.25">
      <c r="A2112" s="168"/>
      <c r="B2112" s="96"/>
      <c r="C2112" s="78"/>
      <c r="D2112" s="100" t="s">
        <v>12</v>
      </c>
      <c r="E2112" s="73"/>
      <c r="F2112" s="152" t="s">
        <v>3</v>
      </c>
      <c r="G2112" s="72">
        <f>0.3*(G2111+G2110)</f>
        <v>8.9999999999999993E-3</v>
      </c>
      <c r="J2112" s="10"/>
      <c r="K2112"/>
    </row>
    <row r="2113" spans="1:11" x14ac:dyDescent="0.25">
      <c r="A2113" s="168"/>
      <c r="B2113" s="96"/>
      <c r="C2113" s="78"/>
      <c r="D2113" s="73"/>
      <c r="E2113" s="75" t="s">
        <v>1184</v>
      </c>
      <c r="F2113" s="152"/>
      <c r="G2113" s="72"/>
      <c r="J2113" s="10"/>
      <c r="K2113"/>
    </row>
    <row r="2114" spans="1:11" x14ac:dyDescent="0.25">
      <c r="A2114" s="168"/>
      <c r="B2114" s="96"/>
      <c r="C2114" s="78"/>
      <c r="D2114" s="73"/>
      <c r="E2114" s="77" t="s">
        <v>1054</v>
      </c>
      <c r="F2114" s="152" t="s">
        <v>3</v>
      </c>
      <c r="G2114" s="72">
        <f>0.025*3.14*0.08*1.2</f>
        <v>7.536000000000001E-3</v>
      </c>
      <c r="J2114" s="10"/>
      <c r="K2114"/>
    </row>
    <row r="2115" spans="1:11" ht="17.25" x14ac:dyDescent="0.25">
      <c r="A2115" s="168"/>
      <c r="B2115" s="96"/>
      <c r="C2115" s="78"/>
      <c r="D2115" s="73"/>
      <c r="E2115" s="73" t="s">
        <v>1055</v>
      </c>
      <c r="F2115" s="152" t="s">
        <v>596</v>
      </c>
      <c r="G2115" s="72">
        <f>G2114</f>
        <v>7.536000000000001E-3</v>
      </c>
      <c r="J2115" s="10"/>
      <c r="K2115"/>
    </row>
    <row r="2116" spans="1:11" x14ac:dyDescent="0.25">
      <c r="A2116" s="168"/>
      <c r="B2116" s="96"/>
      <c r="C2116" s="78"/>
      <c r="D2116" s="73"/>
      <c r="E2116" s="78" t="s">
        <v>1185</v>
      </c>
      <c r="F2116" s="152"/>
      <c r="G2116" s="72"/>
      <c r="J2116" s="10"/>
      <c r="K2116"/>
    </row>
    <row r="2117" spans="1:11" x14ac:dyDescent="0.25">
      <c r="A2117" s="168"/>
      <c r="B2117" s="96"/>
      <c r="C2117" s="78"/>
      <c r="D2117" s="73"/>
      <c r="E2117" s="73" t="s">
        <v>1186</v>
      </c>
      <c r="F2117" s="152" t="s">
        <v>3</v>
      </c>
      <c r="G2117" s="72">
        <v>0.15</v>
      </c>
      <c r="I2117" t="s">
        <v>1181</v>
      </c>
      <c r="J2117" s="10"/>
      <c r="K2117"/>
    </row>
    <row r="2118" spans="1:11" x14ac:dyDescent="0.25">
      <c r="A2118" s="168"/>
      <c r="B2118" s="96"/>
      <c r="C2118" s="78"/>
      <c r="D2118" s="73"/>
      <c r="E2118" s="78" t="s">
        <v>1187</v>
      </c>
      <c r="F2118" s="152"/>
      <c r="G2118" s="72"/>
      <c r="J2118" s="10"/>
      <c r="K2118"/>
    </row>
    <row r="2119" spans="1:11" x14ac:dyDescent="0.25">
      <c r="A2119" s="168"/>
      <c r="B2119" s="96"/>
      <c r="C2119" s="78"/>
      <c r="D2119" s="73"/>
      <c r="E2119" s="73" t="s">
        <v>1186</v>
      </c>
      <c r="F2119" s="152" t="s">
        <v>3</v>
      </c>
      <c r="G2119" s="72">
        <v>0.09</v>
      </c>
      <c r="I2119" t="s">
        <v>1188</v>
      </c>
      <c r="J2119" s="10"/>
      <c r="K2119"/>
    </row>
    <row r="2120" spans="1:11" x14ac:dyDescent="0.25">
      <c r="A2120" s="168"/>
      <c r="B2120" s="96"/>
      <c r="C2120" s="78"/>
      <c r="D2120" s="75" t="s">
        <v>1189</v>
      </c>
      <c r="E2120" s="73"/>
      <c r="F2120" s="152"/>
      <c r="G2120" s="72"/>
      <c r="J2120" s="10"/>
      <c r="K2120"/>
    </row>
    <row r="2121" spans="1:11" x14ac:dyDescent="0.25">
      <c r="A2121" s="168"/>
      <c r="B2121" s="96"/>
      <c r="C2121" s="78"/>
      <c r="D2121" s="73" t="s">
        <v>140</v>
      </c>
      <c r="E2121" s="73"/>
      <c r="F2121" s="74" t="s">
        <v>3</v>
      </c>
      <c r="G2121" s="72">
        <f>0.025*3.14*3*0.08*1.35</f>
        <v>2.5434000000000005E-2</v>
      </c>
      <c r="J2121" s="10"/>
      <c r="K2121"/>
    </row>
    <row r="2122" spans="1:11" ht="17.25" x14ac:dyDescent="0.25">
      <c r="A2122" s="168"/>
      <c r="B2122" s="96"/>
      <c r="C2122" s="78"/>
      <c r="D2122" s="73" t="s">
        <v>23</v>
      </c>
      <c r="E2122" s="73"/>
      <c r="F2122" s="74" t="s">
        <v>596</v>
      </c>
      <c r="G2122" s="72">
        <f>G2121*1.5</f>
        <v>3.8151000000000004E-2</v>
      </c>
      <c r="J2122" s="10"/>
      <c r="K2122"/>
    </row>
    <row r="2123" spans="1:11" x14ac:dyDescent="0.25">
      <c r="A2123" s="168"/>
      <c r="B2123" s="96"/>
      <c r="C2123" s="78"/>
      <c r="D2123" s="73" t="s">
        <v>142</v>
      </c>
      <c r="E2123" s="73"/>
      <c r="F2123" s="74" t="s">
        <v>3</v>
      </c>
      <c r="G2123" s="72">
        <f>G2121/4</f>
        <v>6.3585000000000013E-3</v>
      </c>
      <c r="J2123" s="10"/>
      <c r="K2123"/>
    </row>
    <row r="2124" spans="1:11" x14ac:dyDescent="0.25">
      <c r="A2124" s="168"/>
      <c r="B2124" s="96"/>
      <c r="C2124" s="78"/>
      <c r="D2124" s="100" t="s">
        <v>14</v>
      </c>
      <c r="E2124" s="73"/>
      <c r="F2124" s="152" t="s">
        <v>3</v>
      </c>
      <c r="G2124" s="72">
        <f>G2125</f>
        <v>1.2E-2</v>
      </c>
      <c r="J2124" s="10"/>
      <c r="K2124"/>
    </row>
    <row r="2125" spans="1:11" x14ac:dyDescent="0.25">
      <c r="A2125" s="168"/>
      <c r="B2125" s="96"/>
      <c r="C2125" s="78"/>
      <c r="D2125" s="100" t="s">
        <v>325</v>
      </c>
      <c r="E2125" s="73"/>
      <c r="F2125" s="152" t="s">
        <v>3</v>
      </c>
      <c r="G2125" s="72">
        <f>0.2*0.02*2*1.5</f>
        <v>1.2E-2</v>
      </c>
      <c r="J2125" s="10"/>
      <c r="K2125"/>
    </row>
    <row r="2126" spans="1:11" x14ac:dyDescent="0.25">
      <c r="A2126" s="168"/>
      <c r="B2126" s="96"/>
      <c r="C2126" s="78"/>
      <c r="D2126" s="100" t="s">
        <v>12</v>
      </c>
      <c r="E2126" s="73"/>
      <c r="F2126" s="152" t="s">
        <v>3</v>
      </c>
      <c r="G2126" s="72">
        <f>0.3*(G2125+G2124)</f>
        <v>7.1999999999999998E-3</v>
      </c>
      <c r="J2126" s="10"/>
      <c r="K2126"/>
    </row>
    <row r="2127" spans="1:11" x14ac:dyDescent="0.25">
      <c r="A2127" s="168"/>
      <c r="B2127" s="96"/>
      <c r="C2127" s="78"/>
      <c r="D2127" s="75"/>
      <c r="E2127" s="75" t="s">
        <v>1190</v>
      </c>
      <c r="F2127" s="152"/>
      <c r="G2127" s="72"/>
      <c r="J2127" s="10"/>
      <c r="K2127"/>
    </row>
    <row r="2128" spans="1:11" x14ac:dyDescent="0.25">
      <c r="A2128" s="168"/>
      <c r="B2128" s="96"/>
      <c r="C2128" s="78"/>
      <c r="D2128" s="75"/>
      <c r="E2128" s="73" t="s">
        <v>925</v>
      </c>
      <c r="F2128" s="152" t="s">
        <v>3</v>
      </c>
      <c r="G2128" s="72">
        <v>0.125</v>
      </c>
      <c r="I2128" t="s">
        <v>1191</v>
      </c>
      <c r="J2128" s="10"/>
      <c r="K2128"/>
    </row>
    <row r="2129" spans="1:11" x14ac:dyDescent="0.25">
      <c r="A2129" s="168"/>
      <c r="B2129" s="96"/>
      <c r="C2129" s="78"/>
      <c r="D2129" s="75"/>
      <c r="E2129" s="75" t="s">
        <v>1192</v>
      </c>
      <c r="F2129" s="152"/>
      <c r="G2129" s="72"/>
      <c r="J2129" s="10"/>
      <c r="K2129"/>
    </row>
    <row r="2130" spans="1:11" x14ac:dyDescent="0.25">
      <c r="A2130" s="168"/>
      <c r="B2130" s="96"/>
      <c r="C2130" s="78"/>
      <c r="D2130" s="75"/>
      <c r="E2130" s="77" t="s">
        <v>55</v>
      </c>
      <c r="F2130" s="152" t="s">
        <v>3</v>
      </c>
      <c r="G2130" s="72">
        <f>0.05*0.135*3*8*1.145</f>
        <v>0.18549000000000004</v>
      </c>
      <c r="J2130" s="10"/>
      <c r="K2130"/>
    </row>
    <row r="2131" spans="1:11" x14ac:dyDescent="0.25">
      <c r="A2131" s="168"/>
      <c r="B2131" s="96"/>
      <c r="C2131" s="78"/>
      <c r="D2131" s="75"/>
      <c r="E2131" s="73"/>
      <c r="F2131" s="152"/>
      <c r="G2131" s="72"/>
      <c r="J2131" s="10"/>
      <c r="K2131"/>
    </row>
    <row r="2132" spans="1:11" x14ac:dyDescent="0.25">
      <c r="A2132" s="177">
        <v>56</v>
      </c>
      <c r="B2132" s="96"/>
      <c r="C2132" s="78" t="s">
        <v>1193</v>
      </c>
      <c r="D2132" s="75"/>
      <c r="E2132" s="73"/>
      <c r="F2132" s="152"/>
      <c r="G2132" s="72"/>
      <c r="J2132" s="10"/>
      <c r="K2132"/>
    </row>
    <row r="2133" spans="1:11" x14ac:dyDescent="0.25">
      <c r="A2133" s="168"/>
      <c r="B2133" s="96"/>
      <c r="C2133" s="77" t="s">
        <v>1194</v>
      </c>
      <c r="D2133" s="75"/>
      <c r="E2133" s="73"/>
      <c r="F2133" s="152" t="s">
        <v>3</v>
      </c>
      <c r="G2133" s="72">
        <v>5.0000000000000001E-3</v>
      </c>
      <c r="J2133" s="10"/>
      <c r="K2133"/>
    </row>
    <row r="2134" spans="1:11" x14ac:dyDescent="0.25">
      <c r="A2134" s="168"/>
      <c r="B2134" s="96"/>
      <c r="C2134" s="77" t="s">
        <v>1195</v>
      </c>
      <c r="D2134" s="75"/>
      <c r="E2134" s="73"/>
      <c r="F2134" s="152" t="s">
        <v>195</v>
      </c>
      <c r="G2134" s="72">
        <v>0.82</v>
      </c>
      <c r="J2134" s="10"/>
      <c r="K2134"/>
    </row>
    <row r="2135" spans="1:11" x14ac:dyDescent="0.25">
      <c r="A2135" s="168"/>
      <c r="B2135" s="96"/>
      <c r="C2135" s="78"/>
      <c r="D2135" s="75" t="s">
        <v>1196</v>
      </c>
      <c r="E2135" s="73"/>
      <c r="F2135" s="152"/>
      <c r="G2135" s="72"/>
      <c r="J2135" s="10"/>
      <c r="K2135"/>
    </row>
    <row r="2136" spans="1:11" x14ac:dyDescent="0.25">
      <c r="A2136" s="168"/>
      <c r="B2136" s="96"/>
      <c r="C2136" s="78"/>
      <c r="D2136" s="77" t="s">
        <v>1199</v>
      </c>
      <c r="E2136" s="73"/>
      <c r="F2136" s="152" t="s">
        <v>3</v>
      </c>
      <c r="G2136" s="72">
        <f>0.05*3.14*0.08*1.2</f>
        <v>1.5072000000000002E-2</v>
      </c>
      <c r="J2136" s="10"/>
      <c r="K2136"/>
    </row>
    <row r="2137" spans="1:11" ht="17.25" x14ac:dyDescent="0.25">
      <c r="A2137" s="168"/>
      <c r="B2137" s="96"/>
      <c r="C2137" s="78"/>
      <c r="D2137" s="73" t="s">
        <v>121</v>
      </c>
      <c r="E2137" s="73"/>
      <c r="F2137" s="152" t="s">
        <v>596</v>
      </c>
      <c r="G2137" s="72">
        <f>1.1*G2136</f>
        <v>1.6579200000000002E-2</v>
      </c>
      <c r="J2137" s="10"/>
      <c r="K2137"/>
    </row>
    <row r="2138" spans="1:11" x14ac:dyDescent="0.25">
      <c r="A2138" s="168"/>
      <c r="B2138" s="96"/>
      <c r="C2138" s="78"/>
      <c r="D2138" s="100" t="s">
        <v>114</v>
      </c>
      <c r="E2138" s="73"/>
      <c r="F2138" s="152" t="s">
        <v>3</v>
      </c>
      <c r="G2138" s="72">
        <f>G2140*0.93</f>
        <v>2.0087999999999998E-2</v>
      </c>
      <c r="J2138" s="10"/>
      <c r="K2138"/>
    </row>
    <row r="2139" spans="1:11" x14ac:dyDescent="0.25">
      <c r="A2139" s="168"/>
      <c r="B2139" s="96"/>
      <c r="C2139" s="78"/>
      <c r="D2139" s="100" t="s">
        <v>164</v>
      </c>
      <c r="E2139" s="73"/>
      <c r="F2139" s="152" t="s">
        <v>3</v>
      </c>
      <c r="G2139" s="72">
        <f>0.3*G2138</f>
        <v>6.0263999999999995E-3</v>
      </c>
      <c r="J2139" s="10"/>
      <c r="K2139"/>
    </row>
    <row r="2140" spans="1:11" x14ac:dyDescent="0.25">
      <c r="A2140" s="168"/>
      <c r="B2140" s="96"/>
      <c r="C2140" s="78"/>
      <c r="D2140" s="100" t="s">
        <v>500</v>
      </c>
      <c r="E2140" s="73"/>
      <c r="F2140" s="152" t="s">
        <v>3</v>
      </c>
      <c r="G2140" s="72">
        <f>0.3*0.03*2*1.2</f>
        <v>2.1599999999999998E-2</v>
      </c>
      <c r="J2140" s="10"/>
      <c r="K2140"/>
    </row>
    <row r="2141" spans="1:11" x14ac:dyDescent="0.25">
      <c r="A2141" s="168"/>
      <c r="B2141" s="96"/>
      <c r="C2141" s="78"/>
      <c r="D2141" s="100" t="s">
        <v>12</v>
      </c>
      <c r="E2141" s="73"/>
      <c r="F2141" s="152" t="s">
        <v>3</v>
      </c>
      <c r="G2141" s="72">
        <f>0.3*G2140</f>
        <v>6.4799999999999988E-3</v>
      </c>
      <c r="J2141" s="10"/>
      <c r="K2141"/>
    </row>
    <row r="2142" spans="1:11" x14ac:dyDescent="0.25">
      <c r="A2142" s="168"/>
      <c r="B2142" s="96"/>
      <c r="C2142" s="78"/>
      <c r="D2142" s="75"/>
      <c r="E2142" s="75" t="s">
        <v>1197</v>
      </c>
      <c r="F2142" s="152"/>
      <c r="G2142" s="72"/>
      <c r="J2142" s="10"/>
      <c r="K2142"/>
    </row>
    <row r="2143" spans="1:11" x14ac:dyDescent="0.25">
      <c r="A2143" s="168"/>
      <c r="B2143" s="96"/>
      <c r="C2143" s="78"/>
      <c r="D2143" s="75"/>
      <c r="E2143" s="73" t="s">
        <v>1202</v>
      </c>
      <c r="F2143" s="152" t="s">
        <v>3</v>
      </c>
      <c r="G2143" s="72">
        <v>0.49</v>
      </c>
      <c r="I2143" t="s">
        <v>1198</v>
      </c>
      <c r="J2143" s="10"/>
      <c r="K2143">
        <f>0.305*1.61</f>
        <v>0.49105000000000004</v>
      </c>
    </row>
    <row r="2144" spans="1:11" x14ac:dyDescent="0.25">
      <c r="A2144" s="168"/>
      <c r="B2144" s="96"/>
      <c r="C2144" s="78"/>
      <c r="D2144" s="75" t="s">
        <v>1200</v>
      </c>
      <c r="E2144" s="73"/>
      <c r="F2144" s="152"/>
      <c r="G2144" s="72"/>
      <c r="J2144" s="10"/>
      <c r="K2144"/>
    </row>
    <row r="2145" spans="1:11" x14ac:dyDescent="0.25">
      <c r="A2145" s="168"/>
      <c r="B2145" s="96"/>
      <c r="C2145" s="78"/>
      <c r="D2145" s="77" t="s">
        <v>1199</v>
      </c>
      <c r="E2145" s="73"/>
      <c r="F2145" s="152" t="s">
        <v>3</v>
      </c>
      <c r="G2145" s="72">
        <f>0.05*3.14*3.5*0.08*1.25</f>
        <v>5.4950000000000006E-2</v>
      </c>
      <c r="J2145" s="10"/>
      <c r="K2145"/>
    </row>
    <row r="2146" spans="1:11" ht="17.25" x14ac:dyDescent="0.25">
      <c r="A2146" s="168"/>
      <c r="B2146" s="96"/>
      <c r="C2146" s="78"/>
      <c r="D2146" s="73" t="s">
        <v>121</v>
      </c>
      <c r="E2146" s="73"/>
      <c r="F2146" s="152" t="s">
        <v>596</v>
      </c>
      <c r="G2146" s="72">
        <f>1.1*G2145</f>
        <v>6.0445000000000013E-2</v>
      </c>
      <c r="J2146" s="10"/>
      <c r="K2146"/>
    </row>
    <row r="2147" spans="1:11" x14ac:dyDescent="0.25">
      <c r="A2147" s="168"/>
      <c r="B2147" s="96"/>
      <c r="C2147" s="78"/>
      <c r="D2147" s="100" t="s">
        <v>114</v>
      </c>
      <c r="E2147" s="73"/>
      <c r="F2147" s="152" t="s">
        <v>3</v>
      </c>
      <c r="G2147" s="72">
        <f>G2149*0.85</f>
        <v>1.2750000000000003E-2</v>
      </c>
      <c r="J2147" s="10"/>
      <c r="K2147"/>
    </row>
    <row r="2148" spans="1:11" x14ac:dyDescent="0.25">
      <c r="A2148" s="168"/>
      <c r="B2148" s="96"/>
      <c r="C2148" s="78"/>
      <c r="D2148" s="100" t="s">
        <v>164</v>
      </c>
      <c r="E2148" s="73"/>
      <c r="F2148" s="152" t="s">
        <v>3</v>
      </c>
      <c r="G2148" s="72">
        <f>0.3*G2147</f>
        <v>3.8250000000000007E-3</v>
      </c>
      <c r="J2148" s="10"/>
      <c r="K2148"/>
    </row>
    <row r="2149" spans="1:11" x14ac:dyDescent="0.25">
      <c r="A2149" s="168"/>
      <c r="B2149" s="96"/>
      <c r="C2149" s="78"/>
      <c r="D2149" s="100" t="s">
        <v>500</v>
      </c>
      <c r="E2149" s="73"/>
      <c r="F2149" s="152" t="s">
        <v>3</v>
      </c>
      <c r="G2149" s="72">
        <f>0.1*0.1*4*0.15*2*1.25</f>
        <v>1.5000000000000003E-2</v>
      </c>
      <c r="J2149" s="10"/>
      <c r="K2149"/>
    </row>
    <row r="2150" spans="1:11" x14ac:dyDescent="0.25">
      <c r="A2150" s="168"/>
      <c r="B2150" s="96"/>
      <c r="C2150" s="78"/>
      <c r="D2150" s="100" t="s">
        <v>12</v>
      </c>
      <c r="E2150" s="73"/>
      <c r="F2150" s="152" t="s">
        <v>3</v>
      </c>
      <c r="G2150" s="72">
        <f>0.3*G2149</f>
        <v>4.5000000000000005E-3</v>
      </c>
      <c r="J2150" s="10"/>
      <c r="K2150"/>
    </row>
    <row r="2151" spans="1:11" x14ac:dyDescent="0.25">
      <c r="A2151" s="168"/>
      <c r="B2151" s="96"/>
      <c r="C2151" s="78"/>
      <c r="D2151" s="73"/>
      <c r="E2151" s="75" t="s">
        <v>1201</v>
      </c>
      <c r="F2151" s="152"/>
      <c r="G2151" s="72"/>
      <c r="J2151" s="10"/>
      <c r="K2151"/>
    </row>
    <row r="2152" spans="1:11" x14ac:dyDescent="0.25">
      <c r="A2152" s="168"/>
      <c r="B2152" s="96"/>
      <c r="C2152" s="78"/>
      <c r="D2152" s="73"/>
      <c r="E2152" s="73" t="s">
        <v>1202</v>
      </c>
      <c r="F2152" s="152" t="s">
        <v>3</v>
      </c>
      <c r="G2152" s="72">
        <v>0.2</v>
      </c>
      <c r="I2152" t="s">
        <v>1203</v>
      </c>
      <c r="J2152" s="10"/>
      <c r="K2152"/>
    </row>
    <row r="2153" spans="1:11" x14ac:dyDescent="0.25">
      <c r="A2153" s="168"/>
      <c r="B2153" s="96"/>
      <c r="C2153" s="78"/>
      <c r="D2153" s="73"/>
      <c r="E2153" s="75" t="s">
        <v>1204</v>
      </c>
      <c r="F2153" s="152"/>
      <c r="G2153" s="72"/>
      <c r="J2153" s="10"/>
      <c r="K2153"/>
    </row>
    <row r="2154" spans="1:11" x14ac:dyDescent="0.25">
      <c r="A2154" s="168"/>
      <c r="B2154" s="96"/>
      <c r="C2154" s="78"/>
      <c r="D2154" s="73"/>
      <c r="E2154" s="77" t="s">
        <v>54</v>
      </c>
      <c r="F2154" s="152" t="s">
        <v>3</v>
      </c>
      <c r="G2154" s="72">
        <f>0.055*0.035*4*8*1.05</f>
        <v>6.4680000000000015E-2</v>
      </c>
      <c r="J2154" s="10"/>
      <c r="K2154"/>
    </row>
    <row r="2155" spans="1:11" x14ac:dyDescent="0.25">
      <c r="A2155" s="168"/>
      <c r="B2155" s="96"/>
      <c r="C2155" s="78"/>
      <c r="D2155" s="73"/>
      <c r="E2155" s="78" t="s">
        <v>1205</v>
      </c>
      <c r="F2155" s="152"/>
      <c r="G2155" s="72"/>
      <c r="J2155" s="10"/>
      <c r="K2155"/>
    </row>
    <row r="2156" spans="1:11" x14ac:dyDescent="0.25">
      <c r="A2156" s="168"/>
      <c r="B2156" s="96"/>
      <c r="C2156" s="78"/>
      <c r="D2156" s="73"/>
      <c r="E2156" s="77" t="s">
        <v>1206</v>
      </c>
      <c r="F2156" s="152" t="s">
        <v>3</v>
      </c>
      <c r="G2156" s="72">
        <f>0.065*0.006*2*8*1.12</f>
        <v>6.9888000000000016E-3</v>
      </c>
      <c r="J2156" s="10"/>
      <c r="K2156"/>
    </row>
    <row r="2157" spans="1:11" x14ac:dyDescent="0.25">
      <c r="A2157" s="168"/>
      <c r="B2157" s="96"/>
      <c r="C2157" s="78"/>
      <c r="D2157" s="73"/>
      <c r="E2157" s="77"/>
      <c r="F2157" s="152"/>
      <c r="G2157" s="72"/>
      <c r="J2157" s="10"/>
      <c r="K2157"/>
    </row>
    <row r="2158" spans="1:11" x14ac:dyDescent="0.25">
      <c r="A2158" s="177">
        <v>57</v>
      </c>
      <c r="B2158" s="96"/>
      <c r="C2158" s="78" t="s">
        <v>1207</v>
      </c>
      <c r="D2158" s="73"/>
      <c r="E2158" s="77"/>
      <c r="F2158" s="152"/>
      <c r="G2158" s="72"/>
      <c r="J2158" s="10"/>
      <c r="K2158"/>
    </row>
    <row r="2159" spans="1:11" x14ac:dyDescent="0.25">
      <c r="A2159" s="168"/>
      <c r="B2159" s="96"/>
      <c r="C2159" s="77" t="s">
        <v>1195</v>
      </c>
      <c r="D2159" s="73"/>
      <c r="E2159" s="77"/>
      <c r="F2159" s="152" t="s">
        <v>195</v>
      </c>
      <c r="G2159" s="72">
        <v>0.92</v>
      </c>
      <c r="J2159" s="10"/>
      <c r="K2159"/>
    </row>
    <row r="2160" spans="1:11" x14ac:dyDescent="0.25">
      <c r="A2160" s="168"/>
      <c r="B2160" s="96"/>
      <c r="C2160" s="77" t="s">
        <v>1194</v>
      </c>
      <c r="D2160" s="75"/>
      <c r="E2160" s="73"/>
      <c r="F2160" s="152" t="s">
        <v>3</v>
      </c>
      <c r="G2160" s="72">
        <v>5.0000000000000001E-3</v>
      </c>
      <c r="J2160" s="10"/>
      <c r="K2160"/>
    </row>
    <row r="2161" spans="1:11" x14ac:dyDescent="0.25">
      <c r="A2161" s="168"/>
      <c r="B2161" s="96"/>
      <c r="C2161" s="78"/>
      <c r="D2161" s="75" t="s">
        <v>1208</v>
      </c>
      <c r="E2161" s="77"/>
      <c r="F2161" s="152"/>
      <c r="G2161" s="72"/>
      <c r="J2161" s="10"/>
      <c r="K2161"/>
    </row>
    <row r="2162" spans="1:11" x14ac:dyDescent="0.25">
      <c r="A2162" s="168"/>
      <c r="B2162" s="96"/>
      <c r="C2162" s="78"/>
      <c r="D2162" s="100" t="s">
        <v>321</v>
      </c>
      <c r="E2162" s="77"/>
      <c r="F2162" s="152" t="s">
        <v>3</v>
      </c>
      <c r="G2162" s="72">
        <f>0.002</f>
        <v>2E-3</v>
      </c>
      <c r="J2162" s="10"/>
      <c r="K2162"/>
    </row>
    <row r="2163" spans="1:11" x14ac:dyDescent="0.25">
      <c r="A2163" s="168"/>
      <c r="B2163" s="96"/>
      <c r="C2163" s="78"/>
      <c r="D2163" s="77" t="s">
        <v>1199</v>
      </c>
      <c r="E2163" s="73"/>
      <c r="F2163" s="152" t="s">
        <v>3</v>
      </c>
      <c r="G2163" s="72">
        <f>0.05*3.14*3*0.08*1.2</f>
        <v>4.5216000000000006E-2</v>
      </c>
      <c r="J2163" s="10"/>
      <c r="K2163"/>
    </row>
    <row r="2164" spans="1:11" ht="17.25" x14ac:dyDescent="0.25">
      <c r="A2164" s="168"/>
      <c r="B2164" s="96"/>
      <c r="C2164" s="78"/>
      <c r="D2164" s="73" t="s">
        <v>121</v>
      </c>
      <c r="E2164" s="73"/>
      <c r="F2164" s="152" t="s">
        <v>596</v>
      </c>
      <c r="G2164" s="72">
        <f>1.1*G2163</f>
        <v>4.9737600000000014E-2</v>
      </c>
      <c r="J2164" s="10"/>
      <c r="K2164"/>
    </row>
    <row r="2165" spans="1:11" x14ac:dyDescent="0.25">
      <c r="A2165" s="168"/>
      <c r="B2165" s="96"/>
      <c r="C2165" s="78"/>
      <c r="D2165" s="100" t="s">
        <v>114</v>
      </c>
      <c r="E2165" s="73"/>
      <c r="F2165" s="152" t="s">
        <v>3</v>
      </c>
      <c r="G2165" s="72">
        <f>G2167*0.85</f>
        <v>1.8359999999999998E-2</v>
      </c>
      <c r="J2165" s="10"/>
      <c r="K2165"/>
    </row>
    <row r="2166" spans="1:11" x14ac:dyDescent="0.25">
      <c r="A2166" s="168"/>
      <c r="B2166" s="96"/>
      <c r="C2166" s="78"/>
      <c r="D2166" s="100" t="s">
        <v>164</v>
      </c>
      <c r="E2166" s="73"/>
      <c r="F2166" s="152" t="s">
        <v>3</v>
      </c>
      <c r="G2166" s="72">
        <f>0.3*G2165</f>
        <v>5.507999999999999E-3</v>
      </c>
      <c r="J2166" s="10"/>
      <c r="K2166"/>
    </row>
    <row r="2167" spans="1:11" x14ac:dyDescent="0.25">
      <c r="A2167" s="168"/>
      <c r="B2167" s="96"/>
      <c r="C2167" s="78"/>
      <c r="D2167" s="100" t="s">
        <v>500</v>
      </c>
      <c r="E2167" s="73"/>
      <c r="F2167" s="152" t="s">
        <v>3</v>
      </c>
      <c r="G2167" s="72">
        <f>0.3*0.03*2*1.2</f>
        <v>2.1599999999999998E-2</v>
      </c>
      <c r="J2167" s="10"/>
      <c r="K2167"/>
    </row>
    <row r="2168" spans="1:11" x14ac:dyDescent="0.25">
      <c r="A2168" s="168"/>
      <c r="B2168" s="96"/>
      <c r="C2168" s="78"/>
      <c r="D2168" s="100" t="s">
        <v>12</v>
      </c>
      <c r="E2168" s="73"/>
      <c r="F2168" s="152" t="s">
        <v>3</v>
      </c>
      <c r="G2168" s="72">
        <f>0.3*G2167</f>
        <v>6.4799999999999988E-3</v>
      </c>
      <c r="J2168" s="10"/>
      <c r="K2168"/>
    </row>
    <row r="2169" spans="1:11" x14ac:dyDescent="0.25">
      <c r="A2169" s="168"/>
      <c r="B2169" s="96"/>
      <c r="C2169" s="78"/>
      <c r="D2169" s="73" t="s">
        <v>140</v>
      </c>
      <c r="E2169" s="73"/>
      <c r="F2169" s="74" t="s">
        <v>3</v>
      </c>
      <c r="G2169" s="72">
        <f>0.03*0.08*1.2</f>
        <v>2.8799999999999997E-3</v>
      </c>
      <c r="J2169" s="10"/>
      <c r="K2169"/>
    </row>
    <row r="2170" spans="1:11" ht="17.25" x14ac:dyDescent="0.25">
      <c r="A2170" s="168"/>
      <c r="B2170" s="96"/>
      <c r="C2170" s="78"/>
      <c r="D2170" s="73" t="s">
        <v>23</v>
      </c>
      <c r="E2170" s="73"/>
      <c r="F2170" s="74" t="s">
        <v>596</v>
      </c>
      <c r="G2170" s="72">
        <f>G2169*1.5</f>
        <v>4.3199999999999992E-3</v>
      </c>
      <c r="J2170" s="10"/>
      <c r="K2170"/>
    </row>
    <row r="2171" spans="1:11" x14ac:dyDescent="0.25">
      <c r="A2171" s="168"/>
      <c r="B2171" s="96"/>
      <c r="C2171" s="78"/>
      <c r="D2171" s="73" t="s">
        <v>142</v>
      </c>
      <c r="E2171" s="73"/>
      <c r="F2171" s="74" t="s">
        <v>3</v>
      </c>
      <c r="G2171" s="72">
        <f>G2169/4</f>
        <v>7.1999999999999994E-4</v>
      </c>
      <c r="J2171" s="10"/>
      <c r="K2171"/>
    </row>
    <row r="2172" spans="1:11" x14ac:dyDescent="0.25">
      <c r="A2172" s="168"/>
      <c r="B2172" s="96"/>
      <c r="C2172" s="78"/>
      <c r="D2172" s="73"/>
      <c r="E2172" s="78" t="s">
        <v>1209</v>
      </c>
      <c r="F2172" s="152"/>
      <c r="G2172" s="72"/>
      <c r="J2172" s="10"/>
      <c r="K2172"/>
    </row>
    <row r="2173" spans="1:11" x14ac:dyDescent="0.25">
      <c r="A2173" s="168"/>
      <c r="B2173" s="96"/>
      <c r="C2173" s="78"/>
      <c r="D2173" s="73"/>
      <c r="E2173" s="73" t="s">
        <v>1202</v>
      </c>
      <c r="F2173" s="152" t="s">
        <v>3</v>
      </c>
      <c r="G2173" s="72">
        <v>0.40500000000000003</v>
      </c>
      <c r="I2173" t="s">
        <v>1210</v>
      </c>
      <c r="J2173" s="10"/>
      <c r="K2173"/>
    </row>
    <row r="2174" spans="1:11" x14ac:dyDescent="0.25">
      <c r="A2174" s="168"/>
      <c r="B2174" s="96"/>
      <c r="C2174" s="78"/>
      <c r="D2174" s="78" t="s">
        <v>1211</v>
      </c>
      <c r="E2174" s="77"/>
      <c r="F2174" s="152"/>
      <c r="G2174" s="72"/>
      <c r="J2174" s="10"/>
      <c r="K2174"/>
    </row>
    <row r="2175" spans="1:11" x14ac:dyDescent="0.25">
      <c r="A2175" s="168"/>
      <c r="B2175" s="96"/>
      <c r="C2175" s="78"/>
      <c r="D2175" s="77" t="s">
        <v>1199</v>
      </c>
      <c r="E2175" s="73"/>
      <c r="F2175" s="152" t="s">
        <v>3</v>
      </c>
      <c r="G2175" s="72">
        <f>0.05*3.14*3*0.08*1.2</f>
        <v>4.5216000000000006E-2</v>
      </c>
      <c r="J2175" s="10"/>
      <c r="K2175"/>
    </row>
    <row r="2176" spans="1:11" ht="17.25" x14ac:dyDescent="0.25">
      <c r="A2176" s="168"/>
      <c r="B2176" s="96"/>
      <c r="C2176" s="78"/>
      <c r="D2176" s="73" t="s">
        <v>121</v>
      </c>
      <c r="E2176" s="73"/>
      <c r="F2176" s="152" t="s">
        <v>596</v>
      </c>
      <c r="G2176" s="72">
        <f>1.1*G2175</f>
        <v>4.9737600000000014E-2</v>
      </c>
      <c r="J2176" s="10"/>
      <c r="K2176"/>
    </row>
    <row r="2177" spans="1:11" x14ac:dyDescent="0.25">
      <c r="A2177" s="168"/>
      <c r="B2177" s="96"/>
      <c r="C2177" s="78"/>
      <c r="D2177" s="100" t="s">
        <v>114</v>
      </c>
      <c r="E2177" s="73"/>
      <c r="F2177" s="152" t="s">
        <v>3</v>
      </c>
      <c r="G2177" s="72">
        <f>G2179*0.85</f>
        <v>6.3750000000000013E-3</v>
      </c>
      <c r="J2177" s="10"/>
      <c r="K2177"/>
    </row>
    <row r="2178" spans="1:11" x14ac:dyDescent="0.25">
      <c r="A2178" s="168"/>
      <c r="B2178" s="96"/>
      <c r="C2178" s="78"/>
      <c r="D2178" s="100" t="s">
        <v>164</v>
      </c>
      <c r="E2178" s="73"/>
      <c r="F2178" s="152" t="s">
        <v>3</v>
      </c>
      <c r="G2178" s="72">
        <f>0.3*G2177</f>
        <v>1.9125000000000004E-3</v>
      </c>
      <c r="J2178" s="10"/>
      <c r="K2178"/>
    </row>
    <row r="2179" spans="1:11" x14ac:dyDescent="0.25">
      <c r="A2179" s="168"/>
      <c r="B2179" s="96"/>
      <c r="C2179" s="78"/>
      <c r="D2179" s="100" t="s">
        <v>500</v>
      </c>
      <c r="E2179" s="73"/>
      <c r="F2179" s="152" t="s">
        <v>3</v>
      </c>
      <c r="G2179" s="72">
        <f>0.1*0.1*2*0.15*2*1.25</f>
        <v>7.5000000000000015E-3</v>
      </c>
      <c r="J2179" s="10"/>
      <c r="K2179"/>
    </row>
    <row r="2180" spans="1:11" x14ac:dyDescent="0.25">
      <c r="A2180" s="168"/>
      <c r="B2180" s="96"/>
      <c r="C2180" s="78"/>
      <c r="D2180" s="100" t="s">
        <v>12</v>
      </c>
      <c r="E2180" s="73"/>
      <c r="F2180" s="152" t="s">
        <v>3</v>
      </c>
      <c r="G2180" s="72">
        <f>0.3*G2179</f>
        <v>2.2500000000000003E-3</v>
      </c>
      <c r="J2180" s="10"/>
      <c r="K2180"/>
    </row>
    <row r="2181" spans="1:11" x14ac:dyDescent="0.25">
      <c r="A2181" s="168"/>
      <c r="B2181" s="96"/>
      <c r="C2181" s="78"/>
      <c r="D2181" s="100"/>
      <c r="E2181" s="75" t="s">
        <v>1212</v>
      </c>
      <c r="F2181" s="152"/>
      <c r="G2181" s="72"/>
      <c r="J2181" s="10"/>
      <c r="K2181"/>
    </row>
    <row r="2182" spans="1:11" x14ac:dyDescent="0.25">
      <c r="A2182" s="168"/>
      <c r="B2182" s="96"/>
      <c r="C2182" s="78"/>
      <c r="D2182" s="100"/>
      <c r="E2182" s="73" t="s">
        <v>1202</v>
      </c>
      <c r="F2182" s="152" t="s">
        <v>3</v>
      </c>
      <c r="G2182" s="72">
        <v>0.32500000000000001</v>
      </c>
      <c r="I2182" t="s">
        <v>1213</v>
      </c>
      <c r="J2182" s="10"/>
      <c r="K2182"/>
    </row>
    <row r="2183" spans="1:11" x14ac:dyDescent="0.25">
      <c r="A2183" s="168"/>
      <c r="B2183" s="96"/>
      <c r="C2183" s="78"/>
      <c r="D2183" s="100"/>
      <c r="E2183" s="75" t="s">
        <v>1214</v>
      </c>
      <c r="F2183" s="152"/>
      <c r="G2183" s="72"/>
      <c r="J2183" s="10"/>
      <c r="K2183"/>
    </row>
    <row r="2184" spans="1:11" x14ac:dyDescent="0.25">
      <c r="A2184" s="168"/>
      <c r="B2184" s="96"/>
      <c r="C2184" s="78"/>
      <c r="D2184" s="100"/>
      <c r="E2184" s="77" t="s">
        <v>55</v>
      </c>
      <c r="F2184" s="152" t="s">
        <v>3</v>
      </c>
      <c r="G2184" s="72">
        <f>0.12*0.07*3*8*1.118</f>
        <v>0.22538880000000006</v>
      </c>
      <c r="J2184" s="10"/>
      <c r="K2184"/>
    </row>
    <row r="2185" spans="1:11" x14ac:dyDescent="0.25">
      <c r="A2185" s="168"/>
      <c r="B2185" s="96"/>
      <c r="C2185" s="78"/>
      <c r="D2185" s="100"/>
      <c r="E2185" s="73"/>
      <c r="F2185" s="152"/>
      <c r="G2185" s="72"/>
      <c r="J2185" s="10"/>
      <c r="K2185"/>
    </row>
    <row r="2186" spans="1:11" x14ac:dyDescent="0.25">
      <c r="A2186" s="177">
        <v>58</v>
      </c>
      <c r="B2186" s="96"/>
      <c r="C2186" s="78" t="s">
        <v>1215</v>
      </c>
      <c r="D2186" s="100"/>
      <c r="E2186" s="73"/>
      <c r="F2186" s="152"/>
      <c r="G2186" s="72"/>
      <c r="J2186" s="10"/>
      <c r="K2186"/>
    </row>
    <row r="2187" spans="1:11" x14ac:dyDescent="0.25">
      <c r="A2187" s="168"/>
      <c r="B2187" s="96"/>
      <c r="C2187" s="186" t="s">
        <v>1216</v>
      </c>
      <c r="D2187" s="100"/>
      <c r="E2187" s="73"/>
      <c r="F2187" s="152" t="s">
        <v>3</v>
      </c>
      <c r="G2187" s="72">
        <f>0.5</f>
        <v>0.5</v>
      </c>
      <c r="J2187" s="10"/>
      <c r="K2187"/>
    </row>
    <row r="2188" spans="1:11" x14ac:dyDescent="0.25">
      <c r="A2188" s="168"/>
      <c r="B2188" s="96"/>
      <c r="C2188" s="78"/>
      <c r="D2188" s="75" t="s">
        <v>1217</v>
      </c>
      <c r="E2188" s="73"/>
      <c r="F2188" s="152"/>
      <c r="G2188" s="72"/>
      <c r="J2188" s="10"/>
      <c r="K2188"/>
    </row>
    <row r="2189" spans="1:11" x14ac:dyDescent="0.25">
      <c r="A2189" s="168"/>
      <c r="B2189" s="96"/>
      <c r="C2189" s="78"/>
      <c r="D2189" s="77" t="s">
        <v>1199</v>
      </c>
      <c r="E2189" s="73"/>
      <c r="F2189" s="152" t="s">
        <v>3</v>
      </c>
      <c r="G2189" s="72">
        <f>0.032*3*0.08*1.2</f>
        <v>9.2160000000000002E-3</v>
      </c>
      <c r="J2189" s="10"/>
      <c r="K2189"/>
    </row>
    <row r="2190" spans="1:11" ht="17.25" x14ac:dyDescent="0.25">
      <c r="A2190" s="168"/>
      <c r="B2190" s="96"/>
      <c r="C2190" s="78"/>
      <c r="D2190" s="73" t="s">
        <v>121</v>
      </c>
      <c r="E2190" s="73"/>
      <c r="F2190" s="152" t="s">
        <v>596</v>
      </c>
      <c r="G2190" s="72">
        <f>1.1*G2189</f>
        <v>1.0137600000000002E-2</v>
      </c>
      <c r="J2190" s="10"/>
      <c r="K2190"/>
    </row>
    <row r="2191" spans="1:11" x14ac:dyDescent="0.25">
      <c r="A2191" s="168"/>
      <c r="B2191" s="96"/>
      <c r="C2191" s="78"/>
      <c r="D2191" s="100" t="s">
        <v>114</v>
      </c>
      <c r="E2191" s="73"/>
      <c r="F2191" s="152" t="s">
        <v>3</v>
      </c>
      <c r="G2191" s="72">
        <f>G2193*0.85</f>
        <v>5.6099999999999987E-3</v>
      </c>
      <c r="J2191" s="10"/>
      <c r="K2191"/>
    </row>
    <row r="2192" spans="1:11" x14ac:dyDescent="0.25">
      <c r="A2192" s="168"/>
      <c r="B2192" s="96"/>
      <c r="C2192" s="78"/>
      <c r="D2192" s="100" t="s">
        <v>164</v>
      </c>
      <c r="E2192" s="73"/>
      <c r="F2192" s="152" t="s">
        <v>3</v>
      </c>
      <c r="G2192" s="72">
        <f>0.3*G2191</f>
        <v>1.6829999999999996E-3</v>
      </c>
      <c r="J2192" s="10"/>
      <c r="K2192"/>
    </row>
    <row r="2193" spans="1:11" x14ac:dyDescent="0.25">
      <c r="A2193" s="168"/>
      <c r="B2193" s="96"/>
      <c r="C2193" s="78"/>
      <c r="D2193" s="73" t="s">
        <v>115</v>
      </c>
      <c r="E2193" s="73"/>
      <c r="F2193" s="152" t="s">
        <v>3</v>
      </c>
      <c r="G2193" s="72">
        <f>0.25*0.011*2*1.2</f>
        <v>6.5999999999999991E-3</v>
      </c>
      <c r="J2193" s="10"/>
      <c r="K2193"/>
    </row>
    <row r="2194" spans="1:11" x14ac:dyDescent="0.25">
      <c r="A2194" s="168"/>
      <c r="B2194" s="96"/>
      <c r="C2194" s="78"/>
      <c r="D2194" s="100" t="s">
        <v>12</v>
      </c>
      <c r="E2194" s="73"/>
      <c r="F2194" s="152" t="s">
        <v>3</v>
      </c>
      <c r="G2194" s="72">
        <f>0.3*G2193</f>
        <v>1.9799999999999996E-3</v>
      </c>
      <c r="J2194" s="10"/>
      <c r="K2194"/>
    </row>
    <row r="2195" spans="1:11" x14ac:dyDescent="0.25">
      <c r="A2195" s="168"/>
      <c r="B2195" s="96"/>
      <c r="C2195" s="78"/>
      <c r="D2195" s="100"/>
      <c r="E2195" s="75" t="s">
        <v>1219</v>
      </c>
      <c r="F2195" s="152"/>
      <c r="G2195" s="72"/>
      <c r="J2195" s="10"/>
      <c r="K2195"/>
    </row>
    <row r="2196" spans="1:11" x14ac:dyDescent="0.25">
      <c r="A2196" s="168"/>
      <c r="B2196" s="96"/>
      <c r="C2196" s="78"/>
      <c r="D2196" s="100"/>
      <c r="E2196" s="73" t="s">
        <v>1227</v>
      </c>
      <c r="F2196" s="152" t="s">
        <v>3</v>
      </c>
      <c r="G2196" s="72">
        <v>0.08</v>
      </c>
      <c r="I2196" t="s">
        <v>1223</v>
      </c>
      <c r="J2196" s="10"/>
      <c r="K2196"/>
    </row>
    <row r="2197" spans="1:11" x14ac:dyDescent="0.25">
      <c r="A2197" s="168"/>
      <c r="B2197" s="96"/>
      <c r="C2197" s="78"/>
      <c r="D2197" s="100"/>
      <c r="E2197" s="75" t="s">
        <v>1220</v>
      </c>
      <c r="F2197" s="152"/>
      <c r="G2197" s="72"/>
      <c r="J2197" s="10"/>
      <c r="K2197"/>
    </row>
    <row r="2198" spans="1:11" x14ac:dyDescent="0.25">
      <c r="A2198" s="168"/>
      <c r="B2198" s="96"/>
      <c r="C2198" s="78"/>
      <c r="D2198" s="100"/>
      <c r="E2198" s="73" t="s">
        <v>1227</v>
      </c>
      <c r="F2198" s="152" t="s">
        <v>3</v>
      </c>
      <c r="G2198" s="72">
        <v>0.03</v>
      </c>
      <c r="I2198" t="s">
        <v>1224</v>
      </c>
      <c r="J2198" s="10"/>
      <c r="K2198"/>
    </row>
    <row r="2199" spans="1:11" x14ac:dyDescent="0.25">
      <c r="A2199" s="168"/>
      <c r="B2199" s="96"/>
      <c r="C2199" s="78"/>
      <c r="D2199" s="100"/>
      <c r="E2199" s="75" t="s">
        <v>1221</v>
      </c>
      <c r="F2199" s="152"/>
      <c r="G2199" s="72"/>
      <c r="J2199" s="10"/>
      <c r="K2199"/>
    </row>
    <row r="2200" spans="1:11" x14ac:dyDescent="0.25">
      <c r="A2200" s="168"/>
      <c r="B2200" s="96"/>
      <c r="C2200" s="78"/>
      <c r="D2200" s="100"/>
      <c r="E2200" s="77" t="s">
        <v>55</v>
      </c>
      <c r="F2200" s="152" t="s">
        <v>3</v>
      </c>
      <c r="G2200" s="72">
        <f>0.029*1.12</f>
        <v>3.2480000000000002E-2</v>
      </c>
      <c r="J2200" s="10"/>
      <c r="K2200"/>
    </row>
    <row r="2201" spans="1:11" x14ac:dyDescent="0.25">
      <c r="A2201" s="168"/>
      <c r="B2201" s="96"/>
      <c r="C2201" s="78"/>
      <c r="D2201" s="75" t="s">
        <v>1218</v>
      </c>
      <c r="E2201" s="73"/>
      <c r="F2201" s="152"/>
      <c r="G2201" s="72"/>
      <c r="J2201" s="10"/>
      <c r="K2201"/>
    </row>
    <row r="2202" spans="1:11" x14ac:dyDescent="0.25">
      <c r="A2202" s="168"/>
      <c r="B2202" s="96"/>
      <c r="C2202" s="78"/>
      <c r="D2202" s="77" t="s">
        <v>1199</v>
      </c>
      <c r="E2202" s="73"/>
      <c r="F2202" s="152" t="s">
        <v>3</v>
      </c>
      <c r="G2202" s="72">
        <f>0.032*3*0.08*1.2</f>
        <v>9.2160000000000002E-3</v>
      </c>
      <c r="J2202" s="10"/>
      <c r="K2202"/>
    </row>
    <row r="2203" spans="1:11" ht="17.25" x14ac:dyDescent="0.25">
      <c r="A2203" s="168"/>
      <c r="B2203" s="96"/>
      <c r="C2203" s="78"/>
      <c r="D2203" s="73" t="s">
        <v>121</v>
      </c>
      <c r="E2203" s="73"/>
      <c r="F2203" s="152" t="s">
        <v>596</v>
      </c>
      <c r="G2203" s="72">
        <f>1.1*G2202</f>
        <v>1.0137600000000002E-2</v>
      </c>
      <c r="J2203" s="10"/>
      <c r="K2203"/>
    </row>
    <row r="2204" spans="1:11" x14ac:dyDescent="0.25">
      <c r="A2204" s="168"/>
      <c r="B2204" s="96"/>
      <c r="C2204" s="78"/>
      <c r="D2204" s="100" t="s">
        <v>114</v>
      </c>
      <c r="E2204" s="73"/>
      <c r="F2204" s="152" t="s">
        <v>3</v>
      </c>
      <c r="G2204" s="72">
        <f>G2206*0.85</f>
        <v>5.6099999999999987E-3</v>
      </c>
      <c r="J2204" s="10"/>
      <c r="K2204"/>
    </row>
    <row r="2205" spans="1:11" x14ac:dyDescent="0.25">
      <c r="A2205" s="168"/>
      <c r="B2205" s="96"/>
      <c r="C2205" s="78"/>
      <c r="D2205" s="100" t="s">
        <v>164</v>
      </c>
      <c r="E2205" s="73"/>
      <c r="F2205" s="152" t="s">
        <v>3</v>
      </c>
      <c r="G2205" s="72">
        <f>0.3*G2204</f>
        <v>1.6829999999999996E-3</v>
      </c>
      <c r="J2205" s="10"/>
      <c r="K2205"/>
    </row>
    <row r="2206" spans="1:11" x14ac:dyDescent="0.25">
      <c r="A2206" s="168"/>
      <c r="B2206" s="96"/>
      <c r="C2206" s="78"/>
      <c r="D2206" s="73" t="s">
        <v>500</v>
      </c>
      <c r="E2206" s="73"/>
      <c r="F2206" s="152" t="s">
        <v>3</v>
      </c>
      <c r="G2206" s="72">
        <f>0.25*0.011*2*1.2</f>
        <v>6.5999999999999991E-3</v>
      </c>
      <c r="J2206" s="10"/>
      <c r="K2206"/>
    </row>
    <row r="2207" spans="1:11" x14ac:dyDescent="0.25">
      <c r="A2207" s="168"/>
      <c r="B2207" s="96"/>
      <c r="C2207" s="78"/>
      <c r="D2207" s="100" t="s">
        <v>12</v>
      </c>
      <c r="E2207" s="73"/>
      <c r="F2207" s="152" t="s">
        <v>3</v>
      </c>
      <c r="G2207" s="72">
        <f>0.3*G2206</f>
        <v>1.9799999999999996E-3</v>
      </c>
      <c r="J2207" s="10"/>
      <c r="K2207"/>
    </row>
    <row r="2208" spans="1:11" x14ac:dyDescent="0.25">
      <c r="A2208" s="168"/>
      <c r="B2208" s="96"/>
      <c r="C2208" s="78"/>
      <c r="D2208" s="75"/>
      <c r="E2208" s="75" t="s">
        <v>1225</v>
      </c>
      <c r="F2208" s="152"/>
      <c r="G2208" s="72"/>
      <c r="J2208" s="10"/>
      <c r="K2208"/>
    </row>
    <row r="2209" spans="1:11" x14ac:dyDescent="0.25">
      <c r="A2209" s="168"/>
      <c r="B2209" s="96"/>
      <c r="C2209" s="78"/>
      <c r="D2209" s="75"/>
      <c r="E2209" s="73" t="s">
        <v>1227</v>
      </c>
      <c r="F2209" s="152" t="s">
        <v>3</v>
      </c>
      <c r="G2209" s="72">
        <v>0.12</v>
      </c>
      <c r="I2209" t="s">
        <v>1226</v>
      </c>
      <c r="J2209" s="10"/>
      <c r="K2209"/>
    </row>
    <row r="2210" spans="1:11" x14ac:dyDescent="0.25">
      <c r="A2210" s="168"/>
      <c r="B2210" s="96"/>
      <c r="C2210" s="78"/>
      <c r="D2210" s="75"/>
      <c r="E2210" s="75" t="s">
        <v>1228</v>
      </c>
      <c r="F2210" s="152"/>
      <c r="G2210" s="72"/>
      <c r="J2210" s="10"/>
      <c r="K2210"/>
    </row>
    <row r="2211" spans="1:11" x14ac:dyDescent="0.25">
      <c r="A2211" s="168"/>
      <c r="B2211" s="96"/>
      <c r="C2211" s="78"/>
      <c r="D2211" s="75"/>
      <c r="E2211" s="77" t="s">
        <v>55</v>
      </c>
      <c r="F2211" s="152" t="s">
        <v>3</v>
      </c>
      <c r="G2211" s="72">
        <f>0.041*1.12</f>
        <v>4.5920000000000009E-2</v>
      </c>
      <c r="J2211" s="10"/>
      <c r="K2211"/>
    </row>
    <row r="2212" spans="1:11" x14ac:dyDescent="0.25">
      <c r="A2212" s="168"/>
      <c r="B2212" s="96"/>
      <c r="C2212" s="78"/>
      <c r="D2212" s="75"/>
      <c r="E2212" s="73"/>
      <c r="F2212" s="152"/>
      <c r="G2212" s="72"/>
      <c r="J2212" s="10"/>
      <c r="K2212"/>
    </row>
    <row r="2213" spans="1:11" x14ac:dyDescent="0.25">
      <c r="A2213" s="177">
        <v>59</v>
      </c>
      <c r="B2213" s="96"/>
      <c r="C2213" s="78" t="s">
        <v>1229</v>
      </c>
      <c r="D2213" s="75"/>
      <c r="E2213" s="73"/>
      <c r="F2213" s="152"/>
      <c r="G2213" s="72"/>
      <c r="J2213" s="10"/>
      <c r="K2213"/>
    </row>
    <row r="2214" spans="1:11" x14ac:dyDescent="0.25">
      <c r="A2214" s="168"/>
      <c r="B2214" s="96"/>
      <c r="C2214" s="73" t="s">
        <v>1164</v>
      </c>
      <c r="D2214" s="75"/>
      <c r="E2214" s="73"/>
      <c r="F2214" s="152" t="s">
        <v>195</v>
      </c>
      <c r="G2214" s="72">
        <v>0.33</v>
      </c>
      <c r="I2214" t="s">
        <v>1230</v>
      </c>
      <c r="J2214" s="10"/>
      <c r="K2214"/>
    </row>
    <row r="2215" spans="1:11" x14ac:dyDescent="0.25">
      <c r="A2215" s="168"/>
      <c r="B2215" s="96"/>
      <c r="C2215" s="78"/>
      <c r="D2215" s="75"/>
      <c r="E2215" s="73"/>
      <c r="F2215" s="152"/>
      <c r="G2215" s="72"/>
      <c r="J2215" s="10"/>
      <c r="K2215"/>
    </row>
    <row r="2216" spans="1:11" x14ac:dyDescent="0.25">
      <c r="A2216" s="177">
        <v>60</v>
      </c>
      <c r="B2216" s="96"/>
      <c r="C2216" s="78" t="s">
        <v>1231</v>
      </c>
      <c r="D2216" s="75"/>
      <c r="E2216" s="73"/>
      <c r="F2216" s="152"/>
      <c r="G2216" s="72"/>
      <c r="J2216" s="10"/>
      <c r="K2216"/>
    </row>
    <row r="2217" spans="1:11" x14ac:dyDescent="0.25">
      <c r="A2217" s="168"/>
      <c r="B2217" s="96"/>
      <c r="C2217" s="186" t="s">
        <v>1232</v>
      </c>
      <c r="D2217" s="75"/>
      <c r="E2217" s="73"/>
      <c r="F2217" s="152" t="s">
        <v>195</v>
      </c>
      <c r="G2217" s="72">
        <v>0.68</v>
      </c>
      <c r="I2217" t="s">
        <v>1233</v>
      </c>
      <c r="J2217" s="10"/>
      <c r="K2217"/>
    </row>
    <row r="2218" spans="1:11" x14ac:dyDescent="0.25">
      <c r="A2218" s="168"/>
      <c r="B2218" s="96"/>
      <c r="C2218" s="78"/>
      <c r="D2218" s="75" t="s">
        <v>1234</v>
      </c>
      <c r="E2218" s="73"/>
      <c r="F2218" s="152"/>
      <c r="G2218" s="72"/>
      <c r="J2218" s="10"/>
      <c r="K2218"/>
    </row>
    <row r="2219" spans="1:11" x14ac:dyDescent="0.25">
      <c r="A2219" s="168"/>
      <c r="B2219" s="96"/>
      <c r="C2219" s="78"/>
      <c r="D2219" s="73" t="s">
        <v>140</v>
      </c>
      <c r="E2219" s="73"/>
      <c r="F2219" s="74" t="s">
        <v>3</v>
      </c>
      <c r="G2219" s="72">
        <f>0.025*3.14*2*0.08*1.2</f>
        <v>1.5072000000000002E-2</v>
      </c>
      <c r="J2219" s="10"/>
      <c r="K2219"/>
    </row>
    <row r="2220" spans="1:11" ht="17.25" x14ac:dyDescent="0.25">
      <c r="A2220" s="168"/>
      <c r="B2220" s="96"/>
      <c r="C2220" s="78"/>
      <c r="D2220" s="73" t="s">
        <v>23</v>
      </c>
      <c r="E2220" s="73"/>
      <c r="F2220" s="74" t="s">
        <v>596</v>
      </c>
      <c r="G2220" s="72">
        <f>G2219*1.5</f>
        <v>2.2608000000000003E-2</v>
      </c>
      <c r="J2220" s="10"/>
      <c r="K2220"/>
    </row>
    <row r="2221" spans="1:11" x14ac:dyDescent="0.25">
      <c r="A2221" s="168"/>
      <c r="B2221" s="96"/>
      <c r="C2221" s="78"/>
      <c r="D2221" s="73" t="s">
        <v>142</v>
      </c>
      <c r="E2221" s="73"/>
      <c r="F2221" s="74" t="s">
        <v>3</v>
      </c>
      <c r="G2221" s="72">
        <f>G2219/4</f>
        <v>3.7680000000000005E-3</v>
      </c>
      <c r="J2221" s="10"/>
      <c r="K2221"/>
    </row>
    <row r="2222" spans="1:11" x14ac:dyDescent="0.25">
      <c r="A2222" s="168"/>
      <c r="B2222" s="96"/>
      <c r="C2222" s="78"/>
      <c r="D2222" s="100" t="s">
        <v>14</v>
      </c>
      <c r="E2222" s="73"/>
      <c r="F2222" s="152" t="s">
        <v>3</v>
      </c>
      <c r="G2222" s="72">
        <f>G2223</f>
        <v>8.1000000000000013E-3</v>
      </c>
      <c r="J2222" s="10"/>
      <c r="K2222"/>
    </row>
    <row r="2223" spans="1:11" x14ac:dyDescent="0.25">
      <c r="A2223" s="168"/>
      <c r="B2223" s="96"/>
      <c r="C2223" s="78"/>
      <c r="D2223" s="100" t="s">
        <v>1235</v>
      </c>
      <c r="E2223" s="73"/>
      <c r="F2223" s="152" t="s">
        <v>3</v>
      </c>
      <c r="G2223" s="72">
        <f>0.1*0.1*2*0.15*2*1.35</f>
        <v>8.1000000000000013E-3</v>
      </c>
      <c r="J2223" s="10"/>
      <c r="K2223"/>
    </row>
    <row r="2224" spans="1:11" x14ac:dyDescent="0.25">
      <c r="A2224" s="168"/>
      <c r="B2224" s="96"/>
      <c r="C2224" s="78"/>
      <c r="D2224" s="100" t="s">
        <v>12</v>
      </c>
      <c r="E2224" s="73"/>
      <c r="F2224" s="152" t="s">
        <v>3</v>
      </c>
      <c r="G2224" s="72">
        <f>0.3*(G2223+G2222)</f>
        <v>4.8600000000000006E-3</v>
      </c>
      <c r="J2224" s="10"/>
      <c r="K2224"/>
    </row>
    <row r="2225" spans="1:11" x14ac:dyDescent="0.25">
      <c r="A2225" s="168"/>
      <c r="B2225" s="96"/>
      <c r="C2225" s="78"/>
      <c r="D2225" s="75"/>
      <c r="E2225" s="75" t="s">
        <v>1236</v>
      </c>
      <c r="F2225" s="152"/>
      <c r="G2225" s="72"/>
      <c r="J2225" s="10"/>
      <c r="K2225"/>
    </row>
    <row r="2226" spans="1:11" x14ac:dyDescent="0.25">
      <c r="A2226" s="168"/>
      <c r="B2226" s="96"/>
      <c r="C2226" s="78"/>
      <c r="D2226" s="75"/>
      <c r="E2226" s="73" t="s">
        <v>925</v>
      </c>
      <c r="F2226" s="152" t="s">
        <v>3</v>
      </c>
      <c r="G2226" s="72">
        <v>0.15</v>
      </c>
      <c r="I2226" t="s">
        <v>1237</v>
      </c>
      <c r="J2226" s="10"/>
      <c r="K2226"/>
    </row>
    <row r="2227" spans="1:11" x14ac:dyDescent="0.25">
      <c r="A2227" s="168"/>
      <c r="B2227" s="96"/>
      <c r="C2227" s="78"/>
      <c r="D2227" s="100"/>
      <c r="E2227" s="73"/>
      <c r="F2227" s="152"/>
      <c r="G2227" s="72"/>
      <c r="J2227" s="10"/>
      <c r="K2227"/>
    </row>
    <row r="2228" spans="1:11" x14ac:dyDescent="0.25">
      <c r="A2228" s="193">
        <v>62</v>
      </c>
      <c r="B2228" s="96"/>
      <c r="C2228" s="75" t="s">
        <v>1154</v>
      </c>
      <c r="D2228" s="73"/>
      <c r="E2228" s="73"/>
      <c r="F2228" s="152"/>
      <c r="G2228" s="72"/>
      <c r="I2228" s="2"/>
      <c r="J2228" s="10"/>
      <c r="K2228"/>
    </row>
    <row r="2229" spans="1:11" x14ac:dyDescent="0.25">
      <c r="A2229" s="168"/>
      <c r="B2229" s="96"/>
      <c r="C2229" s="73" t="s">
        <v>140</v>
      </c>
      <c r="D2229" s="73"/>
      <c r="E2229" s="73"/>
      <c r="F2229" s="74" t="s">
        <v>3</v>
      </c>
      <c r="G2229" s="72">
        <f>0.065*0.08*1.2</f>
        <v>6.2400000000000008E-3</v>
      </c>
      <c r="I2229" s="2"/>
      <c r="J2229" s="10"/>
      <c r="K2229"/>
    </row>
    <row r="2230" spans="1:11" ht="17.25" x14ac:dyDescent="0.25">
      <c r="A2230" s="168"/>
      <c r="B2230" s="96"/>
      <c r="C2230" s="73" t="s">
        <v>23</v>
      </c>
      <c r="D2230" s="73"/>
      <c r="E2230" s="73"/>
      <c r="F2230" s="74" t="s">
        <v>596</v>
      </c>
      <c r="G2230" s="72">
        <f>G2229*1.5</f>
        <v>9.3600000000000003E-3</v>
      </c>
      <c r="I2230" s="2"/>
      <c r="J2230" s="10"/>
      <c r="K2230"/>
    </row>
    <row r="2231" spans="1:11" x14ac:dyDescent="0.25">
      <c r="A2231" s="168"/>
      <c r="B2231" s="96"/>
      <c r="C2231" s="73" t="s">
        <v>142</v>
      </c>
      <c r="D2231" s="73"/>
      <c r="E2231" s="73"/>
      <c r="F2231" s="74" t="s">
        <v>3</v>
      </c>
      <c r="G2231" s="72">
        <f>G2229/4</f>
        <v>1.5600000000000002E-3</v>
      </c>
      <c r="I2231" s="2"/>
      <c r="J2231" s="10"/>
      <c r="K2231"/>
    </row>
    <row r="2232" spans="1:11" x14ac:dyDescent="0.25">
      <c r="A2232" s="168"/>
      <c r="B2232" s="96"/>
      <c r="C2232" s="100" t="s">
        <v>114</v>
      </c>
      <c r="D2232" s="73"/>
      <c r="E2232" s="73"/>
      <c r="F2232" s="152" t="s">
        <v>3</v>
      </c>
      <c r="G2232" s="72">
        <f>G2234</f>
        <v>8.3400000000000002E-3</v>
      </c>
      <c r="I2232" s="2"/>
      <c r="J2232" s="10"/>
      <c r="K2232"/>
    </row>
    <row r="2233" spans="1:11" x14ac:dyDescent="0.25">
      <c r="A2233" s="168"/>
      <c r="B2233" s="96"/>
      <c r="C2233" s="100" t="s">
        <v>164</v>
      </c>
      <c r="D2233" s="73"/>
      <c r="E2233" s="73"/>
      <c r="F2233" s="152" t="s">
        <v>3</v>
      </c>
      <c r="G2233" s="72">
        <f>0.3*G2232</f>
        <v>2.5019999999999999E-3</v>
      </c>
      <c r="I2233" s="2"/>
      <c r="J2233" s="10"/>
      <c r="K2233"/>
    </row>
    <row r="2234" spans="1:11" x14ac:dyDescent="0.25">
      <c r="A2234" s="168"/>
      <c r="B2234" s="96"/>
      <c r="C2234" s="73" t="s">
        <v>500</v>
      </c>
      <c r="D2234" s="73"/>
      <c r="E2234" s="73"/>
      <c r="F2234" s="152" t="s">
        <v>3</v>
      </c>
      <c r="G2234" s="72">
        <f>0.1*0.1*2*0.15*2*1.39</f>
        <v>8.3400000000000002E-3</v>
      </c>
      <c r="I2234" s="2"/>
      <c r="J2234" s="10"/>
      <c r="K2234"/>
    </row>
    <row r="2235" spans="1:11" x14ac:dyDescent="0.25">
      <c r="A2235" s="168"/>
      <c r="B2235" s="96"/>
      <c r="C2235" s="100" t="s">
        <v>12</v>
      </c>
      <c r="D2235" s="73"/>
      <c r="E2235" s="73"/>
      <c r="F2235" s="152" t="s">
        <v>3</v>
      </c>
      <c r="G2235" s="72">
        <f>0.3*G2234</f>
        <v>2.5019999999999999E-3</v>
      </c>
      <c r="I2235" s="2"/>
      <c r="J2235" s="10"/>
      <c r="K2235"/>
    </row>
    <row r="2236" spans="1:11" x14ac:dyDescent="0.25">
      <c r="A2236" s="168"/>
      <c r="B2236" s="96"/>
      <c r="C2236" s="75"/>
      <c r="D2236" s="75" t="s">
        <v>1238</v>
      </c>
      <c r="E2236" s="73"/>
      <c r="F2236" s="152"/>
      <c r="G2236" s="72"/>
      <c r="I2236" s="2"/>
      <c r="J2236" s="10"/>
      <c r="K2236"/>
    </row>
    <row r="2237" spans="1:11" x14ac:dyDescent="0.25">
      <c r="A2237" s="168"/>
      <c r="B2237" s="96"/>
      <c r="C2237" s="75"/>
      <c r="D2237" s="73" t="s">
        <v>1222</v>
      </c>
      <c r="E2237" s="73"/>
      <c r="F2237" s="152" t="s">
        <v>3</v>
      </c>
      <c r="G2237" s="72">
        <v>2.5000000000000001E-2</v>
      </c>
      <c r="I2237" t="s">
        <v>1240</v>
      </c>
      <c r="J2237" s="10"/>
      <c r="K2237"/>
    </row>
    <row r="2238" spans="1:11" x14ac:dyDescent="0.25">
      <c r="A2238" s="168"/>
      <c r="B2238" s="96"/>
      <c r="C2238" s="75"/>
      <c r="D2238" s="75" t="s">
        <v>1239</v>
      </c>
      <c r="E2238" s="73"/>
      <c r="F2238" s="152"/>
      <c r="G2238" s="72"/>
      <c r="I2238" s="2"/>
      <c r="J2238" s="10"/>
      <c r="K2238"/>
    </row>
    <row r="2239" spans="1:11" x14ac:dyDescent="0.25">
      <c r="A2239" s="168"/>
      <c r="B2239" s="96"/>
      <c r="C2239" s="75"/>
      <c r="D2239" s="73" t="s">
        <v>1222</v>
      </c>
      <c r="E2239" s="73"/>
      <c r="F2239" s="152" t="s">
        <v>3</v>
      </c>
      <c r="G2239" s="72">
        <v>2.5000000000000001E-2</v>
      </c>
      <c r="I2239" t="s">
        <v>1241</v>
      </c>
      <c r="J2239" s="10"/>
      <c r="K2239"/>
    </row>
    <row r="2240" spans="1:11" x14ac:dyDescent="0.25">
      <c r="A2240" s="163"/>
      <c r="B2240" s="96"/>
      <c r="C2240" s="73"/>
      <c r="D2240" s="73"/>
      <c r="E2240" s="73"/>
      <c r="F2240" s="152"/>
      <c r="G2240" s="72"/>
      <c r="I2240" s="2"/>
      <c r="J2240" s="10"/>
      <c r="K2240"/>
    </row>
    <row r="2241" spans="1:11" x14ac:dyDescent="0.25">
      <c r="A2241" s="193">
        <v>64</v>
      </c>
      <c r="B2241" s="96"/>
      <c r="C2241" s="75" t="s">
        <v>692</v>
      </c>
      <c r="D2241" s="73"/>
      <c r="E2241" s="73"/>
      <c r="F2241" s="74"/>
      <c r="G2241" s="72"/>
      <c r="I2241" s="2"/>
      <c r="J2241" s="10"/>
      <c r="K2241"/>
    </row>
    <row r="2242" spans="1:11" x14ac:dyDescent="0.25">
      <c r="A2242" s="163"/>
      <c r="B2242" s="96"/>
      <c r="C2242" s="73" t="s">
        <v>140</v>
      </c>
      <c r="D2242" s="73"/>
      <c r="E2242" s="73"/>
      <c r="F2242" s="74" t="s">
        <v>3</v>
      </c>
      <c r="G2242" s="72">
        <f>(0.038*7+0.019*6)*0.08*1.2</f>
        <v>3.6479999999999999E-2</v>
      </c>
      <c r="I2242" s="2"/>
      <c r="J2242" s="10"/>
      <c r="K2242"/>
    </row>
    <row r="2243" spans="1:11" ht="17.25" x14ac:dyDescent="0.25">
      <c r="A2243" s="163"/>
      <c r="B2243" s="96"/>
      <c r="C2243" s="73" t="s">
        <v>23</v>
      </c>
      <c r="D2243" s="73"/>
      <c r="E2243" s="73"/>
      <c r="F2243" s="74" t="s">
        <v>596</v>
      </c>
      <c r="G2243" s="72">
        <f>G2242*1.5</f>
        <v>5.4719999999999998E-2</v>
      </c>
      <c r="I2243" s="2"/>
      <c r="J2243" s="10"/>
      <c r="K2243"/>
    </row>
    <row r="2244" spans="1:11" x14ac:dyDescent="0.25">
      <c r="A2244" s="163"/>
      <c r="B2244" s="96"/>
      <c r="C2244" s="73" t="s">
        <v>142</v>
      </c>
      <c r="D2244" s="73"/>
      <c r="E2244" s="73"/>
      <c r="F2244" s="74" t="s">
        <v>3</v>
      </c>
      <c r="G2244" s="72">
        <f>G2242/4</f>
        <v>9.1199999999999996E-3</v>
      </c>
      <c r="I2244" s="2"/>
      <c r="J2244" s="10"/>
      <c r="K2244"/>
    </row>
    <row r="2245" spans="1:11" x14ac:dyDescent="0.25">
      <c r="A2245" s="163"/>
      <c r="B2245" s="96"/>
      <c r="C2245" s="77" t="s">
        <v>143</v>
      </c>
      <c r="D2245" s="77"/>
      <c r="E2245" s="77"/>
      <c r="F2245" s="74" t="s">
        <v>3</v>
      </c>
      <c r="G2245" s="72">
        <v>1.4999999999999999E-2</v>
      </c>
      <c r="I2245" s="2"/>
      <c r="J2245" s="10"/>
      <c r="K2245"/>
    </row>
    <row r="2246" spans="1:11" x14ac:dyDescent="0.25">
      <c r="A2246" s="163"/>
      <c r="B2246" s="96"/>
      <c r="C2246" s="77" t="s">
        <v>8</v>
      </c>
      <c r="D2246" s="77"/>
      <c r="E2246" s="77"/>
      <c r="F2246" s="74" t="s">
        <v>3</v>
      </c>
      <c r="G2246" s="72">
        <f>(0.21+0.21+0.16+0.18+0.08+0.1)*0.011*1.39</f>
        <v>1.4372599999999998E-2</v>
      </c>
      <c r="I2246" s="2"/>
      <c r="J2246" s="10"/>
      <c r="K2246"/>
    </row>
    <row r="2247" spans="1:11" x14ac:dyDescent="0.25">
      <c r="A2247" s="163"/>
      <c r="B2247" s="96"/>
      <c r="C2247" s="77" t="s">
        <v>152</v>
      </c>
      <c r="D2247" s="77"/>
      <c r="E2247" s="77"/>
      <c r="F2247" s="74" t="s">
        <v>3</v>
      </c>
      <c r="G2247" s="72">
        <f>(0.21+0.21+0.16+0.18+0.08+0.1)*0.011*2*1.2</f>
        <v>2.4815999999999994E-2</v>
      </c>
      <c r="I2247" s="2"/>
      <c r="J2247" s="10"/>
      <c r="K2247"/>
    </row>
    <row r="2248" spans="1:11" x14ac:dyDescent="0.25">
      <c r="A2248" s="163"/>
      <c r="B2248" s="96"/>
      <c r="C2248" s="77" t="s">
        <v>12</v>
      </c>
      <c r="D2248" s="77"/>
      <c r="E2248" s="77"/>
      <c r="F2248" s="74" t="s">
        <v>3</v>
      </c>
      <c r="G2248" s="72">
        <f>0.3*(G2247+G2246+G2245)</f>
        <v>1.6256579999999996E-2</v>
      </c>
      <c r="I2248" s="2"/>
      <c r="J2248" s="10"/>
      <c r="K2248"/>
    </row>
    <row r="2249" spans="1:11" x14ac:dyDescent="0.25">
      <c r="A2249" s="163"/>
      <c r="B2249" s="96"/>
      <c r="C2249" s="73"/>
      <c r="D2249" s="76" t="s">
        <v>1155</v>
      </c>
      <c r="E2249" s="73"/>
      <c r="F2249" s="74"/>
      <c r="G2249" s="72"/>
      <c r="I2249" s="2"/>
      <c r="J2249" s="10"/>
      <c r="K2249"/>
    </row>
    <row r="2250" spans="1:11" x14ac:dyDescent="0.25">
      <c r="A2250" s="163"/>
      <c r="B2250" s="96"/>
      <c r="C2250" s="73"/>
      <c r="D2250" s="73" t="s">
        <v>154</v>
      </c>
      <c r="E2250" s="73"/>
      <c r="F2250" s="74" t="s">
        <v>3</v>
      </c>
      <c r="G2250" s="72">
        <v>0.05</v>
      </c>
      <c r="I2250" t="s">
        <v>1159</v>
      </c>
      <c r="J2250" s="10"/>
      <c r="K2250"/>
    </row>
    <row r="2251" spans="1:11" x14ac:dyDescent="0.25">
      <c r="A2251" s="163"/>
      <c r="B2251" s="96"/>
      <c r="C2251" s="73"/>
      <c r="D2251" s="76" t="s">
        <v>1156</v>
      </c>
      <c r="E2251" s="73"/>
      <c r="F2251" s="74"/>
      <c r="G2251" s="72"/>
      <c r="I2251" s="2"/>
      <c r="J2251" s="10"/>
      <c r="K2251"/>
    </row>
    <row r="2252" spans="1:11" x14ac:dyDescent="0.25">
      <c r="A2252" s="163"/>
      <c r="B2252" s="96"/>
      <c r="C2252" s="73"/>
      <c r="D2252" s="73" t="s">
        <v>1158</v>
      </c>
      <c r="E2252" s="73"/>
      <c r="F2252" s="74" t="s">
        <v>3</v>
      </c>
      <c r="G2252" s="72">
        <v>6.7000000000000004E-2</v>
      </c>
      <c r="I2252" t="s">
        <v>1160</v>
      </c>
      <c r="J2252" s="10"/>
      <c r="K2252"/>
    </row>
    <row r="2253" spans="1:11" x14ac:dyDescent="0.25">
      <c r="A2253" s="163"/>
      <c r="B2253" s="96"/>
      <c r="C2253" s="73"/>
      <c r="D2253" s="76" t="s">
        <v>1157</v>
      </c>
      <c r="E2253" s="73"/>
      <c r="F2253" s="74"/>
      <c r="G2253" s="72"/>
      <c r="I2253" s="2"/>
      <c r="J2253" s="10"/>
      <c r="K2253"/>
    </row>
    <row r="2254" spans="1:11" x14ac:dyDescent="0.25">
      <c r="A2254" s="163"/>
      <c r="B2254" s="96"/>
      <c r="C2254" s="73"/>
      <c r="D2254" s="73" t="s">
        <v>159</v>
      </c>
      <c r="E2254" s="73"/>
      <c r="F2254" s="74" t="s">
        <v>3</v>
      </c>
      <c r="G2254" s="72">
        <v>0.03</v>
      </c>
      <c r="I2254" t="s">
        <v>1161</v>
      </c>
      <c r="J2254" s="10"/>
      <c r="K2254"/>
    </row>
    <row r="2255" spans="1:11" x14ac:dyDescent="0.25">
      <c r="A2255" s="163"/>
      <c r="B2255" s="96"/>
      <c r="C2255" s="73"/>
      <c r="D2255" s="73"/>
      <c r="E2255" s="73"/>
      <c r="F2255" s="74"/>
      <c r="G2255" s="72"/>
      <c r="J2255" s="10"/>
      <c r="K2255"/>
    </row>
    <row r="2256" spans="1:11" x14ac:dyDescent="0.25">
      <c r="A2256" s="193">
        <v>65</v>
      </c>
      <c r="B2256" s="96"/>
      <c r="C2256" s="75" t="s">
        <v>1242</v>
      </c>
      <c r="D2256" s="73"/>
      <c r="E2256" s="73"/>
      <c r="F2256" s="74"/>
      <c r="G2256" s="72"/>
      <c r="J2256" s="10"/>
      <c r="K2256"/>
    </row>
    <row r="2257" spans="1:11" x14ac:dyDescent="0.25">
      <c r="A2257" s="163"/>
      <c r="B2257" s="96"/>
      <c r="C2257" s="73" t="s">
        <v>140</v>
      </c>
      <c r="D2257" s="73"/>
      <c r="E2257" s="73"/>
      <c r="F2257" s="74" t="s">
        <v>3</v>
      </c>
      <c r="G2257" s="72">
        <f>0.032*4*0.08*1.2</f>
        <v>1.2288E-2</v>
      </c>
      <c r="J2257" s="10"/>
      <c r="K2257"/>
    </row>
    <row r="2258" spans="1:11" ht="17.25" x14ac:dyDescent="0.25">
      <c r="A2258" s="163"/>
      <c r="B2258" s="96"/>
      <c r="C2258" s="73" t="s">
        <v>23</v>
      </c>
      <c r="D2258" s="73"/>
      <c r="E2258" s="73"/>
      <c r="F2258" s="74" t="s">
        <v>596</v>
      </c>
      <c r="G2258" s="72">
        <f>G2257*1.5</f>
        <v>1.8432E-2</v>
      </c>
      <c r="J2258" s="10"/>
      <c r="K2258"/>
    </row>
    <row r="2259" spans="1:11" x14ac:dyDescent="0.25">
      <c r="A2259" s="163"/>
      <c r="B2259" s="96"/>
      <c r="C2259" s="73" t="s">
        <v>142</v>
      </c>
      <c r="D2259" s="73"/>
      <c r="E2259" s="73"/>
      <c r="F2259" s="74" t="s">
        <v>3</v>
      </c>
      <c r="G2259" s="72">
        <f>G2257/4</f>
        <v>3.0720000000000001E-3</v>
      </c>
      <c r="J2259" s="10"/>
      <c r="K2259"/>
    </row>
    <row r="2260" spans="1:11" x14ac:dyDescent="0.25">
      <c r="A2260" s="163"/>
      <c r="B2260" s="96"/>
      <c r="C2260" s="73" t="s">
        <v>143</v>
      </c>
      <c r="D2260" s="73"/>
      <c r="E2260" s="73"/>
      <c r="F2260" s="74" t="s">
        <v>3</v>
      </c>
      <c r="G2260" s="72">
        <f>G2261*0.8</f>
        <v>6.1159999999999999E-3</v>
      </c>
      <c r="J2260" s="10"/>
      <c r="K2260"/>
    </row>
    <row r="2261" spans="1:11" x14ac:dyDescent="0.25">
      <c r="A2261" s="163"/>
      <c r="B2261" s="96"/>
      <c r="C2261" s="73" t="s">
        <v>8</v>
      </c>
      <c r="D2261" s="73"/>
      <c r="E2261" s="73"/>
      <c r="F2261" s="74" t="s">
        <v>3</v>
      </c>
      <c r="G2261" s="72">
        <f>G2262</f>
        <v>7.644999999999999E-3</v>
      </c>
      <c r="J2261" s="10"/>
      <c r="K2261"/>
    </row>
    <row r="2262" spans="1:11" x14ac:dyDescent="0.25">
      <c r="A2262" s="163"/>
      <c r="B2262" s="96"/>
      <c r="C2262" s="73" t="s">
        <v>152</v>
      </c>
      <c r="D2262" s="73"/>
      <c r="E2262" s="73"/>
      <c r="F2262" s="74" t="s">
        <v>3</v>
      </c>
      <c r="G2262" s="72">
        <f>0.25*0.011*2*1.39</f>
        <v>7.644999999999999E-3</v>
      </c>
      <c r="J2262" s="10"/>
      <c r="K2262"/>
    </row>
    <row r="2263" spans="1:11" x14ac:dyDescent="0.25">
      <c r="A2263" s="163"/>
      <c r="B2263" s="96"/>
      <c r="C2263" s="73" t="s">
        <v>12</v>
      </c>
      <c r="D2263" s="73"/>
      <c r="E2263" s="73"/>
      <c r="F2263" s="74" t="s">
        <v>3</v>
      </c>
      <c r="G2263" s="72">
        <f>0.3*(G2262+G2261+G2260)</f>
        <v>6.4217999999999992E-3</v>
      </c>
      <c r="J2263" s="10"/>
      <c r="K2263"/>
    </row>
    <row r="2264" spans="1:11" x14ac:dyDescent="0.25">
      <c r="A2264" s="163"/>
      <c r="B2264" s="96"/>
      <c r="C2264" s="73"/>
      <c r="D2264" s="75" t="s">
        <v>1243</v>
      </c>
      <c r="E2264" s="73"/>
      <c r="F2264" s="74"/>
      <c r="G2264" s="72"/>
      <c r="J2264" s="10"/>
      <c r="K2264"/>
    </row>
    <row r="2265" spans="1:11" x14ac:dyDescent="0.25">
      <c r="A2265" s="163"/>
      <c r="B2265" s="96"/>
      <c r="C2265" s="73"/>
      <c r="D2265" s="73" t="s">
        <v>1245</v>
      </c>
      <c r="E2265" s="73"/>
      <c r="F2265" s="74" t="s">
        <v>3</v>
      </c>
      <c r="G2265" s="72">
        <v>2.5000000000000001E-2</v>
      </c>
      <c r="I2265" t="s">
        <v>1246</v>
      </c>
      <c r="J2265" s="10"/>
      <c r="K2265"/>
    </row>
    <row r="2266" spans="1:11" x14ac:dyDescent="0.25">
      <c r="A2266" s="163"/>
      <c r="B2266" s="96"/>
      <c r="C2266" s="73"/>
      <c r="D2266" s="75" t="s">
        <v>1244</v>
      </c>
      <c r="E2266" s="73"/>
      <c r="F2266" s="74"/>
      <c r="G2266" s="72"/>
      <c r="J2266" s="10"/>
      <c r="K2266"/>
    </row>
    <row r="2267" spans="1:11" x14ac:dyDescent="0.25">
      <c r="A2267" s="163"/>
      <c r="B2267" s="96"/>
      <c r="C2267" s="73"/>
      <c r="D2267" s="73" t="s">
        <v>1245</v>
      </c>
      <c r="E2267" s="73"/>
      <c r="F2267" s="74" t="s">
        <v>3</v>
      </c>
      <c r="G2267" s="72">
        <v>3.5000000000000003E-2</v>
      </c>
      <c r="I2267" t="s">
        <v>1173</v>
      </c>
      <c r="J2267" s="10"/>
      <c r="K2267"/>
    </row>
    <row r="2268" spans="1:11" x14ac:dyDescent="0.25">
      <c r="A2268" s="163"/>
      <c r="B2268" s="96"/>
      <c r="C2268" s="73"/>
      <c r="D2268" s="73"/>
      <c r="E2268" s="73"/>
      <c r="F2268" s="74"/>
      <c r="G2268" s="72"/>
      <c r="J2268" s="10"/>
      <c r="K2268"/>
    </row>
    <row r="2269" spans="1:11" x14ac:dyDescent="0.25">
      <c r="A2269" s="193">
        <v>66</v>
      </c>
      <c r="B2269" s="96"/>
      <c r="C2269" s="75" t="s">
        <v>1247</v>
      </c>
      <c r="D2269" s="73"/>
      <c r="E2269" s="73"/>
      <c r="F2269" s="152"/>
      <c r="G2269" s="72"/>
      <c r="I2269" s="2"/>
      <c r="J2269" s="10"/>
      <c r="K2269"/>
    </row>
    <row r="2270" spans="1:11" x14ac:dyDescent="0.25">
      <c r="A2270" s="163"/>
      <c r="B2270" s="96"/>
      <c r="C2270" s="75"/>
      <c r="D2270" s="78" t="s">
        <v>1248</v>
      </c>
      <c r="E2270" s="73"/>
      <c r="F2270" s="152"/>
      <c r="G2270" s="72"/>
      <c r="I2270" s="2"/>
      <c r="J2270" s="10"/>
      <c r="K2270"/>
    </row>
    <row r="2271" spans="1:11" x14ac:dyDescent="0.25">
      <c r="A2271" s="163"/>
      <c r="B2271" s="96"/>
      <c r="C2271" s="75"/>
      <c r="D2271" s="73" t="s">
        <v>140</v>
      </c>
      <c r="E2271" s="73"/>
      <c r="F2271" s="74" t="s">
        <v>3</v>
      </c>
      <c r="G2271" s="72">
        <f>0.018*3.14*2*0.08*1.2</f>
        <v>1.085184E-2</v>
      </c>
      <c r="I2271" s="2"/>
      <c r="J2271" s="10"/>
      <c r="K2271"/>
    </row>
    <row r="2272" spans="1:11" ht="17.25" x14ac:dyDescent="0.25">
      <c r="A2272" s="163"/>
      <c r="B2272" s="96"/>
      <c r="C2272" s="75"/>
      <c r="D2272" s="73" t="s">
        <v>23</v>
      </c>
      <c r="E2272" s="73"/>
      <c r="F2272" s="74" t="s">
        <v>596</v>
      </c>
      <c r="G2272" s="72">
        <f>G2271*1.5</f>
        <v>1.6277759999999999E-2</v>
      </c>
      <c r="I2272" s="2"/>
      <c r="J2272" s="10"/>
      <c r="K2272"/>
    </row>
    <row r="2273" spans="1:11" x14ac:dyDescent="0.25">
      <c r="A2273" s="163"/>
      <c r="B2273" s="96"/>
      <c r="C2273" s="75"/>
      <c r="D2273" s="73" t="s">
        <v>142</v>
      </c>
      <c r="E2273" s="73"/>
      <c r="F2273" s="74" t="s">
        <v>3</v>
      </c>
      <c r="G2273" s="72">
        <f>G2271/4</f>
        <v>2.7129599999999999E-3</v>
      </c>
      <c r="I2273" s="2"/>
      <c r="J2273" s="10"/>
      <c r="K2273"/>
    </row>
    <row r="2274" spans="1:11" x14ac:dyDescent="0.25">
      <c r="A2274" s="163"/>
      <c r="B2274" s="96"/>
      <c r="C2274" s="75"/>
      <c r="D2274" s="73" t="s">
        <v>143</v>
      </c>
      <c r="E2274" s="73"/>
      <c r="F2274" s="74" t="s">
        <v>3</v>
      </c>
      <c r="G2274" s="72">
        <f>G2275*0.8</f>
        <v>7.6799999999999993E-3</v>
      </c>
      <c r="I2274" s="2"/>
      <c r="J2274" s="10"/>
      <c r="K2274"/>
    </row>
    <row r="2275" spans="1:11" x14ac:dyDescent="0.25">
      <c r="A2275" s="163"/>
      <c r="B2275" s="96"/>
      <c r="C2275" s="75"/>
      <c r="D2275" s="73" t="s">
        <v>8</v>
      </c>
      <c r="E2275" s="73"/>
      <c r="F2275" s="74" t="s">
        <v>3</v>
      </c>
      <c r="G2275" s="72">
        <f>G2276</f>
        <v>9.5999999999999992E-3</v>
      </c>
      <c r="I2275" s="2"/>
      <c r="J2275" s="10"/>
      <c r="K2275"/>
    </row>
    <row r="2276" spans="1:11" x14ac:dyDescent="0.25">
      <c r="A2276" s="163"/>
      <c r="B2276" s="96"/>
      <c r="C2276" s="75"/>
      <c r="D2276" s="73" t="s">
        <v>115</v>
      </c>
      <c r="E2276" s="73"/>
      <c r="F2276" s="74" t="s">
        <v>3</v>
      </c>
      <c r="G2276" s="72">
        <f>0.2*0.02*2*1.2</f>
        <v>9.5999999999999992E-3</v>
      </c>
      <c r="I2276" s="2"/>
      <c r="J2276" s="10"/>
      <c r="K2276"/>
    </row>
    <row r="2277" spans="1:11" x14ac:dyDescent="0.25">
      <c r="A2277" s="163"/>
      <c r="B2277" s="96"/>
      <c r="C2277" s="75"/>
      <c r="D2277" s="73" t="s">
        <v>12</v>
      </c>
      <c r="E2277" s="73"/>
      <c r="F2277" s="74" t="s">
        <v>3</v>
      </c>
      <c r="G2277" s="72">
        <f>0.3*(G2276+G2275+G2274)</f>
        <v>8.0639999999999983E-3</v>
      </c>
      <c r="I2277" s="2"/>
      <c r="J2277" s="10"/>
      <c r="K2277"/>
    </row>
    <row r="2278" spans="1:11" x14ac:dyDescent="0.25">
      <c r="A2278" s="163"/>
      <c r="B2278" s="96"/>
      <c r="C2278" s="75"/>
      <c r="D2278" s="73"/>
      <c r="E2278" s="75" t="s">
        <v>1249</v>
      </c>
      <c r="F2278" s="152"/>
      <c r="G2278" s="72"/>
      <c r="I2278" s="2"/>
      <c r="J2278" s="10"/>
      <c r="K2278"/>
    </row>
    <row r="2279" spans="1:11" x14ac:dyDescent="0.25">
      <c r="A2279" s="163"/>
      <c r="B2279" s="96"/>
      <c r="C2279" s="75"/>
      <c r="D2279" s="73"/>
      <c r="E2279" s="73" t="s">
        <v>1250</v>
      </c>
      <c r="F2279" s="74" t="s">
        <v>3</v>
      </c>
      <c r="G2279" s="72">
        <v>0.1</v>
      </c>
      <c r="I2279" t="s">
        <v>1251</v>
      </c>
      <c r="J2279" s="10"/>
      <c r="K2279"/>
    </row>
    <row r="2280" spans="1:11" x14ac:dyDescent="0.25">
      <c r="A2280" s="163"/>
      <c r="B2280" s="96"/>
      <c r="C2280" s="75"/>
      <c r="D2280" s="78" t="s">
        <v>1252</v>
      </c>
      <c r="E2280" s="73"/>
      <c r="F2280" s="152"/>
      <c r="G2280" s="72"/>
      <c r="I2280" s="2"/>
      <c r="J2280" s="10"/>
      <c r="K2280"/>
    </row>
    <row r="2281" spans="1:11" x14ac:dyDescent="0.25">
      <c r="A2281" s="163"/>
      <c r="B2281" s="96"/>
      <c r="C2281" s="75"/>
      <c r="D2281" s="77" t="s">
        <v>1054</v>
      </c>
      <c r="E2281" s="73"/>
      <c r="F2281" s="152" t="s">
        <v>3</v>
      </c>
      <c r="G2281" s="72">
        <f>0.025*3.14*0.08*1.3</f>
        <v>8.1640000000000011E-3</v>
      </c>
      <c r="I2281" s="2"/>
      <c r="J2281" s="10"/>
      <c r="K2281"/>
    </row>
    <row r="2282" spans="1:11" ht="17.25" x14ac:dyDescent="0.25">
      <c r="A2282" s="163"/>
      <c r="B2282" s="96"/>
      <c r="C2282" s="75"/>
      <c r="D2282" s="73" t="s">
        <v>1055</v>
      </c>
      <c r="E2282" s="73"/>
      <c r="F2282" s="152" t="s">
        <v>596</v>
      </c>
      <c r="G2282" s="72">
        <f>G2281</f>
        <v>8.1640000000000011E-3</v>
      </c>
      <c r="I2282" s="2"/>
      <c r="J2282" s="10"/>
      <c r="K2282"/>
    </row>
    <row r="2283" spans="1:11" x14ac:dyDescent="0.25">
      <c r="A2283" s="163"/>
      <c r="B2283" s="96"/>
      <c r="C2283" s="75"/>
      <c r="D2283" s="73" t="s">
        <v>8</v>
      </c>
      <c r="E2283" s="73"/>
      <c r="F2283" s="74" t="s">
        <v>3</v>
      </c>
      <c r="G2283" s="72">
        <f>G2284</f>
        <v>7.1999999999999998E-3</v>
      </c>
      <c r="I2283" s="2"/>
      <c r="J2283" s="10"/>
      <c r="K2283"/>
    </row>
    <row r="2284" spans="1:11" x14ac:dyDescent="0.25">
      <c r="A2284" s="163"/>
      <c r="B2284" s="96"/>
      <c r="C2284" s="75"/>
      <c r="D2284" s="73" t="s">
        <v>115</v>
      </c>
      <c r="E2284" s="73"/>
      <c r="F2284" s="74" t="s">
        <v>3</v>
      </c>
      <c r="G2284" s="72">
        <f>0.15*0.02*2*1.2</f>
        <v>7.1999999999999998E-3</v>
      </c>
      <c r="I2284" s="2"/>
      <c r="J2284" s="10"/>
      <c r="K2284"/>
    </row>
    <row r="2285" spans="1:11" x14ac:dyDescent="0.25">
      <c r="A2285" s="163"/>
      <c r="B2285" s="96"/>
      <c r="C2285" s="75"/>
      <c r="D2285" s="73" t="s">
        <v>12</v>
      </c>
      <c r="E2285" s="73"/>
      <c r="F2285" s="74" t="s">
        <v>3</v>
      </c>
      <c r="G2285" s="72">
        <f>0.3*(G2284+G2283)</f>
        <v>4.3200000000000001E-3</v>
      </c>
      <c r="I2285" s="2"/>
      <c r="J2285" s="10"/>
      <c r="K2285"/>
    </row>
    <row r="2286" spans="1:11" x14ac:dyDescent="0.25">
      <c r="A2286" s="163"/>
      <c r="B2286" s="96"/>
      <c r="C2286" s="75"/>
      <c r="D2286" s="73"/>
      <c r="E2286" s="75" t="s">
        <v>1253</v>
      </c>
      <c r="F2286" s="152"/>
      <c r="G2286" s="72"/>
      <c r="I2286" s="2"/>
      <c r="J2286" s="10"/>
      <c r="K2286"/>
    </row>
    <row r="2287" spans="1:11" x14ac:dyDescent="0.25">
      <c r="A2287" s="163"/>
      <c r="B2287" s="96"/>
      <c r="C2287" s="75"/>
      <c r="D2287" s="73"/>
      <c r="E2287" s="100" t="s">
        <v>227</v>
      </c>
      <c r="F2287" s="152" t="s">
        <v>3</v>
      </c>
      <c r="G2287" s="72">
        <f>0.06*0.08*5*8*1.12</f>
        <v>0.21503999999999998</v>
      </c>
      <c r="I2287" s="2"/>
      <c r="J2287" s="10"/>
      <c r="K2287"/>
    </row>
    <row r="2288" spans="1:11" x14ac:dyDescent="0.25">
      <c r="A2288" s="163"/>
      <c r="B2288" s="96"/>
      <c r="C2288" s="75"/>
      <c r="D2288" s="73"/>
      <c r="E2288" s="73"/>
      <c r="F2288" s="152"/>
      <c r="G2288" s="72"/>
      <c r="I2288" s="2"/>
      <c r="J2288" s="10"/>
      <c r="K2288"/>
    </row>
    <row r="2289" spans="1:11" x14ac:dyDescent="0.25">
      <c r="A2289" s="193">
        <v>67</v>
      </c>
      <c r="B2289" s="96"/>
      <c r="C2289" s="75" t="s">
        <v>1254</v>
      </c>
      <c r="D2289" s="73"/>
      <c r="E2289" s="73"/>
      <c r="F2289" s="152"/>
      <c r="G2289" s="72"/>
      <c r="I2289" s="2"/>
      <c r="J2289" s="10"/>
      <c r="K2289"/>
    </row>
    <row r="2290" spans="1:11" x14ac:dyDescent="0.25">
      <c r="A2290" s="163"/>
      <c r="B2290" s="96"/>
      <c r="C2290" s="73" t="s">
        <v>140</v>
      </c>
      <c r="D2290" s="73"/>
      <c r="E2290" s="73"/>
      <c r="F2290" s="74" t="s">
        <v>3</v>
      </c>
      <c r="G2290" s="72">
        <f>0.065*0.08*1.2</f>
        <v>6.2400000000000008E-3</v>
      </c>
      <c r="I2290" s="2"/>
      <c r="J2290" s="10"/>
      <c r="K2290"/>
    </row>
    <row r="2291" spans="1:11" ht="17.25" x14ac:dyDescent="0.25">
      <c r="A2291" s="163"/>
      <c r="B2291" s="96"/>
      <c r="C2291" s="73" t="s">
        <v>23</v>
      </c>
      <c r="D2291" s="73"/>
      <c r="E2291" s="73"/>
      <c r="F2291" s="74" t="s">
        <v>596</v>
      </c>
      <c r="G2291" s="72">
        <f>G2290*1.5</f>
        <v>9.3600000000000003E-3</v>
      </c>
      <c r="I2291" s="2"/>
      <c r="J2291" s="10"/>
      <c r="K2291"/>
    </row>
    <row r="2292" spans="1:11" x14ac:dyDescent="0.25">
      <c r="A2292" s="163"/>
      <c r="B2292" s="96"/>
      <c r="C2292" s="73" t="s">
        <v>142</v>
      </c>
      <c r="D2292" s="73"/>
      <c r="E2292" s="73"/>
      <c r="F2292" s="74" t="s">
        <v>3</v>
      </c>
      <c r="G2292" s="72">
        <f>G2290/4</f>
        <v>1.5600000000000002E-3</v>
      </c>
      <c r="I2292" s="2"/>
      <c r="J2292" s="10"/>
      <c r="K2292"/>
    </row>
    <row r="2293" spans="1:11" x14ac:dyDescent="0.25">
      <c r="A2293" s="163"/>
      <c r="B2293" s="96"/>
      <c r="C2293" s="73" t="s">
        <v>143</v>
      </c>
      <c r="D2293" s="73"/>
      <c r="E2293" s="73"/>
      <c r="F2293" s="74" t="s">
        <v>3</v>
      </c>
      <c r="G2293" s="72">
        <f>G2294*0.8</f>
        <v>7.6727999999999996E-3</v>
      </c>
      <c r="I2293" s="2"/>
      <c r="J2293" s="10"/>
      <c r="K2293"/>
    </row>
    <row r="2294" spans="1:11" x14ac:dyDescent="0.25">
      <c r="A2294" s="163"/>
      <c r="B2294" s="96"/>
      <c r="C2294" s="73" t="s">
        <v>8</v>
      </c>
      <c r="D2294" s="73"/>
      <c r="E2294" s="73"/>
      <c r="F2294" s="74" t="s">
        <v>3</v>
      </c>
      <c r="G2294" s="72">
        <f>G2295</f>
        <v>9.5909999999999988E-3</v>
      </c>
      <c r="I2294" s="2"/>
      <c r="J2294" s="10"/>
      <c r="K2294"/>
    </row>
    <row r="2295" spans="1:11" x14ac:dyDescent="0.25">
      <c r="A2295" s="163"/>
      <c r="B2295" s="96"/>
      <c r="C2295" s="73" t="s">
        <v>115</v>
      </c>
      <c r="D2295" s="73"/>
      <c r="E2295" s="73"/>
      <c r="F2295" s="74" t="s">
        <v>3</v>
      </c>
      <c r="G2295" s="72">
        <f>0.23*0.015*2*1.39</f>
        <v>9.5909999999999988E-3</v>
      </c>
      <c r="I2295" s="2"/>
      <c r="J2295" s="10"/>
      <c r="K2295"/>
    </row>
    <row r="2296" spans="1:11" x14ac:dyDescent="0.25">
      <c r="A2296" s="163"/>
      <c r="B2296" s="96"/>
      <c r="C2296" s="73" t="s">
        <v>12</v>
      </c>
      <c r="D2296" s="73"/>
      <c r="E2296" s="73"/>
      <c r="F2296" s="74" t="s">
        <v>3</v>
      </c>
      <c r="G2296" s="72">
        <f>0.3*(G2295+G2294+G2293)</f>
        <v>8.0564399999999998E-3</v>
      </c>
      <c r="I2296" s="2"/>
      <c r="J2296" s="10"/>
      <c r="K2296"/>
    </row>
    <row r="2297" spans="1:11" x14ac:dyDescent="0.25">
      <c r="A2297" s="163"/>
      <c r="B2297" s="96"/>
      <c r="C2297" s="75"/>
      <c r="D2297" s="75" t="s">
        <v>1255</v>
      </c>
      <c r="E2297" s="73"/>
      <c r="F2297" s="152"/>
      <c r="G2297" s="72"/>
      <c r="I2297" s="2"/>
      <c r="J2297" s="10"/>
      <c r="K2297"/>
    </row>
    <row r="2298" spans="1:11" x14ac:dyDescent="0.25">
      <c r="A2298" s="163"/>
      <c r="B2298" s="96"/>
      <c r="C2298" s="75"/>
      <c r="D2298" s="73" t="s">
        <v>408</v>
      </c>
      <c r="E2298" s="73"/>
      <c r="F2298" s="152" t="s">
        <v>3</v>
      </c>
      <c r="G2298" s="72">
        <v>0.06</v>
      </c>
      <c r="I2298" t="s">
        <v>1256</v>
      </c>
      <c r="J2298" s="10"/>
      <c r="K2298"/>
    </row>
    <row r="2299" spans="1:11" x14ac:dyDescent="0.25">
      <c r="A2299" s="163"/>
      <c r="B2299" s="96"/>
      <c r="C2299" s="75"/>
      <c r="D2299" s="73"/>
      <c r="E2299" s="73"/>
      <c r="F2299" s="152"/>
      <c r="G2299" s="72"/>
      <c r="J2299" s="10"/>
      <c r="K2299"/>
    </row>
    <row r="2300" spans="1:11" x14ac:dyDescent="0.25">
      <c r="A2300" s="193">
        <v>68</v>
      </c>
      <c r="B2300" s="96"/>
      <c r="C2300" s="75" t="s">
        <v>1257</v>
      </c>
      <c r="D2300" s="73"/>
      <c r="E2300" s="73"/>
      <c r="F2300" s="152"/>
      <c r="G2300" s="72"/>
      <c r="J2300" s="10"/>
      <c r="K2300"/>
    </row>
    <row r="2301" spans="1:11" x14ac:dyDescent="0.25">
      <c r="A2301" s="163"/>
      <c r="B2301" s="96"/>
      <c r="C2301" s="75"/>
      <c r="D2301" s="75" t="s">
        <v>1258</v>
      </c>
      <c r="E2301" s="73"/>
      <c r="F2301" s="152"/>
      <c r="G2301" s="72"/>
      <c r="J2301" s="10"/>
      <c r="K2301"/>
    </row>
    <row r="2302" spans="1:11" x14ac:dyDescent="0.25">
      <c r="A2302" s="163"/>
      <c r="B2302" s="96"/>
      <c r="C2302" s="75"/>
      <c r="D2302" s="73" t="s">
        <v>140</v>
      </c>
      <c r="E2302" s="73"/>
      <c r="F2302" s="74" t="s">
        <v>3</v>
      </c>
      <c r="G2302" s="72">
        <f>0.018*3.14*2*0.08*1.2</f>
        <v>1.085184E-2</v>
      </c>
      <c r="J2302" s="10"/>
      <c r="K2302"/>
    </row>
    <row r="2303" spans="1:11" ht="17.25" x14ac:dyDescent="0.25">
      <c r="A2303" s="163"/>
      <c r="B2303" s="96"/>
      <c r="C2303" s="75"/>
      <c r="D2303" s="73" t="s">
        <v>23</v>
      </c>
      <c r="E2303" s="73"/>
      <c r="F2303" s="74" t="s">
        <v>596</v>
      </c>
      <c r="G2303" s="72">
        <f>G2302*1.5</f>
        <v>1.6277759999999999E-2</v>
      </c>
      <c r="J2303" s="10"/>
      <c r="K2303"/>
    </row>
    <row r="2304" spans="1:11" x14ac:dyDescent="0.25">
      <c r="A2304" s="163"/>
      <c r="B2304" s="96"/>
      <c r="C2304" s="75"/>
      <c r="D2304" s="73" t="s">
        <v>142</v>
      </c>
      <c r="E2304" s="73"/>
      <c r="F2304" s="74" t="s">
        <v>3</v>
      </c>
      <c r="G2304" s="72">
        <f>G2302/4</f>
        <v>2.7129599999999999E-3</v>
      </c>
      <c r="J2304" s="10"/>
      <c r="K2304"/>
    </row>
    <row r="2305" spans="1:11" x14ac:dyDescent="0.25">
      <c r="A2305" s="163"/>
      <c r="B2305" s="96"/>
      <c r="C2305" s="75"/>
      <c r="D2305" s="100" t="s">
        <v>8</v>
      </c>
      <c r="E2305" s="73"/>
      <c r="F2305" s="74" t="s">
        <v>3</v>
      </c>
      <c r="G2305" s="72">
        <f>G2306</f>
        <v>6.3000000000000009E-3</v>
      </c>
      <c r="J2305" s="10"/>
      <c r="K2305"/>
    </row>
    <row r="2306" spans="1:11" x14ac:dyDescent="0.25">
      <c r="A2306" s="163"/>
      <c r="B2306" s="96"/>
      <c r="C2306" s="75"/>
      <c r="D2306" s="100" t="s">
        <v>115</v>
      </c>
      <c r="E2306" s="73"/>
      <c r="F2306" s="74" t="s">
        <v>3</v>
      </c>
      <c r="G2306" s="72">
        <f>0.1*0.1*2*0.15*2*1.05</f>
        <v>6.3000000000000009E-3</v>
      </c>
      <c r="J2306" s="10"/>
      <c r="K2306"/>
    </row>
    <row r="2307" spans="1:11" x14ac:dyDescent="0.25">
      <c r="A2307" s="163"/>
      <c r="B2307" s="96"/>
      <c r="C2307" s="75"/>
      <c r="D2307" s="100" t="s">
        <v>143</v>
      </c>
      <c r="E2307" s="73"/>
      <c r="F2307" s="74" t="s">
        <v>3</v>
      </c>
      <c r="G2307" s="72">
        <f>G2305</f>
        <v>6.3000000000000009E-3</v>
      </c>
      <c r="J2307" s="10"/>
      <c r="K2307"/>
    </row>
    <row r="2308" spans="1:11" x14ac:dyDescent="0.25">
      <c r="A2308" s="163"/>
      <c r="B2308" s="96"/>
      <c r="C2308" s="75"/>
      <c r="D2308" s="186" t="s">
        <v>12</v>
      </c>
      <c r="E2308" s="73"/>
      <c r="F2308" s="74" t="s">
        <v>3</v>
      </c>
      <c r="G2308" s="72">
        <f>0.3*(G2307+G2306+G2305)</f>
        <v>5.6700000000000006E-3</v>
      </c>
      <c r="J2308" s="10"/>
      <c r="K2308"/>
    </row>
    <row r="2309" spans="1:11" x14ac:dyDescent="0.25">
      <c r="A2309" s="163"/>
      <c r="B2309" s="96"/>
      <c r="C2309" s="75"/>
      <c r="D2309" s="186"/>
      <c r="E2309" s="75" t="s">
        <v>1261</v>
      </c>
      <c r="F2309" s="74"/>
      <c r="G2309" s="72"/>
      <c r="J2309" s="10"/>
      <c r="K2309"/>
    </row>
    <row r="2310" spans="1:11" x14ac:dyDescent="0.25">
      <c r="A2310" s="163"/>
      <c r="B2310" s="96"/>
      <c r="C2310" s="75"/>
      <c r="D2310" s="73"/>
      <c r="E2310" s="73" t="s">
        <v>1262</v>
      </c>
      <c r="F2310" s="152" t="s">
        <v>3</v>
      </c>
      <c r="G2310" s="72">
        <v>8.5000000000000006E-2</v>
      </c>
      <c r="I2310" t="s">
        <v>1263</v>
      </c>
      <c r="J2310" s="10"/>
      <c r="K2310"/>
    </row>
    <row r="2311" spans="1:11" x14ac:dyDescent="0.25">
      <c r="A2311" s="163"/>
      <c r="B2311" s="96"/>
      <c r="C2311" s="75"/>
      <c r="D2311" s="75" t="s">
        <v>1259</v>
      </c>
      <c r="E2311" s="73"/>
      <c r="F2311" s="152"/>
      <c r="G2311" s="72"/>
      <c r="J2311" s="10"/>
      <c r="K2311"/>
    </row>
    <row r="2312" spans="1:11" x14ac:dyDescent="0.25">
      <c r="A2312" s="163"/>
      <c r="B2312" s="96"/>
      <c r="C2312" s="75"/>
      <c r="D2312" s="73" t="s">
        <v>1260</v>
      </c>
      <c r="E2312" s="73"/>
      <c r="F2312" s="152" t="s">
        <v>195</v>
      </c>
      <c r="G2312" s="72">
        <v>0.33</v>
      </c>
      <c r="J2312" s="10"/>
      <c r="K2312"/>
    </row>
    <row r="2313" spans="1:11" x14ac:dyDescent="0.25">
      <c r="A2313" s="163"/>
      <c r="B2313" s="96"/>
      <c r="C2313" s="75"/>
      <c r="D2313" s="73"/>
      <c r="E2313" s="73"/>
      <c r="F2313" s="152"/>
      <c r="G2313" s="72"/>
      <c r="J2313" s="10"/>
      <c r="K2313"/>
    </row>
    <row r="2314" spans="1:11" x14ac:dyDescent="0.25">
      <c r="A2314" s="193">
        <v>69</v>
      </c>
      <c r="B2314" s="96"/>
      <c r="C2314" s="75" t="s">
        <v>1264</v>
      </c>
      <c r="D2314" s="73"/>
      <c r="E2314" s="73"/>
      <c r="F2314" s="152"/>
      <c r="G2314" s="72"/>
      <c r="J2314" s="10"/>
      <c r="K2314"/>
    </row>
    <row r="2315" spans="1:11" x14ac:dyDescent="0.25">
      <c r="A2315" s="163"/>
      <c r="B2315" s="96"/>
      <c r="C2315" s="73" t="s">
        <v>140</v>
      </c>
      <c r="D2315" s="73"/>
      <c r="E2315" s="73"/>
      <c r="F2315" s="74" t="s">
        <v>3</v>
      </c>
      <c r="G2315" s="72">
        <f>(0.016*3.14*2+0.012*3.14*2)*0.08*1.2</f>
        <v>1.6880639999999999E-2</v>
      </c>
      <c r="J2315" s="10"/>
      <c r="K2315"/>
    </row>
    <row r="2316" spans="1:11" ht="17.25" x14ac:dyDescent="0.25">
      <c r="A2316" s="163"/>
      <c r="B2316" s="96"/>
      <c r="C2316" s="73" t="s">
        <v>23</v>
      </c>
      <c r="D2316" s="73"/>
      <c r="E2316" s="73"/>
      <c r="F2316" s="74" t="s">
        <v>596</v>
      </c>
      <c r="G2316" s="72">
        <f>G2315*1.5</f>
        <v>2.5320959999999997E-2</v>
      </c>
      <c r="J2316" s="10"/>
      <c r="K2316"/>
    </row>
    <row r="2317" spans="1:11" x14ac:dyDescent="0.25">
      <c r="A2317" s="163"/>
      <c r="B2317" s="96"/>
      <c r="C2317" s="73" t="s">
        <v>142</v>
      </c>
      <c r="D2317" s="73"/>
      <c r="E2317" s="73"/>
      <c r="F2317" s="74" t="s">
        <v>3</v>
      </c>
      <c r="G2317" s="72">
        <f>G2315/4</f>
        <v>4.2201599999999997E-3</v>
      </c>
      <c r="J2317" s="10"/>
      <c r="K2317"/>
    </row>
    <row r="2318" spans="1:11" x14ac:dyDescent="0.25">
      <c r="A2318" s="163"/>
      <c r="B2318" s="96"/>
      <c r="C2318" s="100" t="s">
        <v>8</v>
      </c>
      <c r="D2318" s="73"/>
      <c r="E2318" s="73"/>
      <c r="F2318" s="74" t="s">
        <v>3</v>
      </c>
      <c r="G2318" s="72">
        <f>G2319*0.8</f>
        <v>9.3600000000000003E-3</v>
      </c>
      <c r="J2318" s="10"/>
      <c r="K2318"/>
    </row>
    <row r="2319" spans="1:11" x14ac:dyDescent="0.25">
      <c r="A2319" s="163"/>
      <c r="B2319" s="96"/>
      <c r="C2319" s="73" t="s">
        <v>148</v>
      </c>
      <c r="D2319" s="73"/>
      <c r="E2319" s="73"/>
      <c r="F2319" s="74" t="s">
        <v>3</v>
      </c>
      <c r="G2319" s="72">
        <f>0.3*0.015*2*1.3</f>
        <v>1.17E-2</v>
      </c>
      <c r="J2319" s="10"/>
      <c r="K2319"/>
    </row>
    <row r="2320" spans="1:11" x14ac:dyDescent="0.25">
      <c r="A2320" s="163"/>
      <c r="B2320" s="96"/>
      <c r="C2320" s="100" t="s">
        <v>143</v>
      </c>
      <c r="D2320" s="73"/>
      <c r="E2320" s="73"/>
      <c r="F2320" s="74" t="s">
        <v>3</v>
      </c>
      <c r="G2320" s="72">
        <f>G2318</f>
        <v>9.3600000000000003E-3</v>
      </c>
      <c r="J2320" s="10"/>
      <c r="K2320"/>
    </row>
    <row r="2321" spans="1:11" x14ac:dyDescent="0.25">
      <c r="A2321" s="163"/>
      <c r="B2321" s="96"/>
      <c r="C2321" s="186" t="s">
        <v>12</v>
      </c>
      <c r="D2321" s="73"/>
      <c r="E2321" s="73"/>
      <c r="F2321" s="74" t="s">
        <v>3</v>
      </c>
      <c r="G2321" s="72">
        <f>0.3*(G2320+G2319+G2318)</f>
        <v>9.1260000000000004E-3</v>
      </c>
      <c r="J2321" s="10"/>
      <c r="K2321"/>
    </row>
    <row r="2322" spans="1:11" x14ac:dyDescent="0.25">
      <c r="A2322" s="163"/>
      <c r="B2322" s="96"/>
      <c r="C2322" s="75"/>
      <c r="D2322" s="75" t="s">
        <v>1265</v>
      </c>
      <c r="E2322" s="73"/>
      <c r="F2322" s="152"/>
      <c r="G2322" s="72"/>
      <c r="J2322" s="10"/>
      <c r="K2322"/>
    </row>
    <row r="2323" spans="1:11" x14ac:dyDescent="0.25">
      <c r="A2323" s="163"/>
      <c r="B2323" s="96"/>
      <c r="C2323" s="75"/>
      <c r="D2323" s="73" t="s">
        <v>832</v>
      </c>
      <c r="E2323" s="73"/>
      <c r="F2323" s="152" t="s">
        <v>3</v>
      </c>
      <c r="G2323" s="72">
        <v>0.06</v>
      </c>
      <c r="I2323" t="s">
        <v>1269</v>
      </c>
      <c r="J2323" s="10"/>
      <c r="K2323"/>
    </row>
    <row r="2324" spans="1:11" x14ac:dyDescent="0.25">
      <c r="A2324" s="163"/>
      <c r="B2324" s="96"/>
      <c r="C2324" s="75"/>
      <c r="D2324" s="75" t="s">
        <v>1267</v>
      </c>
      <c r="E2324" s="73"/>
      <c r="F2324" s="152"/>
      <c r="G2324" s="72"/>
      <c r="J2324" s="10"/>
      <c r="K2324"/>
    </row>
    <row r="2325" spans="1:11" x14ac:dyDescent="0.25">
      <c r="A2325" s="163"/>
      <c r="B2325" s="96"/>
      <c r="C2325" s="75"/>
      <c r="D2325" s="73" t="s">
        <v>832</v>
      </c>
      <c r="E2325" s="73"/>
      <c r="F2325" s="152" t="s">
        <v>3</v>
      </c>
      <c r="G2325" s="72">
        <v>5.1999999999999998E-2</v>
      </c>
      <c r="I2325" t="s">
        <v>1270</v>
      </c>
      <c r="J2325" s="10"/>
      <c r="K2325"/>
    </row>
    <row r="2326" spans="1:11" x14ac:dyDescent="0.25">
      <c r="A2326" s="163"/>
      <c r="B2326" s="96"/>
      <c r="C2326" s="75"/>
      <c r="D2326" s="75" t="s">
        <v>1266</v>
      </c>
      <c r="E2326" s="73"/>
      <c r="F2326" s="152"/>
      <c r="G2326" s="72"/>
      <c r="J2326" s="10"/>
      <c r="K2326"/>
    </row>
    <row r="2327" spans="1:11" x14ac:dyDescent="0.25">
      <c r="A2327" s="163"/>
      <c r="B2327" s="96"/>
      <c r="C2327" s="75"/>
      <c r="D2327" s="100" t="s">
        <v>159</v>
      </c>
      <c r="E2327" s="73"/>
      <c r="F2327" s="152" t="s">
        <v>3</v>
      </c>
      <c r="G2327" s="72">
        <v>0.14000000000000001</v>
      </c>
      <c r="I2327" t="s">
        <v>1268</v>
      </c>
      <c r="J2327" s="10"/>
      <c r="K2327"/>
    </row>
    <row r="2328" spans="1:11" x14ac:dyDescent="0.25">
      <c r="A2328" s="163"/>
      <c r="B2328" s="96"/>
      <c r="C2328" s="75"/>
      <c r="D2328" s="100"/>
      <c r="E2328" s="73"/>
      <c r="F2328" s="152"/>
      <c r="G2328" s="72"/>
      <c r="J2328" s="10"/>
      <c r="K2328"/>
    </row>
    <row r="2329" spans="1:11" x14ac:dyDescent="0.25">
      <c r="A2329" s="193">
        <v>70</v>
      </c>
      <c r="B2329" s="96"/>
      <c r="C2329" s="75" t="s">
        <v>1271</v>
      </c>
      <c r="D2329" s="100"/>
      <c r="E2329" s="73"/>
      <c r="F2329" s="152"/>
      <c r="G2329" s="72"/>
      <c r="J2329" s="10"/>
      <c r="K2329"/>
    </row>
    <row r="2330" spans="1:11" x14ac:dyDescent="0.25">
      <c r="A2330" s="163"/>
      <c r="B2330" s="96"/>
      <c r="C2330" s="73" t="s">
        <v>140</v>
      </c>
      <c r="D2330" s="73"/>
      <c r="E2330" s="73"/>
      <c r="F2330" s="74" t="s">
        <v>3</v>
      </c>
      <c r="G2330" s="72">
        <f>0.008*3.14*2*0.08*1.2</f>
        <v>4.8230399999999998E-3</v>
      </c>
      <c r="J2330" s="10"/>
      <c r="K2330"/>
    </row>
    <row r="2331" spans="1:11" ht="17.25" x14ac:dyDescent="0.25">
      <c r="A2331" s="163"/>
      <c r="B2331" s="96"/>
      <c r="C2331" s="73" t="s">
        <v>23</v>
      </c>
      <c r="D2331" s="73"/>
      <c r="E2331" s="73"/>
      <c r="F2331" s="74" t="s">
        <v>596</v>
      </c>
      <c r="G2331" s="72">
        <f>G2330*1.5</f>
        <v>7.2345599999999993E-3</v>
      </c>
      <c r="J2331" s="10"/>
      <c r="K2331"/>
    </row>
    <row r="2332" spans="1:11" x14ac:dyDescent="0.25">
      <c r="A2332" s="163"/>
      <c r="B2332" s="96"/>
      <c r="C2332" s="73" t="s">
        <v>142</v>
      </c>
      <c r="D2332" s="73"/>
      <c r="E2332" s="73"/>
      <c r="F2332" s="74" t="s">
        <v>3</v>
      </c>
      <c r="G2332" s="72">
        <f>G2330/4</f>
        <v>1.2057599999999999E-3</v>
      </c>
      <c r="J2332" s="10"/>
      <c r="K2332"/>
    </row>
    <row r="2333" spans="1:11" x14ac:dyDescent="0.25">
      <c r="A2333" s="163"/>
      <c r="B2333" s="96"/>
      <c r="C2333" s="100" t="s">
        <v>8</v>
      </c>
      <c r="D2333" s="73"/>
      <c r="E2333" s="73"/>
      <c r="F2333" s="74" t="s">
        <v>3</v>
      </c>
      <c r="G2333" s="72">
        <f>G2334*0.75</f>
        <v>2.5343999999999998E-2</v>
      </c>
      <c r="J2333" s="10"/>
      <c r="K2333"/>
    </row>
    <row r="2334" spans="1:11" x14ac:dyDescent="0.25">
      <c r="A2334" s="163"/>
      <c r="B2334" s="96"/>
      <c r="C2334" s="73" t="s">
        <v>148</v>
      </c>
      <c r="D2334" s="73"/>
      <c r="E2334" s="73"/>
      <c r="F2334" s="74" t="s">
        <v>3</v>
      </c>
      <c r="G2334" s="72">
        <f>1.28*0.011*2*1.2</f>
        <v>3.3791999999999996E-2</v>
      </c>
      <c r="J2334" s="10"/>
      <c r="K2334"/>
    </row>
    <row r="2335" spans="1:11" x14ac:dyDescent="0.25">
      <c r="A2335" s="163"/>
      <c r="B2335" s="96"/>
      <c r="C2335" s="100" t="s">
        <v>143</v>
      </c>
      <c r="D2335" s="73"/>
      <c r="E2335" s="73"/>
      <c r="F2335" s="74" t="s">
        <v>3</v>
      </c>
      <c r="G2335" s="72">
        <f>G2333</f>
        <v>2.5343999999999998E-2</v>
      </c>
      <c r="J2335" s="10"/>
      <c r="K2335"/>
    </row>
    <row r="2336" spans="1:11" x14ac:dyDescent="0.25">
      <c r="A2336" s="163"/>
      <c r="B2336" s="96"/>
      <c r="C2336" s="186" t="s">
        <v>12</v>
      </c>
      <c r="D2336" s="73"/>
      <c r="E2336" s="73"/>
      <c r="F2336" s="74" t="s">
        <v>3</v>
      </c>
      <c r="G2336" s="72">
        <f>0.3*(G2335+G2334+G2333)</f>
        <v>2.5343999999999998E-2</v>
      </c>
      <c r="J2336" s="10"/>
      <c r="K2336"/>
    </row>
    <row r="2337" spans="1:11" x14ac:dyDescent="0.25">
      <c r="A2337" s="163"/>
      <c r="B2337" s="96"/>
      <c r="C2337" s="75"/>
      <c r="D2337" s="75" t="s">
        <v>1272</v>
      </c>
      <c r="E2337" s="73"/>
      <c r="F2337" s="152"/>
      <c r="G2337" s="72"/>
      <c r="J2337" s="10"/>
      <c r="K2337"/>
    </row>
    <row r="2338" spans="1:11" x14ac:dyDescent="0.25">
      <c r="A2338" s="163"/>
      <c r="B2338" s="96"/>
      <c r="C2338" s="75"/>
      <c r="D2338" s="73" t="s">
        <v>480</v>
      </c>
      <c r="E2338" s="73"/>
      <c r="F2338" s="152" t="s">
        <v>3</v>
      </c>
      <c r="G2338" s="72">
        <v>0.23499999999999999</v>
      </c>
      <c r="I2338" t="s">
        <v>1273</v>
      </c>
      <c r="J2338" s="10"/>
      <c r="K2338"/>
    </row>
    <row r="2339" spans="1:11" x14ac:dyDescent="0.25">
      <c r="A2339" s="163"/>
      <c r="B2339" s="96"/>
      <c r="C2339" s="75"/>
      <c r="D2339" s="73"/>
      <c r="E2339" s="73"/>
      <c r="F2339" s="152"/>
      <c r="G2339" s="72"/>
      <c r="J2339" s="10"/>
      <c r="K2339"/>
    </row>
    <row r="2340" spans="1:11" x14ac:dyDescent="0.25">
      <c r="A2340" s="193">
        <v>78</v>
      </c>
      <c r="B2340" s="96"/>
      <c r="C2340" s="75" t="s">
        <v>1162</v>
      </c>
      <c r="D2340" s="73"/>
      <c r="E2340" s="73"/>
      <c r="F2340" s="152"/>
      <c r="G2340" s="72"/>
      <c r="I2340" s="2"/>
      <c r="J2340" s="10"/>
      <c r="K2340"/>
    </row>
    <row r="2341" spans="1:11" x14ac:dyDescent="0.25">
      <c r="A2341" s="163"/>
      <c r="B2341" s="96"/>
      <c r="C2341" s="73"/>
      <c r="D2341" s="73" t="s">
        <v>177</v>
      </c>
      <c r="E2341" s="73"/>
      <c r="F2341" s="74" t="s">
        <v>3</v>
      </c>
      <c r="G2341" s="72">
        <f>0.05*0.021*1*8*1.12</f>
        <v>9.4080000000000014E-3</v>
      </c>
      <c r="J2341" s="10"/>
      <c r="K2341"/>
    </row>
    <row r="2342" spans="1:11" x14ac:dyDescent="0.25">
      <c r="A2342" s="163"/>
      <c r="B2342" s="96"/>
      <c r="C2342" s="73"/>
      <c r="D2342" s="73"/>
      <c r="E2342" s="73"/>
      <c r="F2342" s="152"/>
      <c r="G2342" s="72"/>
      <c r="I2342" s="2"/>
      <c r="J2342" s="10"/>
      <c r="K2342"/>
    </row>
    <row r="2343" spans="1:11" x14ac:dyDescent="0.25">
      <c r="A2343" s="193">
        <v>79</v>
      </c>
      <c r="B2343" s="96"/>
      <c r="C2343" s="75" t="s">
        <v>1162</v>
      </c>
      <c r="D2343" s="73"/>
      <c r="E2343" s="73"/>
      <c r="F2343" s="152"/>
      <c r="G2343" s="72"/>
      <c r="I2343" s="2"/>
      <c r="J2343" s="10"/>
      <c r="K2343"/>
    </row>
    <row r="2344" spans="1:11" x14ac:dyDescent="0.25">
      <c r="A2344" s="163"/>
      <c r="B2344" s="96"/>
      <c r="C2344" s="73"/>
      <c r="D2344" s="73" t="s">
        <v>275</v>
      </c>
      <c r="E2344" s="73"/>
      <c r="F2344" s="74" t="s">
        <v>3</v>
      </c>
      <c r="G2344" s="72">
        <f>0.05*0.021*1.5*8*1.12</f>
        <v>1.4112000000000003E-2</v>
      </c>
      <c r="I2344" s="2"/>
      <c r="J2344" s="10"/>
      <c r="K2344"/>
    </row>
    <row r="2345" spans="1:11" x14ac:dyDescent="0.25">
      <c r="A2345" s="163"/>
      <c r="B2345" s="96"/>
      <c r="C2345" s="73"/>
      <c r="D2345" s="73"/>
      <c r="E2345" s="73"/>
      <c r="F2345" s="152"/>
      <c r="G2345" s="72"/>
      <c r="I2345" s="2"/>
      <c r="J2345" s="10"/>
      <c r="K2345"/>
    </row>
    <row r="2346" spans="1:11" x14ac:dyDescent="0.25">
      <c r="A2346" s="193">
        <v>97</v>
      </c>
      <c r="B2346" s="96"/>
      <c r="C2346" s="75" t="s">
        <v>1274</v>
      </c>
      <c r="D2346" s="73"/>
      <c r="E2346" s="75"/>
      <c r="F2346" s="152"/>
      <c r="G2346" s="72"/>
      <c r="I2346" s="2"/>
      <c r="J2346" s="10"/>
      <c r="K2346"/>
    </row>
    <row r="2347" spans="1:11" x14ac:dyDescent="0.25">
      <c r="A2347" s="163"/>
      <c r="B2347" s="96"/>
      <c r="C2347" s="73" t="s">
        <v>379</v>
      </c>
      <c r="D2347" s="73"/>
      <c r="E2347" s="75"/>
      <c r="F2347" s="74" t="s">
        <v>195</v>
      </c>
      <c r="G2347" s="72">
        <v>0.28000000000000003</v>
      </c>
      <c r="I2347" s="2"/>
      <c r="J2347" s="10"/>
      <c r="K2347"/>
    </row>
    <row r="2348" spans="1:11" x14ac:dyDescent="0.25">
      <c r="A2348" s="163"/>
      <c r="B2348" s="96"/>
      <c r="C2348" s="77" t="s">
        <v>1275</v>
      </c>
      <c r="D2348" s="73"/>
      <c r="E2348" s="75"/>
      <c r="F2348" s="74" t="s">
        <v>3</v>
      </c>
      <c r="G2348" s="72">
        <v>2E-3</v>
      </c>
      <c r="I2348" s="2"/>
      <c r="J2348" s="10"/>
      <c r="K2348"/>
    </row>
    <row r="2349" spans="1:11" x14ac:dyDescent="0.25">
      <c r="A2349" s="163"/>
      <c r="B2349" s="96"/>
      <c r="C2349" s="77" t="s">
        <v>671</v>
      </c>
      <c r="D2349" s="73"/>
      <c r="E2349" s="75"/>
      <c r="F2349" s="152" t="s">
        <v>3</v>
      </c>
      <c r="G2349" s="72">
        <v>5.0000000000000001E-3</v>
      </c>
      <c r="I2349" s="2"/>
      <c r="J2349" s="10"/>
      <c r="K2349"/>
    </row>
    <row r="2350" spans="1:11" x14ac:dyDescent="0.25">
      <c r="A2350" s="163"/>
      <c r="B2350" s="96"/>
      <c r="C2350" s="77" t="s">
        <v>672</v>
      </c>
      <c r="D2350" s="73"/>
      <c r="E2350" s="75"/>
      <c r="F2350" s="152" t="s">
        <v>3</v>
      </c>
      <c r="G2350" s="72">
        <f>2.5*G2349</f>
        <v>1.2500000000000001E-2</v>
      </c>
      <c r="I2350" s="2"/>
      <c r="J2350" s="10"/>
      <c r="K2350"/>
    </row>
    <row r="2351" spans="1:11" x14ac:dyDescent="0.25">
      <c r="A2351" s="163"/>
      <c r="B2351" s="96"/>
      <c r="C2351" s="77"/>
      <c r="D2351" s="73"/>
      <c r="E2351" s="75"/>
      <c r="F2351" s="152"/>
      <c r="G2351" s="72"/>
      <c r="I2351" s="2"/>
      <c r="J2351" s="10"/>
      <c r="K2351"/>
    </row>
    <row r="2352" spans="1:11" x14ac:dyDescent="0.25">
      <c r="A2352" s="194">
        <v>105</v>
      </c>
      <c r="B2352" s="96"/>
      <c r="C2352" s="78" t="s">
        <v>1276</v>
      </c>
      <c r="D2352" s="73"/>
      <c r="E2352" s="75"/>
      <c r="F2352" s="152"/>
      <c r="G2352" s="72"/>
      <c r="I2352" s="2"/>
      <c r="J2352" s="10"/>
      <c r="K2352"/>
    </row>
    <row r="2353" spans="1:11" x14ac:dyDescent="0.25">
      <c r="A2353" s="195"/>
      <c r="B2353" s="96"/>
      <c r="C2353" s="186" t="s">
        <v>1297</v>
      </c>
      <c r="D2353" s="73"/>
      <c r="E2353" s="75"/>
      <c r="F2353" s="152" t="s">
        <v>3</v>
      </c>
      <c r="G2353" s="72">
        <v>2.1000000000000001E-2</v>
      </c>
      <c r="I2353" s="2"/>
      <c r="J2353" s="10"/>
      <c r="K2353"/>
    </row>
    <row r="2354" spans="1:11" x14ac:dyDescent="0.25">
      <c r="A2354" s="195"/>
      <c r="B2354" s="96"/>
      <c r="C2354" s="186" t="s">
        <v>1298</v>
      </c>
      <c r="D2354" s="73"/>
      <c r="E2354" s="75"/>
      <c r="F2354" s="152" t="s">
        <v>195</v>
      </c>
      <c r="G2354" s="72">
        <f>0.06*4+0.11*4</f>
        <v>0.67999999999999994</v>
      </c>
      <c r="I2354" s="2"/>
      <c r="J2354" s="10"/>
      <c r="K2354"/>
    </row>
    <row r="2355" spans="1:11" x14ac:dyDescent="0.25">
      <c r="A2355" s="163"/>
      <c r="B2355" s="96"/>
      <c r="C2355" s="77"/>
      <c r="D2355" s="75" t="s">
        <v>1277</v>
      </c>
      <c r="E2355" s="75"/>
      <c r="F2355" s="152"/>
      <c r="G2355" s="72"/>
      <c r="I2355" s="2"/>
      <c r="J2355" s="10"/>
      <c r="K2355"/>
    </row>
    <row r="2356" spans="1:11" x14ac:dyDescent="0.25">
      <c r="A2356" s="163"/>
      <c r="B2356" s="96"/>
      <c r="C2356" s="77"/>
      <c r="D2356" s="73" t="s">
        <v>140</v>
      </c>
      <c r="E2356" s="73"/>
      <c r="F2356" s="74" t="s">
        <v>3</v>
      </c>
      <c r="G2356" s="72">
        <f>0.012*3.14*2*0.08*1.2</f>
        <v>7.234560000000001E-3</v>
      </c>
      <c r="I2356" s="2"/>
      <c r="J2356" s="10"/>
      <c r="K2356"/>
    </row>
    <row r="2357" spans="1:11" ht="17.25" x14ac:dyDescent="0.25">
      <c r="A2357" s="163"/>
      <c r="B2357" s="96"/>
      <c r="C2357" s="77"/>
      <c r="D2357" s="73" t="s">
        <v>23</v>
      </c>
      <c r="E2357" s="73"/>
      <c r="F2357" s="74" t="s">
        <v>596</v>
      </c>
      <c r="G2357" s="72">
        <f>G2356*1.5</f>
        <v>1.0851840000000001E-2</v>
      </c>
      <c r="I2357" s="2"/>
      <c r="J2357" s="10"/>
      <c r="K2357"/>
    </row>
    <row r="2358" spans="1:11" x14ac:dyDescent="0.25">
      <c r="A2358" s="163"/>
      <c r="B2358" s="96"/>
      <c r="C2358" s="77"/>
      <c r="D2358" s="73" t="s">
        <v>142</v>
      </c>
      <c r="E2358" s="73"/>
      <c r="F2358" s="74" t="s">
        <v>3</v>
      </c>
      <c r="G2358" s="72">
        <f>G2356/4</f>
        <v>1.8086400000000002E-3</v>
      </c>
      <c r="I2358" s="2"/>
      <c r="J2358" s="10"/>
      <c r="K2358"/>
    </row>
    <row r="2359" spans="1:11" x14ac:dyDescent="0.25">
      <c r="A2359" s="163"/>
      <c r="B2359" s="96"/>
      <c r="C2359" s="77"/>
      <c r="D2359" s="100" t="s">
        <v>8</v>
      </c>
      <c r="E2359" s="73"/>
      <c r="F2359" s="74" t="s">
        <v>3</v>
      </c>
      <c r="G2359" s="72">
        <f>G2360*0.75</f>
        <v>9.3059999999999983E-3</v>
      </c>
      <c r="I2359" s="2"/>
      <c r="J2359" s="10"/>
      <c r="K2359"/>
    </row>
    <row r="2360" spans="1:11" x14ac:dyDescent="0.25">
      <c r="A2360" s="163"/>
      <c r="B2360" s="96"/>
      <c r="C2360" s="77"/>
      <c r="D2360" s="73" t="s">
        <v>115</v>
      </c>
      <c r="E2360" s="73"/>
      <c r="F2360" s="74" t="s">
        <v>3</v>
      </c>
      <c r="G2360" s="72">
        <f>0.47*0.011*2*1.2</f>
        <v>1.2407999999999997E-2</v>
      </c>
      <c r="I2360" s="2"/>
      <c r="J2360" s="10"/>
      <c r="K2360"/>
    </row>
    <row r="2361" spans="1:11" x14ac:dyDescent="0.25">
      <c r="A2361" s="163"/>
      <c r="B2361" s="96"/>
      <c r="C2361" s="77"/>
      <c r="D2361" s="100" t="s">
        <v>143</v>
      </c>
      <c r="E2361" s="73"/>
      <c r="F2361" s="74" t="s">
        <v>3</v>
      </c>
      <c r="G2361" s="72">
        <f>G2359</f>
        <v>9.3059999999999983E-3</v>
      </c>
      <c r="I2361" s="2"/>
      <c r="J2361" s="10"/>
      <c r="K2361"/>
    </row>
    <row r="2362" spans="1:11" x14ac:dyDescent="0.25">
      <c r="A2362" s="163"/>
      <c r="B2362" s="96"/>
      <c r="C2362" s="77"/>
      <c r="D2362" s="186" t="s">
        <v>12</v>
      </c>
      <c r="E2362" s="73"/>
      <c r="F2362" s="74" t="s">
        <v>3</v>
      </c>
      <c r="G2362" s="72">
        <f>0.3*(G2361+G2360+G2359)</f>
        <v>9.3059999999999983E-3</v>
      </c>
      <c r="I2362" s="2"/>
      <c r="J2362" s="10"/>
      <c r="K2362"/>
    </row>
    <row r="2363" spans="1:11" x14ac:dyDescent="0.25">
      <c r="A2363" s="163"/>
      <c r="B2363" s="96"/>
      <c r="C2363" s="77"/>
      <c r="D2363" s="73"/>
      <c r="E2363" s="75" t="s">
        <v>1278</v>
      </c>
      <c r="F2363" s="152"/>
      <c r="G2363" s="72"/>
      <c r="I2363" s="2"/>
      <c r="J2363" s="10"/>
      <c r="K2363"/>
    </row>
    <row r="2364" spans="1:11" x14ac:dyDescent="0.25">
      <c r="A2364" s="163"/>
      <c r="B2364" s="96"/>
      <c r="C2364" s="77"/>
      <c r="D2364" s="73"/>
      <c r="E2364" s="100" t="s">
        <v>1279</v>
      </c>
      <c r="F2364" s="152" t="s">
        <v>3</v>
      </c>
      <c r="G2364" s="72">
        <v>0.14499999999999999</v>
      </c>
      <c r="I2364" t="s">
        <v>1280</v>
      </c>
      <c r="J2364" s="10"/>
      <c r="K2364"/>
    </row>
    <row r="2365" spans="1:11" x14ac:dyDescent="0.25">
      <c r="A2365" s="163"/>
      <c r="B2365" s="96"/>
      <c r="C2365" s="73"/>
      <c r="D2365" s="78" t="s">
        <v>1281</v>
      </c>
      <c r="E2365" s="73"/>
      <c r="F2365" s="152"/>
      <c r="G2365" s="72"/>
      <c r="I2365" s="2"/>
      <c r="J2365" s="10"/>
      <c r="K2365"/>
    </row>
    <row r="2366" spans="1:11" x14ac:dyDescent="0.25">
      <c r="A2366" s="163"/>
      <c r="B2366" s="96"/>
      <c r="C2366" s="73"/>
      <c r="D2366" s="73" t="s">
        <v>140</v>
      </c>
      <c r="E2366" s="73"/>
      <c r="F2366" s="74" t="s">
        <v>3</v>
      </c>
      <c r="G2366" s="72">
        <f>0.012*3.14*2*0.08*1.2</f>
        <v>7.234560000000001E-3</v>
      </c>
      <c r="I2366" s="2"/>
      <c r="J2366" s="10"/>
      <c r="K2366"/>
    </row>
    <row r="2367" spans="1:11" ht="17.25" x14ac:dyDescent="0.25">
      <c r="A2367" s="163"/>
      <c r="B2367" s="96"/>
      <c r="C2367" s="73"/>
      <c r="D2367" s="73" t="s">
        <v>23</v>
      </c>
      <c r="E2367" s="73"/>
      <c r="F2367" s="74" t="s">
        <v>596</v>
      </c>
      <c r="G2367" s="72">
        <f>G2366*1.5</f>
        <v>1.0851840000000001E-2</v>
      </c>
      <c r="I2367" s="2"/>
      <c r="J2367" s="10"/>
      <c r="K2367"/>
    </row>
    <row r="2368" spans="1:11" x14ac:dyDescent="0.25">
      <c r="A2368" s="163"/>
      <c r="B2368" s="96"/>
      <c r="C2368" s="73"/>
      <c r="D2368" s="73" t="s">
        <v>142</v>
      </c>
      <c r="E2368" s="73"/>
      <c r="F2368" s="74" t="s">
        <v>3</v>
      </c>
      <c r="G2368" s="72">
        <f>G2366/4</f>
        <v>1.8086400000000002E-3</v>
      </c>
      <c r="I2368" s="2"/>
      <c r="J2368" s="10"/>
      <c r="K2368"/>
    </row>
    <row r="2369" spans="1:11" x14ac:dyDescent="0.25">
      <c r="A2369" s="163"/>
      <c r="B2369" s="96"/>
      <c r="C2369" s="73"/>
      <c r="D2369" s="100" t="s">
        <v>8</v>
      </c>
      <c r="E2369" s="73"/>
      <c r="F2369" s="74" t="s">
        <v>3</v>
      </c>
      <c r="G2369" s="72">
        <f>G2370*0.75</f>
        <v>1.5015000000000001E-2</v>
      </c>
      <c r="I2369" s="2"/>
      <c r="J2369" s="10"/>
      <c r="K2369"/>
    </row>
    <row r="2370" spans="1:11" x14ac:dyDescent="0.25">
      <c r="A2370" s="163"/>
      <c r="B2370" s="96"/>
      <c r="C2370" s="73"/>
      <c r="D2370" s="73" t="s">
        <v>115</v>
      </c>
      <c r="E2370" s="73"/>
      <c r="F2370" s="74" t="s">
        <v>3</v>
      </c>
      <c r="G2370" s="72">
        <f>0.7*0.011*2*1.3</f>
        <v>2.002E-2</v>
      </c>
      <c r="I2370" s="2"/>
      <c r="J2370" s="10"/>
      <c r="K2370"/>
    </row>
    <row r="2371" spans="1:11" x14ac:dyDescent="0.25">
      <c r="A2371" s="163"/>
      <c r="B2371" s="96"/>
      <c r="C2371" s="73"/>
      <c r="D2371" s="100" t="s">
        <v>143</v>
      </c>
      <c r="E2371" s="73"/>
      <c r="F2371" s="74" t="s">
        <v>3</v>
      </c>
      <c r="G2371" s="72">
        <f>G2369</f>
        <v>1.5015000000000001E-2</v>
      </c>
      <c r="I2371" s="2"/>
      <c r="J2371" s="10"/>
      <c r="K2371"/>
    </row>
    <row r="2372" spans="1:11" x14ac:dyDescent="0.25">
      <c r="A2372" s="163"/>
      <c r="B2372" s="96"/>
      <c r="C2372" s="73"/>
      <c r="D2372" s="186" t="s">
        <v>12</v>
      </c>
      <c r="E2372" s="73"/>
      <c r="F2372" s="74" t="s">
        <v>3</v>
      </c>
      <c r="G2372" s="72">
        <f>0.3*(G2371+G2370+G2369)</f>
        <v>1.5014999999999999E-2</v>
      </c>
      <c r="I2372" s="2"/>
      <c r="J2372" s="10"/>
      <c r="K2372"/>
    </row>
    <row r="2373" spans="1:11" x14ac:dyDescent="0.25">
      <c r="A2373" s="163"/>
      <c r="B2373" s="96"/>
      <c r="C2373" s="73"/>
      <c r="D2373" s="186"/>
      <c r="E2373" s="75" t="s">
        <v>1282</v>
      </c>
      <c r="F2373" s="74"/>
      <c r="G2373" s="72"/>
      <c r="I2373" s="2"/>
      <c r="J2373" s="10"/>
      <c r="K2373"/>
    </row>
    <row r="2374" spans="1:11" x14ac:dyDescent="0.25">
      <c r="A2374" s="163"/>
      <c r="B2374" s="96"/>
      <c r="C2374" s="73"/>
      <c r="D2374" s="186"/>
      <c r="E2374" s="100" t="s">
        <v>1279</v>
      </c>
      <c r="F2374" s="74" t="s">
        <v>3</v>
      </c>
      <c r="G2374" s="72">
        <v>0.19500000000000001</v>
      </c>
      <c r="I2374" t="s">
        <v>1283</v>
      </c>
      <c r="J2374" s="10"/>
      <c r="K2374"/>
    </row>
    <row r="2375" spans="1:11" x14ac:dyDescent="0.25">
      <c r="A2375" s="163"/>
      <c r="B2375" s="96"/>
      <c r="C2375" s="186"/>
      <c r="D2375" s="78" t="s">
        <v>1285</v>
      </c>
      <c r="E2375" s="73"/>
      <c r="F2375" s="74"/>
      <c r="G2375" s="72"/>
      <c r="I2375" s="2"/>
      <c r="J2375" s="10"/>
      <c r="K2375"/>
    </row>
    <row r="2376" spans="1:11" x14ac:dyDescent="0.25">
      <c r="A2376" s="163"/>
      <c r="B2376" s="96"/>
      <c r="C2376" s="186"/>
      <c r="D2376" s="73" t="s">
        <v>140</v>
      </c>
      <c r="E2376" s="73"/>
      <c r="F2376" s="74" t="s">
        <v>3</v>
      </c>
      <c r="G2376" s="72">
        <f>0.012*3.14*2*0.08*1.2</f>
        <v>7.234560000000001E-3</v>
      </c>
      <c r="I2376" s="2"/>
      <c r="J2376" s="10"/>
      <c r="K2376"/>
    </row>
    <row r="2377" spans="1:11" ht="17.25" x14ac:dyDescent="0.25">
      <c r="A2377" s="163"/>
      <c r="B2377" s="96"/>
      <c r="C2377" s="186"/>
      <c r="D2377" s="73" t="s">
        <v>23</v>
      </c>
      <c r="E2377" s="73"/>
      <c r="F2377" s="74" t="s">
        <v>596</v>
      </c>
      <c r="G2377" s="72">
        <f>G2376*1.5</f>
        <v>1.0851840000000001E-2</v>
      </c>
      <c r="I2377" s="2"/>
      <c r="J2377" s="10"/>
      <c r="K2377"/>
    </row>
    <row r="2378" spans="1:11" x14ac:dyDescent="0.25">
      <c r="A2378" s="163"/>
      <c r="B2378" s="96"/>
      <c r="C2378" s="186"/>
      <c r="D2378" s="73" t="s">
        <v>142</v>
      </c>
      <c r="E2378" s="73"/>
      <c r="F2378" s="74" t="s">
        <v>3</v>
      </c>
      <c r="G2378" s="72">
        <f>G2376/4</f>
        <v>1.8086400000000002E-3</v>
      </c>
      <c r="I2378" s="2"/>
      <c r="J2378" s="10"/>
      <c r="K2378"/>
    </row>
    <row r="2379" spans="1:11" x14ac:dyDescent="0.25">
      <c r="A2379" s="163"/>
      <c r="B2379" s="96"/>
      <c r="C2379" s="186"/>
      <c r="D2379" s="100" t="s">
        <v>8</v>
      </c>
      <c r="E2379" s="73"/>
      <c r="F2379" s="74" t="s">
        <v>3</v>
      </c>
      <c r="G2379" s="72">
        <f>G2380*0.75</f>
        <v>1.5015000000000001E-2</v>
      </c>
      <c r="I2379" s="2"/>
      <c r="J2379" s="10"/>
      <c r="K2379"/>
    </row>
    <row r="2380" spans="1:11" x14ac:dyDescent="0.25">
      <c r="A2380" s="163"/>
      <c r="B2380" s="96"/>
      <c r="C2380" s="186"/>
      <c r="D2380" s="73" t="s">
        <v>115</v>
      </c>
      <c r="E2380" s="73"/>
      <c r="F2380" s="74" t="s">
        <v>3</v>
      </c>
      <c r="G2380" s="72">
        <f>0.7*0.011*2*1.3</f>
        <v>2.002E-2</v>
      </c>
      <c r="I2380" s="2"/>
      <c r="J2380" s="10"/>
      <c r="K2380"/>
    </row>
    <row r="2381" spans="1:11" x14ac:dyDescent="0.25">
      <c r="A2381" s="163"/>
      <c r="B2381" s="96"/>
      <c r="C2381" s="186"/>
      <c r="D2381" s="100" t="s">
        <v>143</v>
      </c>
      <c r="E2381" s="73"/>
      <c r="F2381" s="74" t="s">
        <v>3</v>
      </c>
      <c r="G2381" s="72">
        <f>G2379</f>
        <v>1.5015000000000001E-2</v>
      </c>
      <c r="I2381" s="2"/>
      <c r="J2381" s="10"/>
      <c r="K2381"/>
    </row>
    <row r="2382" spans="1:11" x14ac:dyDescent="0.25">
      <c r="A2382" s="163"/>
      <c r="B2382" s="96"/>
      <c r="C2382" s="186"/>
      <c r="D2382" s="186" t="s">
        <v>12</v>
      </c>
      <c r="E2382" s="73"/>
      <c r="F2382" s="74" t="s">
        <v>3</v>
      </c>
      <c r="G2382" s="72">
        <f>0.3*(G2381+G2380+G2379)</f>
        <v>1.5014999999999999E-2</v>
      </c>
      <c r="I2382" s="2"/>
      <c r="J2382" s="10"/>
      <c r="K2382"/>
    </row>
    <row r="2383" spans="1:11" x14ac:dyDescent="0.25">
      <c r="A2383" s="163"/>
      <c r="B2383" s="96"/>
      <c r="C2383" s="186"/>
      <c r="D2383" s="186"/>
      <c r="E2383" s="75" t="s">
        <v>1286</v>
      </c>
      <c r="F2383" s="74"/>
      <c r="G2383" s="72"/>
      <c r="I2383" s="2"/>
      <c r="J2383" s="10"/>
      <c r="K2383"/>
    </row>
    <row r="2384" spans="1:11" x14ac:dyDescent="0.25">
      <c r="A2384" s="163"/>
      <c r="B2384" s="96"/>
      <c r="C2384" s="186"/>
      <c r="D2384" s="186"/>
      <c r="E2384" s="100" t="s">
        <v>1279</v>
      </c>
      <c r="F2384" s="74" t="s">
        <v>3</v>
      </c>
      <c r="G2384" s="72">
        <v>0.20300000000000001</v>
      </c>
      <c r="I2384" t="s">
        <v>1287</v>
      </c>
      <c r="J2384" s="10"/>
      <c r="K2384"/>
    </row>
    <row r="2385" spans="1:11" x14ac:dyDescent="0.25">
      <c r="A2385" s="163"/>
      <c r="B2385" s="96"/>
      <c r="C2385" s="186"/>
      <c r="D2385" s="78" t="s">
        <v>1284</v>
      </c>
      <c r="E2385" s="73"/>
      <c r="F2385" s="74"/>
      <c r="G2385" s="72"/>
      <c r="I2385" s="2"/>
      <c r="J2385" s="10"/>
      <c r="K2385"/>
    </row>
    <row r="2386" spans="1:11" x14ac:dyDescent="0.25">
      <c r="A2386" s="163"/>
      <c r="B2386" s="96"/>
      <c r="C2386" s="186"/>
      <c r="D2386" s="73" t="s">
        <v>140</v>
      </c>
      <c r="E2386" s="73"/>
      <c r="F2386" s="74" t="s">
        <v>3</v>
      </c>
      <c r="G2386" s="72">
        <f>0.012*3.14*2*0.08*1.2</f>
        <v>7.234560000000001E-3</v>
      </c>
      <c r="I2386" s="2"/>
      <c r="J2386" s="10"/>
      <c r="K2386"/>
    </row>
    <row r="2387" spans="1:11" ht="17.25" x14ac:dyDescent="0.25">
      <c r="A2387" s="163"/>
      <c r="B2387" s="96"/>
      <c r="C2387" s="186"/>
      <c r="D2387" s="73" t="s">
        <v>23</v>
      </c>
      <c r="E2387" s="73"/>
      <c r="F2387" s="74" t="s">
        <v>596</v>
      </c>
      <c r="G2387" s="72">
        <f>G2386*1.5</f>
        <v>1.0851840000000001E-2</v>
      </c>
      <c r="I2387" s="2"/>
      <c r="J2387" s="10"/>
      <c r="K2387"/>
    </row>
    <row r="2388" spans="1:11" x14ac:dyDescent="0.25">
      <c r="A2388" s="163"/>
      <c r="B2388" s="96"/>
      <c r="C2388" s="186"/>
      <c r="D2388" s="73" t="s">
        <v>142</v>
      </c>
      <c r="E2388" s="73"/>
      <c r="F2388" s="74" t="s">
        <v>3</v>
      </c>
      <c r="G2388" s="72">
        <f>G2386/4</f>
        <v>1.8086400000000002E-3</v>
      </c>
      <c r="I2388" s="2"/>
      <c r="J2388" s="10"/>
      <c r="K2388"/>
    </row>
    <row r="2389" spans="1:11" x14ac:dyDescent="0.25">
      <c r="A2389" s="163"/>
      <c r="B2389" s="96"/>
      <c r="C2389" s="186"/>
      <c r="D2389" s="100" t="s">
        <v>8</v>
      </c>
      <c r="E2389" s="73"/>
      <c r="F2389" s="74" t="s">
        <v>3</v>
      </c>
      <c r="G2389" s="72">
        <f>G2390*0.75</f>
        <v>1.1088000000000001E-2</v>
      </c>
      <c r="I2389" s="2"/>
      <c r="J2389" s="10"/>
      <c r="K2389"/>
    </row>
    <row r="2390" spans="1:11" x14ac:dyDescent="0.25">
      <c r="A2390" s="163"/>
      <c r="B2390" s="96"/>
      <c r="C2390" s="186"/>
      <c r="D2390" s="73" t="s">
        <v>115</v>
      </c>
      <c r="E2390" s="73"/>
      <c r="F2390" s="74" t="s">
        <v>3</v>
      </c>
      <c r="G2390" s="72">
        <f>0.56*0.011*2*1.2</f>
        <v>1.4784E-2</v>
      </c>
      <c r="I2390" s="2"/>
      <c r="J2390" s="10"/>
      <c r="K2390"/>
    </row>
    <row r="2391" spans="1:11" x14ac:dyDescent="0.25">
      <c r="A2391" s="163"/>
      <c r="B2391" s="96"/>
      <c r="C2391" s="186"/>
      <c r="D2391" s="100" t="s">
        <v>143</v>
      </c>
      <c r="E2391" s="73"/>
      <c r="F2391" s="74" t="s">
        <v>3</v>
      </c>
      <c r="G2391" s="72">
        <f>G2389</f>
        <v>1.1088000000000001E-2</v>
      </c>
      <c r="I2391" s="2"/>
      <c r="J2391" s="10"/>
      <c r="K2391"/>
    </row>
    <row r="2392" spans="1:11" x14ac:dyDescent="0.25">
      <c r="A2392" s="163"/>
      <c r="B2392" s="96"/>
      <c r="C2392" s="186"/>
      <c r="D2392" s="186" t="s">
        <v>12</v>
      </c>
      <c r="E2392" s="73"/>
      <c r="F2392" s="74" t="s">
        <v>3</v>
      </c>
      <c r="G2392" s="72">
        <f>0.3*(G2391+G2390+G2389)</f>
        <v>1.1087999999999999E-2</v>
      </c>
      <c r="I2392" s="2"/>
      <c r="J2392" s="10"/>
      <c r="K2392"/>
    </row>
    <row r="2393" spans="1:11" x14ac:dyDescent="0.25">
      <c r="A2393" s="163"/>
      <c r="B2393" s="96"/>
      <c r="C2393" s="186"/>
      <c r="D2393" s="78"/>
      <c r="E2393" s="75" t="s">
        <v>1288</v>
      </c>
      <c r="F2393" s="74"/>
      <c r="G2393" s="72"/>
      <c r="I2393" s="2"/>
      <c r="J2393" s="10"/>
      <c r="K2393"/>
    </row>
    <row r="2394" spans="1:11" x14ac:dyDescent="0.25">
      <c r="A2394" s="163"/>
      <c r="B2394" s="96"/>
      <c r="C2394" s="186"/>
      <c r="D2394" s="78"/>
      <c r="E2394" s="100" t="s">
        <v>1279</v>
      </c>
      <c r="F2394" s="74" t="s">
        <v>3</v>
      </c>
      <c r="G2394" s="72">
        <v>0.16300000000000001</v>
      </c>
      <c r="I2394" t="s">
        <v>1289</v>
      </c>
      <c r="J2394" s="10"/>
      <c r="K2394"/>
    </row>
    <row r="2395" spans="1:11" x14ac:dyDescent="0.25">
      <c r="A2395" s="163"/>
      <c r="B2395" s="96"/>
      <c r="C2395" s="186"/>
      <c r="D2395" s="78" t="s">
        <v>1290</v>
      </c>
      <c r="E2395" s="73"/>
      <c r="F2395" s="74"/>
      <c r="G2395" s="72"/>
      <c r="I2395" s="2"/>
      <c r="J2395" s="10"/>
      <c r="K2395"/>
    </row>
    <row r="2396" spans="1:11" x14ac:dyDescent="0.25">
      <c r="A2396" s="163"/>
      <c r="B2396" s="96"/>
      <c r="C2396" s="186"/>
      <c r="D2396" s="73" t="s">
        <v>140</v>
      </c>
      <c r="E2396" s="73"/>
      <c r="F2396" s="74" t="s">
        <v>3</v>
      </c>
      <c r="G2396" s="72">
        <f>0.012*3.14*5*0.08*1.2</f>
        <v>1.8086400000000002E-2</v>
      </c>
      <c r="I2396" s="2"/>
      <c r="J2396" s="10"/>
      <c r="K2396"/>
    </row>
    <row r="2397" spans="1:11" ht="17.25" x14ac:dyDescent="0.25">
      <c r="A2397" s="163"/>
      <c r="B2397" s="96"/>
      <c r="C2397" s="186"/>
      <c r="D2397" s="73" t="s">
        <v>23</v>
      </c>
      <c r="E2397" s="73"/>
      <c r="F2397" s="74" t="s">
        <v>596</v>
      </c>
      <c r="G2397" s="72">
        <f>G2396*1.5</f>
        <v>2.7129600000000004E-2</v>
      </c>
      <c r="I2397" s="2"/>
      <c r="J2397" s="10"/>
      <c r="K2397"/>
    </row>
    <row r="2398" spans="1:11" x14ac:dyDescent="0.25">
      <c r="A2398" s="163"/>
      <c r="B2398" s="96"/>
      <c r="C2398" s="186"/>
      <c r="D2398" s="73" t="s">
        <v>142</v>
      </c>
      <c r="E2398" s="73"/>
      <c r="F2398" s="74" t="s">
        <v>3</v>
      </c>
      <c r="G2398" s="72">
        <f>G2396/4</f>
        <v>4.5216000000000006E-3</v>
      </c>
      <c r="I2398" s="2"/>
      <c r="J2398" s="10"/>
      <c r="K2398"/>
    </row>
    <row r="2399" spans="1:11" x14ac:dyDescent="0.25">
      <c r="A2399" s="163"/>
      <c r="B2399" s="96"/>
      <c r="C2399" s="186"/>
      <c r="D2399" s="100" t="s">
        <v>8</v>
      </c>
      <c r="E2399" s="73"/>
      <c r="F2399" s="74" t="s">
        <v>3</v>
      </c>
      <c r="G2399" s="72">
        <f>G2400*0.8</f>
        <v>2.2193600000000001E-2</v>
      </c>
      <c r="I2399" s="2"/>
      <c r="J2399" s="10"/>
      <c r="K2399"/>
    </row>
    <row r="2400" spans="1:11" x14ac:dyDescent="0.25">
      <c r="A2400" s="163"/>
      <c r="B2400" s="96"/>
      <c r="C2400" s="186"/>
      <c r="D2400" s="73" t="s">
        <v>115</v>
      </c>
      <c r="E2400" s="73"/>
      <c r="F2400" s="74" t="s">
        <v>3</v>
      </c>
      <c r="G2400" s="72">
        <f>0.97*0.011*2*1.3</f>
        <v>2.7741999999999999E-2</v>
      </c>
      <c r="I2400" s="2"/>
      <c r="J2400" s="10"/>
      <c r="K2400"/>
    </row>
    <row r="2401" spans="1:11" x14ac:dyDescent="0.25">
      <c r="A2401" s="163"/>
      <c r="B2401" s="96"/>
      <c r="C2401" s="186"/>
      <c r="D2401" s="100" t="s">
        <v>143</v>
      </c>
      <c r="E2401" s="73"/>
      <c r="F2401" s="74" t="s">
        <v>3</v>
      </c>
      <c r="G2401" s="72">
        <f>G2399</f>
        <v>2.2193600000000001E-2</v>
      </c>
      <c r="I2401" s="2"/>
      <c r="J2401" s="10"/>
      <c r="K2401"/>
    </row>
    <row r="2402" spans="1:11" x14ac:dyDescent="0.25">
      <c r="A2402" s="163"/>
      <c r="B2402" s="96"/>
      <c r="C2402" s="186"/>
      <c r="D2402" s="186" t="s">
        <v>12</v>
      </c>
      <c r="E2402" s="73"/>
      <c r="F2402" s="74" t="s">
        <v>3</v>
      </c>
      <c r="G2402" s="72">
        <f>0.3*(G2401+G2400+G2399)</f>
        <v>2.163876E-2</v>
      </c>
      <c r="I2402" s="2"/>
      <c r="J2402" s="10"/>
      <c r="K2402"/>
    </row>
    <row r="2403" spans="1:11" x14ac:dyDescent="0.25">
      <c r="A2403" s="163"/>
      <c r="B2403" s="96"/>
      <c r="C2403" s="186"/>
      <c r="D2403" s="186"/>
      <c r="E2403" s="75" t="s">
        <v>1291</v>
      </c>
      <c r="F2403" s="74"/>
      <c r="G2403" s="72"/>
      <c r="I2403" s="2"/>
      <c r="J2403" s="10"/>
      <c r="K2403"/>
    </row>
    <row r="2404" spans="1:11" x14ac:dyDescent="0.25">
      <c r="A2404" s="163"/>
      <c r="B2404" s="96"/>
      <c r="C2404" s="186"/>
      <c r="D2404" s="186"/>
      <c r="E2404" s="100" t="s">
        <v>1279</v>
      </c>
      <c r="F2404" s="74" t="s">
        <v>3</v>
      </c>
      <c r="G2404" s="72">
        <v>0.09</v>
      </c>
      <c r="I2404" t="s">
        <v>1294</v>
      </c>
      <c r="J2404" s="10"/>
      <c r="K2404"/>
    </row>
    <row r="2405" spans="1:11" x14ac:dyDescent="0.25">
      <c r="A2405" s="163"/>
      <c r="B2405" s="96"/>
      <c r="C2405" s="186"/>
      <c r="D2405" s="186"/>
      <c r="E2405" s="75" t="s">
        <v>1292</v>
      </c>
      <c r="F2405" s="74"/>
      <c r="G2405" s="72"/>
      <c r="I2405" s="2"/>
      <c r="J2405" s="10"/>
      <c r="K2405"/>
    </row>
    <row r="2406" spans="1:11" x14ac:dyDescent="0.25">
      <c r="A2406" s="163"/>
      <c r="B2406" s="96"/>
      <c r="C2406" s="186"/>
      <c r="D2406" s="186"/>
      <c r="E2406" s="100" t="s">
        <v>1279</v>
      </c>
      <c r="F2406" s="74" t="s">
        <v>3</v>
      </c>
      <c r="G2406" s="72">
        <v>2.1999999999999999E-2</v>
      </c>
      <c r="I2406" t="s">
        <v>1295</v>
      </c>
      <c r="J2406" s="10"/>
      <c r="K2406"/>
    </row>
    <row r="2407" spans="1:11" x14ac:dyDescent="0.25">
      <c r="A2407" s="163"/>
      <c r="B2407" s="96"/>
      <c r="C2407" s="186"/>
      <c r="D2407" s="186"/>
      <c r="E2407" s="75" t="s">
        <v>1293</v>
      </c>
      <c r="F2407" s="74"/>
      <c r="G2407" s="72"/>
      <c r="I2407" s="2"/>
      <c r="J2407" s="10"/>
      <c r="K2407"/>
    </row>
    <row r="2408" spans="1:11" x14ac:dyDescent="0.25">
      <c r="A2408" s="163"/>
      <c r="B2408" s="96"/>
      <c r="C2408" s="186"/>
      <c r="D2408" s="186"/>
      <c r="E2408" s="100" t="s">
        <v>1279</v>
      </c>
      <c r="F2408" s="74" t="s">
        <v>3</v>
      </c>
      <c r="G2408" s="72">
        <v>0.16500000000000001</v>
      </c>
      <c r="I2408" t="s">
        <v>1296</v>
      </c>
      <c r="J2408" s="10"/>
      <c r="K2408"/>
    </row>
    <row r="2409" spans="1:11" x14ac:dyDescent="0.25">
      <c r="A2409" s="163"/>
      <c r="B2409" s="96"/>
      <c r="C2409" s="186"/>
      <c r="D2409" s="186"/>
      <c r="E2409" s="73"/>
      <c r="F2409" s="74"/>
      <c r="G2409" s="72"/>
      <c r="I2409" s="2"/>
      <c r="J2409" s="10"/>
      <c r="K2409"/>
    </row>
    <row r="2410" spans="1:11" x14ac:dyDescent="0.25">
      <c r="A2410" s="193">
        <v>127</v>
      </c>
      <c r="B2410" s="96"/>
      <c r="C2410" s="78" t="s">
        <v>1299</v>
      </c>
      <c r="D2410" s="186"/>
      <c r="E2410" s="73"/>
      <c r="F2410" s="74"/>
      <c r="G2410" s="72"/>
      <c r="I2410" s="2"/>
      <c r="J2410" s="10"/>
      <c r="K2410"/>
    </row>
    <row r="2411" spans="1:11" x14ac:dyDescent="0.25">
      <c r="A2411" s="163"/>
      <c r="B2411" s="96"/>
      <c r="C2411" s="77" t="s">
        <v>177</v>
      </c>
      <c r="D2411" s="186"/>
      <c r="E2411" s="73"/>
      <c r="F2411" s="74" t="s">
        <v>3</v>
      </c>
      <c r="G2411" s="72">
        <f>0.04*0.04*1*8</f>
        <v>1.2800000000000001E-2</v>
      </c>
      <c r="I2411" s="2"/>
      <c r="J2411" s="10"/>
      <c r="K2411"/>
    </row>
    <row r="2412" spans="1:11" x14ac:dyDescent="0.25">
      <c r="A2412" s="163"/>
      <c r="B2412" s="96"/>
      <c r="C2412" s="186"/>
      <c r="D2412" s="186"/>
      <c r="E2412" s="73"/>
      <c r="F2412" s="74"/>
      <c r="G2412" s="72"/>
      <c r="I2412" s="2"/>
      <c r="J2412" s="10"/>
      <c r="K2412"/>
    </row>
    <row r="2413" spans="1:11" x14ac:dyDescent="0.25">
      <c r="A2413" s="193">
        <v>131</v>
      </c>
      <c r="B2413" s="96"/>
      <c r="C2413" s="78" t="s">
        <v>1300</v>
      </c>
      <c r="D2413" s="73"/>
      <c r="E2413" s="73"/>
      <c r="F2413" s="74"/>
      <c r="G2413" s="72"/>
      <c r="I2413" s="2"/>
      <c r="J2413" s="10"/>
      <c r="K2413"/>
    </row>
    <row r="2414" spans="1:11" x14ac:dyDescent="0.25">
      <c r="A2414" s="163"/>
      <c r="B2414" s="96"/>
      <c r="C2414" s="77" t="s">
        <v>1352</v>
      </c>
      <c r="D2414" s="73"/>
      <c r="E2414" s="73"/>
      <c r="F2414" s="74" t="s">
        <v>195</v>
      </c>
      <c r="G2414" s="72">
        <v>0.6</v>
      </c>
      <c r="I2414" s="2"/>
      <c r="J2414" s="10"/>
      <c r="K2414"/>
    </row>
    <row r="2415" spans="1:11" x14ac:dyDescent="0.25">
      <c r="A2415" s="163"/>
      <c r="B2415" s="96"/>
      <c r="C2415" s="186" t="s">
        <v>1353</v>
      </c>
      <c r="D2415" s="73"/>
      <c r="E2415" s="73"/>
      <c r="F2415" s="74" t="s">
        <v>195</v>
      </c>
      <c r="G2415" s="72">
        <v>0.1</v>
      </c>
      <c r="I2415" s="2"/>
      <c r="J2415" s="10"/>
      <c r="K2415"/>
    </row>
    <row r="2416" spans="1:11" x14ac:dyDescent="0.25">
      <c r="A2416" s="163"/>
      <c r="B2416" s="96"/>
      <c r="C2416" s="186" t="s">
        <v>723</v>
      </c>
      <c r="D2416" s="73"/>
      <c r="E2416" s="73"/>
      <c r="F2416" s="74" t="s">
        <v>3</v>
      </c>
      <c r="G2416" s="72">
        <v>0.03</v>
      </c>
      <c r="I2416" s="2"/>
      <c r="J2416" s="10"/>
      <c r="K2416"/>
    </row>
    <row r="2417" spans="1:11" x14ac:dyDescent="0.25">
      <c r="A2417" s="163"/>
      <c r="B2417" s="96"/>
      <c r="C2417" s="78"/>
      <c r="D2417" s="75" t="s">
        <v>1229</v>
      </c>
      <c r="E2417" s="73"/>
      <c r="F2417" s="74"/>
      <c r="G2417" s="72"/>
      <c r="I2417" s="2"/>
      <c r="J2417" s="10"/>
      <c r="K2417"/>
    </row>
    <row r="2418" spans="1:11" x14ac:dyDescent="0.25">
      <c r="A2418" s="163"/>
      <c r="B2418" s="96"/>
      <c r="C2418" s="78"/>
      <c r="D2418" s="73" t="s">
        <v>1164</v>
      </c>
      <c r="E2418" s="73"/>
      <c r="F2418" s="74" t="s">
        <v>195</v>
      </c>
      <c r="G2418" s="72">
        <v>0.33</v>
      </c>
      <c r="I2418" s="2"/>
      <c r="J2418" s="10"/>
      <c r="K2418"/>
    </row>
    <row r="2419" spans="1:11" x14ac:dyDescent="0.25">
      <c r="A2419" s="163"/>
      <c r="B2419" s="96"/>
      <c r="C2419" s="78"/>
      <c r="D2419" s="75" t="s">
        <v>1301</v>
      </c>
      <c r="E2419" s="73"/>
      <c r="F2419" s="74"/>
      <c r="G2419" s="72"/>
      <c r="I2419" s="2"/>
      <c r="J2419" s="10"/>
      <c r="K2419"/>
    </row>
    <row r="2420" spans="1:11" x14ac:dyDescent="0.25">
      <c r="A2420" s="163"/>
      <c r="B2420" s="96"/>
      <c r="C2420" s="78"/>
      <c r="D2420" s="73"/>
      <c r="E2420" s="75" t="s">
        <v>1302</v>
      </c>
      <c r="F2420" s="74"/>
      <c r="G2420" s="72"/>
      <c r="I2420" s="2"/>
      <c r="J2420" s="10"/>
      <c r="K2420"/>
    </row>
    <row r="2421" spans="1:11" x14ac:dyDescent="0.25">
      <c r="A2421" s="163"/>
      <c r="B2421" s="96"/>
      <c r="C2421" s="78"/>
      <c r="D2421" s="73"/>
      <c r="E2421" s="73" t="s">
        <v>1304</v>
      </c>
      <c r="F2421" s="74" t="s">
        <v>3</v>
      </c>
      <c r="G2421" s="72">
        <v>0.03</v>
      </c>
      <c r="I2421" s="2"/>
      <c r="J2421" s="10"/>
      <c r="K2421"/>
    </row>
    <row r="2422" spans="1:11" x14ac:dyDescent="0.25">
      <c r="A2422" s="163"/>
      <c r="B2422" s="96"/>
      <c r="C2422" s="78"/>
      <c r="D2422" s="73"/>
      <c r="E2422" s="75" t="s">
        <v>1303</v>
      </c>
      <c r="F2422" s="74"/>
      <c r="G2422" s="72"/>
      <c r="I2422" s="2"/>
      <c r="J2422" s="10"/>
      <c r="K2422"/>
    </row>
    <row r="2423" spans="1:11" x14ac:dyDescent="0.25">
      <c r="A2423" s="163"/>
      <c r="B2423" s="96"/>
      <c r="C2423" s="78"/>
      <c r="D2423" s="73"/>
      <c r="E2423" s="73" t="s">
        <v>1305</v>
      </c>
      <c r="F2423" s="74" t="s">
        <v>3</v>
      </c>
      <c r="G2423" s="72">
        <f>(0.084*3.14/2+0.106)*0.07*0.5*8*1.15</f>
        <v>7.6597360000000003E-2</v>
      </c>
      <c r="I2423" s="2"/>
      <c r="J2423" s="10"/>
      <c r="K2423"/>
    </row>
    <row r="2424" spans="1:11" x14ac:dyDescent="0.25">
      <c r="A2424" s="163"/>
      <c r="B2424" s="96"/>
      <c r="C2424" s="78"/>
      <c r="D2424" s="75" t="s">
        <v>1306</v>
      </c>
      <c r="E2424" s="73"/>
      <c r="F2424" s="74"/>
      <c r="G2424" s="72"/>
      <c r="I2424" s="2"/>
      <c r="J2424" s="10"/>
      <c r="K2424"/>
    </row>
    <row r="2425" spans="1:11" x14ac:dyDescent="0.25">
      <c r="A2425" s="163"/>
      <c r="B2425" s="96"/>
      <c r="C2425" s="78"/>
      <c r="D2425" s="73" t="s">
        <v>1307</v>
      </c>
      <c r="E2425" s="73"/>
      <c r="F2425" s="74" t="s">
        <v>3</v>
      </c>
      <c r="G2425" s="72">
        <v>1.4999999999999999E-2</v>
      </c>
      <c r="I2425" s="2"/>
      <c r="J2425" s="10"/>
      <c r="K2425"/>
    </row>
    <row r="2426" spans="1:11" x14ac:dyDescent="0.25">
      <c r="A2426" s="163"/>
      <c r="B2426" s="96"/>
      <c r="C2426" s="78"/>
      <c r="D2426" s="73"/>
      <c r="E2426" s="75" t="s">
        <v>1308</v>
      </c>
      <c r="F2426" s="74"/>
      <c r="G2426" s="72"/>
      <c r="I2426" s="2"/>
      <c r="J2426" s="10"/>
      <c r="K2426"/>
    </row>
    <row r="2427" spans="1:11" x14ac:dyDescent="0.25">
      <c r="A2427" s="163"/>
      <c r="B2427" s="96"/>
      <c r="C2427" s="78"/>
      <c r="D2427" s="73"/>
      <c r="E2427" s="77" t="s">
        <v>1054</v>
      </c>
      <c r="F2427" s="152" t="s">
        <v>3</v>
      </c>
      <c r="G2427" s="72">
        <f>(0.24*2+0.05*3.14*4)*0.08*1.13</f>
        <v>0.10016320000000001</v>
      </c>
      <c r="I2427" s="2"/>
      <c r="J2427" s="10"/>
      <c r="K2427"/>
    </row>
    <row r="2428" spans="1:11" ht="17.25" x14ac:dyDescent="0.25">
      <c r="A2428" s="163"/>
      <c r="B2428" s="96"/>
      <c r="C2428" s="78"/>
      <c r="D2428" s="73"/>
      <c r="E2428" s="73" t="s">
        <v>1055</v>
      </c>
      <c r="F2428" s="152" t="s">
        <v>596</v>
      </c>
      <c r="G2428" s="72">
        <f>G2427</f>
        <v>0.10016320000000001</v>
      </c>
      <c r="I2428" s="2"/>
      <c r="J2428" s="10"/>
      <c r="K2428"/>
    </row>
    <row r="2429" spans="1:11" x14ac:dyDescent="0.25">
      <c r="A2429" s="163"/>
      <c r="B2429" s="96"/>
      <c r="C2429" s="78"/>
      <c r="D2429" s="73"/>
      <c r="E2429" s="77" t="s">
        <v>1021</v>
      </c>
      <c r="F2429" s="74" t="s">
        <v>3</v>
      </c>
      <c r="G2429" s="72">
        <v>0.05</v>
      </c>
      <c r="I2429" s="2"/>
      <c r="J2429" s="10"/>
      <c r="K2429"/>
    </row>
    <row r="2430" spans="1:11" x14ac:dyDescent="0.25">
      <c r="A2430" s="163"/>
      <c r="B2430" s="96"/>
      <c r="C2430" s="78"/>
      <c r="D2430" s="73"/>
      <c r="E2430" s="77" t="s">
        <v>661</v>
      </c>
      <c r="F2430" s="74" t="s">
        <v>3</v>
      </c>
      <c r="G2430" s="72">
        <f>0.3*G2429</f>
        <v>1.4999999999999999E-2</v>
      </c>
      <c r="I2430" s="2"/>
      <c r="J2430" s="10"/>
      <c r="K2430"/>
    </row>
    <row r="2431" spans="1:11" x14ac:dyDescent="0.25">
      <c r="A2431" s="163"/>
      <c r="B2431" s="96"/>
      <c r="C2431" s="78"/>
      <c r="D2431" s="73"/>
      <c r="E2431" s="78" t="s">
        <v>1309</v>
      </c>
      <c r="F2431" s="74"/>
      <c r="G2431" s="72"/>
      <c r="I2431" s="2"/>
      <c r="J2431" s="10"/>
      <c r="K2431"/>
    </row>
    <row r="2432" spans="1:11" x14ac:dyDescent="0.25">
      <c r="A2432" s="163"/>
      <c r="B2432" s="96"/>
      <c r="C2432" s="78"/>
      <c r="D2432" s="73"/>
      <c r="E2432" s="77" t="s">
        <v>1310</v>
      </c>
      <c r="F2432" s="74" t="s">
        <v>3</v>
      </c>
      <c r="G2432" s="72">
        <v>0.112</v>
      </c>
      <c r="I2432" t="s">
        <v>1311</v>
      </c>
      <c r="J2432" s="10"/>
      <c r="K2432"/>
    </row>
    <row r="2433" spans="1:11" x14ac:dyDescent="0.25">
      <c r="A2433" s="163"/>
      <c r="B2433" s="96"/>
      <c r="C2433" s="78"/>
      <c r="D2433" s="73"/>
      <c r="E2433" s="78" t="s">
        <v>1312</v>
      </c>
      <c r="F2433" s="74"/>
      <c r="G2433" s="72"/>
      <c r="I2433" s="2"/>
      <c r="J2433" s="10"/>
      <c r="K2433"/>
    </row>
    <row r="2434" spans="1:11" x14ac:dyDescent="0.25">
      <c r="A2434" s="163"/>
      <c r="B2434" s="96"/>
      <c r="C2434" s="78"/>
      <c r="D2434" s="73"/>
      <c r="E2434" s="77" t="s">
        <v>1310</v>
      </c>
      <c r="F2434" s="74" t="s">
        <v>3</v>
      </c>
      <c r="G2434" s="72">
        <v>0.10299999999999999</v>
      </c>
      <c r="I2434" t="s">
        <v>1313</v>
      </c>
      <c r="J2434" s="10"/>
      <c r="K2434"/>
    </row>
    <row r="2435" spans="1:11" x14ac:dyDescent="0.25">
      <c r="A2435" s="163"/>
      <c r="B2435" s="96"/>
      <c r="C2435" s="78"/>
      <c r="D2435" s="73"/>
      <c r="E2435" s="78" t="s">
        <v>1314</v>
      </c>
      <c r="F2435" s="74"/>
      <c r="G2435" s="72"/>
      <c r="I2435" s="2"/>
      <c r="J2435" s="10"/>
      <c r="K2435"/>
    </row>
    <row r="2436" spans="1:11" x14ac:dyDescent="0.25">
      <c r="A2436" s="163"/>
      <c r="B2436" s="96"/>
      <c r="C2436" s="78"/>
      <c r="D2436" s="73"/>
      <c r="E2436" s="77" t="s">
        <v>1310</v>
      </c>
      <c r="F2436" s="74" t="s">
        <v>3</v>
      </c>
      <c r="G2436" s="72">
        <v>0.10299999999999999</v>
      </c>
      <c r="I2436" t="s">
        <v>1313</v>
      </c>
      <c r="J2436" s="10"/>
      <c r="K2436"/>
    </row>
    <row r="2437" spans="1:11" x14ac:dyDescent="0.25">
      <c r="A2437" s="163"/>
      <c r="B2437" s="96"/>
      <c r="C2437" s="78"/>
      <c r="D2437" s="73"/>
      <c r="E2437" s="78" t="s">
        <v>1315</v>
      </c>
      <c r="F2437" s="74"/>
      <c r="G2437" s="72"/>
      <c r="I2437" s="2"/>
      <c r="J2437" s="10"/>
      <c r="K2437"/>
    </row>
    <row r="2438" spans="1:11" x14ac:dyDescent="0.25">
      <c r="A2438" s="163"/>
      <c r="B2438" s="96"/>
      <c r="C2438" s="78"/>
      <c r="D2438" s="73"/>
      <c r="E2438" s="77" t="s">
        <v>1316</v>
      </c>
      <c r="F2438" s="74" t="s">
        <v>3</v>
      </c>
      <c r="G2438" s="72">
        <f>(0.06*3.14/2+0.07)*0.082*1.5*8*1.117</f>
        <v>0.18047681760000001</v>
      </c>
      <c r="I2438" s="2"/>
      <c r="J2438" s="10"/>
      <c r="K2438"/>
    </row>
    <row r="2439" spans="1:11" x14ac:dyDescent="0.25">
      <c r="A2439" s="163"/>
      <c r="B2439" s="96"/>
      <c r="C2439" s="78"/>
      <c r="D2439" s="73"/>
      <c r="E2439" s="78" t="s">
        <v>1317</v>
      </c>
      <c r="F2439" s="74"/>
      <c r="G2439" s="72"/>
      <c r="I2439" s="2"/>
      <c r="J2439" s="10"/>
      <c r="K2439"/>
    </row>
    <row r="2440" spans="1:11" x14ac:dyDescent="0.25">
      <c r="A2440" s="163"/>
      <c r="B2440" s="96"/>
      <c r="C2440" s="78"/>
      <c r="D2440" s="73"/>
      <c r="E2440" s="77" t="s">
        <v>1318</v>
      </c>
      <c r="F2440" s="74" t="s">
        <v>3</v>
      </c>
      <c r="G2440" s="72">
        <f>0.07*0.08*1.5*8*1.1</f>
        <v>7.3920000000000013E-2</v>
      </c>
      <c r="I2440" s="2"/>
      <c r="J2440" s="10"/>
      <c r="K2440"/>
    </row>
    <row r="2441" spans="1:11" x14ac:dyDescent="0.25">
      <c r="A2441" s="163"/>
      <c r="B2441" s="96"/>
      <c r="C2441" s="78"/>
      <c r="D2441" s="73"/>
      <c r="E2441" s="78" t="s">
        <v>1319</v>
      </c>
      <c r="F2441" s="74"/>
      <c r="G2441" s="72"/>
      <c r="I2441" s="2"/>
      <c r="J2441" s="10"/>
      <c r="K2441"/>
    </row>
    <row r="2442" spans="1:11" x14ac:dyDescent="0.25">
      <c r="A2442" s="163"/>
      <c r="B2442" s="96"/>
      <c r="C2442" s="78"/>
      <c r="D2442" s="73"/>
      <c r="E2442" s="77" t="s">
        <v>1318</v>
      </c>
      <c r="F2442" s="74" t="s">
        <v>3</v>
      </c>
      <c r="G2442" s="72">
        <f>0.08*0.08*1.5*8*1.1</f>
        <v>8.4480000000000013E-2</v>
      </c>
      <c r="I2442" s="2"/>
      <c r="J2442" s="10"/>
      <c r="K2442"/>
    </row>
    <row r="2443" spans="1:11" x14ac:dyDescent="0.25">
      <c r="A2443" s="163"/>
      <c r="B2443" s="96"/>
      <c r="C2443" s="78"/>
      <c r="D2443" s="73"/>
      <c r="E2443" s="78" t="s">
        <v>1334</v>
      </c>
      <c r="F2443" s="74"/>
      <c r="G2443" s="72"/>
      <c r="I2443" s="2"/>
      <c r="J2443" s="10"/>
      <c r="K2443"/>
    </row>
    <row r="2444" spans="1:11" x14ac:dyDescent="0.25">
      <c r="A2444" s="163"/>
      <c r="B2444" s="96"/>
      <c r="C2444" s="78"/>
      <c r="D2444" s="73"/>
      <c r="E2444" s="77" t="s">
        <v>55</v>
      </c>
      <c r="F2444" s="74" t="s">
        <v>3</v>
      </c>
      <c r="G2444" s="72">
        <f>0.09*0.061*3*8*1.14</f>
        <v>0.15020639999999996</v>
      </c>
      <c r="I2444" s="2"/>
      <c r="J2444" s="10"/>
      <c r="K2444"/>
    </row>
    <row r="2445" spans="1:11" x14ac:dyDescent="0.25">
      <c r="A2445" s="163"/>
      <c r="B2445" s="96"/>
      <c r="C2445" s="78"/>
      <c r="D2445" s="73"/>
      <c r="E2445" s="186" t="s">
        <v>1021</v>
      </c>
      <c r="F2445" s="74" t="s">
        <v>3</v>
      </c>
      <c r="G2445" s="72">
        <f>0.09*0.06*2*0.15*2*1.39</f>
        <v>4.5035999999999991E-3</v>
      </c>
      <c r="I2445" s="2"/>
      <c r="J2445" s="10"/>
      <c r="K2445"/>
    </row>
    <row r="2446" spans="1:11" x14ac:dyDescent="0.25">
      <c r="A2446" s="163"/>
      <c r="B2446" s="96"/>
      <c r="C2446" s="78"/>
      <c r="D2446" s="73"/>
      <c r="E2446" s="77" t="s">
        <v>661</v>
      </c>
      <c r="F2446" s="74" t="s">
        <v>3</v>
      </c>
      <c r="G2446" s="72">
        <f>0.3*G2445</f>
        <v>1.3510799999999997E-3</v>
      </c>
      <c r="I2446" s="2"/>
      <c r="J2446" s="10"/>
      <c r="K2446"/>
    </row>
    <row r="2447" spans="1:11" x14ac:dyDescent="0.25">
      <c r="A2447" s="163"/>
      <c r="B2447" s="96"/>
      <c r="C2447" s="78"/>
      <c r="D2447" s="73"/>
      <c r="E2447" s="78" t="s">
        <v>1335</v>
      </c>
      <c r="F2447" s="74"/>
      <c r="G2447" s="72"/>
      <c r="I2447" s="2"/>
      <c r="J2447" s="10"/>
      <c r="K2447"/>
    </row>
    <row r="2448" spans="1:11" x14ac:dyDescent="0.25">
      <c r="A2448" s="163"/>
      <c r="B2448" s="96"/>
      <c r="C2448" s="78"/>
      <c r="D2448" s="73"/>
      <c r="E2448" s="77" t="s">
        <v>1336</v>
      </c>
      <c r="F2448" s="74" t="s">
        <v>3</v>
      </c>
      <c r="G2448" s="72">
        <f>0.06*0.08*1.5*8*1.12</f>
        <v>6.4512E-2</v>
      </c>
      <c r="I2448" s="2"/>
      <c r="J2448" s="10"/>
      <c r="K2448"/>
    </row>
    <row r="2449" spans="1:11" x14ac:dyDescent="0.25">
      <c r="A2449" s="163"/>
      <c r="B2449" s="96"/>
      <c r="C2449" s="78"/>
      <c r="D2449" s="75" t="s">
        <v>1320</v>
      </c>
      <c r="E2449" s="73"/>
      <c r="F2449" s="74"/>
      <c r="G2449" s="72"/>
      <c r="I2449" s="2"/>
      <c r="J2449" s="10"/>
      <c r="K2449"/>
    </row>
    <row r="2450" spans="1:11" x14ac:dyDescent="0.25">
      <c r="A2450" s="163"/>
      <c r="B2450" s="96"/>
      <c r="C2450" s="78"/>
      <c r="D2450" s="73" t="s">
        <v>140</v>
      </c>
      <c r="E2450" s="73"/>
      <c r="F2450" s="74" t="s">
        <v>3</v>
      </c>
      <c r="G2450" s="72">
        <f>0.018*0.08*1.2</f>
        <v>1.7279999999999997E-3</v>
      </c>
      <c r="I2450" s="2"/>
      <c r="J2450" s="10"/>
      <c r="K2450"/>
    </row>
    <row r="2451" spans="1:11" ht="17.25" x14ac:dyDescent="0.25">
      <c r="A2451" s="163"/>
      <c r="B2451" s="96"/>
      <c r="C2451" s="78"/>
      <c r="D2451" s="73" t="s">
        <v>23</v>
      </c>
      <c r="E2451" s="73"/>
      <c r="F2451" s="74" t="s">
        <v>596</v>
      </c>
      <c r="G2451" s="72">
        <f>G2450*1.5</f>
        <v>2.5919999999999997E-3</v>
      </c>
      <c r="I2451" s="2"/>
      <c r="J2451" s="10"/>
      <c r="K2451"/>
    </row>
    <row r="2452" spans="1:11" x14ac:dyDescent="0.25">
      <c r="A2452" s="163"/>
      <c r="B2452" s="96"/>
      <c r="C2452" s="78"/>
      <c r="D2452" s="73" t="s">
        <v>142</v>
      </c>
      <c r="E2452" s="73"/>
      <c r="F2452" s="74" t="s">
        <v>3</v>
      </c>
      <c r="G2452" s="72">
        <f>G2450/4</f>
        <v>4.3199999999999993E-4</v>
      </c>
      <c r="I2452" s="2"/>
      <c r="J2452" s="10"/>
      <c r="K2452"/>
    </row>
    <row r="2453" spans="1:11" x14ac:dyDescent="0.25">
      <c r="A2453" s="163"/>
      <c r="B2453" s="96"/>
      <c r="C2453" s="78"/>
      <c r="D2453" s="73"/>
      <c r="E2453" s="75" t="s">
        <v>1321</v>
      </c>
      <c r="F2453" s="74"/>
      <c r="G2453" s="72"/>
      <c r="I2453" s="2"/>
      <c r="J2453" s="10"/>
      <c r="K2453"/>
    </row>
    <row r="2454" spans="1:11" x14ac:dyDescent="0.25">
      <c r="A2454" s="163"/>
      <c r="B2454" s="96"/>
      <c r="C2454" s="78"/>
      <c r="D2454" s="73"/>
      <c r="E2454" s="73" t="s">
        <v>1322</v>
      </c>
      <c r="F2454" s="74" t="s">
        <v>3</v>
      </c>
      <c r="G2454" s="72">
        <v>7.0000000000000001E-3</v>
      </c>
      <c r="I2454" t="s">
        <v>1323</v>
      </c>
      <c r="J2454" s="10"/>
      <c r="K2454"/>
    </row>
    <row r="2455" spans="1:11" x14ac:dyDescent="0.25">
      <c r="A2455" s="163"/>
      <c r="B2455" s="96"/>
      <c r="C2455" s="78"/>
      <c r="D2455" s="78" t="s">
        <v>1324</v>
      </c>
      <c r="E2455" s="73"/>
      <c r="F2455" s="74"/>
      <c r="G2455" s="72"/>
      <c r="I2455" s="2"/>
      <c r="J2455" s="10"/>
      <c r="K2455"/>
    </row>
    <row r="2456" spans="1:11" x14ac:dyDescent="0.25">
      <c r="A2456" s="163"/>
      <c r="B2456" s="96"/>
      <c r="C2456" s="78"/>
      <c r="D2456" s="77" t="s">
        <v>1054</v>
      </c>
      <c r="E2456" s="73"/>
      <c r="F2456" s="152" t="s">
        <v>3</v>
      </c>
      <c r="G2456" s="72">
        <f>(0.4+0.022*3.14*4+0.012*3.14*2)*0.08*1.3</f>
        <v>7.8174720000000003E-2</v>
      </c>
      <c r="I2456" s="2"/>
      <c r="J2456" s="10"/>
      <c r="K2456"/>
    </row>
    <row r="2457" spans="1:11" ht="17.25" x14ac:dyDescent="0.25">
      <c r="A2457" s="163"/>
      <c r="B2457" s="96"/>
      <c r="C2457" s="78"/>
      <c r="D2457" s="73" t="s">
        <v>1055</v>
      </c>
      <c r="E2457" s="73"/>
      <c r="F2457" s="152" t="s">
        <v>596</v>
      </c>
      <c r="G2457" s="72">
        <f>G2456</f>
        <v>7.8174720000000003E-2</v>
      </c>
      <c r="I2457" s="2"/>
      <c r="J2457" s="10"/>
      <c r="K2457"/>
    </row>
    <row r="2458" spans="1:11" x14ac:dyDescent="0.25">
      <c r="A2458" s="163"/>
      <c r="B2458" s="96"/>
      <c r="C2458" s="78"/>
      <c r="D2458" s="77" t="s">
        <v>8</v>
      </c>
      <c r="E2458" s="73"/>
      <c r="F2458" s="74" t="s">
        <v>3</v>
      </c>
      <c r="G2458" s="72">
        <f>G2459*0.84</f>
        <v>5.0213519999999998E-2</v>
      </c>
      <c r="I2458" s="2"/>
      <c r="J2458" s="10"/>
      <c r="K2458"/>
    </row>
    <row r="2459" spans="1:11" x14ac:dyDescent="0.25">
      <c r="A2459" s="163"/>
      <c r="B2459" s="96"/>
      <c r="C2459" s="78"/>
      <c r="D2459" s="77" t="s">
        <v>115</v>
      </c>
      <c r="E2459" s="73"/>
      <c r="F2459" s="74" t="s">
        <v>3</v>
      </c>
      <c r="G2459" s="72">
        <f>0.3*0.27*2*0.15*2*1.23</f>
        <v>5.9777999999999998E-2</v>
      </c>
      <c r="I2459" s="2"/>
      <c r="J2459" s="10"/>
      <c r="K2459"/>
    </row>
    <row r="2460" spans="1:11" x14ac:dyDescent="0.25">
      <c r="A2460" s="163"/>
      <c r="B2460" s="96"/>
      <c r="C2460" s="78"/>
      <c r="D2460" s="77" t="s">
        <v>12</v>
      </c>
      <c r="E2460" s="73"/>
      <c r="F2460" s="74" t="s">
        <v>3</v>
      </c>
      <c r="G2460" s="72">
        <f>0.3*(G2459+G2458)</f>
        <v>3.2997455999999994E-2</v>
      </c>
      <c r="I2460" s="2"/>
      <c r="J2460" s="10"/>
      <c r="K2460"/>
    </row>
    <row r="2461" spans="1:11" x14ac:dyDescent="0.25">
      <c r="A2461" s="163"/>
      <c r="B2461" s="106"/>
      <c r="C2461" s="78"/>
      <c r="D2461" s="73"/>
      <c r="E2461" s="75" t="s">
        <v>1325</v>
      </c>
      <c r="F2461" s="74"/>
      <c r="G2461" s="72"/>
      <c r="I2461" s="2"/>
      <c r="J2461" s="10"/>
      <c r="K2461"/>
    </row>
    <row r="2462" spans="1:11" x14ac:dyDescent="0.25">
      <c r="A2462" s="163"/>
      <c r="B2462" s="96"/>
      <c r="C2462" s="186"/>
      <c r="D2462" s="73"/>
      <c r="E2462" s="75" t="s">
        <v>1326</v>
      </c>
      <c r="F2462" s="74"/>
      <c r="G2462" s="72"/>
      <c r="I2462" s="2"/>
      <c r="J2462" s="10"/>
      <c r="K2462"/>
    </row>
    <row r="2463" spans="1:11" x14ac:dyDescent="0.25">
      <c r="A2463" s="163"/>
      <c r="B2463" s="96"/>
      <c r="C2463" s="186"/>
      <c r="D2463" s="73"/>
      <c r="E2463" s="100" t="s">
        <v>1327</v>
      </c>
      <c r="F2463" s="74" t="s">
        <v>3</v>
      </c>
      <c r="G2463" s="72">
        <f>0.1*0.016*5*8*1.1</f>
        <v>7.0400000000000004E-2</v>
      </c>
      <c r="I2463" s="2"/>
      <c r="J2463" s="10"/>
      <c r="K2463"/>
    </row>
    <row r="2464" spans="1:11" x14ac:dyDescent="0.25">
      <c r="A2464" s="163"/>
      <c r="B2464" s="106"/>
      <c r="C2464" s="186"/>
      <c r="D2464" s="75" t="s">
        <v>1328</v>
      </c>
      <c r="E2464" s="73"/>
      <c r="F2464" s="74"/>
      <c r="G2464" s="72"/>
      <c r="I2464" s="2"/>
      <c r="J2464" s="10"/>
      <c r="K2464"/>
    </row>
    <row r="2465" spans="1:11" x14ac:dyDescent="0.25">
      <c r="A2465" s="163"/>
      <c r="B2465" s="106"/>
      <c r="C2465" s="186"/>
      <c r="D2465" s="73" t="s">
        <v>1307</v>
      </c>
      <c r="E2465" s="73"/>
      <c r="F2465" s="74" t="s">
        <v>3</v>
      </c>
      <c r="G2465" s="72">
        <v>1.4999999999999999E-2</v>
      </c>
      <c r="I2465" s="2"/>
      <c r="J2465" s="10"/>
      <c r="K2465"/>
    </row>
    <row r="2466" spans="1:11" x14ac:dyDescent="0.25">
      <c r="A2466" s="163"/>
      <c r="B2466" s="96"/>
      <c r="C2466" s="186"/>
      <c r="D2466" s="73"/>
      <c r="E2466" s="75" t="s">
        <v>1329</v>
      </c>
      <c r="F2466" s="74"/>
      <c r="G2466" s="72"/>
      <c r="I2466" s="2"/>
      <c r="J2466" s="10"/>
      <c r="K2466"/>
    </row>
    <row r="2467" spans="1:11" x14ac:dyDescent="0.25">
      <c r="A2467" s="163"/>
      <c r="B2467" s="96"/>
      <c r="C2467" s="186"/>
      <c r="D2467" s="73"/>
      <c r="E2467" s="77" t="s">
        <v>1054</v>
      </c>
      <c r="F2467" s="152" t="s">
        <v>3</v>
      </c>
      <c r="G2467" s="72">
        <f>(0.8+0.05*3.14*3+0.2)*0.08*1.19</f>
        <v>0.1400392</v>
      </c>
      <c r="I2467" s="2"/>
      <c r="J2467" s="10"/>
      <c r="K2467"/>
    </row>
    <row r="2468" spans="1:11" ht="17.25" x14ac:dyDescent="0.25">
      <c r="A2468" s="163"/>
      <c r="B2468" s="96"/>
      <c r="C2468" s="186"/>
      <c r="D2468" s="73"/>
      <c r="E2468" s="73" t="s">
        <v>1055</v>
      </c>
      <c r="F2468" s="152" t="s">
        <v>596</v>
      </c>
      <c r="G2468" s="72">
        <f>G2467</f>
        <v>0.1400392</v>
      </c>
      <c r="I2468" s="2"/>
      <c r="J2468" s="10"/>
      <c r="K2468"/>
    </row>
    <row r="2469" spans="1:11" x14ac:dyDescent="0.25">
      <c r="A2469" s="163"/>
      <c r="B2469" s="96"/>
      <c r="C2469" s="186"/>
      <c r="D2469" s="73"/>
      <c r="E2469" s="77" t="s">
        <v>1021</v>
      </c>
      <c r="F2469" s="74" t="s">
        <v>3</v>
      </c>
      <c r="G2469" s="72">
        <v>0.06</v>
      </c>
      <c r="I2469" s="2"/>
      <c r="J2469" s="10"/>
      <c r="K2469"/>
    </row>
    <row r="2470" spans="1:11" x14ac:dyDescent="0.25">
      <c r="A2470" s="163"/>
      <c r="B2470" s="96"/>
      <c r="C2470" s="186"/>
      <c r="D2470" s="73"/>
      <c r="E2470" s="77" t="s">
        <v>661</v>
      </c>
      <c r="F2470" s="74" t="s">
        <v>3</v>
      </c>
      <c r="G2470" s="72">
        <f>0.3*G2469</f>
        <v>1.7999999999999999E-2</v>
      </c>
      <c r="I2470" s="2"/>
      <c r="J2470" s="10"/>
      <c r="K2470"/>
    </row>
    <row r="2471" spans="1:11" x14ac:dyDescent="0.25">
      <c r="A2471" s="163"/>
      <c r="B2471" s="96"/>
      <c r="C2471" s="186"/>
      <c r="D2471" s="73"/>
      <c r="E2471" s="78" t="s">
        <v>1330</v>
      </c>
      <c r="F2471" s="74"/>
      <c r="G2471" s="72"/>
      <c r="I2471" s="2"/>
      <c r="J2471" s="10"/>
      <c r="K2471"/>
    </row>
    <row r="2472" spans="1:11" x14ac:dyDescent="0.25">
      <c r="A2472" s="163"/>
      <c r="B2472" s="96"/>
      <c r="C2472" s="186"/>
      <c r="D2472" s="73"/>
      <c r="E2472" s="77" t="s">
        <v>1310</v>
      </c>
      <c r="F2472" s="74" t="s">
        <v>3</v>
      </c>
      <c r="G2472" s="72">
        <v>0.52</v>
      </c>
      <c r="I2472" t="s">
        <v>1333</v>
      </c>
      <c r="J2472" s="10"/>
      <c r="K2472"/>
    </row>
    <row r="2473" spans="1:11" x14ac:dyDescent="0.25">
      <c r="A2473" s="163"/>
      <c r="B2473" s="96"/>
      <c r="C2473" s="186"/>
      <c r="D2473" s="73"/>
      <c r="E2473" s="78" t="s">
        <v>1331</v>
      </c>
      <c r="F2473" s="74"/>
      <c r="G2473" s="72"/>
      <c r="I2473" s="2"/>
      <c r="J2473" s="10"/>
      <c r="K2473"/>
    </row>
    <row r="2474" spans="1:11" x14ac:dyDescent="0.25">
      <c r="A2474" s="163"/>
      <c r="B2474" s="96"/>
      <c r="C2474" s="186"/>
      <c r="D2474" s="73"/>
      <c r="E2474" s="77" t="s">
        <v>1318</v>
      </c>
      <c r="F2474" s="74" t="s">
        <v>3</v>
      </c>
      <c r="G2474" s="72">
        <f>0.12*0.07*1.5*8*1.09</f>
        <v>0.10987200000000003</v>
      </c>
      <c r="I2474" s="2"/>
      <c r="J2474" s="10"/>
      <c r="K2474"/>
    </row>
    <row r="2475" spans="1:11" x14ac:dyDescent="0.25">
      <c r="A2475" s="163"/>
      <c r="B2475" s="96"/>
      <c r="C2475" s="186"/>
      <c r="D2475" s="73"/>
      <c r="E2475" s="78" t="s">
        <v>1332</v>
      </c>
      <c r="F2475" s="74"/>
      <c r="G2475" s="72"/>
      <c r="I2475" s="2"/>
      <c r="J2475" s="10"/>
      <c r="K2475"/>
    </row>
    <row r="2476" spans="1:11" x14ac:dyDescent="0.25">
      <c r="A2476" s="163"/>
      <c r="B2476" s="96"/>
      <c r="C2476" s="186"/>
      <c r="D2476" s="73"/>
      <c r="E2476" s="77" t="s">
        <v>1310</v>
      </c>
      <c r="F2476" s="74" t="s">
        <v>3</v>
      </c>
      <c r="G2476" s="72">
        <v>0.14000000000000001</v>
      </c>
      <c r="I2476" t="s">
        <v>1224</v>
      </c>
      <c r="J2476" s="10"/>
      <c r="K2476"/>
    </row>
    <row r="2477" spans="1:11" x14ac:dyDescent="0.25">
      <c r="A2477" s="163"/>
      <c r="B2477" s="96"/>
      <c r="C2477" s="186"/>
      <c r="D2477" s="75" t="s">
        <v>1337</v>
      </c>
      <c r="E2477" s="73"/>
      <c r="F2477" s="74"/>
      <c r="G2477" s="72"/>
      <c r="I2477" s="2"/>
      <c r="J2477" s="10"/>
      <c r="K2477"/>
    </row>
    <row r="2478" spans="1:11" x14ac:dyDescent="0.25">
      <c r="A2478" s="163"/>
      <c r="B2478" s="96"/>
      <c r="C2478" s="186"/>
      <c r="D2478" s="73" t="s">
        <v>115</v>
      </c>
      <c r="E2478" s="73"/>
      <c r="F2478" s="74" t="s">
        <v>3</v>
      </c>
      <c r="G2478" s="72">
        <v>3.0000000000000001E-3</v>
      </c>
      <c r="I2478" s="2"/>
      <c r="J2478" s="10"/>
      <c r="K2478"/>
    </row>
    <row r="2479" spans="1:11" x14ac:dyDescent="0.25">
      <c r="A2479" s="163"/>
      <c r="B2479" s="96"/>
      <c r="C2479" s="186"/>
      <c r="D2479" s="77" t="s">
        <v>12</v>
      </c>
      <c r="E2479" s="73"/>
      <c r="F2479" s="74" t="s">
        <v>3</v>
      </c>
      <c r="G2479" s="72">
        <f>0.3*(G2478)</f>
        <v>8.9999999999999998E-4</v>
      </c>
      <c r="I2479" s="2"/>
      <c r="J2479" s="10"/>
      <c r="K2479"/>
    </row>
    <row r="2480" spans="1:11" x14ac:dyDescent="0.25">
      <c r="A2480" s="163"/>
      <c r="B2480" s="96"/>
      <c r="C2480" s="186"/>
      <c r="D2480" s="73"/>
      <c r="E2480" s="75" t="s">
        <v>1338</v>
      </c>
      <c r="F2480" s="74"/>
      <c r="G2480" s="72"/>
      <c r="I2480" s="2"/>
      <c r="J2480" s="10"/>
      <c r="K2480"/>
    </row>
    <row r="2481" spans="1:11" x14ac:dyDescent="0.25">
      <c r="A2481" s="163"/>
      <c r="B2481" s="96"/>
      <c r="C2481" s="186"/>
      <c r="D2481" s="73"/>
      <c r="E2481" s="73" t="s">
        <v>415</v>
      </c>
      <c r="F2481" s="74" t="s">
        <v>3</v>
      </c>
      <c r="G2481" s="72">
        <f>0.425*0.04*1.5*8*1.15</f>
        <v>0.2346</v>
      </c>
      <c r="I2481" s="2"/>
      <c r="J2481" s="10"/>
      <c r="K2481"/>
    </row>
    <row r="2482" spans="1:11" x14ac:dyDescent="0.25">
      <c r="A2482" s="163"/>
      <c r="B2482" s="96"/>
      <c r="C2482" s="186"/>
      <c r="D2482" s="73"/>
      <c r="E2482" s="73" t="s">
        <v>8</v>
      </c>
      <c r="F2482" s="74" t="s">
        <v>3</v>
      </c>
      <c r="G2482" s="72">
        <f>G2483*0.8</f>
        <v>1.2383999999999999E-2</v>
      </c>
      <c r="I2482" s="2"/>
      <c r="J2482" s="10"/>
      <c r="K2482"/>
    </row>
    <row r="2483" spans="1:11" x14ac:dyDescent="0.25">
      <c r="A2483" s="163"/>
      <c r="B2483" s="96"/>
      <c r="C2483" s="186"/>
      <c r="D2483" s="73"/>
      <c r="E2483" s="73" t="s">
        <v>115</v>
      </c>
      <c r="F2483" s="74" t="s">
        <v>3</v>
      </c>
      <c r="G2483" s="72">
        <f>0.43*0.015*2*1.2</f>
        <v>1.5479999999999999E-2</v>
      </c>
      <c r="I2483" s="2"/>
      <c r="J2483" s="10"/>
      <c r="K2483"/>
    </row>
    <row r="2484" spans="1:11" x14ac:dyDescent="0.25">
      <c r="A2484" s="163"/>
      <c r="B2484" s="96"/>
      <c r="C2484" s="186"/>
      <c r="D2484" s="73"/>
      <c r="E2484" s="77" t="s">
        <v>12</v>
      </c>
      <c r="F2484" s="74" t="s">
        <v>3</v>
      </c>
      <c r="G2484" s="72">
        <f>0.3*(G2483+G2482)</f>
        <v>8.3591999999999989E-3</v>
      </c>
      <c r="I2484" s="2"/>
      <c r="J2484" s="10"/>
      <c r="K2484"/>
    </row>
    <row r="2485" spans="1:11" x14ac:dyDescent="0.25">
      <c r="A2485" s="163"/>
      <c r="B2485" s="96"/>
      <c r="C2485" s="186"/>
      <c r="D2485" s="73"/>
      <c r="E2485" s="75" t="s">
        <v>1339</v>
      </c>
      <c r="F2485" s="74"/>
      <c r="G2485" s="72"/>
      <c r="I2485" s="2"/>
      <c r="J2485" s="10"/>
      <c r="K2485"/>
    </row>
    <row r="2486" spans="1:11" x14ac:dyDescent="0.25">
      <c r="A2486" s="163"/>
      <c r="B2486" s="96"/>
      <c r="C2486" s="186"/>
      <c r="D2486" s="73"/>
      <c r="E2486" s="73" t="s">
        <v>984</v>
      </c>
      <c r="F2486" s="74" t="s">
        <v>3</v>
      </c>
      <c r="G2486" s="72">
        <f>0.39*0.015*1*8*1.12</f>
        <v>5.2416000000000004E-2</v>
      </c>
      <c r="I2486" s="2"/>
      <c r="J2486" s="10"/>
      <c r="K2486"/>
    </row>
    <row r="2487" spans="1:11" x14ac:dyDescent="0.25">
      <c r="A2487" s="163"/>
      <c r="B2487" s="96"/>
      <c r="C2487" s="186"/>
      <c r="D2487" s="73"/>
      <c r="E2487" s="73" t="s">
        <v>8</v>
      </c>
      <c r="F2487" s="74" t="s">
        <v>3</v>
      </c>
      <c r="G2487" s="72">
        <f>G2488*0.8</f>
        <v>6.4000000000000003E-3</v>
      </c>
      <c r="I2487" s="2"/>
      <c r="J2487" s="10"/>
      <c r="K2487"/>
    </row>
    <row r="2488" spans="1:11" x14ac:dyDescent="0.25">
      <c r="A2488" s="163"/>
      <c r="B2488" s="96"/>
      <c r="C2488" s="186"/>
      <c r="D2488" s="73"/>
      <c r="E2488" s="73" t="s">
        <v>115</v>
      </c>
      <c r="F2488" s="74" t="s">
        <v>3</v>
      </c>
      <c r="G2488" s="72">
        <f>0.4*0.01*2</f>
        <v>8.0000000000000002E-3</v>
      </c>
      <c r="I2488" s="2"/>
      <c r="J2488" s="10"/>
      <c r="K2488"/>
    </row>
    <row r="2489" spans="1:11" x14ac:dyDescent="0.25">
      <c r="A2489" s="163"/>
      <c r="B2489" s="96"/>
      <c r="C2489" s="186"/>
      <c r="D2489" s="73"/>
      <c r="E2489" s="77" t="s">
        <v>12</v>
      </c>
      <c r="F2489" s="74" t="s">
        <v>3</v>
      </c>
      <c r="G2489" s="72">
        <f>0.3*(G2488+G2487)</f>
        <v>4.3200000000000001E-3</v>
      </c>
      <c r="I2489" s="2"/>
      <c r="J2489" s="10"/>
      <c r="K2489"/>
    </row>
    <row r="2490" spans="1:11" x14ac:dyDescent="0.25">
      <c r="A2490" s="163"/>
      <c r="B2490" s="96"/>
      <c r="C2490" s="186"/>
      <c r="D2490" s="75" t="s">
        <v>1340</v>
      </c>
      <c r="E2490" s="73"/>
      <c r="F2490" s="74"/>
      <c r="G2490" s="72"/>
      <c r="I2490" s="2"/>
      <c r="J2490" s="10"/>
      <c r="K2490"/>
    </row>
    <row r="2491" spans="1:11" x14ac:dyDescent="0.25">
      <c r="A2491" s="163"/>
      <c r="B2491" s="96"/>
      <c r="C2491" s="186"/>
      <c r="D2491" s="77" t="s">
        <v>1346</v>
      </c>
      <c r="E2491" s="73"/>
      <c r="F2491" s="74" t="s">
        <v>3</v>
      </c>
      <c r="G2491" s="72">
        <v>4.2999999999999997E-2</v>
      </c>
      <c r="I2491" t="s">
        <v>1347</v>
      </c>
      <c r="J2491" s="10"/>
      <c r="K2491"/>
    </row>
    <row r="2492" spans="1:11" x14ac:dyDescent="0.25">
      <c r="A2492" s="163"/>
      <c r="B2492" s="96"/>
      <c r="C2492" s="186"/>
      <c r="D2492" s="100" t="s">
        <v>1021</v>
      </c>
      <c r="E2492" s="73"/>
      <c r="F2492" s="74" t="s">
        <v>3</v>
      </c>
      <c r="G2492" s="72">
        <f>0.05*3.14*0.015*2*0.15*2*1.3</f>
        <v>1.8369000000000003E-3</v>
      </c>
      <c r="I2492" s="2"/>
      <c r="K2492" s="6"/>
    </row>
    <row r="2493" spans="1:11" x14ac:dyDescent="0.25">
      <c r="A2493" s="163"/>
      <c r="B2493" s="96"/>
      <c r="C2493" s="186"/>
      <c r="D2493" s="100" t="s">
        <v>661</v>
      </c>
      <c r="E2493" s="73"/>
      <c r="F2493" s="74" t="s">
        <v>3</v>
      </c>
      <c r="G2493" s="72">
        <f>0.3*G2492</f>
        <v>5.5107000000000008E-4</v>
      </c>
      <c r="I2493" s="2"/>
      <c r="J2493" s="10"/>
      <c r="K2493"/>
    </row>
    <row r="2494" spans="1:11" x14ac:dyDescent="0.25">
      <c r="A2494" s="163"/>
      <c r="B2494" s="96"/>
      <c r="C2494" s="186"/>
      <c r="D2494" s="100" t="s">
        <v>13</v>
      </c>
      <c r="E2494" s="73"/>
      <c r="F2494" s="74" t="s">
        <v>3</v>
      </c>
      <c r="G2494" s="72">
        <v>5.0000000000000001E-3</v>
      </c>
      <c r="I2494" s="2"/>
      <c r="J2494" s="10"/>
      <c r="K2494"/>
    </row>
    <row r="2495" spans="1:11" x14ac:dyDescent="0.25">
      <c r="A2495" s="163"/>
      <c r="B2495" s="96"/>
      <c r="C2495" s="186"/>
      <c r="D2495" s="75" t="s">
        <v>1341</v>
      </c>
      <c r="E2495" s="73"/>
      <c r="F2495" s="74"/>
      <c r="G2495" s="72"/>
      <c r="I2495" s="2"/>
      <c r="J2495" s="10"/>
      <c r="K2495"/>
    </row>
    <row r="2496" spans="1:11" x14ac:dyDescent="0.25">
      <c r="A2496" s="163"/>
      <c r="B2496" s="96"/>
      <c r="C2496" s="186"/>
      <c r="D2496" s="77" t="s">
        <v>1346</v>
      </c>
      <c r="E2496" s="73"/>
      <c r="F2496" s="74" t="s">
        <v>3</v>
      </c>
      <c r="G2496" s="72">
        <v>5.1999999999999998E-2</v>
      </c>
      <c r="I2496" t="s">
        <v>1348</v>
      </c>
      <c r="J2496" s="10"/>
      <c r="K2496"/>
    </row>
    <row r="2497" spans="1:11" x14ac:dyDescent="0.25">
      <c r="A2497" s="163"/>
      <c r="B2497" s="96"/>
      <c r="C2497" s="186"/>
      <c r="D2497" s="100" t="s">
        <v>1021</v>
      </c>
      <c r="E2497" s="73"/>
      <c r="F2497" s="74" t="s">
        <v>3</v>
      </c>
      <c r="G2497" s="72">
        <f>0.05*3.14*0.02*2*0.15*2*1.3</f>
        <v>2.4492000000000003E-3</v>
      </c>
      <c r="I2497" s="2"/>
      <c r="J2497" s="10"/>
      <c r="K2497"/>
    </row>
    <row r="2498" spans="1:11" x14ac:dyDescent="0.25">
      <c r="A2498" s="163"/>
      <c r="B2498" s="96"/>
      <c r="C2498" s="186"/>
      <c r="D2498" s="100" t="s">
        <v>661</v>
      </c>
      <c r="E2498" s="73"/>
      <c r="F2498" s="74" t="s">
        <v>3</v>
      </c>
      <c r="G2498" s="72">
        <f>0.3*G2497</f>
        <v>7.347600000000001E-4</v>
      </c>
      <c r="I2498" s="2"/>
      <c r="J2498" s="10"/>
      <c r="K2498"/>
    </row>
    <row r="2499" spans="1:11" x14ac:dyDescent="0.25">
      <c r="A2499" s="163"/>
      <c r="B2499" s="96"/>
      <c r="C2499" s="186"/>
      <c r="D2499" s="100" t="s">
        <v>13</v>
      </c>
      <c r="E2499" s="73"/>
      <c r="F2499" s="74" t="s">
        <v>3</v>
      </c>
      <c r="G2499" s="72">
        <v>5.0000000000000001E-3</v>
      </c>
      <c r="I2499" s="2"/>
      <c r="J2499" s="10"/>
      <c r="K2499"/>
    </row>
    <row r="2500" spans="1:11" x14ac:dyDescent="0.25">
      <c r="A2500" s="163"/>
      <c r="B2500" s="96"/>
      <c r="C2500" s="186"/>
      <c r="D2500" s="75" t="s">
        <v>1342</v>
      </c>
      <c r="E2500" s="73"/>
      <c r="F2500" s="74"/>
      <c r="G2500" s="72"/>
      <c r="I2500" s="2"/>
      <c r="J2500" s="10"/>
      <c r="K2500"/>
    </row>
    <row r="2501" spans="1:11" x14ac:dyDescent="0.25">
      <c r="A2501" s="163"/>
      <c r="B2501" s="96"/>
      <c r="C2501" s="186"/>
      <c r="D2501" s="77" t="s">
        <v>1346</v>
      </c>
      <c r="E2501" s="73"/>
      <c r="F2501" s="74" t="s">
        <v>3</v>
      </c>
      <c r="G2501" s="72">
        <v>0.06</v>
      </c>
      <c r="I2501" t="s">
        <v>1323</v>
      </c>
      <c r="J2501" s="10"/>
      <c r="K2501"/>
    </row>
    <row r="2502" spans="1:11" x14ac:dyDescent="0.25">
      <c r="A2502" s="163"/>
      <c r="B2502" s="96"/>
      <c r="C2502" s="186"/>
      <c r="D2502" s="100" t="s">
        <v>1021</v>
      </c>
      <c r="E2502" s="73"/>
      <c r="F2502" s="74" t="s">
        <v>3</v>
      </c>
      <c r="G2502" s="72">
        <f>0.05*3.14*0.025*2*0.15*2*1.3</f>
        <v>3.0615000000000004E-3</v>
      </c>
      <c r="I2502" s="2"/>
      <c r="J2502" s="10"/>
      <c r="K2502"/>
    </row>
    <row r="2503" spans="1:11" x14ac:dyDescent="0.25">
      <c r="A2503" s="163"/>
      <c r="B2503" s="96"/>
      <c r="C2503" s="186"/>
      <c r="D2503" s="100" t="s">
        <v>661</v>
      </c>
      <c r="E2503" s="73"/>
      <c r="F2503" s="74" t="s">
        <v>3</v>
      </c>
      <c r="G2503" s="72">
        <f>0.3*G2502</f>
        <v>9.1845000000000013E-4</v>
      </c>
      <c r="I2503" s="2"/>
      <c r="J2503" s="10"/>
      <c r="K2503"/>
    </row>
    <row r="2504" spans="1:11" x14ac:dyDescent="0.25">
      <c r="A2504" s="163"/>
      <c r="B2504" s="96"/>
      <c r="C2504" s="186"/>
      <c r="D2504" s="100" t="s">
        <v>13</v>
      </c>
      <c r="E2504" s="73"/>
      <c r="F2504" s="74" t="s">
        <v>3</v>
      </c>
      <c r="G2504" s="72">
        <v>0.01</v>
      </c>
      <c r="I2504" s="2"/>
      <c r="J2504" s="10"/>
      <c r="K2504"/>
    </row>
    <row r="2505" spans="1:11" x14ac:dyDescent="0.25">
      <c r="A2505" s="163"/>
      <c r="B2505" s="96"/>
      <c r="C2505" s="186"/>
      <c r="D2505" s="75" t="s">
        <v>1343</v>
      </c>
      <c r="E2505" s="73"/>
      <c r="F2505" s="74"/>
      <c r="G2505" s="72"/>
      <c r="I2505" s="2"/>
      <c r="J2505" s="10"/>
      <c r="K2505"/>
    </row>
    <row r="2506" spans="1:11" x14ac:dyDescent="0.25">
      <c r="A2506" s="163"/>
      <c r="B2506" s="96"/>
      <c r="C2506" s="186"/>
      <c r="D2506" s="77" t="s">
        <v>1346</v>
      </c>
      <c r="E2506" s="73"/>
      <c r="F2506" s="74" t="s">
        <v>3</v>
      </c>
      <c r="G2506" s="72">
        <v>6.9000000000000006E-2</v>
      </c>
      <c r="I2506" t="s">
        <v>1349</v>
      </c>
      <c r="J2506" s="10"/>
      <c r="K2506"/>
    </row>
    <row r="2507" spans="1:11" x14ac:dyDescent="0.25">
      <c r="A2507" s="163"/>
      <c r="B2507" s="96"/>
      <c r="C2507" s="186"/>
      <c r="D2507" s="100" t="s">
        <v>1021</v>
      </c>
      <c r="E2507" s="73"/>
      <c r="F2507" s="74" t="s">
        <v>3</v>
      </c>
      <c r="G2507" s="72">
        <f>0.05*3.14*0.03*2*0.15*2*1.3</f>
        <v>3.6738000000000005E-3</v>
      </c>
      <c r="I2507" s="2"/>
      <c r="J2507" s="10"/>
      <c r="K2507"/>
    </row>
    <row r="2508" spans="1:11" x14ac:dyDescent="0.25">
      <c r="A2508" s="163"/>
      <c r="B2508" s="96"/>
      <c r="C2508" s="186"/>
      <c r="D2508" s="100" t="s">
        <v>661</v>
      </c>
      <c r="E2508" s="73"/>
      <c r="F2508" s="74" t="s">
        <v>3</v>
      </c>
      <c r="G2508" s="72">
        <f>0.3*G2507</f>
        <v>1.1021400000000002E-3</v>
      </c>
      <c r="I2508" s="2"/>
      <c r="J2508" s="10"/>
      <c r="K2508"/>
    </row>
    <row r="2509" spans="1:11" x14ac:dyDescent="0.25">
      <c r="A2509" s="163"/>
      <c r="B2509" s="96"/>
      <c r="C2509" s="186"/>
      <c r="D2509" s="100" t="s">
        <v>13</v>
      </c>
      <c r="E2509" s="73"/>
      <c r="F2509" s="74" t="s">
        <v>3</v>
      </c>
      <c r="G2509" s="72">
        <v>0.01</v>
      </c>
      <c r="I2509" s="2"/>
      <c r="J2509" s="10"/>
      <c r="K2509"/>
    </row>
    <row r="2510" spans="1:11" x14ac:dyDescent="0.25">
      <c r="A2510" s="163"/>
      <c r="B2510" s="96"/>
      <c r="C2510" s="186"/>
      <c r="D2510" s="75" t="s">
        <v>1344</v>
      </c>
      <c r="E2510" s="73"/>
      <c r="F2510" s="74"/>
      <c r="G2510" s="72"/>
      <c r="I2510" s="2"/>
      <c r="J2510" s="10"/>
      <c r="K2510"/>
    </row>
    <row r="2511" spans="1:11" x14ac:dyDescent="0.25">
      <c r="A2511" s="163"/>
      <c r="B2511" s="96"/>
      <c r="C2511" s="186"/>
      <c r="D2511" s="77" t="s">
        <v>1346</v>
      </c>
      <c r="E2511" s="73"/>
      <c r="F2511" s="74" t="s">
        <v>3</v>
      </c>
      <c r="G2511" s="72">
        <v>7.6999999999999999E-2</v>
      </c>
      <c r="I2511" t="s">
        <v>1350</v>
      </c>
      <c r="J2511" s="10"/>
      <c r="K2511"/>
    </row>
    <row r="2512" spans="1:11" x14ac:dyDescent="0.25">
      <c r="A2512" s="163"/>
      <c r="B2512" s="96"/>
      <c r="C2512" s="186"/>
      <c r="D2512" s="100" t="s">
        <v>1021</v>
      </c>
      <c r="E2512" s="73"/>
      <c r="F2512" s="74" t="s">
        <v>3</v>
      </c>
      <c r="G2512" s="72">
        <f>0.05*3.14*0.035*2*0.15*2*1.3</f>
        <v>4.286100000000001E-3</v>
      </c>
      <c r="I2512" s="2"/>
      <c r="J2512" s="10"/>
      <c r="K2512"/>
    </row>
    <row r="2513" spans="1:11" x14ac:dyDescent="0.25">
      <c r="A2513" s="163"/>
      <c r="B2513" s="96"/>
      <c r="C2513" s="186"/>
      <c r="D2513" s="100" t="s">
        <v>661</v>
      </c>
      <c r="E2513" s="73"/>
      <c r="F2513" s="74" t="s">
        <v>3</v>
      </c>
      <c r="G2513" s="72">
        <f>0.3*G2512</f>
        <v>1.2858300000000002E-3</v>
      </c>
      <c r="I2513" s="2"/>
      <c r="J2513" s="10"/>
      <c r="K2513"/>
    </row>
    <row r="2514" spans="1:11" x14ac:dyDescent="0.25">
      <c r="A2514" s="163"/>
      <c r="B2514" s="96"/>
      <c r="C2514" s="186"/>
      <c r="D2514" s="100" t="s">
        <v>13</v>
      </c>
      <c r="E2514" s="73"/>
      <c r="F2514" s="74" t="s">
        <v>3</v>
      </c>
      <c r="G2514" s="72">
        <v>0.01</v>
      </c>
      <c r="I2514" s="2"/>
      <c r="J2514" s="10"/>
      <c r="K2514"/>
    </row>
    <row r="2515" spans="1:11" x14ac:dyDescent="0.25">
      <c r="A2515" s="163"/>
      <c r="B2515" s="96"/>
      <c r="C2515" s="186"/>
      <c r="D2515" s="75" t="s">
        <v>1345</v>
      </c>
      <c r="E2515" s="73"/>
      <c r="F2515" s="74"/>
      <c r="G2515" s="72"/>
      <c r="I2515" s="2"/>
      <c r="J2515" s="10"/>
      <c r="K2515"/>
    </row>
    <row r="2516" spans="1:11" x14ac:dyDescent="0.25">
      <c r="A2516" s="163"/>
      <c r="B2516" s="96"/>
      <c r="C2516" s="186"/>
      <c r="D2516" s="77" t="s">
        <v>1346</v>
      </c>
      <c r="E2516" s="73"/>
      <c r="F2516" s="74" t="s">
        <v>3</v>
      </c>
      <c r="G2516" s="72">
        <v>8.5999999999999993E-2</v>
      </c>
      <c r="I2516" t="s">
        <v>1351</v>
      </c>
      <c r="J2516" s="10"/>
      <c r="K2516"/>
    </row>
    <row r="2517" spans="1:11" x14ac:dyDescent="0.25">
      <c r="A2517" s="163"/>
      <c r="B2517" s="96"/>
      <c r="C2517" s="186"/>
      <c r="D2517" s="100" t="s">
        <v>1021</v>
      </c>
      <c r="E2517" s="73"/>
      <c r="F2517" s="74" t="s">
        <v>3</v>
      </c>
      <c r="G2517" s="72">
        <f>0.05*3.14*0.04*2*0.15*2*1.3</f>
        <v>4.8984000000000007E-3</v>
      </c>
      <c r="I2517" s="2"/>
      <c r="J2517" s="10"/>
      <c r="K2517"/>
    </row>
    <row r="2518" spans="1:11" x14ac:dyDescent="0.25">
      <c r="A2518" s="163"/>
      <c r="B2518" s="96"/>
      <c r="C2518" s="186"/>
      <c r="D2518" s="100" t="s">
        <v>661</v>
      </c>
      <c r="E2518" s="73"/>
      <c r="F2518" s="74" t="s">
        <v>3</v>
      </c>
      <c r="G2518" s="72">
        <f>0.3*G2517</f>
        <v>1.4695200000000002E-3</v>
      </c>
      <c r="I2518" s="2"/>
      <c r="J2518" s="10"/>
      <c r="K2518"/>
    </row>
    <row r="2519" spans="1:11" x14ac:dyDescent="0.25">
      <c r="A2519" s="163"/>
      <c r="B2519" s="96"/>
      <c r="C2519" s="186"/>
      <c r="D2519" s="100" t="s">
        <v>13</v>
      </c>
      <c r="E2519" s="73"/>
      <c r="F2519" s="74" t="s">
        <v>3</v>
      </c>
      <c r="G2519" s="72">
        <v>0.01</v>
      </c>
      <c r="I2519" s="2"/>
      <c r="J2519" s="10"/>
      <c r="K2519"/>
    </row>
    <row r="2520" spans="1:11" x14ac:dyDescent="0.25">
      <c r="A2520" s="163"/>
      <c r="B2520" s="96"/>
      <c r="C2520" s="186"/>
      <c r="D2520" s="73"/>
      <c r="E2520" s="73"/>
      <c r="F2520" s="74"/>
      <c r="G2520" s="72"/>
      <c r="I2520" s="2"/>
      <c r="J2520" s="10"/>
      <c r="K2520"/>
    </row>
    <row r="2521" spans="1:11" x14ac:dyDescent="0.25">
      <c r="A2521" s="193">
        <v>132</v>
      </c>
      <c r="B2521" s="96"/>
      <c r="C2521" s="78" t="s">
        <v>1354</v>
      </c>
      <c r="D2521" s="73"/>
      <c r="E2521" s="73"/>
      <c r="F2521" s="74"/>
      <c r="G2521" s="72"/>
      <c r="I2521" s="2"/>
      <c r="J2521" s="10"/>
      <c r="K2521"/>
    </row>
    <row r="2522" spans="1:11" x14ac:dyDescent="0.25">
      <c r="A2522" s="163"/>
      <c r="B2522" s="96"/>
      <c r="C2522" s="77" t="s">
        <v>8</v>
      </c>
      <c r="D2522" s="73"/>
      <c r="E2522" s="73"/>
      <c r="F2522" s="74" t="s">
        <v>3</v>
      </c>
      <c r="G2522" s="72">
        <f>G2523*0.84</f>
        <v>5.0211840000000001E-2</v>
      </c>
      <c r="I2522" s="2"/>
      <c r="J2522" s="10"/>
      <c r="K2522"/>
    </row>
    <row r="2523" spans="1:11" x14ac:dyDescent="0.25">
      <c r="A2523" s="163"/>
      <c r="B2523" s="96"/>
      <c r="C2523" s="77" t="s">
        <v>115</v>
      </c>
      <c r="D2523" s="73"/>
      <c r="E2523" s="73"/>
      <c r="F2523" s="74" t="s">
        <v>3</v>
      </c>
      <c r="G2523" s="72">
        <f>0.528*0.195*2*0.15*2-0.002</f>
        <v>5.9776000000000003E-2</v>
      </c>
      <c r="I2523" s="2"/>
      <c r="J2523" s="10"/>
      <c r="K2523"/>
    </row>
    <row r="2524" spans="1:11" x14ac:dyDescent="0.25">
      <c r="A2524" s="163"/>
      <c r="B2524" s="96"/>
      <c r="C2524" s="77" t="s">
        <v>1355</v>
      </c>
      <c r="D2524" s="73"/>
      <c r="E2524" s="73"/>
      <c r="F2524" s="74" t="s">
        <v>3</v>
      </c>
      <c r="G2524" s="72">
        <f>0.3*(G2523+G2522)</f>
        <v>3.2996352E-2</v>
      </c>
      <c r="I2524" s="2"/>
      <c r="J2524" s="10"/>
      <c r="K2524"/>
    </row>
    <row r="2525" spans="1:11" x14ac:dyDescent="0.25">
      <c r="A2525" s="163"/>
      <c r="B2525" s="96"/>
      <c r="C2525" s="186"/>
      <c r="D2525" s="75" t="s">
        <v>1356</v>
      </c>
      <c r="E2525" s="73"/>
      <c r="F2525" s="74"/>
      <c r="G2525" s="72"/>
      <c r="I2525" s="2"/>
      <c r="J2525" s="10"/>
      <c r="K2525"/>
    </row>
    <row r="2526" spans="1:11" ht="17.25" x14ac:dyDescent="0.25">
      <c r="A2526" s="163"/>
      <c r="B2526" s="96"/>
      <c r="C2526" s="186"/>
      <c r="D2526" s="73" t="s">
        <v>1357</v>
      </c>
      <c r="E2526" s="73"/>
      <c r="F2526" s="74" t="s">
        <v>677</v>
      </c>
      <c r="G2526" s="72">
        <v>0.11</v>
      </c>
      <c r="I2526" s="2"/>
      <c r="J2526" s="10"/>
      <c r="K2526"/>
    </row>
    <row r="2527" spans="1:11" x14ac:dyDescent="0.25">
      <c r="A2527" s="163"/>
      <c r="B2527" s="96"/>
      <c r="C2527" s="186"/>
      <c r="D2527" s="73"/>
      <c r="E2527" s="73"/>
      <c r="F2527" s="74"/>
      <c r="G2527" s="72"/>
      <c r="I2527" s="2"/>
      <c r="J2527" s="10"/>
      <c r="K2527"/>
    </row>
    <row r="2528" spans="1:11" x14ac:dyDescent="0.25">
      <c r="A2528" s="193">
        <v>133</v>
      </c>
      <c r="B2528" s="96"/>
      <c r="C2528" s="78" t="s">
        <v>1358</v>
      </c>
      <c r="D2528" s="73"/>
      <c r="E2528" s="73"/>
      <c r="F2528" s="74"/>
      <c r="G2528" s="72"/>
      <c r="I2528" s="2"/>
      <c r="J2528" s="10"/>
      <c r="K2528"/>
    </row>
    <row r="2529" spans="1:11" x14ac:dyDescent="0.25">
      <c r="A2529" s="163"/>
      <c r="B2529" s="96"/>
      <c r="C2529" s="77" t="s">
        <v>8</v>
      </c>
      <c r="D2529" s="73"/>
      <c r="E2529" s="73"/>
      <c r="F2529" s="74" t="s">
        <v>3</v>
      </c>
      <c r="G2529" s="72">
        <f>G2530*0.84</f>
        <v>6.7199999999999996E-2</v>
      </c>
      <c r="I2529" s="2"/>
      <c r="J2529" s="10"/>
      <c r="K2529"/>
    </row>
    <row r="2530" spans="1:11" x14ac:dyDescent="0.25">
      <c r="A2530" s="163"/>
      <c r="B2530" s="96"/>
      <c r="C2530" s="77" t="s">
        <v>115</v>
      </c>
      <c r="D2530" s="73"/>
      <c r="E2530" s="73"/>
      <c r="F2530" s="74" t="s">
        <v>3</v>
      </c>
      <c r="G2530" s="72">
        <v>0.08</v>
      </c>
      <c r="I2530" s="2"/>
      <c r="J2530" s="10"/>
      <c r="K2530"/>
    </row>
    <row r="2531" spans="1:11" x14ac:dyDescent="0.25">
      <c r="A2531" s="163"/>
      <c r="B2531" s="96"/>
      <c r="C2531" s="77" t="s">
        <v>1355</v>
      </c>
      <c r="D2531" s="73"/>
      <c r="E2531" s="73"/>
      <c r="F2531" s="74" t="s">
        <v>3</v>
      </c>
      <c r="G2531" s="72">
        <f>0.3*(G2530+G2529)</f>
        <v>4.4159999999999998E-2</v>
      </c>
      <c r="I2531" s="2"/>
      <c r="J2531" s="10"/>
      <c r="K2531"/>
    </row>
    <row r="2532" spans="1:11" x14ac:dyDescent="0.25">
      <c r="A2532" s="163"/>
      <c r="B2532" s="96"/>
      <c r="C2532" s="186"/>
      <c r="D2532" s="75" t="s">
        <v>1359</v>
      </c>
      <c r="E2532" s="73"/>
      <c r="F2532" s="74"/>
      <c r="G2532" s="72"/>
      <c r="I2532" s="2"/>
      <c r="J2532" s="10"/>
      <c r="K2532"/>
    </row>
    <row r="2533" spans="1:11" ht="17.25" x14ac:dyDescent="0.25">
      <c r="A2533" s="163"/>
      <c r="B2533" s="96"/>
      <c r="C2533" s="186"/>
      <c r="D2533" s="73" t="s">
        <v>1357</v>
      </c>
      <c r="E2533" s="73"/>
      <c r="F2533" s="74" t="s">
        <v>677</v>
      </c>
      <c r="G2533" s="72">
        <f>0.64*0.193*1.13</f>
        <v>0.1395776</v>
      </c>
      <c r="I2533" s="2"/>
      <c r="J2533" s="10"/>
      <c r="K2533"/>
    </row>
    <row r="2534" spans="1:11" x14ac:dyDescent="0.25">
      <c r="A2534" s="163"/>
      <c r="B2534" s="96"/>
      <c r="C2534" s="186"/>
      <c r="D2534" s="73"/>
      <c r="E2534" s="73"/>
      <c r="F2534" s="74"/>
      <c r="G2534" s="72"/>
      <c r="I2534" s="2"/>
      <c r="J2534" s="10"/>
      <c r="K2534"/>
    </row>
    <row r="2535" spans="1:11" x14ac:dyDescent="0.25">
      <c r="A2535" s="193">
        <v>142</v>
      </c>
      <c r="B2535" s="96"/>
      <c r="C2535" s="78" t="s">
        <v>1360</v>
      </c>
      <c r="D2535" s="73"/>
      <c r="E2535" s="73"/>
      <c r="F2535" s="74"/>
      <c r="G2535" s="72"/>
      <c r="I2535" s="2"/>
      <c r="J2535" s="10"/>
      <c r="K2535"/>
    </row>
    <row r="2536" spans="1:11" x14ac:dyDescent="0.25">
      <c r="A2536" s="163"/>
      <c r="B2536" s="96"/>
      <c r="C2536" s="186" t="s">
        <v>723</v>
      </c>
      <c r="D2536" s="73"/>
      <c r="E2536" s="73"/>
      <c r="F2536" s="74" t="s">
        <v>3</v>
      </c>
      <c r="G2536" s="72">
        <v>4.0000000000000001E-3</v>
      </c>
      <c r="I2536" s="2"/>
      <c r="J2536" s="10"/>
      <c r="K2536"/>
    </row>
    <row r="2537" spans="1:11" x14ac:dyDescent="0.25">
      <c r="A2537" s="163"/>
      <c r="B2537" s="96"/>
      <c r="C2537" s="186"/>
      <c r="D2537" s="75" t="s">
        <v>1361</v>
      </c>
      <c r="E2537" s="73"/>
      <c r="F2537" s="74"/>
      <c r="G2537" s="72"/>
      <c r="I2537" s="2"/>
      <c r="J2537" s="10"/>
      <c r="K2537"/>
    </row>
    <row r="2538" spans="1:11" x14ac:dyDescent="0.25">
      <c r="A2538" s="163"/>
      <c r="B2538" s="96"/>
      <c r="C2538" s="186"/>
      <c r="D2538" s="77" t="s">
        <v>1054</v>
      </c>
      <c r="E2538" s="73"/>
      <c r="F2538" s="152" t="s">
        <v>3</v>
      </c>
      <c r="G2538" s="72">
        <f>0.1*0.08*1.2</f>
        <v>9.5999999999999992E-3</v>
      </c>
      <c r="I2538" s="2"/>
      <c r="J2538" s="10"/>
      <c r="K2538"/>
    </row>
    <row r="2539" spans="1:11" ht="17.25" x14ac:dyDescent="0.25">
      <c r="A2539" s="163"/>
      <c r="B2539" s="96"/>
      <c r="C2539" s="186"/>
      <c r="D2539" s="73" t="s">
        <v>1055</v>
      </c>
      <c r="E2539" s="73"/>
      <c r="F2539" s="152" t="s">
        <v>596</v>
      </c>
      <c r="G2539" s="72">
        <f>G2538</f>
        <v>9.5999999999999992E-3</v>
      </c>
      <c r="I2539" s="2"/>
      <c r="J2539" s="10"/>
      <c r="K2539"/>
    </row>
    <row r="2540" spans="1:11" x14ac:dyDescent="0.25">
      <c r="A2540" s="163"/>
      <c r="B2540" s="96"/>
      <c r="C2540" s="186"/>
      <c r="D2540" s="77" t="s">
        <v>1362</v>
      </c>
      <c r="E2540" s="73"/>
      <c r="F2540" s="74" t="s">
        <v>3</v>
      </c>
      <c r="G2540" s="72">
        <v>6.0000000000000001E-3</v>
      </c>
      <c r="I2540" s="2"/>
      <c r="J2540" s="10"/>
      <c r="K2540"/>
    </row>
    <row r="2541" spans="1:11" x14ac:dyDescent="0.25">
      <c r="A2541" s="163"/>
      <c r="B2541" s="96"/>
      <c r="C2541" s="186"/>
      <c r="D2541" s="77" t="s">
        <v>14</v>
      </c>
      <c r="E2541" s="73"/>
      <c r="F2541" s="74" t="s">
        <v>3</v>
      </c>
      <c r="G2541" s="72">
        <f>G2542</f>
        <v>9.9600000000000001E-3</v>
      </c>
      <c r="I2541" s="2"/>
      <c r="J2541" s="10"/>
      <c r="K2541"/>
    </row>
    <row r="2542" spans="1:11" x14ac:dyDescent="0.25">
      <c r="A2542" s="163"/>
      <c r="B2542" s="96"/>
      <c r="C2542" s="186"/>
      <c r="D2542" s="77" t="s">
        <v>148</v>
      </c>
      <c r="E2542" s="73"/>
      <c r="F2542" s="74" t="s">
        <v>3</v>
      </c>
      <c r="G2542" s="72">
        <f>0.06*0.03*2*1.3+0.2*0.011*2*1.2</f>
        <v>9.9600000000000001E-3</v>
      </c>
      <c r="I2542" s="2"/>
      <c r="J2542" s="10"/>
      <c r="K2542"/>
    </row>
    <row r="2543" spans="1:11" x14ac:dyDescent="0.25">
      <c r="A2543" s="163"/>
      <c r="B2543" s="96"/>
      <c r="C2543" s="186"/>
      <c r="D2543" s="77" t="s">
        <v>12</v>
      </c>
      <c r="E2543" s="73"/>
      <c r="F2543" s="74" t="s">
        <v>3</v>
      </c>
      <c r="G2543" s="72" t="e">
        <f>0.3*(G2542+#REF!)</f>
        <v>#REF!</v>
      </c>
      <c r="I2543" s="2"/>
      <c r="J2543" s="10"/>
      <c r="K2543"/>
    </row>
    <row r="2544" spans="1:11" x14ac:dyDescent="0.25">
      <c r="A2544" s="163"/>
      <c r="B2544" s="96"/>
      <c r="C2544" s="186"/>
      <c r="D2544" s="73" t="s">
        <v>140</v>
      </c>
      <c r="E2544" s="73"/>
      <c r="F2544" s="74" t="s">
        <v>3</v>
      </c>
      <c r="G2544" s="72">
        <f>0.025*4*0.08*1.2</f>
        <v>9.5999999999999992E-3</v>
      </c>
      <c r="I2544" s="2"/>
      <c r="J2544" s="10"/>
      <c r="K2544"/>
    </row>
    <row r="2545" spans="1:11" ht="17.25" x14ac:dyDescent="0.25">
      <c r="A2545" s="163"/>
      <c r="B2545" s="96"/>
      <c r="C2545" s="186"/>
      <c r="D2545" s="73" t="s">
        <v>23</v>
      </c>
      <c r="E2545" s="73"/>
      <c r="F2545" s="74" t="s">
        <v>596</v>
      </c>
      <c r="G2545" s="72">
        <f>G2544*1.5</f>
        <v>1.44E-2</v>
      </c>
      <c r="I2545" s="2"/>
      <c r="J2545" s="10"/>
      <c r="K2545"/>
    </row>
    <row r="2546" spans="1:11" x14ac:dyDescent="0.25">
      <c r="A2546" s="163"/>
      <c r="B2546" s="96"/>
      <c r="C2546" s="186"/>
      <c r="D2546" s="73" t="s">
        <v>142</v>
      </c>
      <c r="E2546" s="73"/>
      <c r="F2546" s="74" t="s">
        <v>3</v>
      </c>
      <c r="G2546" s="72">
        <f>G2544/4</f>
        <v>2.3999999999999998E-3</v>
      </c>
      <c r="I2546" s="2"/>
      <c r="J2546" s="10"/>
      <c r="K2546"/>
    </row>
    <row r="2547" spans="1:11" x14ac:dyDescent="0.25">
      <c r="A2547" s="163"/>
      <c r="B2547" s="96"/>
      <c r="C2547" s="186"/>
      <c r="D2547" s="73"/>
      <c r="E2547" s="75" t="s">
        <v>1363</v>
      </c>
      <c r="F2547" s="74"/>
      <c r="G2547" s="72"/>
      <c r="I2547" s="2"/>
      <c r="J2547" s="10"/>
      <c r="K2547"/>
    </row>
    <row r="2548" spans="1:11" x14ac:dyDescent="0.25">
      <c r="A2548" s="163"/>
      <c r="B2548" s="96"/>
      <c r="C2548" s="186"/>
      <c r="D2548" s="73"/>
      <c r="E2548" s="73" t="s">
        <v>480</v>
      </c>
      <c r="F2548" s="74" t="s">
        <v>3</v>
      </c>
      <c r="G2548" s="72">
        <v>3.5000000000000003E-2</v>
      </c>
      <c r="I2548" t="s">
        <v>1365</v>
      </c>
      <c r="J2548" s="10"/>
      <c r="K2548"/>
    </row>
    <row r="2549" spans="1:11" x14ac:dyDescent="0.25">
      <c r="A2549" s="163"/>
      <c r="B2549" s="96"/>
      <c r="C2549" s="186"/>
      <c r="D2549" s="73"/>
      <c r="E2549" s="75" t="s">
        <v>1364</v>
      </c>
      <c r="F2549" s="74"/>
      <c r="G2549" s="72"/>
      <c r="I2549" s="2"/>
      <c r="J2549" s="10"/>
      <c r="K2549"/>
    </row>
    <row r="2550" spans="1:11" x14ac:dyDescent="0.25">
      <c r="A2550" s="163"/>
      <c r="B2550" s="96"/>
      <c r="C2550" s="186"/>
      <c r="D2550" s="73"/>
      <c r="E2550" s="73" t="s">
        <v>480</v>
      </c>
      <c r="F2550" s="74" t="s">
        <v>3</v>
      </c>
      <c r="G2550" s="72">
        <v>1.7000000000000001E-2</v>
      </c>
      <c r="I2550" t="s">
        <v>1161</v>
      </c>
      <c r="J2550" s="10"/>
      <c r="K2550"/>
    </row>
    <row r="2551" spans="1:11" x14ac:dyDescent="0.25">
      <c r="A2551" s="163"/>
      <c r="B2551" s="96"/>
      <c r="C2551" s="186"/>
      <c r="D2551" s="75" t="s">
        <v>1366</v>
      </c>
      <c r="E2551" s="73"/>
      <c r="F2551" s="74"/>
      <c r="G2551" s="72"/>
      <c r="I2551" s="2"/>
      <c r="J2551" s="10"/>
      <c r="K2551"/>
    </row>
    <row r="2552" spans="1:11" x14ac:dyDescent="0.25">
      <c r="A2552" s="163"/>
      <c r="B2552" s="96"/>
      <c r="C2552" s="186"/>
      <c r="D2552" s="73" t="s">
        <v>671</v>
      </c>
      <c r="E2552" s="73"/>
      <c r="F2552" s="74" t="s">
        <v>3</v>
      </c>
      <c r="G2552" s="72">
        <v>5.0000000000000001E-3</v>
      </c>
      <c r="I2552" s="2"/>
      <c r="J2552" s="10"/>
      <c r="K2552"/>
    </row>
    <row r="2553" spans="1:11" x14ac:dyDescent="0.25">
      <c r="A2553" s="163"/>
      <c r="B2553" s="96"/>
      <c r="C2553" s="186"/>
      <c r="D2553" s="73" t="s">
        <v>672</v>
      </c>
      <c r="E2553" s="73"/>
      <c r="F2553" s="74" t="s">
        <v>3</v>
      </c>
      <c r="G2553" s="72">
        <f>G2552</f>
        <v>5.0000000000000001E-3</v>
      </c>
      <c r="I2553" s="2"/>
      <c r="J2553" s="10"/>
      <c r="K2553"/>
    </row>
    <row r="2554" spans="1:11" x14ac:dyDescent="0.25">
      <c r="A2554" s="163"/>
      <c r="B2554" s="96"/>
      <c r="C2554" s="186"/>
      <c r="D2554" s="73"/>
      <c r="E2554" s="73"/>
      <c r="F2554" s="74"/>
      <c r="G2554" s="72"/>
      <c r="I2554" s="2"/>
      <c r="J2554" s="10"/>
      <c r="K2554"/>
    </row>
    <row r="2555" spans="1:11" x14ac:dyDescent="0.25">
      <c r="A2555" s="193">
        <v>143</v>
      </c>
      <c r="B2555" s="96"/>
      <c r="C2555" s="78" t="s">
        <v>1367</v>
      </c>
      <c r="D2555" s="73"/>
      <c r="E2555" s="73"/>
      <c r="F2555" s="74"/>
      <c r="G2555" s="72"/>
      <c r="I2555" s="2"/>
      <c r="J2555" s="10"/>
      <c r="K2555"/>
    </row>
    <row r="2556" spans="1:11" x14ac:dyDescent="0.25">
      <c r="A2556" s="163"/>
      <c r="B2556" s="96"/>
      <c r="C2556" s="186" t="s">
        <v>1372</v>
      </c>
      <c r="D2556" s="73"/>
      <c r="E2556" s="73"/>
      <c r="F2556" s="74" t="s">
        <v>3</v>
      </c>
      <c r="G2556" s="72">
        <v>1E-3</v>
      </c>
      <c r="I2556" s="2"/>
      <c r="J2556" s="10"/>
      <c r="K2556"/>
    </row>
    <row r="2557" spans="1:11" x14ac:dyDescent="0.25">
      <c r="A2557" s="163"/>
      <c r="B2557" s="96"/>
      <c r="C2557" s="77" t="s">
        <v>723</v>
      </c>
      <c r="D2557" s="73"/>
      <c r="E2557" s="73"/>
      <c r="F2557" s="74" t="s">
        <v>3</v>
      </c>
      <c r="G2557" s="72">
        <v>8.9999999999999993E-3</v>
      </c>
      <c r="I2557" s="2"/>
      <c r="J2557" s="10"/>
      <c r="K2557"/>
    </row>
    <row r="2558" spans="1:11" x14ac:dyDescent="0.25">
      <c r="A2558" s="163"/>
      <c r="B2558" s="96"/>
      <c r="C2558" s="186"/>
      <c r="D2558" s="78" t="s">
        <v>1368</v>
      </c>
      <c r="E2558" s="73"/>
      <c r="F2558" s="74"/>
      <c r="G2558" s="72"/>
      <c r="I2558" s="2"/>
      <c r="J2558" s="10"/>
      <c r="K2558"/>
    </row>
    <row r="2559" spans="1:11" x14ac:dyDescent="0.25">
      <c r="A2559" s="163"/>
      <c r="B2559" s="96"/>
      <c r="C2559" s="186"/>
      <c r="D2559" s="73" t="s">
        <v>140</v>
      </c>
      <c r="E2559" s="73"/>
      <c r="F2559" s="74" t="s">
        <v>3</v>
      </c>
      <c r="G2559" s="72">
        <f>0.012*3.14*2*0.08*1.2</f>
        <v>7.234560000000001E-3</v>
      </c>
      <c r="I2559" s="2"/>
      <c r="J2559" s="10"/>
      <c r="K2559"/>
    </row>
    <row r="2560" spans="1:11" ht="17.25" x14ac:dyDescent="0.25">
      <c r="A2560" s="163"/>
      <c r="B2560" s="96"/>
      <c r="C2560" s="186"/>
      <c r="D2560" s="73" t="s">
        <v>23</v>
      </c>
      <c r="E2560" s="73"/>
      <c r="F2560" s="74" t="s">
        <v>596</v>
      </c>
      <c r="G2560" s="72">
        <f>G2559*1.5</f>
        <v>1.0851840000000001E-2</v>
      </c>
      <c r="I2560" s="2"/>
      <c r="J2560" s="10"/>
      <c r="K2560"/>
    </row>
    <row r="2561" spans="1:16" x14ac:dyDescent="0.25">
      <c r="A2561" s="163"/>
      <c r="B2561" s="96"/>
      <c r="C2561" s="186"/>
      <c r="D2561" s="73" t="s">
        <v>142</v>
      </c>
      <c r="E2561" s="73"/>
      <c r="F2561" s="74" t="s">
        <v>3</v>
      </c>
      <c r="G2561" s="72">
        <f>G2559/4</f>
        <v>1.8086400000000002E-3</v>
      </c>
      <c r="I2561" s="2"/>
      <c r="J2561" s="10"/>
      <c r="K2561"/>
    </row>
    <row r="2562" spans="1:16" x14ac:dyDescent="0.25">
      <c r="A2562" s="163"/>
      <c r="B2562" s="96"/>
      <c r="C2562" s="186"/>
      <c r="D2562" s="73" t="s">
        <v>8</v>
      </c>
      <c r="E2562" s="73"/>
      <c r="F2562" s="74" t="s">
        <v>3</v>
      </c>
      <c r="G2562" s="72">
        <f>G2563</f>
        <v>1.056E-2</v>
      </c>
      <c r="I2562" s="2"/>
      <c r="J2562" s="10"/>
      <c r="K2562"/>
    </row>
    <row r="2563" spans="1:16" x14ac:dyDescent="0.25">
      <c r="A2563" s="163"/>
      <c r="B2563" s="96"/>
      <c r="C2563" s="186"/>
      <c r="D2563" s="77" t="s">
        <v>325</v>
      </c>
      <c r="E2563" s="73"/>
      <c r="F2563" s="74" t="s">
        <v>3</v>
      </c>
      <c r="G2563" s="72">
        <f>0.4*0.011*2*1.2</f>
        <v>1.056E-2</v>
      </c>
      <c r="I2563" s="2"/>
      <c r="J2563" s="10"/>
      <c r="K2563"/>
    </row>
    <row r="2564" spans="1:16" x14ac:dyDescent="0.25">
      <c r="A2564" s="163"/>
      <c r="B2564" s="96"/>
      <c r="C2564" s="186"/>
      <c r="D2564" s="77" t="s">
        <v>12</v>
      </c>
      <c r="E2564" s="73"/>
      <c r="F2564" s="74" t="s">
        <v>3</v>
      </c>
      <c r="G2564" s="72" t="e">
        <f>0.3*(G2563+#REF!)</f>
        <v>#REF!</v>
      </c>
      <c r="I2564" s="2"/>
      <c r="J2564" s="10"/>
      <c r="K2564"/>
    </row>
    <row r="2565" spans="1:16" x14ac:dyDescent="0.25">
      <c r="A2565" s="163"/>
      <c r="B2565" s="96"/>
      <c r="C2565" s="186"/>
      <c r="D2565" s="73"/>
      <c r="E2565" s="75" t="s">
        <v>1369</v>
      </c>
      <c r="F2565" s="74"/>
      <c r="G2565" s="72"/>
      <c r="I2565" s="2"/>
      <c r="J2565" s="10"/>
      <c r="K2565"/>
    </row>
    <row r="2566" spans="1:16" x14ac:dyDescent="0.25">
      <c r="A2566" s="163"/>
      <c r="B2566" s="96"/>
      <c r="C2566" s="186"/>
      <c r="D2566" s="73"/>
      <c r="E2566" s="73" t="s">
        <v>159</v>
      </c>
      <c r="F2566" s="74" t="s">
        <v>3</v>
      </c>
      <c r="G2566" s="72">
        <v>0.11</v>
      </c>
      <c r="I2566" t="s">
        <v>1370</v>
      </c>
      <c r="J2566" s="10"/>
      <c r="K2566" s="11">
        <f>0.9/90</f>
        <v>0.01</v>
      </c>
    </row>
    <row r="2567" spans="1:16" x14ac:dyDescent="0.25">
      <c r="A2567" s="163"/>
      <c r="B2567" s="96"/>
      <c r="C2567" s="186"/>
      <c r="D2567" s="78" t="s">
        <v>1165</v>
      </c>
      <c r="E2567" s="73"/>
      <c r="F2567" s="74"/>
      <c r="G2567" s="72"/>
      <c r="I2567" s="2"/>
      <c r="J2567" s="10"/>
      <c r="K2567">
        <f>5.445/180</f>
        <v>3.0250000000000003E-2</v>
      </c>
    </row>
    <row r="2568" spans="1:16" ht="60" x14ac:dyDescent="0.25">
      <c r="A2568" s="163"/>
      <c r="B2568" s="96"/>
      <c r="C2568" s="186"/>
      <c r="D2568" s="77" t="s">
        <v>1164</v>
      </c>
      <c r="E2568" s="73"/>
      <c r="F2568" s="74" t="s">
        <v>195</v>
      </c>
      <c r="G2568" s="72">
        <v>0.53</v>
      </c>
      <c r="I2568" s="53" t="s">
        <v>1504</v>
      </c>
      <c r="J2568" s="10"/>
      <c r="K2568">
        <f>0.09*0.09*0.5*8.9</f>
        <v>3.6045000000000001E-2</v>
      </c>
    </row>
    <row r="2569" spans="1:16" x14ac:dyDescent="0.25">
      <c r="A2569" s="163"/>
      <c r="B2569" s="96"/>
      <c r="C2569" s="186"/>
      <c r="D2569" s="73"/>
      <c r="E2569" s="73"/>
      <c r="F2569" s="74"/>
      <c r="G2569" s="72"/>
      <c r="I2569" s="2" t="s">
        <v>1505</v>
      </c>
      <c r="J2569" s="10"/>
      <c r="K2569" s="2"/>
    </row>
    <row r="2570" spans="1:16" x14ac:dyDescent="0.25">
      <c r="A2570" s="193">
        <v>168</v>
      </c>
      <c r="B2570" s="96"/>
      <c r="C2570" s="78" t="s">
        <v>1371</v>
      </c>
      <c r="D2570" s="73"/>
      <c r="E2570" s="73"/>
      <c r="F2570" s="74"/>
      <c r="G2570" s="72"/>
      <c r="I2570" s="2" t="s">
        <v>1506</v>
      </c>
      <c r="J2570" s="10"/>
      <c r="K2570"/>
    </row>
    <row r="2571" spans="1:16" x14ac:dyDescent="0.25">
      <c r="A2571" s="163"/>
      <c r="B2571" s="96"/>
      <c r="C2571" s="186"/>
      <c r="D2571" s="75" t="s">
        <v>1114</v>
      </c>
      <c r="E2571" s="73"/>
      <c r="F2571" s="74"/>
      <c r="G2571" s="72"/>
      <c r="I2571" s="2"/>
      <c r="J2571" s="10"/>
      <c r="K2571"/>
    </row>
    <row r="2572" spans="1:16" x14ac:dyDescent="0.25">
      <c r="A2572" s="163"/>
      <c r="B2572" s="96"/>
      <c r="C2572" s="186"/>
      <c r="D2572" s="77" t="s">
        <v>1116</v>
      </c>
      <c r="E2572" s="73"/>
      <c r="F2572" s="74" t="s">
        <v>3</v>
      </c>
      <c r="G2572" s="72">
        <v>1.7999999999999999E-2</v>
      </c>
      <c r="I2572" s="2"/>
      <c r="J2572" s="10"/>
      <c r="K2572"/>
    </row>
    <row r="2573" spans="1:16" x14ac:dyDescent="0.25">
      <c r="A2573" s="163"/>
      <c r="B2573" s="96"/>
      <c r="C2573" s="186"/>
      <c r="D2573" s="78" t="s">
        <v>1115</v>
      </c>
      <c r="E2573" s="73"/>
      <c r="F2573" s="74"/>
      <c r="G2573" s="72"/>
      <c r="I2573" s="2"/>
      <c r="J2573" s="10"/>
      <c r="K2573"/>
    </row>
    <row r="2574" spans="1:16" x14ac:dyDescent="0.25">
      <c r="A2574" s="163"/>
      <c r="B2574" s="96"/>
      <c r="C2574" s="186"/>
      <c r="D2574" s="186" t="s">
        <v>957</v>
      </c>
      <c r="E2574" s="73"/>
      <c r="F2574" s="74" t="s">
        <v>3</v>
      </c>
      <c r="G2574" s="72">
        <f>0.025*0.04*1*8.5</f>
        <v>8.5000000000000006E-3</v>
      </c>
      <c r="I2574" s="2"/>
      <c r="J2574" s="10"/>
      <c r="K2574"/>
    </row>
    <row r="2575" spans="1:16" x14ac:dyDescent="0.25">
      <c r="A2575" s="163"/>
      <c r="B2575" s="96"/>
      <c r="C2575" s="186"/>
      <c r="D2575" s="78"/>
      <c r="E2575" s="73"/>
      <c r="F2575" s="74"/>
      <c r="G2575" s="72"/>
      <c r="I2575" s="2"/>
      <c r="J2575" s="10"/>
      <c r="K2575"/>
    </row>
    <row r="2576" spans="1:16" x14ac:dyDescent="0.25">
      <c r="A2576" s="163">
        <v>10</v>
      </c>
      <c r="B2576" s="96"/>
      <c r="C2576" s="75" t="s">
        <v>1373</v>
      </c>
      <c r="D2576" s="73"/>
      <c r="E2576" s="73"/>
      <c r="F2576" s="152"/>
      <c r="G2576" s="72"/>
      <c r="J2576" s="10"/>
      <c r="K2576"/>
      <c r="P2576" s="2"/>
    </row>
    <row r="2577" spans="1:11" x14ac:dyDescent="0.25">
      <c r="A2577" s="196"/>
      <c r="B2577" s="190" t="s">
        <v>1375</v>
      </c>
      <c r="C2577" s="73"/>
      <c r="D2577" s="75" t="s">
        <v>1374</v>
      </c>
      <c r="E2577" s="73"/>
      <c r="F2577" s="152"/>
      <c r="G2577" s="72"/>
      <c r="I2577" t="s">
        <v>1385</v>
      </c>
      <c r="J2577" s="10"/>
      <c r="K2577"/>
    </row>
    <row r="2578" spans="1:11" x14ac:dyDescent="0.25">
      <c r="A2578" s="163"/>
      <c r="B2578" s="191" t="s">
        <v>1377</v>
      </c>
      <c r="C2578" s="73"/>
      <c r="D2578" s="75" t="s">
        <v>1376</v>
      </c>
      <c r="E2578" s="73"/>
      <c r="F2578" s="152"/>
      <c r="G2578" s="72"/>
      <c r="I2578" t="s">
        <v>1386</v>
      </c>
      <c r="J2578" s="10"/>
      <c r="K2578"/>
    </row>
    <row r="2579" spans="1:11" x14ac:dyDescent="0.25">
      <c r="A2579" s="163"/>
      <c r="B2579" s="190" t="s">
        <v>1379</v>
      </c>
      <c r="C2579" s="73"/>
      <c r="D2579" s="75" t="s">
        <v>1378</v>
      </c>
      <c r="E2579" s="73"/>
      <c r="F2579" s="152"/>
      <c r="G2579" s="72"/>
      <c r="I2579" t="s">
        <v>1385</v>
      </c>
      <c r="J2579" s="10"/>
      <c r="K2579"/>
    </row>
    <row r="2580" spans="1:11" x14ac:dyDescent="0.25">
      <c r="A2580" s="163"/>
      <c r="B2580" s="190"/>
      <c r="C2580" s="73"/>
      <c r="D2580" s="77" t="s">
        <v>1387</v>
      </c>
      <c r="E2580" s="73"/>
      <c r="F2580" s="152" t="s">
        <v>3</v>
      </c>
      <c r="G2580" s="72">
        <v>1E-3</v>
      </c>
      <c r="J2580" s="10"/>
      <c r="K2580"/>
    </row>
    <row r="2581" spans="1:11" x14ac:dyDescent="0.25">
      <c r="A2581" s="163"/>
      <c r="B2581" s="190" t="s">
        <v>1381</v>
      </c>
      <c r="C2581" s="73"/>
      <c r="D2581" s="75" t="s">
        <v>1380</v>
      </c>
      <c r="E2581" s="73"/>
      <c r="F2581" s="152"/>
      <c r="G2581" s="72"/>
      <c r="I2581" t="s">
        <v>1388</v>
      </c>
      <c r="J2581" s="10"/>
      <c r="K2581"/>
    </row>
    <row r="2582" spans="1:11" x14ac:dyDescent="0.25">
      <c r="A2582" s="163"/>
      <c r="B2582" s="190"/>
      <c r="C2582" s="73"/>
      <c r="D2582" s="73"/>
      <c r="E2582" s="78" t="s">
        <v>1382</v>
      </c>
      <c r="F2582" s="152"/>
      <c r="G2582" s="72"/>
      <c r="I2582" t="s">
        <v>1386</v>
      </c>
      <c r="J2582" s="10"/>
      <c r="K2582"/>
    </row>
    <row r="2583" spans="1:11" x14ac:dyDescent="0.25">
      <c r="A2583" s="163"/>
      <c r="B2583" s="190"/>
      <c r="C2583" s="73"/>
      <c r="D2583" s="73"/>
      <c r="E2583" s="78" t="s">
        <v>1383</v>
      </c>
      <c r="F2583" s="152"/>
      <c r="G2583" s="72"/>
      <c r="I2583" t="s">
        <v>1386</v>
      </c>
      <c r="J2583" s="10"/>
      <c r="K2583"/>
    </row>
    <row r="2584" spans="1:11" x14ac:dyDescent="0.25">
      <c r="A2584" s="163"/>
      <c r="B2584" s="190"/>
      <c r="C2584" s="73"/>
      <c r="D2584" s="73"/>
      <c r="E2584" s="78" t="s">
        <v>1384</v>
      </c>
      <c r="F2584" s="152"/>
      <c r="G2584" s="72"/>
      <c r="I2584" t="s">
        <v>1386</v>
      </c>
      <c r="J2584" s="10"/>
      <c r="K2584"/>
    </row>
    <row r="2585" spans="1:11" ht="15.75" thickBot="1" x14ac:dyDescent="0.3">
      <c r="A2585" s="67"/>
      <c r="B2585" s="151"/>
      <c r="C2585" s="197"/>
      <c r="D2585" s="198"/>
      <c r="E2585" s="68"/>
      <c r="F2585" s="82"/>
      <c r="G2585" s="83"/>
      <c r="I2585" s="2"/>
      <c r="J2585" s="10"/>
      <c r="K2585"/>
    </row>
    <row r="2586" spans="1:11" x14ac:dyDescent="0.25">
      <c r="A2586" s="159"/>
      <c r="B2586" s="192"/>
      <c r="C2586" s="200" t="s">
        <v>1391</v>
      </c>
      <c r="D2586" s="200"/>
      <c r="E2586" s="93"/>
      <c r="F2586" s="175" t="s">
        <v>1394</v>
      </c>
      <c r="G2586" s="176"/>
      <c r="I2586" s="2"/>
      <c r="J2586" s="10"/>
      <c r="K2586"/>
    </row>
    <row r="2587" spans="1:11" x14ac:dyDescent="0.25">
      <c r="A2587" s="163"/>
      <c r="B2587" s="96"/>
      <c r="C2587" s="78"/>
      <c r="D2587" s="78"/>
      <c r="E2587" s="73"/>
      <c r="F2587" s="74"/>
      <c r="G2587" s="72"/>
      <c r="I2587" s="2"/>
      <c r="J2587" s="10"/>
      <c r="K2587"/>
    </row>
    <row r="2588" spans="1:11" x14ac:dyDescent="0.25">
      <c r="A2588" s="163"/>
      <c r="B2588" s="96"/>
      <c r="C2588" s="78" t="s">
        <v>1390</v>
      </c>
      <c r="D2588" s="78"/>
      <c r="E2588" s="73"/>
      <c r="F2588" s="74"/>
      <c r="G2588" s="72"/>
      <c r="I2588" s="2"/>
      <c r="J2588" s="10"/>
      <c r="K2588"/>
    </row>
    <row r="2589" spans="1:11" x14ac:dyDescent="0.25">
      <c r="A2589" s="163"/>
      <c r="B2589" s="96"/>
      <c r="C2589" s="77" t="s">
        <v>1392</v>
      </c>
      <c r="D2589" s="78"/>
      <c r="E2589" s="73"/>
      <c r="F2589" s="74" t="s">
        <v>3</v>
      </c>
      <c r="G2589" s="72">
        <f>0.05*0.09*3*8*1.061</f>
        <v>0.11458799999999998</v>
      </c>
      <c r="I2589" s="2"/>
      <c r="J2589" s="10"/>
      <c r="K2589"/>
    </row>
    <row r="2590" spans="1:11" x14ac:dyDescent="0.25">
      <c r="A2590" s="163"/>
      <c r="B2590" s="96"/>
      <c r="C2590" s="186"/>
      <c r="D2590" s="78"/>
      <c r="E2590" s="73"/>
      <c r="F2590" s="74"/>
      <c r="G2590" s="72"/>
      <c r="I2590" s="2"/>
      <c r="J2590" s="10"/>
      <c r="K2590"/>
    </row>
    <row r="2591" spans="1:11" x14ac:dyDescent="0.25">
      <c r="A2591" s="163"/>
      <c r="B2591" s="96"/>
      <c r="C2591" s="78" t="s">
        <v>1393</v>
      </c>
      <c r="D2591" s="78"/>
      <c r="E2591" s="73"/>
      <c r="F2591" s="74"/>
      <c r="G2591" s="72"/>
      <c r="I2591" s="2"/>
      <c r="J2591" s="10"/>
      <c r="K2591"/>
    </row>
    <row r="2592" spans="1:11" ht="15.75" thickBot="1" x14ac:dyDescent="0.3">
      <c r="A2592" s="67"/>
      <c r="B2592" s="151"/>
      <c r="C2592" s="197" t="s">
        <v>275</v>
      </c>
      <c r="D2592" s="198"/>
      <c r="E2592" s="68"/>
      <c r="F2592" s="82" t="s">
        <v>3</v>
      </c>
      <c r="G2592" s="83">
        <f>0.045*0.04*1*8*1.05</f>
        <v>1.512E-2</v>
      </c>
      <c r="I2592" s="2"/>
      <c r="J2592" s="10"/>
      <c r="K2592"/>
    </row>
    <row r="2593" spans="1:11" x14ac:dyDescent="0.25">
      <c r="B2593" s="96"/>
      <c r="C2593" s="186"/>
      <c r="D2593" s="78"/>
      <c r="F2593" s="189"/>
      <c r="G2593" s="153"/>
      <c r="I2593" s="2"/>
      <c r="J2593" s="10"/>
      <c r="K2593"/>
    </row>
    <row r="2594" spans="1:11" x14ac:dyDescent="0.25">
      <c r="B2594" s="96"/>
      <c r="C2594" s="186"/>
      <c r="D2594" s="78"/>
      <c r="F2594" s="294"/>
      <c r="G2594" s="153"/>
      <c r="I2594" s="2"/>
      <c r="J2594" s="10"/>
      <c r="K2594"/>
    </row>
    <row r="2595" spans="1:11" x14ac:dyDescent="0.25">
      <c r="B2595" s="96"/>
      <c r="C2595" s="78" t="s">
        <v>1395</v>
      </c>
      <c r="D2595" s="78"/>
      <c r="F2595" s="189"/>
      <c r="G2595" s="153"/>
      <c r="I2595" s="2"/>
      <c r="J2595" s="10"/>
      <c r="K2595"/>
    </row>
    <row r="2596" spans="1:11" x14ac:dyDescent="0.25">
      <c r="B2596" s="96"/>
      <c r="C2596" s="77" t="s">
        <v>1396</v>
      </c>
      <c r="D2596" s="78"/>
      <c r="F2596" s="199" t="s">
        <v>3</v>
      </c>
      <c r="G2596" s="153">
        <f>0.56*0.385*4*8*1.119</f>
        <v>7.7202048000000003</v>
      </c>
      <c r="I2596" s="2"/>
      <c r="J2596" s="10"/>
      <c r="K2596"/>
    </row>
    <row r="2597" spans="1:11" x14ac:dyDescent="0.25">
      <c r="B2597" s="96"/>
      <c r="C2597" s="186"/>
      <c r="D2597" s="78"/>
      <c r="F2597" s="189"/>
      <c r="G2597" s="153"/>
      <c r="I2597" s="2"/>
      <c r="J2597" s="10"/>
      <c r="K2597"/>
    </row>
    <row r="2598" spans="1:11" x14ac:dyDescent="0.25">
      <c r="B2598" s="96"/>
      <c r="C2598" s="78" t="s">
        <v>1397</v>
      </c>
      <c r="D2598" s="78"/>
      <c r="F2598" s="189"/>
      <c r="G2598" s="153"/>
      <c r="I2598" s="2"/>
      <c r="J2598" s="10"/>
      <c r="K2598"/>
    </row>
    <row r="2599" spans="1:11" x14ac:dyDescent="0.25">
      <c r="B2599" s="96"/>
      <c r="C2599" s="186" t="s">
        <v>272</v>
      </c>
      <c r="D2599" s="78"/>
      <c r="F2599" s="199" t="s">
        <v>3</v>
      </c>
      <c r="G2599" s="153">
        <f>0.295*0.62*2*8*1.1515</f>
        <v>3.3697495999999996</v>
      </c>
      <c r="I2599" s="2"/>
      <c r="J2599" s="10"/>
      <c r="K2599"/>
    </row>
    <row r="2600" spans="1:11" x14ac:dyDescent="0.25">
      <c r="B2600" s="96"/>
      <c r="C2600" s="186"/>
      <c r="D2600" s="78"/>
      <c r="F2600" s="189"/>
      <c r="G2600" s="153"/>
      <c r="I2600" s="2"/>
      <c r="J2600" s="10"/>
      <c r="K2600"/>
    </row>
    <row r="2601" spans="1:11" x14ac:dyDescent="0.25">
      <c r="B2601" s="96"/>
      <c r="C2601" s="78" t="s">
        <v>1398</v>
      </c>
      <c r="D2601" s="78"/>
      <c r="F2601" s="189"/>
      <c r="G2601" s="153"/>
      <c r="I2601" s="2"/>
      <c r="J2601" s="10"/>
      <c r="K2601"/>
    </row>
    <row r="2602" spans="1:11" x14ac:dyDescent="0.25">
      <c r="B2602" s="96"/>
      <c r="C2602" s="186" t="s">
        <v>1399</v>
      </c>
      <c r="D2602" s="78"/>
      <c r="F2602" s="199" t="s">
        <v>195</v>
      </c>
      <c r="G2602" s="153">
        <v>6</v>
      </c>
      <c r="I2602" s="2" t="s">
        <v>1400</v>
      </c>
      <c r="J2602" s="10"/>
      <c r="K2602"/>
    </row>
    <row r="2603" spans="1:11" ht="15.75" thickBot="1" x14ac:dyDescent="0.3">
      <c r="B2603" s="96"/>
      <c r="C2603" s="186"/>
      <c r="D2603" s="78"/>
      <c r="F2603" s="189"/>
      <c r="G2603" s="153"/>
      <c r="I2603" s="2"/>
      <c r="J2603" s="10"/>
      <c r="K2603"/>
    </row>
    <row r="2604" spans="1:11" x14ac:dyDescent="0.25">
      <c r="A2604" s="159"/>
      <c r="B2604" s="192"/>
      <c r="C2604" s="201"/>
      <c r="D2604" s="200"/>
      <c r="E2604" s="93"/>
      <c r="F2604" s="175" t="s">
        <v>1412</v>
      </c>
      <c r="G2604" s="176"/>
      <c r="I2604" s="2"/>
      <c r="J2604" s="10"/>
      <c r="K2604"/>
    </row>
    <row r="2605" spans="1:11" ht="18.75" x14ac:dyDescent="0.3">
      <c r="A2605" s="163"/>
      <c r="B2605" s="96"/>
      <c r="C2605" s="186"/>
      <c r="D2605" s="202" t="s">
        <v>1411</v>
      </c>
      <c r="E2605" s="73"/>
      <c r="F2605" s="74"/>
      <c r="G2605" s="72"/>
      <c r="I2605" s="2"/>
      <c r="J2605" s="10"/>
      <c r="K2605"/>
    </row>
    <row r="2606" spans="1:11" x14ac:dyDescent="0.25">
      <c r="A2606" s="163"/>
      <c r="B2606" s="96"/>
      <c r="C2606" s="186"/>
      <c r="D2606" s="78"/>
      <c r="E2606" s="73"/>
      <c r="F2606" s="74"/>
      <c r="G2606" s="72"/>
      <c r="I2606" s="2"/>
      <c r="J2606" s="10"/>
      <c r="K2606"/>
    </row>
    <row r="2607" spans="1:11" x14ac:dyDescent="0.25">
      <c r="A2607" s="163"/>
      <c r="B2607" s="96"/>
      <c r="C2607" s="78" t="s">
        <v>1401</v>
      </c>
      <c r="D2607" s="78"/>
      <c r="E2607" s="73"/>
      <c r="F2607" s="74"/>
      <c r="G2607" s="72"/>
      <c r="I2607" s="2"/>
      <c r="J2607" s="10"/>
      <c r="K2607"/>
    </row>
    <row r="2608" spans="1:11" x14ac:dyDescent="0.25">
      <c r="A2608" s="163"/>
      <c r="B2608" s="96"/>
      <c r="C2608" s="186"/>
      <c r="D2608" s="78" t="s">
        <v>1402</v>
      </c>
      <c r="E2608" s="73"/>
      <c r="F2608" s="74"/>
      <c r="G2608" s="72"/>
      <c r="I2608" s="2"/>
      <c r="J2608" s="10"/>
      <c r="K2608"/>
    </row>
    <row r="2609" spans="1:11" x14ac:dyDescent="0.25">
      <c r="A2609" s="163"/>
      <c r="B2609" s="96"/>
      <c r="C2609" s="186"/>
      <c r="D2609" s="186" t="s">
        <v>361</v>
      </c>
      <c r="E2609" s="73"/>
      <c r="F2609" s="74" t="s">
        <v>3</v>
      </c>
      <c r="G2609" s="72">
        <f>0.05*0.052*0.5*8/2*1.1</f>
        <v>5.7200000000000003E-3</v>
      </c>
      <c r="I2609" s="2"/>
      <c r="J2609" s="10"/>
      <c r="K2609"/>
    </row>
    <row r="2610" spans="1:11" x14ac:dyDescent="0.25">
      <c r="A2610" s="163"/>
      <c r="B2610" s="96"/>
      <c r="C2610" s="186"/>
      <c r="D2610" s="78"/>
      <c r="E2610" s="73"/>
      <c r="F2610" s="74"/>
      <c r="G2610" s="72"/>
      <c r="I2610" s="2"/>
      <c r="J2610" s="10"/>
      <c r="K2610"/>
    </row>
    <row r="2611" spans="1:11" x14ac:dyDescent="0.25">
      <c r="A2611" s="163"/>
      <c r="B2611" s="96"/>
      <c r="C2611" s="78" t="s">
        <v>1403</v>
      </c>
      <c r="D2611" s="78"/>
      <c r="E2611" s="73"/>
      <c r="F2611" s="74"/>
      <c r="G2611" s="72"/>
      <c r="I2611" s="2"/>
      <c r="J2611" s="10"/>
      <c r="K2611"/>
    </row>
    <row r="2612" spans="1:11" x14ac:dyDescent="0.25">
      <c r="A2612" s="163"/>
      <c r="B2612" s="96"/>
      <c r="C2612" s="77" t="s">
        <v>1404</v>
      </c>
      <c r="D2612" s="78"/>
      <c r="E2612" s="73"/>
      <c r="F2612" s="74" t="s">
        <v>3</v>
      </c>
      <c r="G2612" s="72">
        <f>0.032*0.024*2*8*1.15</f>
        <v>1.41312E-2</v>
      </c>
      <c r="I2612" s="2"/>
      <c r="J2612" s="10"/>
      <c r="K2612"/>
    </row>
    <row r="2613" spans="1:11" x14ac:dyDescent="0.25">
      <c r="A2613" s="163"/>
      <c r="B2613" s="96"/>
      <c r="C2613" s="186"/>
      <c r="D2613" s="78"/>
      <c r="E2613" s="73"/>
      <c r="F2613" s="74"/>
      <c r="G2613" s="72"/>
      <c r="I2613" s="2"/>
      <c r="J2613" s="10"/>
      <c r="K2613"/>
    </row>
    <row r="2614" spans="1:11" x14ac:dyDescent="0.25">
      <c r="A2614" s="163"/>
      <c r="B2614" s="96"/>
      <c r="C2614" s="78" t="s">
        <v>1405</v>
      </c>
      <c r="D2614" s="78"/>
      <c r="E2614" s="73"/>
      <c r="F2614" s="74"/>
      <c r="G2614" s="72"/>
      <c r="I2614" s="2"/>
      <c r="J2614" s="10"/>
      <c r="K2614"/>
    </row>
    <row r="2615" spans="1:11" x14ac:dyDescent="0.25">
      <c r="A2615" s="163"/>
      <c r="B2615" s="96"/>
      <c r="C2615" s="77" t="s">
        <v>1404</v>
      </c>
      <c r="D2615" s="78"/>
      <c r="E2615" s="73"/>
      <c r="F2615" s="74" t="s">
        <v>3</v>
      </c>
      <c r="G2615" s="72">
        <f>0.025*0.02*2*8*1.1</f>
        <v>8.8000000000000005E-3</v>
      </c>
      <c r="I2615" s="2"/>
      <c r="J2615" s="10"/>
      <c r="K2615"/>
    </row>
    <row r="2616" spans="1:11" x14ac:dyDescent="0.25">
      <c r="A2616" s="163"/>
      <c r="B2616" s="96"/>
      <c r="C2616" s="186"/>
      <c r="D2616" s="78"/>
      <c r="E2616" s="73"/>
      <c r="F2616" s="74"/>
      <c r="G2616" s="72"/>
      <c r="I2616" s="2"/>
      <c r="J2616" s="10"/>
      <c r="K2616"/>
    </row>
    <row r="2617" spans="1:11" x14ac:dyDescent="0.25">
      <c r="A2617" s="163"/>
      <c r="B2617" s="96"/>
      <c r="C2617" s="78" t="s">
        <v>1406</v>
      </c>
      <c r="D2617" s="78"/>
      <c r="E2617" s="73"/>
      <c r="F2617" s="74"/>
      <c r="G2617" s="72"/>
      <c r="I2617" s="2"/>
      <c r="J2617" s="10"/>
      <c r="K2617"/>
    </row>
    <row r="2618" spans="1:11" x14ac:dyDescent="0.25">
      <c r="A2618" s="163"/>
      <c r="B2618" s="96"/>
      <c r="C2618" s="77" t="s">
        <v>1404</v>
      </c>
      <c r="D2618" s="78"/>
      <c r="E2618" s="73"/>
      <c r="F2618" s="74" t="s">
        <v>3</v>
      </c>
      <c r="G2618" s="72">
        <f>0.09*0.025*3*8*1.105</f>
        <v>5.9669999999999994E-2</v>
      </c>
      <c r="I2618" s="2"/>
      <c r="J2618" s="10"/>
      <c r="K2618"/>
    </row>
    <row r="2619" spans="1:11" x14ac:dyDescent="0.25">
      <c r="A2619" s="163"/>
      <c r="B2619" s="96"/>
      <c r="C2619" s="186"/>
      <c r="D2619" s="78"/>
      <c r="E2619" s="73"/>
      <c r="F2619" s="74"/>
      <c r="G2619" s="72"/>
      <c r="I2619" s="2"/>
      <c r="J2619" s="10"/>
      <c r="K2619"/>
    </row>
    <row r="2620" spans="1:11" x14ac:dyDescent="0.25">
      <c r="A2620" s="163"/>
      <c r="B2620" s="96"/>
      <c r="C2620" s="78" t="s">
        <v>1407</v>
      </c>
      <c r="D2620" s="78"/>
      <c r="E2620" s="73"/>
      <c r="F2620" s="74"/>
      <c r="G2620" s="72"/>
      <c r="I2620" s="2"/>
      <c r="J2620" s="10"/>
      <c r="K2620"/>
    </row>
    <row r="2621" spans="1:11" x14ac:dyDescent="0.25">
      <c r="A2621" s="163"/>
      <c r="B2621" s="96"/>
      <c r="C2621" s="77" t="s">
        <v>1404</v>
      </c>
      <c r="D2621" s="78"/>
      <c r="E2621" s="73"/>
      <c r="F2621" s="74" t="s">
        <v>3</v>
      </c>
      <c r="G2621" s="72">
        <f>0.105*0.025*3*8*1.105</f>
        <v>6.9614999999999996E-2</v>
      </c>
      <c r="I2621" s="2"/>
      <c r="J2621" s="10"/>
      <c r="K2621"/>
    </row>
    <row r="2622" spans="1:11" x14ac:dyDescent="0.25">
      <c r="A2622" s="163"/>
      <c r="B2622" s="96"/>
      <c r="C2622" s="186"/>
      <c r="D2622" s="78"/>
      <c r="E2622" s="73"/>
      <c r="F2622" s="74"/>
      <c r="G2622" s="72"/>
      <c r="I2622" s="2"/>
      <c r="J2622" s="10"/>
      <c r="K2622"/>
    </row>
    <row r="2623" spans="1:11" x14ac:dyDescent="0.25">
      <c r="A2623" s="163"/>
      <c r="B2623" s="96"/>
      <c r="C2623" s="78" t="s">
        <v>1409</v>
      </c>
      <c r="D2623" s="78"/>
      <c r="E2623" s="73"/>
      <c r="F2623" s="74"/>
      <c r="G2623" s="72"/>
      <c r="I2623" s="2"/>
      <c r="J2623" s="10"/>
      <c r="K2623"/>
    </row>
    <row r="2624" spans="1:11" x14ac:dyDescent="0.25">
      <c r="A2624" s="163"/>
      <c r="B2624" s="96"/>
      <c r="C2624" s="186" t="s">
        <v>1408</v>
      </c>
      <c r="D2624" s="78"/>
      <c r="E2624" s="73"/>
      <c r="F2624" s="74" t="s">
        <v>3</v>
      </c>
      <c r="G2624" s="72">
        <f>0.024*0.055*4*8*1.12</f>
        <v>4.7308800000000005E-2</v>
      </c>
      <c r="I2624" s="2"/>
      <c r="J2624" s="10"/>
      <c r="K2624"/>
    </row>
    <row r="2625" spans="1:11" x14ac:dyDescent="0.25">
      <c r="A2625" s="163"/>
      <c r="B2625" s="96"/>
      <c r="C2625" s="186"/>
      <c r="D2625" s="78"/>
      <c r="E2625" s="73"/>
      <c r="F2625" s="74"/>
      <c r="G2625" s="72"/>
      <c r="I2625" s="2"/>
      <c r="J2625" s="10"/>
      <c r="K2625"/>
    </row>
    <row r="2626" spans="1:11" x14ac:dyDescent="0.25">
      <c r="A2626" s="163"/>
      <c r="B2626" s="96"/>
      <c r="C2626" s="78" t="s">
        <v>1410</v>
      </c>
      <c r="D2626" s="78"/>
      <c r="E2626" s="73"/>
      <c r="F2626" s="74"/>
      <c r="G2626" s="72"/>
      <c r="I2626" s="2"/>
      <c r="J2626" s="10"/>
      <c r="K2626"/>
    </row>
    <row r="2627" spans="1:11" x14ac:dyDescent="0.25">
      <c r="A2627" s="163"/>
      <c r="B2627" s="96"/>
      <c r="C2627" s="186" t="s">
        <v>1408</v>
      </c>
      <c r="D2627" s="78"/>
      <c r="E2627" s="73"/>
      <c r="F2627" s="74" t="s">
        <v>3</v>
      </c>
      <c r="G2627" s="72">
        <f>0.024*0.055*4*8*1.18</f>
        <v>4.9843199999999997E-2</v>
      </c>
      <c r="I2627" s="2"/>
      <c r="J2627" s="10"/>
      <c r="K2627"/>
    </row>
    <row r="2628" spans="1:11" ht="15.75" thickBot="1" x14ac:dyDescent="0.3">
      <c r="A2628" s="67"/>
      <c r="B2628" s="151"/>
      <c r="C2628" s="197"/>
      <c r="D2628" s="198"/>
      <c r="E2628" s="68"/>
      <c r="F2628" s="82"/>
      <c r="G2628" s="83"/>
      <c r="I2628" s="2"/>
      <c r="J2628" s="10"/>
      <c r="K2628"/>
    </row>
    <row r="2629" spans="1:11" x14ac:dyDescent="0.25">
      <c r="A2629" s="159"/>
      <c r="B2629" s="192"/>
      <c r="C2629" s="201"/>
      <c r="D2629" s="200"/>
      <c r="E2629" s="93"/>
      <c r="F2629" s="160"/>
      <c r="G2629" s="90"/>
      <c r="I2629" s="2"/>
      <c r="J2629" s="10"/>
      <c r="K2629"/>
    </row>
    <row r="2630" spans="1:11" x14ac:dyDescent="0.25">
      <c r="A2630" s="163"/>
      <c r="B2630" s="96"/>
      <c r="C2630" s="78" t="s">
        <v>1414</v>
      </c>
      <c r="D2630" s="78"/>
      <c r="E2630" s="73"/>
      <c r="F2630" s="74"/>
      <c r="G2630" s="72"/>
      <c r="I2630" s="2"/>
      <c r="J2630" s="10"/>
      <c r="K2630"/>
    </row>
    <row r="2631" spans="1:11" x14ac:dyDescent="0.25">
      <c r="A2631" s="163"/>
      <c r="B2631" s="96"/>
      <c r="C2631" s="77" t="s">
        <v>1054</v>
      </c>
      <c r="D2631" s="73"/>
      <c r="E2631" s="73"/>
      <c r="F2631" s="152" t="s">
        <v>3</v>
      </c>
      <c r="G2631" s="72">
        <f>0.01*3.14*2*0.07*1.2</f>
        <v>5.2752000000000007E-3</v>
      </c>
      <c r="I2631" s="2"/>
      <c r="J2631" s="10"/>
      <c r="K2631"/>
    </row>
    <row r="2632" spans="1:11" ht="17.25" x14ac:dyDescent="0.25">
      <c r="A2632" s="163"/>
      <c r="B2632" s="96"/>
      <c r="C2632" s="73" t="s">
        <v>1055</v>
      </c>
      <c r="D2632" s="73"/>
      <c r="E2632" s="73"/>
      <c r="F2632" s="152" t="s">
        <v>596</v>
      </c>
      <c r="G2632" s="72">
        <f>G2631</f>
        <v>5.2752000000000007E-3</v>
      </c>
      <c r="I2632" s="2"/>
      <c r="J2632" s="10"/>
      <c r="K2632"/>
    </row>
    <row r="2633" spans="1:11" x14ac:dyDescent="0.25">
      <c r="A2633" s="163"/>
      <c r="B2633" s="96"/>
      <c r="C2633" s="73"/>
      <c r="D2633" s="78" t="s">
        <v>1413</v>
      </c>
      <c r="E2633" s="73"/>
      <c r="F2633" s="74"/>
      <c r="G2633" s="72"/>
      <c r="I2633" s="2"/>
      <c r="J2633" s="10"/>
      <c r="K2633"/>
    </row>
    <row r="2634" spans="1:11" x14ac:dyDescent="0.25">
      <c r="A2634" s="163"/>
      <c r="B2634" s="96"/>
      <c r="C2634" s="73"/>
      <c r="D2634" s="73" t="s">
        <v>55</v>
      </c>
      <c r="E2634" s="73"/>
      <c r="F2634" s="152" t="s">
        <v>3</v>
      </c>
      <c r="G2634" s="72">
        <f>0.33*0.045*3*8*1.122</f>
        <v>0.39988080000000004</v>
      </c>
      <c r="I2634" s="2"/>
      <c r="J2634" s="10"/>
      <c r="K2634"/>
    </row>
    <row r="2635" spans="1:11" ht="15.75" thickBot="1" x14ac:dyDescent="0.3">
      <c r="A2635" s="67"/>
      <c r="B2635" s="96"/>
      <c r="C2635" s="73"/>
      <c r="D2635" s="186"/>
      <c r="E2635" s="73"/>
      <c r="F2635" s="74"/>
      <c r="G2635" s="72"/>
      <c r="I2635" s="2"/>
      <c r="J2635" s="10"/>
      <c r="K2635"/>
    </row>
    <row r="2636" spans="1:11" x14ac:dyDescent="0.25">
      <c r="A2636" s="159"/>
      <c r="B2636" s="192"/>
      <c r="C2636" s="201"/>
      <c r="D2636" s="200"/>
      <c r="E2636" s="93"/>
      <c r="F2636" s="175" t="s">
        <v>1418</v>
      </c>
      <c r="G2636" s="176"/>
      <c r="I2636" s="2"/>
      <c r="J2636" s="10"/>
      <c r="K2636"/>
    </row>
    <row r="2637" spans="1:11" x14ac:dyDescent="0.25">
      <c r="A2637" s="163"/>
      <c r="B2637" s="96"/>
      <c r="C2637" s="78" t="s">
        <v>1415</v>
      </c>
      <c r="D2637" s="78"/>
      <c r="E2637" s="73"/>
      <c r="F2637" s="74"/>
      <c r="G2637" s="72"/>
      <c r="I2637" s="2"/>
      <c r="J2637" s="10"/>
      <c r="K2637"/>
    </row>
    <row r="2638" spans="1:11" x14ac:dyDescent="0.25">
      <c r="A2638" s="163"/>
      <c r="B2638" s="96"/>
      <c r="C2638" s="77" t="s">
        <v>984</v>
      </c>
      <c r="D2638" s="78"/>
      <c r="E2638" s="73"/>
      <c r="F2638" s="74" t="s">
        <v>3</v>
      </c>
      <c r="G2638" s="72">
        <f>0.025*0.05*1*8*1.05</f>
        <v>1.0500000000000002E-2</v>
      </c>
      <c r="I2638" s="2"/>
      <c r="J2638" s="10"/>
      <c r="K2638"/>
    </row>
    <row r="2639" spans="1:11" x14ac:dyDescent="0.25">
      <c r="A2639" s="163"/>
      <c r="B2639" s="96"/>
      <c r="C2639" s="186"/>
      <c r="D2639" s="78"/>
      <c r="E2639" s="73"/>
      <c r="F2639" s="74"/>
      <c r="G2639" s="72"/>
      <c r="I2639" s="2"/>
      <c r="J2639" s="10"/>
      <c r="K2639"/>
    </row>
    <row r="2640" spans="1:11" x14ac:dyDescent="0.25">
      <c r="A2640" s="163"/>
      <c r="B2640" s="96"/>
      <c r="C2640" s="78" t="s">
        <v>1416</v>
      </c>
      <c r="D2640" s="78"/>
      <c r="E2640" s="73"/>
      <c r="F2640" s="74"/>
      <c r="G2640" s="72"/>
      <c r="I2640" s="2"/>
      <c r="J2640" s="10"/>
      <c r="K2640"/>
    </row>
    <row r="2641" spans="1:11" x14ac:dyDescent="0.25">
      <c r="A2641" s="163"/>
      <c r="B2641" s="96"/>
      <c r="C2641" s="77" t="s">
        <v>55</v>
      </c>
      <c r="D2641" s="78"/>
      <c r="E2641" s="73"/>
      <c r="F2641" s="74" t="s">
        <v>3</v>
      </c>
      <c r="G2641" s="72">
        <f>0.022*0.012*3*8*1.05</f>
        <v>6.6527999999999995E-3</v>
      </c>
      <c r="I2641" s="2"/>
      <c r="J2641" s="10"/>
      <c r="K2641"/>
    </row>
    <row r="2642" spans="1:11" x14ac:dyDescent="0.25">
      <c r="A2642" s="163"/>
      <c r="B2642" s="96"/>
      <c r="C2642" s="186"/>
      <c r="D2642" s="78"/>
      <c r="E2642" s="73"/>
      <c r="F2642" s="74"/>
      <c r="G2642" s="72"/>
      <c r="I2642" s="2"/>
      <c r="J2642" s="10"/>
      <c r="K2642"/>
    </row>
    <row r="2643" spans="1:11" x14ac:dyDescent="0.25">
      <c r="A2643" s="163"/>
      <c r="B2643" s="96"/>
      <c r="C2643" s="78" t="s">
        <v>1073</v>
      </c>
      <c r="D2643" s="78"/>
      <c r="E2643" s="73"/>
      <c r="F2643" s="74"/>
      <c r="G2643" s="72"/>
      <c r="I2643" s="2"/>
      <c r="J2643" s="10"/>
      <c r="K2643"/>
    </row>
    <row r="2644" spans="1:11" x14ac:dyDescent="0.25">
      <c r="A2644" s="163"/>
      <c r="B2644" s="96"/>
      <c r="C2644" s="77" t="s">
        <v>1054</v>
      </c>
      <c r="D2644" s="73"/>
      <c r="E2644" s="73"/>
      <c r="F2644" s="152" t="s">
        <v>3</v>
      </c>
      <c r="G2644" s="72">
        <f>0.025*3.14*0.08*1.25</f>
        <v>7.8500000000000011E-3</v>
      </c>
      <c r="I2644" s="2"/>
      <c r="J2644" s="10"/>
      <c r="K2644"/>
    </row>
    <row r="2645" spans="1:11" ht="17.25" x14ac:dyDescent="0.25">
      <c r="A2645" s="163"/>
      <c r="B2645" s="96"/>
      <c r="C2645" s="73" t="s">
        <v>1055</v>
      </c>
      <c r="D2645" s="73"/>
      <c r="E2645" s="73"/>
      <c r="F2645" s="152" t="s">
        <v>596</v>
      </c>
      <c r="G2645" s="72">
        <f>G2644</f>
        <v>7.8500000000000011E-3</v>
      </c>
      <c r="I2645" s="2"/>
      <c r="J2645" s="10"/>
      <c r="K2645"/>
    </row>
    <row r="2646" spans="1:11" x14ac:dyDescent="0.25">
      <c r="A2646" s="163"/>
      <c r="B2646" s="96"/>
      <c r="C2646" s="77" t="s">
        <v>489</v>
      </c>
      <c r="D2646" s="78"/>
      <c r="E2646" s="73"/>
      <c r="F2646" s="74" t="s">
        <v>3</v>
      </c>
      <c r="G2646" s="72">
        <f>1*0.02*1.3</f>
        <v>2.6000000000000002E-2</v>
      </c>
      <c r="I2646" s="2"/>
      <c r="J2646" s="10"/>
      <c r="K2646"/>
    </row>
    <row r="2647" spans="1:11" x14ac:dyDescent="0.25">
      <c r="A2647" s="163"/>
      <c r="B2647" s="96"/>
      <c r="C2647" s="77" t="s">
        <v>490</v>
      </c>
      <c r="D2647" s="78"/>
      <c r="E2647" s="73"/>
      <c r="F2647" s="74" t="s">
        <v>3</v>
      </c>
      <c r="G2647" s="72">
        <f>0.3*G2646</f>
        <v>7.8000000000000005E-3</v>
      </c>
      <c r="I2647" s="2"/>
      <c r="J2647" s="10"/>
      <c r="K2647"/>
    </row>
    <row r="2648" spans="1:11" x14ac:dyDescent="0.25">
      <c r="A2648" s="163"/>
      <c r="B2648" s="96"/>
      <c r="C2648" s="77" t="s">
        <v>1417</v>
      </c>
      <c r="D2648" s="78"/>
      <c r="E2648" s="73"/>
      <c r="F2648" s="74" t="s">
        <v>3</v>
      </c>
      <c r="G2648" s="72">
        <f>0.003</f>
        <v>3.0000000000000001E-3</v>
      </c>
      <c r="I2648" s="2"/>
      <c r="J2648" s="10"/>
      <c r="K2648"/>
    </row>
    <row r="2649" spans="1:11" ht="15.75" thickBot="1" x14ac:dyDescent="0.3">
      <c r="A2649" s="67"/>
      <c r="B2649" s="151"/>
      <c r="C2649" s="197"/>
      <c r="D2649" s="198"/>
      <c r="E2649" s="68"/>
      <c r="F2649" s="82"/>
      <c r="G2649" s="83"/>
      <c r="I2649" s="2"/>
      <c r="J2649" s="10"/>
      <c r="K2649"/>
    </row>
    <row r="2650" spans="1:11" x14ac:dyDescent="0.25">
      <c r="A2650" s="159"/>
      <c r="B2650" s="192"/>
      <c r="C2650" s="201"/>
      <c r="D2650" s="200"/>
      <c r="E2650" s="93" t="s">
        <v>1450</v>
      </c>
      <c r="F2650" s="175" t="s">
        <v>1449</v>
      </c>
      <c r="G2650" s="176"/>
      <c r="I2650" s="2"/>
      <c r="J2650" s="10"/>
      <c r="K2650"/>
    </row>
    <row r="2651" spans="1:11" x14ac:dyDescent="0.25">
      <c r="A2651" s="163"/>
      <c r="B2651" s="96"/>
      <c r="C2651" s="78" t="s">
        <v>1440</v>
      </c>
      <c r="D2651" s="78"/>
      <c r="E2651" s="73"/>
      <c r="F2651" s="74"/>
      <c r="G2651" s="72"/>
      <c r="I2651" s="2"/>
      <c r="J2651" s="10"/>
      <c r="K2651"/>
    </row>
    <row r="2652" spans="1:11" x14ac:dyDescent="0.25">
      <c r="A2652" s="163"/>
      <c r="B2652" s="96"/>
      <c r="C2652" s="77" t="s">
        <v>1431</v>
      </c>
      <c r="D2652" s="77"/>
      <c r="E2652" s="137"/>
      <c r="F2652" s="152" t="s">
        <v>3</v>
      </c>
      <c r="G2652" s="80">
        <f>0.016*3.14*3*0.07*1.15</f>
        <v>1.2132959999999998E-2</v>
      </c>
      <c r="I2652" s="2"/>
      <c r="J2652" s="10"/>
      <c r="K2652"/>
    </row>
    <row r="2653" spans="1:11" x14ac:dyDescent="0.25">
      <c r="A2653" s="163"/>
      <c r="B2653" s="96"/>
      <c r="C2653" s="77" t="s">
        <v>1055</v>
      </c>
      <c r="D2653" s="77"/>
      <c r="E2653" s="77"/>
      <c r="F2653" s="152" t="s">
        <v>3</v>
      </c>
      <c r="G2653" s="80">
        <f>G2652</f>
        <v>1.2132959999999998E-2</v>
      </c>
      <c r="I2653" s="2"/>
      <c r="J2653" s="10"/>
      <c r="K2653"/>
    </row>
    <row r="2654" spans="1:11" x14ac:dyDescent="0.25">
      <c r="A2654" s="163"/>
      <c r="B2654" s="96"/>
      <c r="C2654" s="186"/>
      <c r="D2654" s="78" t="s">
        <v>1441</v>
      </c>
      <c r="E2654" s="73"/>
      <c r="F2654" s="74"/>
      <c r="G2654" s="72"/>
      <c r="I2654" s="2"/>
      <c r="J2654" s="10"/>
      <c r="K2654"/>
    </row>
    <row r="2655" spans="1:11" x14ac:dyDescent="0.25">
      <c r="A2655" s="163"/>
      <c r="B2655" s="96"/>
      <c r="C2655" s="186"/>
      <c r="D2655" s="186" t="s">
        <v>1442</v>
      </c>
      <c r="E2655" s="73"/>
      <c r="F2655" s="74" t="s">
        <v>3</v>
      </c>
      <c r="G2655" s="72">
        <f>0.11*0.23*4*8*1.124</f>
        <v>0.90999040000000009</v>
      </c>
      <c r="I2655" s="2"/>
      <c r="J2655" s="10"/>
      <c r="K2655"/>
    </row>
    <row r="2656" spans="1:11" x14ac:dyDescent="0.25">
      <c r="A2656" s="163"/>
      <c r="B2656" s="96"/>
      <c r="C2656" s="186"/>
      <c r="D2656" s="78"/>
      <c r="E2656" s="73"/>
      <c r="F2656" s="74"/>
      <c r="G2656" s="72"/>
      <c r="I2656" s="2"/>
      <c r="J2656" s="10"/>
      <c r="K2656"/>
    </row>
    <row r="2657" spans="1:11" x14ac:dyDescent="0.25">
      <c r="A2657" s="163"/>
      <c r="B2657" s="96"/>
      <c r="C2657" s="78" t="s">
        <v>1443</v>
      </c>
      <c r="D2657" s="78"/>
      <c r="E2657" s="73"/>
      <c r="F2657" s="74"/>
      <c r="G2657" s="72"/>
      <c r="I2657" s="2"/>
      <c r="J2657" s="10"/>
      <c r="K2657"/>
    </row>
    <row r="2658" spans="1:11" x14ac:dyDescent="0.25">
      <c r="A2658" s="163"/>
      <c r="B2658" s="96"/>
      <c r="C2658" s="73" t="s">
        <v>140</v>
      </c>
      <c r="D2658" s="73"/>
      <c r="E2658" s="73"/>
      <c r="F2658" s="74" t="s">
        <v>3</v>
      </c>
      <c r="G2658" s="72">
        <f>0.016*3.14*2*0.08*1.2</f>
        <v>9.6460799999999996E-3</v>
      </c>
      <c r="I2658" s="2"/>
      <c r="J2658" s="10"/>
      <c r="K2658"/>
    </row>
    <row r="2659" spans="1:11" ht="17.25" x14ac:dyDescent="0.25">
      <c r="A2659" s="163"/>
      <c r="B2659" s="96"/>
      <c r="C2659" s="73" t="s">
        <v>23</v>
      </c>
      <c r="D2659" s="73"/>
      <c r="E2659" s="73"/>
      <c r="F2659" s="74" t="s">
        <v>596</v>
      </c>
      <c r="G2659" s="72">
        <f>G2658*1.5</f>
        <v>1.4469119999999999E-2</v>
      </c>
      <c r="I2659" s="2"/>
      <c r="J2659" s="10"/>
      <c r="K2659"/>
    </row>
    <row r="2660" spans="1:11" x14ac:dyDescent="0.25">
      <c r="A2660" s="163"/>
      <c r="B2660" s="96"/>
      <c r="C2660" s="73" t="s">
        <v>142</v>
      </c>
      <c r="D2660" s="73"/>
      <c r="E2660" s="73"/>
      <c r="F2660" s="74" t="s">
        <v>3</v>
      </c>
      <c r="G2660" s="72">
        <f>G2658/4</f>
        <v>2.4115199999999999E-3</v>
      </c>
      <c r="I2660" s="2"/>
      <c r="J2660" s="10"/>
      <c r="K2660"/>
    </row>
    <row r="2661" spans="1:11" x14ac:dyDescent="0.25">
      <c r="A2661" s="163"/>
      <c r="B2661" s="96"/>
      <c r="C2661" s="77" t="s">
        <v>1431</v>
      </c>
      <c r="D2661" s="77"/>
      <c r="E2661" s="137"/>
      <c r="F2661" s="152" t="s">
        <v>3</v>
      </c>
      <c r="G2661" s="80">
        <f>0.04*0.07*1.2</f>
        <v>3.3600000000000006E-3</v>
      </c>
      <c r="I2661" s="2"/>
      <c r="J2661" s="10"/>
      <c r="K2661"/>
    </row>
    <row r="2662" spans="1:11" x14ac:dyDescent="0.25">
      <c r="A2662" s="163"/>
      <c r="B2662" s="96"/>
      <c r="C2662" s="77" t="s">
        <v>1055</v>
      </c>
      <c r="D2662" s="77"/>
      <c r="E2662" s="77"/>
      <c r="F2662" s="152" t="s">
        <v>3</v>
      </c>
      <c r="G2662" s="80">
        <f>G2661</f>
        <v>3.3600000000000006E-3</v>
      </c>
      <c r="I2662" s="2"/>
      <c r="J2662" s="10"/>
      <c r="K2662"/>
    </row>
    <row r="2663" spans="1:11" x14ac:dyDescent="0.25">
      <c r="A2663" s="163"/>
      <c r="B2663" s="96"/>
      <c r="C2663" s="77" t="s">
        <v>143</v>
      </c>
      <c r="D2663" s="78"/>
      <c r="E2663" s="73"/>
      <c r="F2663" s="74" t="s">
        <v>3</v>
      </c>
      <c r="G2663" s="72">
        <v>5.0000000000000001E-3</v>
      </c>
      <c r="I2663" s="2"/>
      <c r="J2663" s="10"/>
      <c r="K2663"/>
    </row>
    <row r="2664" spans="1:11" x14ac:dyDescent="0.25">
      <c r="A2664" s="163"/>
      <c r="B2664" s="96"/>
      <c r="C2664" s="77" t="s">
        <v>8</v>
      </c>
      <c r="D2664" s="78"/>
      <c r="E2664" s="73"/>
      <c r="F2664" s="74" t="s">
        <v>3</v>
      </c>
      <c r="G2664" s="72">
        <f>0.11*0.02*2*1.5</f>
        <v>6.6E-3</v>
      </c>
      <c r="I2664" s="2"/>
      <c r="J2664" s="10"/>
      <c r="K2664"/>
    </row>
    <row r="2665" spans="1:11" x14ac:dyDescent="0.25">
      <c r="A2665" s="163"/>
      <c r="B2665" s="96"/>
      <c r="C2665" s="77" t="s">
        <v>148</v>
      </c>
      <c r="D2665" s="78"/>
      <c r="E2665" s="73"/>
      <c r="F2665" s="74" t="s">
        <v>3</v>
      </c>
      <c r="G2665" s="72">
        <f>0.3*(G2664+G2663)</f>
        <v>3.4799999999999996E-3</v>
      </c>
      <c r="I2665" s="2"/>
      <c r="J2665" s="10"/>
      <c r="K2665"/>
    </row>
    <row r="2666" spans="1:11" x14ac:dyDescent="0.25">
      <c r="A2666" s="163"/>
      <c r="B2666" s="96"/>
      <c r="C2666" s="186"/>
      <c r="D2666" s="78" t="s">
        <v>1444</v>
      </c>
      <c r="E2666" s="73"/>
      <c r="F2666" s="74"/>
      <c r="G2666" s="72"/>
      <c r="I2666" s="2"/>
      <c r="J2666" s="10"/>
      <c r="K2666"/>
    </row>
    <row r="2667" spans="1:11" x14ac:dyDescent="0.25">
      <c r="A2667" s="163"/>
      <c r="B2667" s="96"/>
      <c r="C2667" s="186"/>
      <c r="D2667" s="186" t="s">
        <v>832</v>
      </c>
      <c r="E2667" s="73"/>
      <c r="F2667" s="74" t="s">
        <v>3</v>
      </c>
      <c r="G2667" s="72">
        <v>4.1000000000000002E-2</v>
      </c>
      <c r="I2667" t="s">
        <v>1445</v>
      </c>
      <c r="J2667" s="10"/>
      <c r="K2667"/>
    </row>
    <row r="2668" spans="1:11" x14ac:dyDescent="0.25">
      <c r="A2668" s="163"/>
      <c r="B2668" s="96"/>
      <c r="C2668" s="186"/>
      <c r="D2668" s="78"/>
      <c r="E2668" s="73"/>
      <c r="F2668" s="74"/>
      <c r="G2668" s="72"/>
      <c r="I2668" s="2"/>
      <c r="J2668" s="10"/>
      <c r="K2668"/>
    </row>
    <row r="2669" spans="1:11" x14ac:dyDescent="0.25">
      <c r="A2669" s="163"/>
      <c r="B2669" s="96"/>
      <c r="C2669" s="78" t="s">
        <v>1446</v>
      </c>
      <c r="D2669" s="78"/>
      <c r="E2669" s="73"/>
      <c r="F2669" s="74"/>
      <c r="G2669" s="72"/>
      <c r="I2669" s="2"/>
      <c r="J2669" s="10"/>
      <c r="K2669"/>
    </row>
    <row r="2670" spans="1:11" x14ac:dyDescent="0.25">
      <c r="A2670" s="163"/>
      <c r="B2670" s="96"/>
      <c r="C2670" s="77" t="s">
        <v>415</v>
      </c>
      <c r="D2670" s="78"/>
      <c r="E2670" s="73"/>
      <c r="F2670" s="74" t="s">
        <v>3</v>
      </c>
      <c r="G2670" s="72">
        <f>0.11*0.115*1.5*8*1.15</f>
        <v>0.17456999999999998</v>
      </c>
      <c r="I2670" s="2"/>
      <c r="J2670" s="10"/>
      <c r="K2670"/>
    </row>
    <row r="2671" spans="1:11" x14ac:dyDescent="0.25">
      <c r="A2671" s="163"/>
      <c r="B2671" s="96"/>
      <c r="C2671" s="186"/>
      <c r="D2671" s="78"/>
      <c r="E2671" s="73"/>
      <c r="F2671" s="74"/>
      <c r="G2671" s="72"/>
      <c r="I2671" s="2"/>
      <c r="J2671" s="10"/>
      <c r="K2671"/>
    </row>
    <row r="2672" spans="1:11" x14ac:dyDescent="0.25">
      <c r="A2672" s="163"/>
      <c r="B2672" s="96"/>
      <c r="C2672" s="78" t="s">
        <v>1447</v>
      </c>
      <c r="D2672" s="78"/>
      <c r="E2672" s="73"/>
      <c r="F2672" s="74"/>
      <c r="G2672" s="72"/>
      <c r="I2672" s="2"/>
      <c r="J2672" s="10"/>
      <c r="K2672"/>
    </row>
    <row r="2673" spans="1:12" ht="15.75" thickBot="1" x14ac:dyDescent="0.3">
      <c r="A2673" s="67"/>
      <c r="B2673" s="151"/>
      <c r="C2673" s="197" t="s">
        <v>1448</v>
      </c>
      <c r="D2673" s="198"/>
      <c r="E2673" s="68"/>
      <c r="F2673" s="82" t="s">
        <v>3</v>
      </c>
      <c r="G2673" s="83">
        <f>0.18*0.03*0.8*8*1.15</f>
        <v>3.9743999999999995E-2</v>
      </c>
      <c r="I2673" s="2"/>
      <c r="J2673" s="10"/>
      <c r="K2673"/>
    </row>
    <row r="2674" spans="1:12" x14ac:dyDescent="0.25">
      <c r="A2674" s="159"/>
      <c r="B2674" s="192"/>
      <c r="C2674" s="201"/>
      <c r="D2674" s="200"/>
      <c r="E2674" s="93"/>
      <c r="F2674" s="175" t="s">
        <v>1537</v>
      </c>
      <c r="G2674" s="176"/>
      <c r="I2674" s="2"/>
      <c r="J2674" s="10"/>
      <c r="K2674"/>
    </row>
    <row r="2675" spans="1:12" x14ac:dyDescent="0.25">
      <c r="A2675" s="163"/>
      <c r="B2675" s="96"/>
      <c r="C2675" s="186"/>
      <c r="D2675" s="78"/>
      <c r="E2675" s="73"/>
      <c r="F2675" s="74"/>
      <c r="G2675" s="72"/>
      <c r="I2675" s="2"/>
      <c r="J2675" s="10"/>
      <c r="K2675"/>
    </row>
    <row r="2676" spans="1:12" ht="18.75" x14ac:dyDescent="0.3">
      <c r="A2676" s="163"/>
      <c r="B2676" s="96"/>
      <c r="C2676" s="202" t="s">
        <v>1536</v>
      </c>
      <c r="D2676" s="78"/>
      <c r="E2676" s="73"/>
      <c r="F2676" s="74"/>
      <c r="G2676" s="72"/>
      <c r="I2676" s="2"/>
      <c r="J2676" s="10"/>
      <c r="K2676"/>
      <c r="L2676" t="s">
        <v>1538</v>
      </c>
    </row>
    <row r="2677" spans="1:12" x14ac:dyDescent="0.25">
      <c r="A2677" s="163"/>
      <c r="B2677" s="96"/>
      <c r="C2677" s="186"/>
      <c r="D2677" s="78"/>
      <c r="E2677" s="73"/>
      <c r="F2677" s="74"/>
      <c r="G2677" s="72"/>
      <c r="I2677" s="2"/>
      <c r="J2677" s="10"/>
      <c r="K2677"/>
    </row>
    <row r="2678" spans="1:12" x14ac:dyDescent="0.25">
      <c r="A2678" s="193"/>
      <c r="B2678" s="106"/>
      <c r="C2678" s="78" t="s">
        <v>1419</v>
      </c>
      <c r="D2678" s="77"/>
      <c r="E2678" s="137"/>
      <c r="F2678" s="152"/>
      <c r="G2678" s="80"/>
      <c r="I2678" s="2"/>
      <c r="J2678" s="10"/>
      <c r="K2678"/>
    </row>
    <row r="2679" spans="1:12" x14ac:dyDescent="0.25">
      <c r="A2679" s="206"/>
      <c r="B2679" s="106"/>
      <c r="C2679" s="77" t="s">
        <v>1420</v>
      </c>
      <c r="D2679" s="77"/>
      <c r="E2679" s="77"/>
      <c r="F2679" s="152" t="s">
        <v>3</v>
      </c>
      <c r="G2679" s="80">
        <v>8.5000000000000006E-2</v>
      </c>
      <c r="I2679" s="2"/>
      <c r="J2679" s="10"/>
      <c r="K2679"/>
    </row>
    <row r="2680" spans="1:12" x14ac:dyDescent="0.25">
      <c r="A2680" s="206"/>
      <c r="B2680" s="106"/>
      <c r="C2680" s="77" t="s">
        <v>1421</v>
      </c>
      <c r="D2680" s="78"/>
      <c r="E2680" s="77"/>
      <c r="F2680" s="152" t="s">
        <v>3</v>
      </c>
      <c r="G2680" s="80">
        <v>0.01</v>
      </c>
      <c r="I2680" s="2"/>
      <c r="J2680" s="10"/>
      <c r="K2680"/>
    </row>
    <row r="2681" spans="1:12" x14ac:dyDescent="0.25">
      <c r="A2681" s="206"/>
      <c r="B2681" s="106"/>
      <c r="C2681" s="77" t="s">
        <v>661</v>
      </c>
      <c r="D2681" s="77"/>
      <c r="E2681" s="77"/>
      <c r="F2681" s="152" t="s">
        <v>3</v>
      </c>
      <c r="G2681" s="80">
        <v>0.03</v>
      </c>
      <c r="I2681" s="2"/>
      <c r="J2681" s="10"/>
      <c r="K2681"/>
    </row>
    <row r="2682" spans="1:12" x14ac:dyDescent="0.25">
      <c r="A2682" s="206"/>
      <c r="B2682" s="106"/>
      <c r="C2682" s="77"/>
      <c r="D2682" s="78" t="s">
        <v>1422</v>
      </c>
      <c r="E2682" s="77"/>
      <c r="F2682" s="152"/>
      <c r="G2682" s="80"/>
      <c r="I2682" s="2"/>
      <c r="J2682" s="10"/>
      <c r="K2682"/>
    </row>
    <row r="2683" spans="1:12" x14ac:dyDescent="0.25">
      <c r="A2683" s="206"/>
      <c r="B2683" s="106"/>
      <c r="C2683" s="77"/>
      <c r="D2683" s="77" t="s">
        <v>853</v>
      </c>
      <c r="E2683" s="77"/>
      <c r="F2683" s="152" t="s">
        <v>3</v>
      </c>
      <c r="G2683" s="80">
        <v>2.1</v>
      </c>
      <c r="I2683" s="2"/>
      <c r="J2683" s="10"/>
      <c r="K2683"/>
    </row>
    <row r="2684" spans="1:12" x14ac:dyDescent="0.25">
      <c r="A2684" s="206"/>
      <c r="B2684" s="106"/>
      <c r="C2684" s="77"/>
      <c r="D2684" s="78" t="s">
        <v>1423</v>
      </c>
      <c r="E2684" s="77"/>
      <c r="F2684" s="152"/>
      <c r="G2684" s="80"/>
      <c r="I2684" s="2"/>
      <c r="J2684" s="10"/>
      <c r="K2684"/>
    </row>
    <row r="2685" spans="1:12" x14ac:dyDescent="0.25">
      <c r="A2685" s="206"/>
      <c r="B2685" s="106"/>
      <c r="C2685" s="77"/>
      <c r="D2685" s="77" t="s">
        <v>361</v>
      </c>
      <c r="E2685" s="77"/>
      <c r="F2685" s="152" t="s">
        <v>3</v>
      </c>
      <c r="G2685" s="80">
        <f>1</f>
        <v>1</v>
      </c>
      <c r="I2685" s="2"/>
      <c r="J2685" s="10"/>
      <c r="K2685"/>
    </row>
    <row r="2686" spans="1:12" x14ac:dyDescent="0.25">
      <c r="A2686" s="206"/>
      <c r="B2686" s="106"/>
      <c r="C2686" s="78"/>
      <c r="D2686" s="78" t="s">
        <v>1424</v>
      </c>
      <c r="E2686" s="77"/>
      <c r="F2686" s="152"/>
      <c r="G2686" s="80"/>
      <c r="I2686" s="2"/>
      <c r="J2686" s="10"/>
      <c r="K2686"/>
    </row>
    <row r="2687" spans="1:12" x14ac:dyDescent="0.25">
      <c r="A2687" s="206"/>
      <c r="B2687" s="106"/>
      <c r="C2687" s="77"/>
      <c r="D2687" s="77" t="s">
        <v>1425</v>
      </c>
      <c r="E2687" s="77"/>
      <c r="F2687" s="152" t="s">
        <v>3</v>
      </c>
      <c r="G2687" s="80">
        <f>0.952*0.12*3*1.4*1.105</f>
        <v>0.53018783999999985</v>
      </c>
      <c r="I2687" s="2"/>
      <c r="J2687" s="10"/>
      <c r="K2687"/>
    </row>
    <row r="2688" spans="1:12" x14ac:dyDescent="0.25">
      <c r="A2688" s="206"/>
      <c r="B2688" s="106"/>
      <c r="C2688" s="77"/>
      <c r="D2688" s="77"/>
      <c r="E2688" s="77"/>
      <c r="F2688" s="152"/>
      <c r="G2688" s="80"/>
      <c r="I2688" s="2"/>
      <c r="J2688" s="10"/>
      <c r="K2688"/>
    </row>
    <row r="2689" spans="1:13" x14ac:dyDescent="0.25">
      <c r="A2689" s="193"/>
      <c r="B2689" s="106"/>
      <c r="C2689" s="78" t="s">
        <v>1426</v>
      </c>
      <c r="D2689" s="77"/>
      <c r="E2689" s="77"/>
      <c r="F2689" s="152"/>
      <c r="G2689" s="80"/>
      <c r="I2689" s="2"/>
      <c r="J2689" s="10"/>
      <c r="K2689" s="2"/>
    </row>
    <row r="2690" spans="1:13" x14ac:dyDescent="0.25">
      <c r="A2690" s="206"/>
      <c r="B2690" s="106"/>
      <c r="C2690" s="77" t="s">
        <v>1420</v>
      </c>
      <c r="D2690" s="77"/>
      <c r="E2690" s="77"/>
      <c r="F2690" s="152" t="s">
        <v>3</v>
      </c>
      <c r="G2690" s="80">
        <v>6.0000000000000001E-3</v>
      </c>
      <c r="J2690" s="10"/>
      <c r="K2690"/>
    </row>
    <row r="2691" spans="1:13" x14ac:dyDescent="0.25">
      <c r="A2691" s="206"/>
      <c r="B2691" s="106"/>
      <c r="C2691" s="77" t="s">
        <v>1421</v>
      </c>
      <c r="D2691" s="78"/>
      <c r="E2691" s="77"/>
      <c r="F2691" s="152" t="s">
        <v>3</v>
      </c>
      <c r="G2691" s="80">
        <f>G2690/6</f>
        <v>1E-3</v>
      </c>
      <c r="J2691" s="10"/>
      <c r="K2691"/>
    </row>
    <row r="2692" spans="1:13" x14ac:dyDescent="0.25">
      <c r="A2692" s="206"/>
      <c r="B2692" s="106"/>
      <c r="C2692" s="77" t="s">
        <v>661</v>
      </c>
      <c r="D2692" s="77"/>
      <c r="E2692" s="77"/>
      <c r="F2692" s="152" t="s">
        <v>3</v>
      </c>
      <c r="G2692" s="80">
        <v>3.0000000000000001E-3</v>
      </c>
      <c r="J2692" s="10"/>
      <c r="K2692"/>
    </row>
    <row r="2693" spans="1:13" x14ac:dyDescent="0.25">
      <c r="A2693" s="206"/>
      <c r="B2693" s="106"/>
      <c r="C2693" s="77"/>
      <c r="D2693" s="78" t="s">
        <v>1427</v>
      </c>
      <c r="E2693" s="204"/>
      <c r="F2693" s="152"/>
      <c r="G2693" s="80"/>
      <c r="J2693" s="10"/>
      <c r="K2693"/>
    </row>
    <row r="2694" spans="1:13" x14ac:dyDescent="0.25">
      <c r="A2694" s="206"/>
      <c r="B2694" s="106"/>
      <c r="C2694" s="77"/>
      <c r="D2694" s="77" t="s">
        <v>1143</v>
      </c>
      <c r="E2694" s="137"/>
      <c r="F2694" s="152" t="s">
        <v>3</v>
      </c>
      <c r="G2694" s="80">
        <f>0.06*0.07*3*8*1.095</f>
        <v>0.11037600000000002</v>
      </c>
      <c r="H2694" s="153"/>
      <c r="K2694"/>
    </row>
    <row r="2695" spans="1:13" x14ac:dyDescent="0.25">
      <c r="A2695" s="206"/>
      <c r="B2695" s="106"/>
      <c r="C2695" s="77"/>
      <c r="D2695" s="78" t="s">
        <v>1428</v>
      </c>
      <c r="E2695" s="77"/>
      <c r="F2695" s="152"/>
      <c r="G2695" s="80"/>
      <c r="K2695"/>
    </row>
    <row r="2696" spans="1:13" x14ac:dyDescent="0.25">
      <c r="A2696" s="206"/>
      <c r="B2696" s="106"/>
      <c r="C2696" s="77"/>
      <c r="D2696" s="77" t="s">
        <v>1429</v>
      </c>
      <c r="E2696" s="77"/>
      <c r="F2696" s="152" t="s">
        <v>3</v>
      </c>
      <c r="G2696" s="80">
        <f>0.065*0.028*1*8*1.15</f>
        <v>1.6743999999999998E-2</v>
      </c>
      <c r="K2696"/>
    </row>
    <row r="2697" spans="1:13" x14ac:dyDescent="0.25">
      <c r="A2697" s="206"/>
      <c r="B2697" s="106"/>
      <c r="C2697" s="77"/>
      <c r="D2697" s="77"/>
      <c r="E2697" s="77"/>
      <c r="F2697" s="152"/>
      <c r="G2697" s="80"/>
      <c r="K2697"/>
      <c r="M2697" s="2"/>
    </row>
    <row r="2698" spans="1:13" x14ac:dyDescent="0.25">
      <c r="A2698" s="193"/>
      <c r="B2698" s="106"/>
      <c r="C2698" s="78" t="s">
        <v>1430</v>
      </c>
      <c r="D2698" s="77"/>
      <c r="E2698" s="137"/>
      <c r="F2698" s="152"/>
      <c r="G2698" s="80"/>
      <c r="K2698"/>
    </row>
    <row r="2699" spans="1:13" x14ac:dyDescent="0.25">
      <c r="A2699" s="206"/>
      <c r="B2699" s="106"/>
      <c r="C2699" s="77" t="s">
        <v>1420</v>
      </c>
      <c r="D2699" s="77"/>
      <c r="E2699" s="77"/>
      <c r="F2699" s="152" t="s">
        <v>3</v>
      </c>
      <c r="G2699" s="80">
        <f>0.11*0.07*2*0.15*2*1.8</f>
        <v>8.3160000000000022E-3</v>
      </c>
      <c r="K2699"/>
    </row>
    <row r="2700" spans="1:13" x14ac:dyDescent="0.25">
      <c r="A2700" s="206"/>
      <c r="B2700" s="106"/>
      <c r="C2700" s="77" t="s">
        <v>1421</v>
      </c>
      <c r="D2700" s="78"/>
      <c r="E2700" s="77"/>
      <c r="F2700" s="152" t="s">
        <v>3</v>
      </c>
      <c r="G2700" s="80">
        <f>G2699/6+0.001</f>
        <v>2.3860000000000001E-3</v>
      </c>
      <c r="K2700"/>
    </row>
    <row r="2701" spans="1:13" x14ac:dyDescent="0.25">
      <c r="A2701" s="206"/>
      <c r="B2701" s="106"/>
      <c r="C2701" s="77" t="s">
        <v>661</v>
      </c>
      <c r="D2701" s="77"/>
      <c r="E2701" s="77"/>
      <c r="F2701" s="152" t="s">
        <v>3</v>
      </c>
      <c r="G2701" s="80">
        <f>0.3*G2699</f>
        <v>2.4948000000000006E-3</v>
      </c>
      <c r="K2701"/>
    </row>
    <row r="2702" spans="1:13" x14ac:dyDescent="0.25">
      <c r="A2702" s="206"/>
      <c r="B2702" s="106"/>
      <c r="C2702" s="77" t="s">
        <v>1431</v>
      </c>
      <c r="D2702" s="77"/>
      <c r="E2702" s="137"/>
      <c r="F2702" s="152" t="s">
        <v>3</v>
      </c>
      <c r="G2702" s="80">
        <f>0.016*3.14*0.07*1.2</f>
        <v>4.2201600000000006E-3</v>
      </c>
      <c r="K2702"/>
    </row>
    <row r="2703" spans="1:13" x14ac:dyDescent="0.25">
      <c r="A2703" s="206"/>
      <c r="B2703" s="106"/>
      <c r="C2703" s="77" t="s">
        <v>1055</v>
      </c>
      <c r="D2703" s="77"/>
      <c r="E2703" s="77"/>
      <c r="F2703" s="152" t="s">
        <v>3</v>
      </c>
      <c r="G2703" s="80">
        <f>G2702</f>
        <v>4.2201600000000006E-3</v>
      </c>
      <c r="K2703"/>
    </row>
    <row r="2704" spans="1:13" x14ac:dyDescent="0.25">
      <c r="A2704" s="206"/>
      <c r="B2704" s="106"/>
      <c r="C2704" s="77"/>
      <c r="D2704" s="78" t="s">
        <v>1432</v>
      </c>
      <c r="E2704" s="137"/>
      <c r="F2704" s="152"/>
      <c r="G2704" s="80"/>
      <c r="K2704"/>
    </row>
    <row r="2705" spans="1:11" x14ac:dyDescent="0.25">
      <c r="A2705" s="206"/>
      <c r="B2705" s="106"/>
      <c r="C2705" s="77"/>
      <c r="D2705" s="77" t="s">
        <v>1433</v>
      </c>
      <c r="E2705" s="77"/>
      <c r="F2705" s="152" t="s">
        <v>3</v>
      </c>
      <c r="G2705" s="80">
        <f>0.08*0.115*3*8*1.132</f>
        <v>0.24994559999999996</v>
      </c>
      <c r="K2705"/>
    </row>
    <row r="2706" spans="1:11" x14ac:dyDescent="0.25">
      <c r="A2706" s="163"/>
      <c r="B2706" s="96"/>
      <c r="C2706" s="186"/>
      <c r="D2706" s="78"/>
      <c r="E2706" s="73"/>
      <c r="F2706" s="74"/>
      <c r="G2706" s="72"/>
      <c r="K2706"/>
    </row>
    <row r="2707" spans="1:11" x14ac:dyDescent="0.25">
      <c r="A2707" s="193"/>
      <c r="B2707" s="96"/>
      <c r="C2707" s="78" t="s">
        <v>1434</v>
      </c>
      <c r="D2707" s="78"/>
      <c r="E2707" s="73"/>
      <c r="F2707" s="74"/>
      <c r="G2707" s="72"/>
      <c r="K2707"/>
    </row>
    <row r="2708" spans="1:11" x14ac:dyDescent="0.25">
      <c r="A2708" s="163"/>
      <c r="B2708" s="96"/>
      <c r="C2708" s="77" t="s">
        <v>124</v>
      </c>
      <c r="D2708" s="73"/>
      <c r="E2708" s="73"/>
      <c r="F2708" s="74" t="s">
        <v>3</v>
      </c>
      <c r="G2708" s="72">
        <f>0.025*3.14*2*0.07</f>
        <v>1.0990000000000003E-2</v>
      </c>
      <c r="K2708"/>
    </row>
    <row r="2709" spans="1:11" ht="17.25" x14ac:dyDescent="0.25">
      <c r="A2709" s="163"/>
      <c r="B2709" s="96"/>
      <c r="C2709" s="77" t="s">
        <v>121</v>
      </c>
      <c r="D2709" s="73"/>
      <c r="E2709" s="73"/>
      <c r="F2709" s="152" t="s">
        <v>596</v>
      </c>
      <c r="G2709" s="72">
        <f>G2708</f>
        <v>1.0990000000000003E-2</v>
      </c>
      <c r="K2709"/>
    </row>
    <row r="2710" spans="1:11" x14ac:dyDescent="0.25">
      <c r="A2710" s="163"/>
      <c r="B2710" s="96"/>
      <c r="C2710" s="77" t="s">
        <v>114</v>
      </c>
      <c r="D2710" s="78"/>
      <c r="E2710" s="73"/>
      <c r="F2710" s="74" t="s">
        <v>3</v>
      </c>
      <c r="G2710" s="72">
        <f>0.82*0.02*1.5</f>
        <v>2.4599999999999997E-2</v>
      </c>
      <c r="K2710"/>
    </row>
    <row r="2711" spans="1:11" x14ac:dyDescent="0.25">
      <c r="A2711" s="163"/>
      <c r="B2711" s="96"/>
      <c r="C2711" s="77" t="s">
        <v>164</v>
      </c>
      <c r="D2711" s="78"/>
      <c r="E2711" s="73"/>
      <c r="F2711" s="74" t="s">
        <v>3</v>
      </c>
      <c r="G2711" s="72">
        <f>0.3*G2710</f>
        <v>7.3799999999999985E-3</v>
      </c>
      <c r="K2711"/>
    </row>
    <row r="2712" spans="1:11" x14ac:dyDescent="0.25">
      <c r="A2712" s="163"/>
      <c r="B2712" s="96"/>
      <c r="C2712" s="77" t="s">
        <v>500</v>
      </c>
      <c r="D2712" s="78"/>
      <c r="E2712" s="73"/>
      <c r="F2712" s="74" t="s">
        <v>3</v>
      </c>
      <c r="G2712" s="72">
        <f>0.82*0.02*2*1.23</f>
        <v>4.0343999999999991E-2</v>
      </c>
      <c r="K2712"/>
    </row>
    <row r="2713" spans="1:11" x14ac:dyDescent="0.25">
      <c r="A2713" s="163"/>
      <c r="B2713" s="96"/>
      <c r="C2713" s="77" t="s">
        <v>12</v>
      </c>
      <c r="D2713" s="78"/>
      <c r="E2713" s="73"/>
      <c r="F2713" s="74" t="s">
        <v>3</v>
      </c>
      <c r="G2713" s="72">
        <f>0.3*G2712</f>
        <v>1.2103199999999996E-2</v>
      </c>
      <c r="K2713"/>
    </row>
    <row r="2714" spans="1:11" x14ac:dyDescent="0.25">
      <c r="A2714" s="163"/>
      <c r="B2714" s="96"/>
      <c r="C2714" s="77"/>
      <c r="D2714" s="78" t="s">
        <v>1435</v>
      </c>
      <c r="E2714" s="73"/>
      <c r="F2714" s="74"/>
      <c r="G2714" s="72"/>
      <c r="K2714"/>
    </row>
    <row r="2715" spans="1:11" x14ac:dyDescent="0.25">
      <c r="A2715" s="163"/>
      <c r="B2715" s="96"/>
      <c r="C2715" s="77"/>
      <c r="D2715" s="186" t="s">
        <v>1436</v>
      </c>
      <c r="E2715" s="73"/>
      <c r="F2715" s="74" t="s">
        <v>3</v>
      </c>
      <c r="G2715" s="72">
        <v>0.79</v>
      </c>
      <c r="I2715" t="s">
        <v>1437</v>
      </c>
      <c r="K2715"/>
    </row>
    <row r="2716" spans="1:11" x14ac:dyDescent="0.25">
      <c r="A2716" s="163"/>
      <c r="B2716" s="96"/>
      <c r="C2716" s="77"/>
      <c r="D2716" s="78"/>
      <c r="E2716" s="73"/>
      <c r="F2716" s="74"/>
      <c r="G2716" s="72"/>
      <c r="K2716"/>
    </row>
    <row r="2717" spans="1:11" x14ac:dyDescent="0.25">
      <c r="A2717" s="193"/>
      <c r="B2717" s="96"/>
      <c r="C2717" s="78" t="s">
        <v>1438</v>
      </c>
      <c r="D2717" s="78"/>
      <c r="E2717" s="73"/>
      <c r="F2717" s="74"/>
      <c r="G2717" s="72"/>
      <c r="K2717"/>
    </row>
    <row r="2718" spans="1:11" x14ac:dyDescent="0.25">
      <c r="A2718" s="163"/>
      <c r="B2718" s="96"/>
      <c r="C2718" s="77" t="s">
        <v>1054</v>
      </c>
      <c r="D2718" s="73"/>
      <c r="E2718" s="73"/>
      <c r="F2718" s="152" t="s">
        <v>3</v>
      </c>
      <c r="G2718" s="72">
        <f>0.4*0.07*1.2</f>
        <v>3.3600000000000005E-2</v>
      </c>
      <c r="K2718"/>
    </row>
    <row r="2719" spans="1:11" ht="17.25" x14ac:dyDescent="0.25">
      <c r="A2719" s="163"/>
      <c r="B2719" s="96"/>
      <c r="C2719" s="73" t="s">
        <v>1055</v>
      </c>
      <c r="D2719" s="73"/>
      <c r="E2719" s="73"/>
      <c r="F2719" s="152" t="s">
        <v>596</v>
      </c>
      <c r="G2719" s="72">
        <f>G2718</f>
        <v>3.3600000000000005E-2</v>
      </c>
      <c r="K2719"/>
    </row>
    <row r="2720" spans="1:11" x14ac:dyDescent="0.25">
      <c r="A2720" s="163"/>
      <c r="B2720" s="96"/>
      <c r="C2720" s="77" t="s">
        <v>1021</v>
      </c>
      <c r="D2720" s="78"/>
      <c r="E2720" s="73"/>
      <c r="F2720" s="152" t="s">
        <v>3</v>
      </c>
      <c r="G2720" s="72">
        <f>1.1*0.03*1.2</f>
        <v>3.9600000000000003E-2</v>
      </c>
      <c r="K2720"/>
    </row>
    <row r="2721" spans="1:11" x14ac:dyDescent="0.25">
      <c r="A2721" s="163"/>
      <c r="B2721" s="96"/>
      <c r="C2721" s="77" t="s">
        <v>661</v>
      </c>
      <c r="D2721" s="78"/>
      <c r="E2721" s="73"/>
      <c r="F2721" s="152" t="s">
        <v>3</v>
      </c>
      <c r="G2721" s="72">
        <f>0.3*G2720</f>
        <v>1.188E-2</v>
      </c>
      <c r="K2721"/>
    </row>
    <row r="2722" spans="1:11" x14ac:dyDescent="0.25">
      <c r="A2722" s="163"/>
      <c r="B2722" s="96"/>
      <c r="C2722" s="77"/>
      <c r="D2722" s="78" t="s">
        <v>1439</v>
      </c>
      <c r="E2722" s="73"/>
      <c r="F2722" s="74"/>
      <c r="G2722" s="72"/>
      <c r="K2722"/>
    </row>
    <row r="2723" spans="1:11" x14ac:dyDescent="0.25">
      <c r="A2723" s="163"/>
      <c r="B2723" s="96"/>
      <c r="C2723" s="77"/>
      <c r="D2723" s="186" t="s">
        <v>722</v>
      </c>
      <c r="E2723" s="73"/>
      <c r="F2723" s="74" t="s">
        <v>3</v>
      </c>
      <c r="G2723" s="72">
        <f>0.13*1.15</f>
        <v>0.14949999999999999</v>
      </c>
      <c r="K2723"/>
    </row>
    <row r="2724" spans="1:11" x14ac:dyDescent="0.25">
      <c r="A2724" s="163"/>
      <c r="B2724" s="96"/>
      <c r="C2724" s="77"/>
      <c r="D2724" s="78" t="s">
        <v>1451</v>
      </c>
      <c r="E2724" s="73"/>
      <c r="F2724" s="74"/>
      <c r="G2724" s="72"/>
      <c r="K2724"/>
    </row>
    <row r="2725" spans="1:11" x14ac:dyDescent="0.25">
      <c r="A2725" s="163"/>
      <c r="B2725" s="96"/>
      <c r="C2725" s="186"/>
      <c r="D2725" s="186" t="s">
        <v>1346</v>
      </c>
      <c r="E2725" s="73"/>
      <c r="F2725" s="74" t="s">
        <v>3</v>
      </c>
      <c r="G2725" s="72">
        <f>2</f>
        <v>2</v>
      </c>
      <c r="K2725"/>
    </row>
    <row r="2726" spans="1:11" x14ac:dyDescent="0.25">
      <c r="A2726" s="163"/>
      <c r="B2726" s="96"/>
      <c r="C2726" s="186"/>
      <c r="D2726" s="78"/>
      <c r="E2726" s="73"/>
      <c r="F2726" s="74"/>
      <c r="G2726" s="72"/>
      <c r="K2726"/>
    </row>
    <row r="2727" spans="1:11" x14ac:dyDescent="0.25">
      <c r="A2727" s="193"/>
      <c r="B2727" s="96"/>
      <c r="C2727" s="78" t="s">
        <v>1452</v>
      </c>
      <c r="D2727" s="78"/>
      <c r="E2727" s="73"/>
      <c r="F2727" s="74"/>
      <c r="G2727" s="72"/>
      <c r="K2727"/>
    </row>
    <row r="2728" spans="1:11" x14ac:dyDescent="0.25">
      <c r="A2728" s="163"/>
      <c r="B2728" s="96"/>
      <c r="C2728" s="73" t="s">
        <v>140</v>
      </c>
      <c r="D2728" s="73"/>
      <c r="E2728" s="73"/>
      <c r="F2728" s="74" t="s">
        <v>3</v>
      </c>
      <c r="G2728" s="72">
        <v>0.03</v>
      </c>
      <c r="K2728"/>
    </row>
    <row r="2729" spans="1:11" ht="17.25" x14ac:dyDescent="0.25">
      <c r="A2729" s="163"/>
      <c r="B2729" s="96"/>
      <c r="C2729" s="73" t="s">
        <v>23</v>
      </c>
      <c r="D2729" s="73"/>
      <c r="E2729" s="73"/>
      <c r="F2729" s="74" t="s">
        <v>596</v>
      </c>
      <c r="G2729" s="72">
        <f>G2728*1.5</f>
        <v>4.4999999999999998E-2</v>
      </c>
      <c r="K2729"/>
    </row>
    <row r="2730" spans="1:11" x14ac:dyDescent="0.25">
      <c r="A2730" s="163"/>
      <c r="B2730" s="96"/>
      <c r="C2730" s="73" t="s">
        <v>142</v>
      </c>
      <c r="D2730" s="73"/>
      <c r="E2730" s="73"/>
      <c r="F2730" s="74" t="s">
        <v>3</v>
      </c>
      <c r="G2730" s="72">
        <f>G2728/4</f>
        <v>7.4999999999999997E-3</v>
      </c>
      <c r="K2730"/>
    </row>
    <row r="2731" spans="1:11" x14ac:dyDescent="0.25">
      <c r="A2731" s="163"/>
      <c r="B2731" s="96"/>
      <c r="C2731" s="77" t="s">
        <v>143</v>
      </c>
      <c r="D2731" s="78"/>
      <c r="E2731" s="73"/>
      <c r="F2731" s="74" t="s">
        <v>3</v>
      </c>
      <c r="G2731" s="72">
        <f>0.5*0.03*1.3</f>
        <v>1.95E-2</v>
      </c>
      <c r="K2731"/>
    </row>
    <row r="2732" spans="1:11" x14ac:dyDescent="0.25">
      <c r="A2732" s="163"/>
      <c r="B2732" s="96"/>
      <c r="C2732" s="77" t="s">
        <v>8</v>
      </c>
      <c r="D2732" s="78"/>
      <c r="E2732" s="73"/>
      <c r="F2732" s="74" t="s">
        <v>3</v>
      </c>
      <c r="G2732" s="72">
        <f>G2733*0.8</f>
        <v>3.1680000000000007E-2</v>
      </c>
      <c r="K2732"/>
    </row>
    <row r="2733" spans="1:11" x14ac:dyDescent="0.25">
      <c r="A2733" s="163"/>
      <c r="B2733" s="96"/>
      <c r="C2733" s="77" t="s">
        <v>325</v>
      </c>
      <c r="D2733" s="78"/>
      <c r="E2733" s="73"/>
      <c r="F2733" s="74" t="s">
        <v>3</v>
      </c>
      <c r="G2733" s="72">
        <f>0.5*0.03*2*1.32</f>
        <v>3.9600000000000003E-2</v>
      </c>
      <c r="K2733"/>
    </row>
    <row r="2734" spans="1:11" x14ac:dyDescent="0.25">
      <c r="A2734" s="163"/>
      <c r="B2734" s="96"/>
      <c r="C2734" s="77" t="s">
        <v>1453</v>
      </c>
      <c r="D2734" s="78"/>
      <c r="E2734" s="73"/>
      <c r="F2734" s="74" t="s">
        <v>3</v>
      </c>
      <c r="G2734" s="72">
        <f>0.3*(G2733+G2732+G2731)</f>
        <v>2.7234000000000005E-2</v>
      </c>
      <c r="K2734"/>
    </row>
    <row r="2735" spans="1:11" x14ac:dyDescent="0.25">
      <c r="A2735" s="163"/>
      <c r="B2735" s="96"/>
      <c r="C2735" s="77"/>
      <c r="D2735" s="78" t="s">
        <v>1454</v>
      </c>
      <c r="E2735" s="73"/>
      <c r="F2735" s="74"/>
      <c r="G2735" s="72"/>
      <c r="K2735"/>
    </row>
    <row r="2736" spans="1:11" x14ac:dyDescent="0.25">
      <c r="A2736" s="163"/>
      <c r="B2736" s="96"/>
      <c r="C2736" s="77"/>
      <c r="D2736" s="73" t="s">
        <v>140</v>
      </c>
      <c r="E2736" s="73"/>
      <c r="F2736" s="74" t="s">
        <v>3</v>
      </c>
      <c r="G2736" s="72">
        <f>0.02*3.14*0.08*1.2</f>
        <v>6.0288000000000008E-3</v>
      </c>
      <c r="K2736"/>
    </row>
    <row r="2737" spans="1:11" ht="17.25" x14ac:dyDescent="0.25">
      <c r="A2737" s="163"/>
      <c r="B2737" s="96"/>
      <c r="C2737" s="77"/>
      <c r="D2737" s="73" t="s">
        <v>23</v>
      </c>
      <c r="E2737" s="73"/>
      <c r="F2737" s="74" t="s">
        <v>596</v>
      </c>
      <c r="G2737" s="72">
        <f>G2736*1.5</f>
        <v>9.0432000000000012E-3</v>
      </c>
      <c r="K2737"/>
    </row>
    <row r="2738" spans="1:11" x14ac:dyDescent="0.25">
      <c r="A2738" s="163"/>
      <c r="B2738" s="96"/>
      <c r="C2738" s="77"/>
      <c r="D2738" s="73" t="s">
        <v>142</v>
      </c>
      <c r="E2738" s="73"/>
      <c r="F2738" s="74" t="s">
        <v>3</v>
      </c>
      <c r="G2738" s="72">
        <f>G2736/4</f>
        <v>1.5072000000000002E-3</v>
      </c>
      <c r="K2738"/>
    </row>
    <row r="2739" spans="1:11" x14ac:dyDescent="0.25">
      <c r="A2739" s="163"/>
      <c r="B2739" s="96"/>
      <c r="C2739" s="77"/>
      <c r="D2739" s="78"/>
      <c r="E2739" s="75" t="s">
        <v>1455</v>
      </c>
      <c r="F2739" s="74"/>
      <c r="G2739" s="72"/>
      <c r="K2739"/>
    </row>
    <row r="2740" spans="1:11" x14ac:dyDescent="0.25">
      <c r="A2740" s="163"/>
      <c r="B2740" s="96"/>
      <c r="C2740" s="77"/>
      <c r="D2740" s="78"/>
      <c r="E2740" s="100" t="s">
        <v>1458</v>
      </c>
      <c r="F2740" s="74" t="s">
        <v>3</v>
      </c>
      <c r="G2740" s="72">
        <v>0.06</v>
      </c>
      <c r="I2740" t="s">
        <v>1459</v>
      </c>
      <c r="K2740"/>
    </row>
    <row r="2741" spans="1:11" x14ac:dyDescent="0.25">
      <c r="A2741" s="163"/>
      <c r="B2741" s="96"/>
      <c r="C2741" s="77"/>
      <c r="D2741" s="78" t="s">
        <v>1456</v>
      </c>
      <c r="E2741" s="73"/>
      <c r="F2741" s="74"/>
      <c r="G2741" s="72"/>
      <c r="K2741"/>
    </row>
    <row r="2742" spans="1:11" x14ac:dyDescent="0.25">
      <c r="A2742" s="163"/>
      <c r="B2742" s="96"/>
      <c r="C2742" s="77"/>
      <c r="D2742" s="186" t="s">
        <v>1460</v>
      </c>
      <c r="E2742" s="73"/>
      <c r="F2742" s="74" t="s">
        <v>3</v>
      </c>
      <c r="G2742" s="72">
        <v>0.67500000000000004</v>
      </c>
      <c r="I2742" t="s">
        <v>1461</v>
      </c>
      <c r="K2742"/>
    </row>
    <row r="2743" spans="1:11" x14ac:dyDescent="0.25">
      <c r="A2743" s="163"/>
      <c r="B2743" s="96"/>
      <c r="C2743" s="77"/>
      <c r="D2743" s="78" t="s">
        <v>1457</v>
      </c>
      <c r="E2743" s="73"/>
      <c r="F2743" s="74"/>
      <c r="G2743" s="72"/>
      <c r="K2743"/>
    </row>
    <row r="2744" spans="1:11" x14ac:dyDescent="0.25">
      <c r="A2744" s="163"/>
      <c r="B2744" s="96"/>
      <c r="C2744" s="77"/>
      <c r="D2744" s="186" t="s">
        <v>415</v>
      </c>
      <c r="E2744" s="73"/>
      <c r="F2744" s="74" t="s">
        <v>3</v>
      </c>
      <c r="G2744" s="72">
        <f>0.12*0.05*1.5*8*1.18</f>
        <v>8.4960000000000008E-2</v>
      </c>
      <c r="K2744"/>
    </row>
    <row r="2745" spans="1:11" x14ac:dyDescent="0.25">
      <c r="A2745" s="163"/>
      <c r="B2745" s="96"/>
      <c r="C2745" s="77"/>
      <c r="D2745" s="78"/>
      <c r="E2745" s="73"/>
      <c r="F2745" s="74"/>
      <c r="G2745" s="72"/>
      <c r="K2745"/>
    </row>
    <row r="2746" spans="1:11" x14ac:dyDescent="0.25">
      <c r="A2746" s="193"/>
      <c r="B2746" s="96"/>
      <c r="C2746" s="78" t="s">
        <v>1462</v>
      </c>
      <c r="D2746" s="78"/>
      <c r="E2746" s="73"/>
      <c r="F2746" s="74"/>
      <c r="G2746" s="72"/>
      <c r="K2746"/>
    </row>
    <row r="2747" spans="1:11" x14ac:dyDescent="0.25">
      <c r="A2747" s="163"/>
      <c r="B2747" s="96"/>
      <c r="C2747" s="77" t="s">
        <v>1054</v>
      </c>
      <c r="D2747" s="73"/>
      <c r="E2747" s="73"/>
      <c r="F2747" s="152" t="s">
        <v>3</v>
      </c>
      <c r="G2747" s="72">
        <f>0.3*0.07*1.2</f>
        <v>2.52E-2</v>
      </c>
      <c r="K2747"/>
    </row>
    <row r="2748" spans="1:11" ht="17.25" x14ac:dyDescent="0.25">
      <c r="A2748" s="163"/>
      <c r="B2748" s="96"/>
      <c r="C2748" s="73" t="s">
        <v>1055</v>
      </c>
      <c r="D2748" s="73"/>
      <c r="E2748" s="73"/>
      <c r="F2748" s="152" t="s">
        <v>596</v>
      </c>
      <c r="G2748" s="72">
        <f>G2747</f>
        <v>2.52E-2</v>
      </c>
      <c r="K2748"/>
    </row>
    <row r="2749" spans="1:11" x14ac:dyDescent="0.25">
      <c r="A2749" s="163"/>
      <c r="B2749" s="96"/>
      <c r="C2749" s="77" t="s">
        <v>1021</v>
      </c>
      <c r="D2749" s="73"/>
      <c r="E2749" s="73"/>
      <c r="F2749" s="152" t="s">
        <v>3</v>
      </c>
      <c r="G2749" s="72">
        <f>0.86*0.03*2*1.35</f>
        <v>6.966E-2</v>
      </c>
      <c r="K2749"/>
    </row>
    <row r="2750" spans="1:11" x14ac:dyDescent="0.25">
      <c r="A2750" s="163"/>
      <c r="B2750" s="96"/>
      <c r="C2750" s="77" t="s">
        <v>661</v>
      </c>
      <c r="D2750" s="73"/>
      <c r="E2750" s="73"/>
      <c r="F2750" s="152" t="s">
        <v>3</v>
      </c>
      <c r="G2750" s="72">
        <f>0.3*G2749</f>
        <v>2.0898E-2</v>
      </c>
      <c r="K2750"/>
    </row>
    <row r="2751" spans="1:11" x14ac:dyDescent="0.25">
      <c r="A2751" s="163"/>
      <c r="B2751" s="96"/>
      <c r="C2751" s="77" t="s">
        <v>13</v>
      </c>
      <c r="D2751" s="73"/>
      <c r="E2751" s="73"/>
      <c r="F2751" s="152" t="s">
        <v>3</v>
      </c>
      <c r="G2751" s="72">
        <v>0.1</v>
      </c>
      <c r="K2751"/>
    </row>
    <row r="2752" spans="1:11" x14ac:dyDescent="0.25">
      <c r="A2752" s="163"/>
      <c r="B2752" s="96"/>
      <c r="C2752" s="77"/>
      <c r="D2752" s="78" t="s">
        <v>1463</v>
      </c>
      <c r="E2752" s="73"/>
      <c r="F2752" s="74"/>
      <c r="G2752" s="72"/>
      <c r="K2752"/>
    </row>
    <row r="2753" spans="1:11" x14ac:dyDescent="0.25">
      <c r="A2753" s="163"/>
      <c r="B2753" s="96"/>
      <c r="C2753" s="77"/>
      <c r="D2753" s="186" t="s">
        <v>1346</v>
      </c>
      <c r="E2753" s="73"/>
      <c r="F2753" s="152" t="s">
        <v>3</v>
      </c>
      <c r="G2753" s="72">
        <v>1.62</v>
      </c>
      <c r="I2753" t="s">
        <v>1465</v>
      </c>
      <c r="K2753"/>
    </row>
    <row r="2754" spans="1:11" x14ac:dyDescent="0.25">
      <c r="A2754" s="163"/>
      <c r="B2754" s="96"/>
      <c r="C2754" s="77"/>
      <c r="D2754" s="78" t="s">
        <v>1464</v>
      </c>
      <c r="E2754" s="73"/>
      <c r="F2754" s="74"/>
      <c r="G2754" s="72"/>
      <c r="K2754"/>
    </row>
    <row r="2755" spans="1:11" x14ac:dyDescent="0.25">
      <c r="A2755" s="163"/>
      <c r="B2755" s="96"/>
      <c r="C2755" s="77"/>
      <c r="D2755" s="77" t="s">
        <v>275</v>
      </c>
      <c r="E2755" s="73"/>
      <c r="F2755" s="152" t="s">
        <v>3</v>
      </c>
      <c r="G2755" s="72">
        <f>0.13*0.07*1.5*8*1.19</f>
        <v>0.12994800000000001</v>
      </c>
      <c r="K2755"/>
    </row>
    <row r="2756" spans="1:11" x14ac:dyDescent="0.25">
      <c r="A2756" s="163"/>
      <c r="B2756" s="96"/>
      <c r="C2756" s="77"/>
      <c r="D2756" s="78"/>
      <c r="E2756" s="73"/>
      <c r="F2756" s="74"/>
      <c r="G2756" s="72"/>
      <c r="K2756"/>
    </row>
    <row r="2757" spans="1:11" x14ac:dyDescent="0.25">
      <c r="A2757" s="193"/>
      <c r="B2757" s="96"/>
      <c r="C2757" s="78" t="s">
        <v>1466</v>
      </c>
      <c r="D2757" s="78"/>
      <c r="E2757" s="73"/>
      <c r="F2757" s="74"/>
      <c r="G2757" s="72"/>
      <c r="K2757"/>
    </row>
    <row r="2758" spans="1:11" x14ac:dyDescent="0.25">
      <c r="A2758" s="163"/>
      <c r="B2758" s="96"/>
      <c r="C2758" s="77" t="s">
        <v>1054</v>
      </c>
      <c r="D2758" s="73"/>
      <c r="E2758" s="73"/>
      <c r="F2758" s="152" t="s">
        <v>3</v>
      </c>
      <c r="G2758" s="72">
        <f>0.06*3.14*0.07*1.2</f>
        <v>1.5825600000000002E-2</v>
      </c>
      <c r="K2758"/>
    </row>
    <row r="2759" spans="1:11" ht="17.25" x14ac:dyDescent="0.25">
      <c r="A2759" s="163"/>
      <c r="B2759" s="96"/>
      <c r="C2759" s="73" t="s">
        <v>1055</v>
      </c>
      <c r="D2759" s="73"/>
      <c r="E2759" s="73"/>
      <c r="F2759" s="152" t="s">
        <v>596</v>
      </c>
      <c r="G2759" s="72">
        <f>G2758</f>
        <v>1.5825600000000002E-2</v>
      </c>
      <c r="K2759"/>
    </row>
    <row r="2760" spans="1:11" x14ac:dyDescent="0.25">
      <c r="A2760" s="163"/>
      <c r="B2760" s="96"/>
      <c r="C2760" s="77" t="s">
        <v>1021</v>
      </c>
      <c r="D2760" s="73"/>
      <c r="E2760" s="73"/>
      <c r="F2760" s="152" t="s">
        <v>3</v>
      </c>
      <c r="G2760" s="72">
        <f>0.12*0.03*2*2.1</f>
        <v>1.512E-2</v>
      </c>
      <c r="K2760"/>
    </row>
    <row r="2761" spans="1:11" x14ac:dyDescent="0.25">
      <c r="A2761" s="163"/>
      <c r="B2761" s="96"/>
      <c r="C2761" s="77" t="s">
        <v>661</v>
      </c>
      <c r="D2761" s="73"/>
      <c r="E2761" s="73"/>
      <c r="F2761" s="152" t="s">
        <v>3</v>
      </c>
      <c r="G2761" s="72">
        <f>0.3*G2760</f>
        <v>4.5360000000000001E-3</v>
      </c>
      <c r="K2761"/>
    </row>
    <row r="2762" spans="1:11" x14ac:dyDescent="0.25">
      <c r="A2762" s="163"/>
      <c r="B2762" s="96"/>
      <c r="C2762" s="77" t="s">
        <v>13</v>
      </c>
      <c r="D2762" s="73"/>
      <c r="E2762" s="73"/>
      <c r="F2762" s="152" t="s">
        <v>3</v>
      </c>
      <c r="G2762" s="72">
        <v>0.08</v>
      </c>
      <c r="K2762"/>
    </row>
    <row r="2763" spans="1:11" x14ac:dyDescent="0.25">
      <c r="A2763" s="163"/>
      <c r="B2763" s="96"/>
      <c r="C2763" s="77"/>
      <c r="D2763" s="78" t="s">
        <v>1467</v>
      </c>
      <c r="E2763" s="73"/>
      <c r="F2763" s="74"/>
      <c r="G2763" s="72"/>
      <c r="K2763"/>
    </row>
    <row r="2764" spans="1:11" x14ac:dyDescent="0.25">
      <c r="A2764" s="163"/>
      <c r="B2764" s="96"/>
      <c r="C2764" s="77"/>
      <c r="D2764" s="186" t="s">
        <v>1346</v>
      </c>
      <c r="E2764" s="73"/>
      <c r="F2764" s="152" t="s">
        <v>3</v>
      </c>
      <c r="G2764" s="72">
        <v>0.21</v>
      </c>
      <c r="I2764" t="s">
        <v>1468</v>
      </c>
      <c r="K2764"/>
    </row>
    <row r="2765" spans="1:11" x14ac:dyDescent="0.25">
      <c r="A2765" s="163"/>
      <c r="B2765" s="96"/>
      <c r="C2765" s="77"/>
      <c r="D2765" s="78"/>
      <c r="E2765" s="73"/>
      <c r="F2765" s="74"/>
      <c r="G2765" s="72"/>
      <c r="K2765"/>
    </row>
    <row r="2766" spans="1:11" x14ac:dyDescent="0.25">
      <c r="A2766" s="193"/>
      <c r="B2766" s="96"/>
      <c r="C2766" s="78" t="s">
        <v>1469</v>
      </c>
      <c r="D2766" s="78"/>
      <c r="E2766" s="73"/>
      <c r="F2766" s="74"/>
      <c r="G2766" s="72"/>
      <c r="K2766"/>
    </row>
    <row r="2767" spans="1:11" x14ac:dyDescent="0.25">
      <c r="A2767" s="163"/>
      <c r="B2767" s="96"/>
      <c r="C2767" s="77" t="s">
        <v>1054</v>
      </c>
      <c r="D2767" s="73"/>
      <c r="E2767" s="73"/>
      <c r="F2767" s="152" t="s">
        <v>3</v>
      </c>
      <c r="G2767" s="72">
        <f>0.06*3.14*0.07*1.2</f>
        <v>1.5825600000000002E-2</v>
      </c>
      <c r="K2767"/>
    </row>
    <row r="2768" spans="1:11" ht="17.25" x14ac:dyDescent="0.25">
      <c r="A2768" s="163"/>
      <c r="B2768" s="96"/>
      <c r="C2768" s="73" t="s">
        <v>1055</v>
      </c>
      <c r="D2768" s="73"/>
      <c r="E2768" s="73"/>
      <c r="F2768" s="152" t="s">
        <v>596</v>
      </c>
      <c r="G2768" s="72">
        <f>G2767</f>
        <v>1.5825600000000002E-2</v>
      </c>
      <c r="K2768"/>
    </row>
    <row r="2769" spans="1:11" x14ac:dyDescent="0.25">
      <c r="A2769" s="163"/>
      <c r="B2769" s="96"/>
      <c r="C2769" s="77" t="s">
        <v>1021</v>
      </c>
      <c r="D2769" s="73"/>
      <c r="E2769" s="73"/>
      <c r="F2769" s="152" t="s">
        <v>3</v>
      </c>
      <c r="G2769" s="72">
        <f>0.16*0.03*2*2.1</f>
        <v>2.0159999999999997E-2</v>
      </c>
      <c r="K2769"/>
    </row>
    <row r="2770" spans="1:11" x14ac:dyDescent="0.25">
      <c r="A2770" s="163"/>
      <c r="B2770" s="96"/>
      <c r="C2770" s="77" t="s">
        <v>661</v>
      </c>
      <c r="D2770" s="73"/>
      <c r="E2770" s="73"/>
      <c r="F2770" s="152" t="s">
        <v>3</v>
      </c>
      <c r="G2770" s="72">
        <f>0.3*G2769</f>
        <v>6.0479999999999987E-3</v>
      </c>
      <c r="K2770"/>
    </row>
    <row r="2771" spans="1:11" x14ac:dyDescent="0.25">
      <c r="A2771" s="163"/>
      <c r="B2771" s="96"/>
      <c r="C2771" s="77" t="s">
        <v>13</v>
      </c>
      <c r="D2771" s="73"/>
      <c r="E2771" s="73"/>
      <c r="F2771" s="152" t="s">
        <v>3</v>
      </c>
      <c r="G2771" s="72">
        <v>0.09</v>
      </c>
      <c r="K2771"/>
    </row>
    <row r="2772" spans="1:11" x14ac:dyDescent="0.25">
      <c r="A2772" s="163"/>
      <c r="B2772" s="96"/>
      <c r="C2772" s="77"/>
      <c r="D2772" s="78" t="s">
        <v>1470</v>
      </c>
      <c r="E2772" s="73"/>
      <c r="F2772" s="74"/>
      <c r="G2772" s="72"/>
      <c r="K2772"/>
    </row>
    <row r="2773" spans="1:11" x14ac:dyDescent="0.25">
      <c r="A2773" s="163"/>
      <c r="B2773" s="96"/>
      <c r="C2773" s="77"/>
      <c r="D2773" s="186" t="s">
        <v>1346</v>
      </c>
      <c r="E2773" s="73"/>
      <c r="F2773" s="152" t="s">
        <v>3</v>
      </c>
      <c r="G2773" s="72">
        <v>0.32500000000000001</v>
      </c>
      <c r="I2773" t="s">
        <v>1471</v>
      </c>
      <c r="K2773"/>
    </row>
    <row r="2774" spans="1:11" x14ac:dyDescent="0.25">
      <c r="A2774" s="163"/>
      <c r="B2774" s="96"/>
      <c r="C2774" s="77"/>
      <c r="D2774" s="78"/>
      <c r="E2774" s="73"/>
      <c r="F2774" s="74"/>
      <c r="G2774" s="72"/>
      <c r="K2774"/>
    </row>
    <row r="2775" spans="1:11" x14ac:dyDescent="0.25">
      <c r="A2775" s="193"/>
      <c r="B2775" s="96"/>
      <c r="C2775" s="78" t="s">
        <v>1472</v>
      </c>
      <c r="D2775" s="78"/>
      <c r="E2775" s="73"/>
      <c r="F2775" s="74"/>
      <c r="G2775" s="72"/>
      <c r="K2775"/>
    </row>
    <row r="2776" spans="1:11" x14ac:dyDescent="0.25">
      <c r="A2776" s="163"/>
      <c r="B2776" s="96"/>
      <c r="C2776" s="77" t="s">
        <v>1307</v>
      </c>
      <c r="D2776" s="78"/>
      <c r="E2776" s="73"/>
      <c r="F2776" s="74" t="s">
        <v>3</v>
      </c>
      <c r="G2776" s="72">
        <v>0.01</v>
      </c>
      <c r="K2776"/>
    </row>
    <row r="2777" spans="1:11" x14ac:dyDescent="0.25">
      <c r="A2777" s="163"/>
      <c r="B2777" s="96"/>
      <c r="C2777" s="77" t="s">
        <v>1473</v>
      </c>
      <c r="D2777" s="78"/>
      <c r="E2777" s="73"/>
      <c r="F2777" s="74" t="s">
        <v>195</v>
      </c>
      <c r="G2777" s="72">
        <v>0.4</v>
      </c>
      <c r="K2777"/>
    </row>
    <row r="2778" spans="1:11" x14ac:dyDescent="0.25">
      <c r="A2778" s="163"/>
      <c r="B2778" s="96"/>
      <c r="C2778" s="77"/>
      <c r="D2778" s="78" t="s">
        <v>1474</v>
      </c>
      <c r="E2778" s="73"/>
      <c r="F2778" s="74"/>
      <c r="G2778" s="72"/>
      <c r="K2778"/>
    </row>
    <row r="2779" spans="1:11" x14ac:dyDescent="0.25">
      <c r="A2779" s="163"/>
      <c r="B2779" s="96"/>
      <c r="C2779" s="77"/>
      <c r="D2779" s="186" t="s">
        <v>1199</v>
      </c>
      <c r="E2779" s="73"/>
      <c r="F2779" s="74" t="s">
        <v>3</v>
      </c>
      <c r="G2779" s="72">
        <f>0.011</f>
        <v>1.0999999999999999E-2</v>
      </c>
      <c r="K2779"/>
    </row>
    <row r="2780" spans="1:11" ht="17.25" x14ac:dyDescent="0.25">
      <c r="A2780" s="163"/>
      <c r="B2780" s="96"/>
      <c r="C2780" s="77"/>
      <c r="D2780" s="77" t="s">
        <v>121</v>
      </c>
      <c r="E2780" s="73"/>
      <c r="F2780" s="152" t="s">
        <v>596</v>
      </c>
      <c r="G2780" s="72">
        <f>G2779*1.1</f>
        <v>1.21E-2</v>
      </c>
      <c r="K2780"/>
    </row>
    <row r="2781" spans="1:11" x14ac:dyDescent="0.25">
      <c r="A2781" s="163"/>
      <c r="B2781" s="96"/>
      <c r="C2781" s="77"/>
      <c r="D2781" s="186" t="s">
        <v>114</v>
      </c>
      <c r="E2781" s="73"/>
      <c r="F2781" s="74" t="s">
        <v>3</v>
      </c>
      <c r="G2781" s="72">
        <v>3.0000000000000001E-3</v>
      </c>
      <c r="K2781"/>
    </row>
    <row r="2782" spans="1:11" x14ac:dyDescent="0.25">
      <c r="A2782" s="163"/>
      <c r="B2782" s="96"/>
      <c r="C2782" s="77"/>
      <c r="D2782" s="186" t="s">
        <v>164</v>
      </c>
      <c r="E2782" s="73"/>
      <c r="F2782" s="74" t="s">
        <v>3</v>
      </c>
      <c r="G2782" s="72">
        <f>0.3*G2781</f>
        <v>8.9999999999999998E-4</v>
      </c>
      <c r="K2782"/>
    </row>
    <row r="2783" spans="1:11" x14ac:dyDescent="0.25">
      <c r="A2783" s="163"/>
      <c r="B2783" s="96"/>
      <c r="C2783" s="77"/>
      <c r="D2783" s="186" t="s">
        <v>500</v>
      </c>
      <c r="E2783" s="73"/>
      <c r="F2783" s="74" t="s">
        <v>3</v>
      </c>
      <c r="G2783" s="72">
        <v>5.0000000000000001E-3</v>
      </c>
      <c r="K2783"/>
    </row>
    <row r="2784" spans="1:11" x14ac:dyDescent="0.25">
      <c r="A2784" s="163"/>
      <c r="B2784" s="96"/>
      <c r="C2784" s="77"/>
      <c r="D2784" s="186" t="s">
        <v>12</v>
      </c>
      <c r="E2784" s="73"/>
      <c r="F2784" s="74" t="s">
        <v>3</v>
      </c>
      <c r="G2784" s="72">
        <f>0.3*G2783</f>
        <v>1.5E-3</v>
      </c>
      <c r="K2784"/>
    </row>
    <row r="2785" spans="1:11" x14ac:dyDescent="0.25">
      <c r="A2785" s="163"/>
      <c r="B2785" s="96"/>
      <c r="C2785" s="77"/>
      <c r="D2785" s="186" t="s">
        <v>1021</v>
      </c>
      <c r="E2785" s="73"/>
      <c r="F2785" s="74" t="s">
        <v>3</v>
      </c>
      <c r="G2785" s="72">
        <v>3.0000000000000001E-3</v>
      </c>
      <c r="K2785"/>
    </row>
    <row r="2786" spans="1:11" x14ac:dyDescent="0.25">
      <c r="A2786" s="163"/>
      <c r="B2786" s="96"/>
      <c r="C2786" s="77"/>
      <c r="D2786" s="186" t="s">
        <v>661</v>
      </c>
      <c r="E2786" s="73"/>
      <c r="F2786" s="74" t="s">
        <v>3</v>
      </c>
      <c r="G2786" s="72">
        <f>0.3*G2785</f>
        <v>8.9999999999999998E-4</v>
      </c>
      <c r="K2786"/>
    </row>
    <row r="2787" spans="1:11" x14ac:dyDescent="0.25">
      <c r="A2787" s="163"/>
      <c r="B2787" s="96"/>
      <c r="C2787" s="77"/>
      <c r="D2787" s="78"/>
      <c r="E2787" s="75" t="s">
        <v>1475</v>
      </c>
      <c r="F2787" s="74"/>
      <c r="G2787" s="72"/>
      <c r="K2787"/>
    </row>
    <row r="2788" spans="1:11" x14ac:dyDescent="0.25">
      <c r="A2788" s="163"/>
      <c r="B2788" s="96"/>
      <c r="C2788" s="77"/>
      <c r="D2788" s="78"/>
      <c r="E2788" s="73" t="s">
        <v>1476</v>
      </c>
      <c r="F2788" s="74" t="s">
        <v>3</v>
      </c>
      <c r="G2788" s="72">
        <v>6.5000000000000002E-2</v>
      </c>
      <c r="I2788" t="s">
        <v>1224</v>
      </c>
      <c r="K2788"/>
    </row>
    <row r="2789" spans="1:11" x14ac:dyDescent="0.25">
      <c r="A2789" s="163"/>
      <c r="B2789" s="96"/>
      <c r="C2789" s="77"/>
      <c r="D2789" s="78"/>
      <c r="E2789" s="73"/>
      <c r="F2789" s="74"/>
      <c r="G2789" s="72"/>
      <c r="K2789"/>
    </row>
    <row r="2790" spans="1:11" x14ac:dyDescent="0.25">
      <c r="A2790" s="193"/>
      <c r="B2790" s="96"/>
      <c r="C2790" s="78" t="s">
        <v>1477</v>
      </c>
      <c r="D2790" s="78"/>
      <c r="E2790" s="73"/>
      <c r="F2790" s="74"/>
      <c r="G2790" s="72"/>
      <c r="K2790"/>
    </row>
    <row r="2791" spans="1:11" x14ac:dyDescent="0.25">
      <c r="A2791" s="163"/>
      <c r="B2791" s="96"/>
      <c r="C2791" s="77" t="s">
        <v>1054</v>
      </c>
      <c r="D2791" s="73"/>
      <c r="E2791" s="73"/>
      <c r="F2791" s="152" t="s">
        <v>3</v>
      </c>
      <c r="G2791" s="72">
        <f>0.03*3.14*0.07*1.2</f>
        <v>7.9128000000000011E-3</v>
      </c>
      <c r="K2791"/>
    </row>
    <row r="2792" spans="1:11" ht="17.25" x14ac:dyDescent="0.25">
      <c r="A2792" s="163"/>
      <c r="B2792" s="96"/>
      <c r="C2792" s="73" t="s">
        <v>1055</v>
      </c>
      <c r="D2792" s="73"/>
      <c r="E2792" s="73"/>
      <c r="F2792" s="152" t="s">
        <v>596</v>
      </c>
      <c r="G2792" s="72">
        <f>G2791</f>
        <v>7.9128000000000011E-3</v>
      </c>
      <c r="K2792"/>
    </row>
    <row r="2793" spans="1:11" x14ac:dyDescent="0.25">
      <c r="A2793" s="163"/>
      <c r="B2793" s="96"/>
      <c r="C2793" s="186" t="s">
        <v>114</v>
      </c>
      <c r="D2793" s="73"/>
      <c r="E2793" s="73"/>
      <c r="F2793" s="74" t="s">
        <v>3</v>
      </c>
      <c r="G2793" s="72">
        <v>0.01</v>
      </c>
      <c r="K2793"/>
    </row>
    <row r="2794" spans="1:11" x14ac:dyDescent="0.25">
      <c r="A2794" s="163"/>
      <c r="B2794" s="96"/>
      <c r="C2794" s="186" t="s">
        <v>164</v>
      </c>
      <c r="D2794" s="73"/>
      <c r="E2794" s="73"/>
      <c r="F2794" s="74" t="s">
        <v>3</v>
      </c>
      <c r="G2794" s="72">
        <f>0.3*G2793</f>
        <v>3.0000000000000001E-3</v>
      </c>
      <c r="K2794"/>
    </row>
    <row r="2795" spans="1:11" x14ac:dyDescent="0.25">
      <c r="A2795" s="163"/>
      <c r="B2795" s="96"/>
      <c r="C2795" s="186" t="s">
        <v>500</v>
      </c>
      <c r="D2795" s="73"/>
      <c r="E2795" s="73"/>
      <c r="F2795" s="74" t="s">
        <v>3</v>
      </c>
      <c r="G2795" s="72">
        <v>1.4999999999999999E-2</v>
      </c>
      <c r="K2795"/>
    </row>
    <row r="2796" spans="1:11" x14ac:dyDescent="0.25">
      <c r="A2796" s="163"/>
      <c r="B2796" s="96"/>
      <c r="C2796" s="186" t="s">
        <v>12</v>
      </c>
      <c r="D2796" s="73"/>
      <c r="E2796" s="73"/>
      <c r="F2796" s="74" t="s">
        <v>3</v>
      </c>
      <c r="G2796" s="72">
        <f>0.3*G2795</f>
        <v>4.4999999999999997E-3</v>
      </c>
      <c r="K2796"/>
    </row>
    <row r="2797" spans="1:11" x14ac:dyDescent="0.25">
      <c r="A2797" s="163"/>
      <c r="B2797" s="96"/>
      <c r="C2797" s="77"/>
      <c r="D2797" s="78"/>
      <c r="E2797" s="73"/>
      <c r="F2797" s="74"/>
      <c r="G2797" s="72"/>
      <c r="K2797"/>
    </row>
    <row r="2798" spans="1:11" x14ac:dyDescent="0.25">
      <c r="A2798" s="193"/>
      <c r="B2798" s="96"/>
      <c r="C2798" s="78" t="s">
        <v>1479</v>
      </c>
      <c r="D2798" s="78"/>
      <c r="E2798" s="73"/>
      <c r="F2798" s="74"/>
      <c r="G2798" s="72"/>
      <c r="K2798"/>
    </row>
    <row r="2799" spans="1:11" x14ac:dyDescent="0.25">
      <c r="A2799" s="163"/>
      <c r="B2799" s="96"/>
      <c r="C2799" s="186" t="s">
        <v>1199</v>
      </c>
      <c r="D2799" s="73"/>
      <c r="E2799" s="73"/>
      <c r="F2799" s="74" t="s">
        <v>3</v>
      </c>
      <c r="G2799" s="72">
        <f>0.014*3.14*2*0.07*1.2</f>
        <v>7.3852800000000019E-3</v>
      </c>
      <c r="K2799"/>
    </row>
    <row r="2800" spans="1:11" ht="17.25" x14ac:dyDescent="0.25">
      <c r="A2800" s="163"/>
      <c r="B2800" s="96"/>
      <c r="C2800" s="77" t="s">
        <v>121</v>
      </c>
      <c r="D2800" s="73"/>
      <c r="E2800" s="73"/>
      <c r="F2800" s="152" t="s">
        <v>596</v>
      </c>
      <c r="G2800" s="72">
        <f>G2799*1.1</f>
        <v>8.1238080000000032E-3</v>
      </c>
      <c r="K2800"/>
    </row>
    <row r="2801" spans="1:11" x14ac:dyDescent="0.25">
      <c r="A2801" s="163"/>
      <c r="B2801" s="96"/>
      <c r="C2801" s="186" t="s">
        <v>114</v>
      </c>
      <c r="D2801" s="73"/>
      <c r="E2801" s="73"/>
      <c r="F2801" s="74" t="s">
        <v>3</v>
      </c>
      <c r="G2801" s="72">
        <f>1.35*0.011*1.35</f>
        <v>2.0047500000000003E-2</v>
      </c>
      <c r="K2801"/>
    </row>
    <row r="2802" spans="1:11" x14ac:dyDescent="0.25">
      <c r="A2802" s="163"/>
      <c r="B2802" s="96"/>
      <c r="C2802" s="186" t="s">
        <v>164</v>
      </c>
      <c r="D2802" s="73"/>
      <c r="E2802" s="73"/>
      <c r="F2802" s="74" t="s">
        <v>3</v>
      </c>
      <c r="G2802" s="72">
        <f>0.3*G2801</f>
        <v>6.0142500000000005E-3</v>
      </c>
      <c r="K2802"/>
    </row>
    <row r="2803" spans="1:11" x14ac:dyDescent="0.25">
      <c r="A2803" s="163"/>
      <c r="B2803" s="96"/>
      <c r="C2803" s="186" t="s">
        <v>500</v>
      </c>
      <c r="D2803" s="73"/>
      <c r="E2803" s="73"/>
      <c r="F2803" s="74" t="s">
        <v>3</v>
      </c>
      <c r="G2803" s="72">
        <f>1.35*0.011*2*1.12</f>
        <v>3.3264000000000002E-2</v>
      </c>
      <c r="K2803"/>
    </row>
    <row r="2804" spans="1:11" x14ac:dyDescent="0.25">
      <c r="A2804" s="163"/>
      <c r="B2804" s="96"/>
      <c r="C2804" s="186" t="s">
        <v>12</v>
      </c>
      <c r="D2804" s="73"/>
      <c r="E2804" s="73"/>
      <c r="F2804" s="74" t="s">
        <v>3</v>
      </c>
      <c r="G2804" s="72">
        <f>0.3*G2803</f>
        <v>9.9792000000000006E-3</v>
      </c>
      <c r="K2804"/>
    </row>
    <row r="2805" spans="1:11" x14ac:dyDescent="0.25">
      <c r="A2805" s="163"/>
      <c r="B2805" s="96"/>
      <c r="C2805" s="77"/>
      <c r="D2805" s="78" t="s">
        <v>1480</v>
      </c>
      <c r="E2805" s="73"/>
      <c r="F2805" s="74"/>
      <c r="G2805" s="72"/>
      <c r="K2805"/>
    </row>
    <row r="2806" spans="1:11" x14ac:dyDescent="0.25">
      <c r="A2806" s="163"/>
      <c r="B2806" s="96"/>
      <c r="C2806" s="77"/>
      <c r="D2806" s="186" t="s">
        <v>1481</v>
      </c>
      <c r="E2806" s="73"/>
      <c r="F2806" s="74" t="s">
        <v>3</v>
      </c>
      <c r="G2806" s="72">
        <v>0.45</v>
      </c>
      <c r="I2806" t="s">
        <v>1482</v>
      </c>
      <c r="K2806"/>
    </row>
    <row r="2807" spans="1:11" x14ac:dyDescent="0.25">
      <c r="A2807" s="163"/>
      <c r="B2807" s="96"/>
      <c r="C2807" s="77"/>
      <c r="D2807" s="78"/>
      <c r="E2807" s="73"/>
      <c r="F2807" s="74"/>
      <c r="G2807" s="72"/>
      <c r="K2807"/>
    </row>
    <row r="2808" spans="1:11" x14ac:dyDescent="0.25">
      <c r="A2808" s="193"/>
      <c r="B2808" s="96"/>
      <c r="C2808" s="78" t="s">
        <v>1478</v>
      </c>
      <c r="D2808" s="78"/>
      <c r="E2808" s="73"/>
      <c r="F2808" s="74"/>
      <c r="G2808" s="72"/>
      <c r="K2808"/>
    </row>
    <row r="2809" spans="1:11" x14ac:dyDescent="0.25">
      <c r="A2809" s="163"/>
      <c r="B2809" s="96"/>
      <c r="C2809" s="186" t="s">
        <v>1199</v>
      </c>
      <c r="D2809" s="73"/>
      <c r="E2809" s="73"/>
      <c r="F2809" s="74" t="s">
        <v>3</v>
      </c>
      <c r="G2809" s="72">
        <f>0.012*3.14*2*0.07*1.2</f>
        <v>6.3302400000000017E-3</v>
      </c>
      <c r="K2809"/>
    </row>
    <row r="2810" spans="1:11" ht="17.25" x14ac:dyDescent="0.25">
      <c r="A2810" s="163"/>
      <c r="B2810" s="96"/>
      <c r="C2810" s="77" t="s">
        <v>121</v>
      </c>
      <c r="D2810" s="73"/>
      <c r="E2810" s="73"/>
      <c r="F2810" s="152" t="s">
        <v>596</v>
      </c>
      <c r="G2810" s="72">
        <f>G2809*1.1</f>
        <v>6.9632640000000029E-3</v>
      </c>
      <c r="K2810"/>
    </row>
    <row r="2811" spans="1:11" x14ac:dyDescent="0.25">
      <c r="A2811" s="163"/>
      <c r="B2811" s="96"/>
      <c r="C2811" s="186" t="s">
        <v>114</v>
      </c>
      <c r="D2811" s="73"/>
      <c r="E2811" s="73"/>
      <c r="F2811" s="74" t="s">
        <v>3</v>
      </c>
      <c r="G2811" s="72">
        <v>4.0000000000000001E-3</v>
      </c>
      <c r="K2811"/>
    </row>
    <row r="2812" spans="1:11" x14ac:dyDescent="0.25">
      <c r="A2812" s="163"/>
      <c r="B2812" s="96"/>
      <c r="C2812" s="186" t="s">
        <v>164</v>
      </c>
      <c r="D2812" s="73"/>
      <c r="E2812" s="73"/>
      <c r="F2812" s="74" t="s">
        <v>3</v>
      </c>
      <c r="G2812" s="72">
        <f>0.3*G2811</f>
        <v>1.1999999999999999E-3</v>
      </c>
      <c r="K2812"/>
    </row>
    <row r="2813" spans="1:11" x14ac:dyDescent="0.25">
      <c r="A2813" s="163"/>
      <c r="B2813" s="96"/>
      <c r="C2813" s="186" t="s">
        <v>500</v>
      </c>
      <c r="D2813" s="73"/>
      <c r="E2813" s="73"/>
      <c r="F2813" s="74" t="s">
        <v>3</v>
      </c>
      <c r="G2813" s="72">
        <v>6.0000000000000001E-3</v>
      </c>
      <c r="K2813"/>
    </row>
    <row r="2814" spans="1:11" x14ac:dyDescent="0.25">
      <c r="A2814" s="163"/>
      <c r="B2814" s="96"/>
      <c r="C2814" s="186" t="s">
        <v>12</v>
      </c>
      <c r="D2814" s="73"/>
      <c r="E2814" s="73"/>
      <c r="F2814" s="74" t="s">
        <v>3</v>
      </c>
      <c r="G2814" s="72">
        <f>0.3*G2813</f>
        <v>1.8E-3</v>
      </c>
      <c r="K2814"/>
    </row>
    <row r="2815" spans="1:11" x14ac:dyDescent="0.25">
      <c r="A2815" s="163"/>
      <c r="B2815" s="96"/>
      <c r="C2815" s="186" t="s">
        <v>1021</v>
      </c>
      <c r="D2815" s="78"/>
      <c r="E2815" s="73"/>
      <c r="F2815" s="74" t="s">
        <v>3</v>
      </c>
      <c r="G2815" s="72">
        <v>4.0000000000000001E-3</v>
      </c>
      <c r="K2815"/>
    </row>
    <row r="2816" spans="1:11" x14ac:dyDescent="0.25">
      <c r="A2816" s="163"/>
      <c r="B2816" s="96"/>
      <c r="C2816" s="186" t="s">
        <v>164</v>
      </c>
      <c r="D2816" s="78"/>
      <c r="E2816" s="73"/>
      <c r="F2816" s="74" t="s">
        <v>3</v>
      </c>
      <c r="G2816" s="72">
        <f>0.3*G2815</f>
        <v>1.1999999999999999E-3</v>
      </c>
      <c r="K2816"/>
    </row>
    <row r="2817" spans="1:11" x14ac:dyDescent="0.25">
      <c r="A2817" s="163"/>
      <c r="B2817" s="96"/>
      <c r="C2817" s="77"/>
      <c r="D2817" s="78" t="s">
        <v>1483</v>
      </c>
      <c r="E2817" s="73"/>
      <c r="F2817" s="74"/>
      <c r="G2817" s="72"/>
      <c r="K2817"/>
    </row>
    <row r="2818" spans="1:11" x14ac:dyDescent="0.25">
      <c r="A2818" s="163"/>
      <c r="B2818" s="96"/>
      <c r="C2818" s="77"/>
      <c r="D2818" s="186" t="s">
        <v>1484</v>
      </c>
      <c r="E2818" s="73"/>
      <c r="F2818" s="74" t="s">
        <v>3</v>
      </c>
      <c r="G2818" s="72">
        <v>0.02</v>
      </c>
      <c r="I2818" t="s">
        <v>1485</v>
      </c>
      <c r="K2818"/>
    </row>
    <row r="2819" spans="1:11" x14ac:dyDescent="0.25">
      <c r="A2819" s="163"/>
      <c r="B2819" s="96"/>
      <c r="C2819" s="77"/>
      <c r="D2819" s="78"/>
      <c r="E2819" s="73"/>
      <c r="F2819" s="74"/>
      <c r="G2819" s="72"/>
      <c r="K2819"/>
    </row>
    <row r="2820" spans="1:11" x14ac:dyDescent="0.25">
      <c r="A2820" s="207"/>
      <c r="B2820" s="96"/>
      <c r="C2820" s="78" t="s">
        <v>1486</v>
      </c>
      <c r="D2820" s="78"/>
      <c r="E2820" s="73"/>
      <c r="F2820" s="74"/>
      <c r="G2820" s="72"/>
      <c r="K2820"/>
    </row>
    <row r="2821" spans="1:11" x14ac:dyDescent="0.25">
      <c r="A2821" s="163"/>
      <c r="B2821" s="96"/>
      <c r="C2821" s="73" t="s">
        <v>1487</v>
      </c>
      <c r="D2821" s="73"/>
      <c r="E2821" s="73"/>
      <c r="F2821" s="74" t="s">
        <v>195</v>
      </c>
      <c r="G2821" s="72">
        <v>0.25</v>
      </c>
      <c r="I2821" t="s">
        <v>1488</v>
      </c>
      <c r="K2821"/>
    </row>
    <row r="2822" spans="1:11" x14ac:dyDescent="0.25">
      <c r="A2822" s="163"/>
      <c r="B2822" s="96"/>
      <c r="C2822" s="73"/>
      <c r="D2822" s="75" t="s">
        <v>1489</v>
      </c>
      <c r="E2822" s="73"/>
      <c r="F2822" s="74"/>
      <c r="G2822" s="72"/>
      <c r="K2822"/>
    </row>
    <row r="2823" spans="1:11" x14ac:dyDescent="0.25">
      <c r="A2823" s="163"/>
      <c r="B2823" s="96"/>
      <c r="C2823" s="73"/>
      <c r="D2823" s="73" t="s">
        <v>140</v>
      </c>
      <c r="E2823" s="73"/>
      <c r="F2823" s="74" t="s">
        <v>3</v>
      </c>
      <c r="G2823" s="72">
        <f>0.016*3.14*2*0.08*1.2</f>
        <v>9.6460799999999996E-3</v>
      </c>
      <c r="K2823"/>
    </row>
    <row r="2824" spans="1:11" ht="17.25" x14ac:dyDescent="0.25">
      <c r="A2824" s="163"/>
      <c r="B2824" s="96"/>
      <c r="C2824" s="77"/>
      <c r="D2824" s="73" t="s">
        <v>23</v>
      </c>
      <c r="E2824" s="73"/>
      <c r="F2824" s="74" t="s">
        <v>596</v>
      </c>
      <c r="G2824" s="72">
        <f>G2823*1.5</f>
        <v>1.4469119999999999E-2</v>
      </c>
      <c r="K2824"/>
    </row>
    <row r="2825" spans="1:11" x14ac:dyDescent="0.25">
      <c r="A2825" s="163"/>
      <c r="B2825" s="96"/>
      <c r="C2825" s="77"/>
      <c r="D2825" s="73" t="s">
        <v>142</v>
      </c>
      <c r="E2825" s="73"/>
      <c r="F2825" s="74" t="s">
        <v>3</v>
      </c>
      <c r="G2825" s="72">
        <f>G2823/4</f>
        <v>2.4115199999999999E-3</v>
      </c>
      <c r="K2825"/>
    </row>
    <row r="2826" spans="1:11" x14ac:dyDescent="0.25">
      <c r="A2826" s="163"/>
      <c r="B2826" s="96"/>
      <c r="C2826" s="77"/>
      <c r="D2826" s="186" t="s">
        <v>8</v>
      </c>
      <c r="E2826" s="73"/>
      <c r="F2826" s="74" t="s">
        <v>3</v>
      </c>
      <c r="G2826" s="72">
        <f>G2827</f>
        <v>1.7874999999999999E-2</v>
      </c>
      <c r="K2826"/>
    </row>
    <row r="2827" spans="1:11" x14ac:dyDescent="0.25">
      <c r="A2827" s="163"/>
      <c r="B2827" s="96"/>
      <c r="C2827" s="77"/>
      <c r="D2827" s="186" t="s">
        <v>325</v>
      </c>
      <c r="E2827" s="73"/>
      <c r="F2827" s="74" t="s">
        <v>3</v>
      </c>
      <c r="G2827" s="72">
        <f>1.25*0.011*1.3</f>
        <v>1.7874999999999999E-2</v>
      </c>
      <c r="K2827"/>
    </row>
    <row r="2828" spans="1:11" x14ac:dyDescent="0.25">
      <c r="A2828" s="163"/>
      <c r="B2828" s="96"/>
      <c r="C2828" s="77"/>
      <c r="D2828" s="186" t="s">
        <v>143</v>
      </c>
      <c r="E2828" s="73"/>
      <c r="F2828" s="74" t="s">
        <v>3</v>
      </c>
      <c r="G2828" s="72">
        <f>G2827</f>
        <v>1.7874999999999999E-2</v>
      </c>
      <c r="K2828"/>
    </row>
    <row r="2829" spans="1:11" x14ac:dyDescent="0.25">
      <c r="A2829" s="163"/>
      <c r="B2829" s="96"/>
      <c r="C2829" s="77"/>
      <c r="D2829" s="186" t="s">
        <v>12</v>
      </c>
      <c r="E2829" s="73"/>
      <c r="F2829" s="74" t="s">
        <v>3</v>
      </c>
      <c r="G2829" s="72">
        <f>0.3*(G2828+G2827+G2826)</f>
        <v>1.6087499999999998E-2</v>
      </c>
      <c r="K2829"/>
    </row>
    <row r="2830" spans="1:11" x14ac:dyDescent="0.25">
      <c r="A2830" s="163"/>
      <c r="B2830" s="96"/>
      <c r="C2830" s="77"/>
      <c r="D2830" s="78"/>
      <c r="E2830" s="75" t="s">
        <v>1490</v>
      </c>
      <c r="F2830" s="74"/>
      <c r="G2830" s="72"/>
      <c r="K2830"/>
    </row>
    <row r="2831" spans="1:11" x14ac:dyDescent="0.25">
      <c r="A2831" s="163"/>
      <c r="B2831" s="96"/>
      <c r="C2831" s="77"/>
      <c r="D2831" s="78"/>
      <c r="E2831" s="73" t="s">
        <v>832</v>
      </c>
      <c r="F2831" s="74" t="s">
        <v>3</v>
      </c>
      <c r="G2831" s="72">
        <v>0.47</v>
      </c>
      <c r="I2831" t="s">
        <v>1491</v>
      </c>
      <c r="K2831"/>
    </row>
    <row r="2832" spans="1:11" x14ac:dyDescent="0.25">
      <c r="A2832" s="163"/>
      <c r="B2832" s="96"/>
      <c r="C2832" s="77"/>
      <c r="D2832" s="78"/>
      <c r="E2832" s="73"/>
      <c r="F2832" s="74"/>
      <c r="G2832" s="72"/>
      <c r="K2832"/>
    </row>
    <row r="2833" spans="1:11" x14ac:dyDescent="0.25">
      <c r="A2833" s="193"/>
      <c r="B2833" s="96"/>
      <c r="C2833" s="78" t="s">
        <v>1492</v>
      </c>
      <c r="D2833" s="78"/>
      <c r="E2833" s="73"/>
      <c r="F2833" s="74"/>
      <c r="G2833" s="72"/>
      <c r="K2833"/>
    </row>
    <row r="2834" spans="1:11" x14ac:dyDescent="0.25">
      <c r="A2834" s="163"/>
      <c r="B2834" s="96"/>
      <c r="C2834" s="73" t="s">
        <v>140</v>
      </c>
      <c r="D2834" s="73"/>
      <c r="E2834" s="73"/>
      <c r="F2834" s="74" t="s">
        <v>3</v>
      </c>
      <c r="G2834" s="72">
        <f>0.025*3.14*0.08*1.2</f>
        <v>7.536000000000001E-3</v>
      </c>
      <c r="K2834"/>
    </row>
    <row r="2835" spans="1:11" ht="17.25" x14ac:dyDescent="0.25">
      <c r="A2835" s="163"/>
      <c r="B2835" s="96"/>
      <c r="C2835" s="73" t="s">
        <v>23</v>
      </c>
      <c r="D2835" s="73"/>
      <c r="E2835" s="73"/>
      <c r="F2835" s="74" t="s">
        <v>596</v>
      </c>
      <c r="G2835" s="72">
        <f>G2834*1.5</f>
        <v>1.1304000000000002E-2</v>
      </c>
      <c r="K2835"/>
    </row>
    <row r="2836" spans="1:11" x14ac:dyDescent="0.25">
      <c r="A2836" s="163"/>
      <c r="B2836" s="96"/>
      <c r="C2836" s="73" t="s">
        <v>142</v>
      </c>
      <c r="D2836" s="73"/>
      <c r="E2836" s="73"/>
      <c r="F2836" s="74" t="s">
        <v>3</v>
      </c>
      <c r="G2836" s="72">
        <f>G2834/4</f>
        <v>1.8840000000000003E-3</v>
      </c>
      <c r="K2836"/>
    </row>
    <row r="2837" spans="1:11" x14ac:dyDescent="0.25">
      <c r="A2837" s="163"/>
      <c r="B2837" s="96"/>
      <c r="C2837" s="77" t="s">
        <v>8</v>
      </c>
      <c r="D2837" s="78"/>
      <c r="E2837" s="73"/>
      <c r="F2837" s="74" t="s">
        <v>3</v>
      </c>
      <c r="G2837" s="72">
        <v>5.0000000000000001E-3</v>
      </c>
      <c r="K2837"/>
    </row>
    <row r="2838" spans="1:11" x14ac:dyDescent="0.25">
      <c r="A2838" s="163"/>
      <c r="B2838" s="96"/>
      <c r="C2838" s="77" t="s">
        <v>325</v>
      </c>
      <c r="D2838" s="78"/>
      <c r="E2838" s="73"/>
      <c r="F2838" s="74" t="s">
        <v>3</v>
      </c>
      <c r="G2838" s="72">
        <v>5.0000000000000001E-3</v>
      </c>
      <c r="K2838"/>
    </row>
    <row r="2839" spans="1:11" x14ac:dyDescent="0.25">
      <c r="A2839" s="163"/>
      <c r="B2839" s="96"/>
      <c r="C2839" s="77" t="s">
        <v>12</v>
      </c>
      <c r="D2839" s="78"/>
      <c r="E2839" s="73"/>
      <c r="F2839" s="74" t="s">
        <v>3</v>
      </c>
      <c r="G2839" s="72">
        <f>0.3*(G2838+G2837)</f>
        <v>3.0000000000000001E-3</v>
      </c>
      <c r="K2839"/>
    </row>
    <row r="2840" spans="1:11" x14ac:dyDescent="0.25">
      <c r="A2840" s="163"/>
      <c r="B2840" s="96"/>
      <c r="C2840" s="77"/>
      <c r="D2840" s="78" t="s">
        <v>1493</v>
      </c>
      <c r="E2840" s="73"/>
      <c r="F2840" s="74"/>
      <c r="G2840" s="72"/>
      <c r="K2840"/>
    </row>
    <row r="2841" spans="1:11" x14ac:dyDescent="0.25">
      <c r="A2841" s="163"/>
      <c r="B2841" s="96"/>
      <c r="C2841" s="77"/>
      <c r="D2841" s="186" t="s">
        <v>1494</v>
      </c>
      <c r="E2841" s="73"/>
      <c r="F2841" s="74" t="s">
        <v>3</v>
      </c>
      <c r="G2841" s="72">
        <v>0.09</v>
      </c>
      <c r="I2841" t="s">
        <v>1495</v>
      </c>
      <c r="K2841"/>
    </row>
    <row r="2842" spans="1:11" x14ac:dyDescent="0.25">
      <c r="A2842" s="163"/>
      <c r="B2842" s="96"/>
      <c r="C2842" s="77"/>
      <c r="D2842" s="78"/>
      <c r="E2842" s="73"/>
      <c r="F2842" s="74"/>
      <c r="G2842" s="72"/>
      <c r="K2842"/>
    </row>
    <row r="2843" spans="1:11" x14ac:dyDescent="0.25">
      <c r="A2843" s="193"/>
      <c r="B2843" s="96"/>
      <c r="C2843" s="78" t="s">
        <v>1496</v>
      </c>
      <c r="D2843" s="78"/>
      <c r="E2843" s="73"/>
      <c r="F2843" s="74"/>
      <c r="G2843" s="72"/>
      <c r="K2843"/>
    </row>
    <row r="2844" spans="1:11" x14ac:dyDescent="0.25">
      <c r="A2844" s="163"/>
      <c r="B2844" s="96"/>
      <c r="C2844" s="77" t="s">
        <v>1497</v>
      </c>
      <c r="D2844" s="78"/>
      <c r="E2844" s="73"/>
      <c r="F2844" s="74" t="s">
        <v>3</v>
      </c>
      <c r="G2844" s="72">
        <f>G2846</f>
        <v>1.3923000000000001E-2</v>
      </c>
      <c r="K2844"/>
    </row>
    <row r="2845" spans="1:11" x14ac:dyDescent="0.25">
      <c r="A2845" s="163"/>
      <c r="B2845" s="96"/>
      <c r="C2845" s="73" t="s">
        <v>164</v>
      </c>
      <c r="D2845" s="78"/>
      <c r="E2845" s="73"/>
      <c r="F2845" s="74" t="s">
        <v>3</v>
      </c>
      <c r="G2845" s="72">
        <f>0.3*G2844</f>
        <v>4.1768999999999999E-3</v>
      </c>
      <c r="K2845"/>
    </row>
    <row r="2846" spans="1:11" x14ac:dyDescent="0.25">
      <c r="A2846" s="163"/>
      <c r="B2846" s="96"/>
      <c r="C2846" s="77" t="s">
        <v>325</v>
      </c>
      <c r="D2846" s="78"/>
      <c r="E2846" s="73"/>
      <c r="F2846" s="74" t="s">
        <v>3</v>
      </c>
      <c r="G2846" s="72">
        <f>0.51*0.07*0.15*2*1.3</f>
        <v>1.3923000000000001E-2</v>
      </c>
      <c r="K2846"/>
    </row>
    <row r="2847" spans="1:11" x14ac:dyDescent="0.25">
      <c r="A2847" s="163"/>
      <c r="B2847" s="96"/>
      <c r="C2847" s="77" t="s">
        <v>12</v>
      </c>
      <c r="D2847" s="78"/>
      <c r="E2847" s="73"/>
      <c r="F2847" s="74" t="s">
        <v>3</v>
      </c>
      <c r="G2847" s="72">
        <f>0.3*G2846</f>
        <v>4.1768999999999999E-3</v>
      </c>
      <c r="K2847"/>
    </row>
    <row r="2848" spans="1:11" x14ac:dyDescent="0.25">
      <c r="A2848" s="163"/>
      <c r="B2848" s="96"/>
      <c r="C2848" s="77"/>
      <c r="D2848" s="78" t="s">
        <v>1498</v>
      </c>
      <c r="E2848" s="73"/>
      <c r="F2848" s="74"/>
      <c r="G2848" s="72"/>
      <c r="K2848"/>
    </row>
    <row r="2849" spans="1:11" x14ac:dyDescent="0.25">
      <c r="A2849" s="163"/>
      <c r="B2849" s="96"/>
      <c r="C2849" s="77"/>
      <c r="D2849" s="186" t="s">
        <v>916</v>
      </c>
      <c r="E2849" s="73"/>
      <c r="F2849" s="74" t="s">
        <v>3</v>
      </c>
      <c r="G2849" s="72">
        <f>0.51*0.07*1*2.7*1.15</f>
        <v>0.11084850000000002</v>
      </c>
      <c r="K2849"/>
    </row>
    <row r="2850" spans="1:11" x14ac:dyDescent="0.25">
      <c r="A2850" s="163"/>
      <c r="B2850" s="96"/>
      <c r="C2850" s="77"/>
      <c r="D2850" s="78" t="s">
        <v>1499</v>
      </c>
      <c r="E2850" s="73"/>
      <c r="F2850" s="74"/>
      <c r="G2850" s="72"/>
      <c r="K2850"/>
    </row>
    <row r="2851" spans="1:11" x14ac:dyDescent="0.25">
      <c r="A2851" s="163"/>
      <c r="B2851" s="96"/>
      <c r="C2851" s="77"/>
      <c r="D2851" s="77" t="s">
        <v>1500</v>
      </c>
      <c r="E2851" s="73"/>
      <c r="F2851" s="74" t="s">
        <v>3</v>
      </c>
      <c r="G2851" s="72">
        <f>0.51*0.045*1*2</f>
        <v>4.5899999999999996E-2</v>
      </c>
      <c r="K2851"/>
    </row>
    <row r="2852" spans="1:11" x14ac:dyDescent="0.25">
      <c r="A2852" s="163"/>
      <c r="B2852" s="96"/>
      <c r="C2852" s="77"/>
      <c r="D2852" s="77"/>
      <c r="E2852" s="73"/>
      <c r="F2852" s="74"/>
      <c r="G2852" s="72"/>
      <c r="K2852"/>
    </row>
    <row r="2853" spans="1:11" x14ac:dyDescent="0.25">
      <c r="A2853" s="193"/>
      <c r="B2853" s="96"/>
      <c r="C2853" s="78" t="s">
        <v>1368</v>
      </c>
      <c r="D2853" s="77"/>
      <c r="E2853" s="73"/>
      <c r="F2853" s="74"/>
      <c r="G2853" s="72"/>
      <c r="K2853"/>
    </row>
    <row r="2854" spans="1:11" x14ac:dyDescent="0.25">
      <c r="A2854" s="163"/>
      <c r="B2854" s="96"/>
      <c r="C2854" s="73" t="s">
        <v>140</v>
      </c>
      <c r="D2854" s="73"/>
      <c r="E2854" s="73"/>
      <c r="F2854" s="74" t="s">
        <v>3</v>
      </c>
      <c r="G2854" s="72">
        <f>0.012*3.14*2*0.08*1.2</f>
        <v>7.234560000000001E-3</v>
      </c>
      <c r="K2854"/>
    </row>
    <row r="2855" spans="1:11" ht="17.25" x14ac:dyDescent="0.25">
      <c r="A2855" s="163"/>
      <c r="B2855" s="96"/>
      <c r="C2855" s="73" t="s">
        <v>23</v>
      </c>
      <c r="D2855" s="73"/>
      <c r="E2855" s="73"/>
      <c r="F2855" s="74" t="s">
        <v>596</v>
      </c>
      <c r="G2855" s="72">
        <f>G2854*1.5</f>
        <v>1.0851840000000001E-2</v>
      </c>
      <c r="K2855"/>
    </row>
    <row r="2856" spans="1:11" x14ac:dyDescent="0.25">
      <c r="A2856" s="163"/>
      <c r="B2856" s="96"/>
      <c r="C2856" s="73" t="s">
        <v>142</v>
      </c>
      <c r="D2856" s="73"/>
      <c r="E2856" s="73"/>
      <c r="F2856" s="74" t="s">
        <v>3</v>
      </c>
      <c r="G2856" s="72">
        <f>G2854/4</f>
        <v>1.8086400000000002E-3</v>
      </c>
      <c r="K2856"/>
    </row>
    <row r="2857" spans="1:11" x14ac:dyDescent="0.25">
      <c r="A2857" s="163"/>
      <c r="B2857" s="96"/>
      <c r="C2857" s="77" t="s">
        <v>8</v>
      </c>
      <c r="D2857" s="78"/>
      <c r="E2857" s="73"/>
      <c r="F2857" s="74" t="s">
        <v>3</v>
      </c>
      <c r="G2857" s="72">
        <f>G2858</f>
        <v>1.1440000000000001E-2</v>
      </c>
      <c r="K2857"/>
    </row>
    <row r="2858" spans="1:11" x14ac:dyDescent="0.25">
      <c r="A2858" s="163"/>
      <c r="B2858" s="96"/>
      <c r="C2858" s="77" t="s">
        <v>325</v>
      </c>
      <c r="D2858" s="78"/>
      <c r="E2858" s="73"/>
      <c r="F2858" s="74" t="s">
        <v>3</v>
      </c>
      <c r="G2858" s="72">
        <f>0.52*0.011*2</f>
        <v>1.1440000000000001E-2</v>
      </c>
      <c r="K2858"/>
    </row>
    <row r="2859" spans="1:11" x14ac:dyDescent="0.25">
      <c r="A2859" s="163"/>
      <c r="B2859" s="96"/>
      <c r="C2859" s="77" t="s">
        <v>12</v>
      </c>
      <c r="D2859" s="78"/>
      <c r="E2859" s="73"/>
      <c r="F2859" s="74" t="s">
        <v>3</v>
      </c>
      <c r="G2859" s="72">
        <f>0.3*(G2858+G2857)</f>
        <v>6.8640000000000003E-3</v>
      </c>
      <c r="K2859"/>
    </row>
    <row r="2860" spans="1:11" x14ac:dyDescent="0.25">
      <c r="A2860" s="163"/>
      <c r="B2860" s="96"/>
      <c r="C2860" s="77"/>
      <c r="D2860" s="77"/>
      <c r="E2860" s="73"/>
      <c r="F2860" s="74"/>
      <c r="G2860" s="72"/>
      <c r="K2860"/>
    </row>
    <row r="2861" spans="1:11" x14ac:dyDescent="0.25">
      <c r="A2861" s="193"/>
      <c r="B2861" s="96"/>
      <c r="C2861" s="78" t="s">
        <v>1501</v>
      </c>
      <c r="D2861" s="77"/>
      <c r="E2861" s="73"/>
      <c r="F2861" s="74"/>
      <c r="G2861" s="72"/>
      <c r="K2861"/>
    </row>
    <row r="2862" spans="1:11" x14ac:dyDescent="0.25">
      <c r="A2862" s="163"/>
      <c r="B2862" s="96"/>
      <c r="C2862" s="77" t="s">
        <v>1502</v>
      </c>
      <c r="D2862" s="77"/>
      <c r="E2862" s="73"/>
      <c r="F2862" s="74" t="s">
        <v>3</v>
      </c>
      <c r="G2862" s="72">
        <v>3.0000000000000001E-3</v>
      </c>
      <c r="K2862"/>
    </row>
    <row r="2863" spans="1:11" x14ac:dyDescent="0.25">
      <c r="A2863" s="163"/>
      <c r="B2863" s="96"/>
      <c r="C2863" s="77"/>
      <c r="D2863" s="78" t="s">
        <v>1503</v>
      </c>
      <c r="E2863" s="73"/>
      <c r="F2863" s="74"/>
      <c r="G2863" s="72"/>
      <c r="K2863"/>
    </row>
    <row r="2864" spans="1:11" x14ac:dyDescent="0.25">
      <c r="A2864" s="163"/>
      <c r="B2864" s="96"/>
      <c r="C2864" s="77"/>
      <c r="D2864" s="77" t="s">
        <v>8</v>
      </c>
      <c r="E2864" s="73"/>
      <c r="F2864" s="74" t="s">
        <v>3</v>
      </c>
      <c r="G2864" s="72">
        <v>0.02</v>
      </c>
      <c r="K2864"/>
    </row>
    <row r="2865" spans="1:11" x14ac:dyDescent="0.25">
      <c r="A2865" s="163"/>
      <c r="B2865" s="96"/>
      <c r="C2865" s="77"/>
      <c r="D2865" s="77" t="s">
        <v>115</v>
      </c>
      <c r="E2865" s="73"/>
      <c r="F2865" s="74" t="s">
        <v>3</v>
      </c>
      <c r="G2865" s="72">
        <v>0.02</v>
      </c>
      <c r="K2865"/>
    </row>
    <row r="2866" spans="1:11" x14ac:dyDescent="0.25">
      <c r="A2866" s="163"/>
      <c r="B2866" s="96"/>
      <c r="C2866" s="77"/>
      <c r="D2866" s="77" t="s">
        <v>12</v>
      </c>
      <c r="E2866" s="73"/>
      <c r="F2866" s="74" t="s">
        <v>3</v>
      </c>
      <c r="G2866" s="72">
        <f>0.3*(G2865+G2864)</f>
        <v>1.2E-2</v>
      </c>
      <c r="K2866"/>
    </row>
    <row r="2867" spans="1:11" x14ac:dyDescent="0.25">
      <c r="A2867" s="163"/>
      <c r="B2867" s="96"/>
      <c r="C2867" s="77"/>
      <c r="D2867" s="78" t="s">
        <v>1511</v>
      </c>
      <c r="E2867" s="73"/>
      <c r="F2867" s="74"/>
      <c r="G2867" s="72"/>
      <c r="K2867"/>
    </row>
    <row r="2868" spans="1:11" x14ac:dyDescent="0.25">
      <c r="A2868" s="163"/>
      <c r="B2868" s="96"/>
      <c r="C2868" s="77"/>
      <c r="D2868" s="77" t="s">
        <v>272</v>
      </c>
      <c r="E2868" s="73"/>
      <c r="F2868" s="74" t="s">
        <v>3</v>
      </c>
      <c r="G2868" s="72">
        <f>0.03*0.03*2*8*1.12</f>
        <v>1.6128E-2</v>
      </c>
      <c r="K2868"/>
    </row>
    <row r="2869" spans="1:11" x14ac:dyDescent="0.25">
      <c r="A2869" s="163"/>
      <c r="B2869" s="96"/>
      <c r="C2869" s="77"/>
      <c r="D2869" s="77"/>
      <c r="E2869" s="73"/>
      <c r="F2869" s="74"/>
      <c r="G2869" s="72"/>
      <c r="K2869"/>
    </row>
    <row r="2870" spans="1:11" x14ac:dyDescent="0.25">
      <c r="A2870" s="193"/>
      <c r="B2870" s="96"/>
      <c r="C2870" s="75" t="s">
        <v>1513</v>
      </c>
      <c r="D2870" s="77"/>
      <c r="E2870" s="73"/>
      <c r="F2870" s="74"/>
      <c r="G2870" s="72"/>
      <c r="K2870"/>
    </row>
    <row r="2871" spans="1:11" x14ac:dyDescent="0.25">
      <c r="A2871" s="163"/>
      <c r="B2871" s="96"/>
      <c r="C2871" s="73" t="s">
        <v>1515</v>
      </c>
      <c r="D2871" s="77"/>
      <c r="E2871" s="73"/>
      <c r="F2871" s="74" t="s">
        <v>1516</v>
      </c>
      <c r="G2871" s="72">
        <v>1</v>
      </c>
      <c r="K2871"/>
    </row>
    <row r="2872" spans="1:11" x14ac:dyDescent="0.25">
      <c r="A2872" s="163"/>
      <c r="B2872" s="96"/>
      <c r="C2872" s="77"/>
      <c r="D2872" s="78" t="s">
        <v>1512</v>
      </c>
      <c r="E2872" s="73"/>
      <c r="F2872" s="74"/>
      <c r="G2872" s="72"/>
      <c r="K2872"/>
    </row>
    <row r="2873" spans="1:11" x14ac:dyDescent="0.25">
      <c r="A2873" s="163"/>
      <c r="B2873" s="96"/>
      <c r="C2873" s="77"/>
      <c r="D2873" s="77" t="s">
        <v>412</v>
      </c>
      <c r="E2873" s="73"/>
      <c r="F2873" s="74" t="s">
        <v>3</v>
      </c>
      <c r="G2873" s="72">
        <f>0.08*0.04*2*8*1.165</f>
        <v>5.9648000000000007E-2</v>
      </c>
      <c r="K2873"/>
    </row>
    <row r="2874" spans="1:11" x14ac:dyDescent="0.25">
      <c r="A2874" s="163"/>
      <c r="B2874" s="96"/>
      <c r="C2874" s="77"/>
      <c r="D2874" s="78" t="s">
        <v>1514</v>
      </c>
      <c r="E2874" s="73"/>
      <c r="F2874" s="74"/>
      <c r="G2874" s="72"/>
      <c r="K2874"/>
    </row>
    <row r="2875" spans="1:11" x14ac:dyDescent="0.25">
      <c r="A2875" s="163"/>
      <c r="B2875" s="96"/>
      <c r="C2875" s="77"/>
      <c r="D2875" s="77" t="s">
        <v>54</v>
      </c>
      <c r="E2875" s="73"/>
      <c r="F2875" s="74" t="s">
        <v>3</v>
      </c>
      <c r="G2875" s="72">
        <f>0.022*0.012*4*8*1.15</f>
        <v>9.7151999999999985E-3</v>
      </c>
      <c r="K2875"/>
    </row>
    <row r="2876" spans="1:11" x14ac:dyDescent="0.25">
      <c r="A2876" s="163"/>
      <c r="B2876" s="96"/>
      <c r="C2876" s="77"/>
      <c r="D2876" s="77"/>
      <c r="E2876" s="73"/>
      <c r="F2876" s="74"/>
      <c r="G2876" s="72"/>
      <c r="K2876"/>
    </row>
    <row r="2877" spans="1:11" x14ac:dyDescent="0.25">
      <c r="A2877" s="163"/>
      <c r="B2877" s="96"/>
      <c r="C2877" s="78" t="s">
        <v>1517</v>
      </c>
      <c r="D2877" s="77"/>
      <c r="E2877" s="73"/>
      <c r="F2877" s="74"/>
      <c r="G2877" s="72"/>
      <c r="K2877"/>
    </row>
    <row r="2878" spans="1:11" x14ac:dyDescent="0.25">
      <c r="A2878" s="163"/>
      <c r="B2878" s="96"/>
      <c r="C2878" s="186" t="s">
        <v>272</v>
      </c>
      <c r="D2878" s="77"/>
      <c r="E2878" s="73"/>
      <c r="F2878" s="74" t="s">
        <v>3</v>
      </c>
      <c r="G2878" s="72">
        <f>0.06*0.05*2*8*1.08</f>
        <v>5.1840000000000004E-2</v>
      </c>
      <c r="K2878"/>
    </row>
    <row r="2879" spans="1:11" x14ac:dyDescent="0.25">
      <c r="A2879" s="163"/>
      <c r="B2879" s="96"/>
      <c r="C2879" s="77"/>
      <c r="D2879" s="77"/>
      <c r="E2879" s="73"/>
      <c r="F2879" s="74"/>
      <c r="G2879" s="72"/>
      <c r="K2879"/>
    </row>
    <row r="2880" spans="1:11" x14ac:dyDescent="0.25">
      <c r="A2880" s="163"/>
      <c r="B2880" s="96"/>
      <c r="C2880" s="78" t="s">
        <v>1519</v>
      </c>
      <c r="D2880" s="77"/>
      <c r="E2880" s="73"/>
      <c r="F2880" s="74"/>
      <c r="G2880" s="72"/>
      <c r="K2880"/>
    </row>
    <row r="2881" spans="1:11" x14ac:dyDescent="0.25">
      <c r="A2881" s="163"/>
      <c r="B2881" s="96"/>
      <c r="C2881" s="77" t="s">
        <v>1520</v>
      </c>
      <c r="D2881" s="77"/>
      <c r="E2881" s="73"/>
      <c r="F2881" s="74" t="s">
        <v>3</v>
      </c>
      <c r="G2881" s="72">
        <f>0.19*0.07*0.25*8*1.12</f>
        <v>2.9792000000000006E-2</v>
      </c>
      <c r="K2881"/>
    </row>
    <row r="2882" spans="1:11" x14ac:dyDescent="0.25">
      <c r="A2882" s="163"/>
      <c r="B2882" s="96"/>
      <c r="C2882" s="77"/>
      <c r="D2882" s="77"/>
      <c r="E2882" s="73"/>
      <c r="F2882" s="74"/>
      <c r="G2882" s="72"/>
      <c r="K2882"/>
    </row>
    <row r="2883" spans="1:11" x14ac:dyDescent="0.25">
      <c r="A2883" s="163"/>
      <c r="B2883" s="96"/>
      <c r="C2883" s="78" t="s">
        <v>1518</v>
      </c>
      <c r="D2883" s="77"/>
      <c r="E2883" s="73"/>
      <c r="F2883" s="74"/>
      <c r="G2883" s="72"/>
      <c r="K2883"/>
    </row>
    <row r="2884" spans="1:11" x14ac:dyDescent="0.25">
      <c r="A2884" s="163"/>
      <c r="B2884" s="96"/>
      <c r="C2884" s="77" t="s">
        <v>1305</v>
      </c>
      <c r="D2884" s="77"/>
      <c r="E2884" s="73"/>
      <c r="F2884" s="74" t="s">
        <v>3</v>
      </c>
      <c r="G2884" s="72">
        <f>0.19*0.07*0.5*8*1.09</f>
        <v>5.7988000000000012E-2</v>
      </c>
      <c r="K2884"/>
    </row>
    <row r="2885" spans="1:11" x14ac:dyDescent="0.25">
      <c r="A2885" s="163"/>
      <c r="B2885" s="96"/>
      <c r="C2885" s="77"/>
      <c r="D2885" s="77"/>
      <c r="E2885" s="73"/>
      <c r="F2885" s="74"/>
      <c r="G2885" s="72"/>
      <c r="K2885"/>
    </row>
    <row r="2886" spans="1:11" x14ac:dyDescent="0.25">
      <c r="A2886" s="163"/>
      <c r="B2886" s="96"/>
      <c r="C2886" s="78" t="s">
        <v>1521</v>
      </c>
      <c r="D2886" s="77"/>
      <c r="E2886" s="73"/>
      <c r="F2886" s="74"/>
      <c r="G2886" s="72"/>
      <c r="K2886"/>
    </row>
    <row r="2887" spans="1:11" x14ac:dyDescent="0.25">
      <c r="A2887" s="163"/>
      <c r="B2887" s="96"/>
      <c r="C2887" s="77" t="s">
        <v>984</v>
      </c>
      <c r="D2887" s="77"/>
      <c r="E2887" s="73"/>
      <c r="F2887" s="74" t="s">
        <v>3</v>
      </c>
      <c r="G2887" s="72">
        <f>0.19*0.07*1*8*1.08</f>
        <v>0.11491200000000001</v>
      </c>
      <c r="K2887"/>
    </row>
    <row r="2888" spans="1:11" x14ac:dyDescent="0.25">
      <c r="A2888" s="163"/>
      <c r="B2888" s="96"/>
      <c r="C2888" s="77"/>
      <c r="D2888" s="77"/>
      <c r="E2888" s="73"/>
      <c r="F2888" s="74"/>
      <c r="G2888" s="72"/>
      <c r="K2888"/>
    </row>
    <row r="2889" spans="1:11" x14ac:dyDescent="0.25">
      <c r="A2889" s="163"/>
      <c r="B2889" s="96"/>
      <c r="C2889" s="78" t="s">
        <v>1522</v>
      </c>
      <c r="D2889" s="77"/>
      <c r="E2889" s="73"/>
      <c r="F2889" s="74"/>
      <c r="G2889" s="72"/>
      <c r="K2889"/>
    </row>
    <row r="2890" spans="1:11" x14ac:dyDescent="0.25">
      <c r="A2890" s="163"/>
      <c r="B2890" s="96"/>
      <c r="C2890" s="77" t="s">
        <v>412</v>
      </c>
      <c r="D2890" s="77"/>
      <c r="E2890" s="73"/>
      <c r="F2890" s="74" t="s">
        <v>3</v>
      </c>
      <c r="G2890" s="72">
        <f>0.19*0.07*2*8*1.105</f>
        <v>0.23514400000000002</v>
      </c>
      <c r="K2890"/>
    </row>
    <row r="2891" spans="1:11" x14ac:dyDescent="0.25">
      <c r="A2891" s="163"/>
      <c r="B2891" s="96"/>
      <c r="C2891" s="77"/>
      <c r="D2891" s="77"/>
      <c r="E2891" s="73"/>
      <c r="F2891" s="74"/>
      <c r="G2891" s="72"/>
      <c r="K2891"/>
    </row>
    <row r="2892" spans="1:11" x14ac:dyDescent="0.25">
      <c r="A2892" s="163"/>
      <c r="B2892" s="96"/>
      <c r="C2892" s="78" t="s">
        <v>1523</v>
      </c>
      <c r="D2892" s="77"/>
      <c r="E2892" s="73"/>
      <c r="F2892" s="74"/>
      <c r="G2892" s="72"/>
      <c r="K2892"/>
    </row>
    <row r="2893" spans="1:11" x14ac:dyDescent="0.25">
      <c r="A2893" s="163"/>
      <c r="B2893" s="96"/>
      <c r="C2893" s="77" t="s">
        <v>415</v>
      </c>
      <c r="D2893" s="77"/>
      <c r="E2893" s="73"/>
      <c r="F2893" s="74" t="s">
        <v>3</v>
      </c>
      <c r="G2893" s="72">
        <f>0.19*0.07*1.5*8*1.095</f>
        <v>0.17476200000000003</v>
      </c>
      <c r="K2893"/>
    </row>
    <row r="2894" spans="1:11" x14ac:dyDescent="0.25">
      <c r="A2894" s="163"/>
      <c r="B2894" s="96"/>
      <c r="C2894" s="77"/>
      <c r="D2894" s="77"/>
      <c r="E2894" s="73"/>
      <c r="F2894" s="74"/>
      <c r="G2894" s="72"/>
      <c r="K2894"/>
    </row>
    <row r="2895" spans="1:11" x14ac:dyDescent="0.25">
      <c r="A2895" s="163"/>
      <c r="B2895" s="96"/>
      <c r="C2895" s="78" t="s">
        <v>1524</v>
      </c>
      <c r="D2895" s="77"/>
      <c r="E2895" s="73"/>
      <c r="F2895" s="74"/>
      <c r="G2895" s="72"/>
      <c r="K2895"/>
    </row>
    <row r="2896" spans="1:11" x14ac:dyDescent="0.25">
      <c r="A2896" s="163"/>
      <c r="B2896" s="96"/>
      <c r="C2896" s="77" t="s">
        <v>1525</v>
      </c>
      <c r="D2896" s="77"/>
      <c r="E2896" s="73"/>
      <c r="F2896" s="74" t="s">
        <v>3</v>
      </c>
      <c r="G2896" s="72">
        <f>0.04*0.04*3*8</f>
        <v>3.8400000000000004E-2</v>
      </c>
      <c r="K2896"/>
    </row>
    <row r="2897" spans="1:11" x14ac:dyDescent="0.25">
      <c r="A2897" s="163"/>
      <c r="B2897" s="96"/>
      <c r="C2897" s="77"/>
      <c r="D2897" s="77"/>
      <c r="E2897" s="73"/>
      <c r="F2897" s="74"/>
      <c r="G2897" s="72"/>
      <c r="K2897"/>
    </row>
    <row r="2898" spans="1:11" x14ac:dyDescent="0.25">
      <c r="A2898" s="163"/>
      <c r="B2898" s="96"/>
      <c r="C2898" s="78" t="s">
        <v>1526</v>
      </c>
      <c r="D2898" s="77"/>
      <c r="E2898" s="73"/>
      <c r="F2898" s="74"/>
      <c r="G2898" s="72"/>
      <c r="K2898"/>
    </row>
    <row r="2899" spans="1:11" x14ac:dyDescent="0.25">
      <c r="A2899" s="163"/>
      <c r="B2899" s="96"/>
      <c r="C2899" s="77" t="s">
        <v>1527</v>
      </c>
      <c r="D2899" s="77"/>
      <c r="E2899" s="73"/>
      <c r="F2899" s="74" t="s">
        <v>3</v>
      </c>
      <c r="G2899" s="72">
        <f>0.19*0.07*0.15*8*1.12</f>
        <v>1.7875200000000004E-2</v>
      </c>
      <c r="K2899"/>
    </row>
    <row r="2900" spans="1:11" x14ac:dyDescent="0.25">
      <c r="A2900" s="163"/>
      <c r="B2900" s="96"/>
      <c r="C2900" s="77"/>
      <c r="D2900" s="77"/>
      <c r="E2900" s="73"/>
      <c r="F2900" s="74"/>
      <c r="G2900" s="72"/>
      <c r="K2900"/>
    </row>
    <row r="2901" spans="1:11" x14ac:dyDescent="0.25">
      <c r="A2901" s="163"/>
      <c r="B2901" s="96"/>
      <c r="C2901" s="78" t="s">
        <v>1528</v>
      </c>
      <c r="D2901" s="77"/>
      <c r="E2901" s="73"/>
      <c r="F2901" s="74"/>
      <c r="G2901" s="72"/>
      <c r="K2901"/>
    </row>
    <row r="2902" spans="1:11" x14ac:dyDescent="0.25">
      <c r="A2902" s="163"/>
      <c r="B2902" s="96"/>
      <c r="C2902" s="73" t="s">
        <v>140</v>
      </c>
      <c r="D2902" s="73"/>
      <c r="E2902" s="73"/>
      <c r="F2902" s="74" t="s">
        <v>3</v>
      </c>
      <c r="G2902" s="72">
        <f>0.014*3.14*0.08*1.2</f>
        <v>4.2201600000000006E-3</v>
      </c>
      <c r="K2902"/>
    </row>
    <row r="2903" spans="1:11" ht="17.25" x14ac:dyDescent="0.25">
      <c r="A2903" s="163"/>
      <c r="B2903" s="96"/>
      <c r="C2903" s="73" t="s">
        <v>23</v>
      </c>
      <c r="D2903" s="73"/>
      <c r="E2903" s="73"/>
      <c r="F2903" s="74" t="s">
        <v>596</v>
      </c>
      <c r="G2903" s="72">
        <f>G2902*1.5</f>
        <v>6.3302400000000009E-3</v>
      </c>
      <c r="K2903"/>
    </row>
    <row r="2904" spans="1:11" x14ac:dyDescent="0.25">
      <c r="A2904" s="163"/>
      <c r="B2904" s="96"/>
      <c r="C2904" s="73" t="s">
        <v>142</v>
      </c>
      <c r="D2904" s="73"/>
      <c r="E2904" s="73"/>
      <c r="F2904" s="74" t="s">
        <v>3</v>
      </c>
      <c r="G2904" s="72">
        <f>G2902/4</f>
        <v>1.0550400000000001E-3</v>
      </c>
      <c r="K2904"/>
    </row>
    <row r="2905" spans="1:11" x14ac:dyDescent="0.25">
      <c r="A2905" s="163"/>
      <c r="B2905" s="96"/>
      <c r="C2905" s="77"/>
      <c r="D2905" s="78" t="s">
        <v>1529</v>
      </c>
      <c r="E2905" s="73"/>
      <c r="F2905" s="74"/>
      <c r="G2905" s="72"/>
      <c r="K2905"/>
    </row>
    <row r="2906" spans="1:11" x14ac:dyDescent="0.25">
      <c r="A2906" s="163"/>
      <c r="B2906" s="96"/>
      <c r="C2906" s="77"/>
      <c r="D2906" s="77" t="s">
        <v>1530</v>
      </c>
      <c r="E2906" s="73"/>
      <c r="F2906" s="74" t="s">
        <v>3</v>
      </c>
      <c r="G2906" s="72">
        <v>2.1999999999999999E-2</v>
      </c>
      <c r="I2906" t="s">
        <v>1531</v>
      </c>
      <c r="K2906"/>
    </row>
    <row r="2907" spans="1:11" x14ac:dyDescent="0.25">
      <c r="A2907" s="163"/>
      <c r="B2907" s="96"/>
      <c r="C2907" s="77"/>
      <c r="D2907" s="77"/>
      <c r="E2907" s="73"/>
      <c r="F2907" s="74"/>
      <c r="G2907" s="72"/>
      <c r="K2907"/>
    </row>
    <row r="2908" spans="1:11" x14ac:dyDescent="0.25">
      <c r="A2908" s="193"/>
      <c r="B2908" s="96"/>
      <c r="C2908" s="78" t="s">
        <v>1532</v>
      </c>
      <c r="D2908" s="77"/>
      <c r="E2908" s="73"/>
      <c r="F2908" s="74"/>
      <c r="G2908" s="72"/>
      <c r="K2908"/>
    </row>
    <row r="2909" spans="1:11" x14ac:dyDescent="0.25">
      <c r="A2909" s="163"/>
      <c r="B2909" s="96"/>
      <c r="C2909" s="77" t="s">
        <v>1535</v>
      </c>
      <c r="D2909" s="77"/>
      <c r="E2909" s="73"/>
      <c r="F2909" s="74" t="s">
        <v>3</v>
      </c>
      <c r="G2909" s="72">
        <f>0.088*0.088*2*8*1.09</f>
        <v>0.13505535999999999</v>
      </c>
      <c r="K2909"/>
    </row>
    <row r="2910" spans="1:11" x14ac:dyDescent="0.25">
      <c r="A2910" s="163"/>
      <c r="B2910" s="96"/>
      <c r="C2910" s="77"/>
      <c r="D2910" s="77"/>
      <c r="E2910" s="73"/>
      <c r="F2910" s="74"/>
      <c r="G2910" s="72"/>
      <c r="K2910"/>
    </row>
    <row r="2911" spans="1:11" x14ac:dyDescent="0.25">
      <c r="A2911" s="163"/>
      <c r="B2911" s="96"/>
      <c r="C2911" s="78" t="s">
        <v>1533</v>
      </c>
      <c r="D2911" s="77"/>
      <c r="E2911" s="73"/>
      <c r="F2911" s="74"/>
      <c r="G2911" s="72"/>
      <c r="K2911"/>
    </row>
    <row r="2912" spans="1:11" ht="15.75" thickBot="1" x14ac:dyDescent="0.3">
      <c r="A2912" s="67"/>
      <c r="B2912" s="151"/>
      <c r="C2912" s="170" t="s">
        <v>1534</v>
      </c>
      <c r="D2912" s="170"/>
      <c r="E2912" s="68"/>
      <c r="F2912" s="82" t="s">
        <v>3</v>
      </c>
      <c r="G2912" s="83">
        <f>0.05*0.05*2*8</f>
        <v>4.0000000000000008E-2</v>
      </c>
      <c r="K2912"/>
    </row>
    <row r="2913" spans="1:11" x14ac:dyDescent="0.25">
      <c r="A2913" s="159"/>
      <c r="B2913" s="181"/>
      <c r="C2913" s="93"/>
      <c r="D2913" s="93"/>
      <c r="E2913" s="93"/>
      <c r="F2913" s="175" t="s">
        <v>1638</v>
      </c>
      <c r="G2913" s="176"/>
    </row>
    <row r="2914" spans="1:11" x14ac:dyDescent="0.25">
      <c r="A2914" s="163"/>
      <c r="B2914" s="106"/>
      <c r="C2914" s="73"/>
      <c r="D2914" s="73"/>
      <c r="E2914" s="73"/>
      <c r="F2914" s="74"/>
      <c r="G2914" s="72"/>
      <c r="K2914" s="210"/>
    </row>
    <row r="2915" spans="1:11" ht="18.75" x14ac:dyDescent="0.3">
      <c r="A2915" s="163"/>
      <c r="B2915" s="106"/>
      <c r="C2915" s="188" t="s">
        <v>1549</v>
      </c>
      <c r="D2915" s="73"/>
      <c r="E2915" s="73"/>
      <c r="F2915" s="74"/>
      <c r="G2915" s="72"/>
    </row>
    <row r="2916" spans="1:11" x14ac:dyDescent="0.25">
      <c r="A2916" s="163"/>
      <c r="B2916" s="106"/>
      <c r="C2916" s="73"/>
      <c r="D2916" s="73"/>
      <c r="E2916" s="73"/>
      <c r="F2916" s="74"/>
      <c r="G2916" s="72"/>
    </row>
    <row r="2917" spans="1:11" x14ac:dyDescent="0.25">
      <c r="A2917" s="193"/>
      <c r="B2917" s="106"/>
      <c r="C2917" s="75" t="s">
        <v>1550</v>
      </c>
      <c r="D2917" s="73"/>
      <c r="E2917" s="73"/>
      <c r="F2917" s="74"/>
      <c r="G2917" s="72"/>
      <c r="I2917" s="209" t="s">
        <v>1616</v>
      </c>
    </row>
    <row r="2918" spans="1:11" x14ac:dyDescent="0.25">
      <c r="A2918" s="163"/>
      <c r="B2918" s="106"/>
      <c r="C2918" s="73" t="s">
        <v>1551</v>
      </c>
      <c r="D2918" s="73"/>
      <c r="E2918" s="73"/>
      <c r="F2918" s="74" t="s">
        <v>1516</v>
      </c>
      <c r="G2918" s="72">
        <v>2</v>
      </c>
    </row>
    <row r="2919" spans="1:11" x14ac:dyDescent="0.25">
      <c r="A2919" s="163"/>
      <c r="B2919" s="106"/>
      <c r="C2919" s="73" t="s">
        <v>1552</v>
      </c>
      <c r="D2919" s="73"/>
      <c r="E2919" s="73"/>
      <c r="F2919" s="74" t="s">
        <v>1516</v>
      </c>
      <c r="G2919" s="72">
        <v>8</v>
      </c>
    </row>
    <row r="2920" spans="1:11" x14ac:dyDescent="0.25">
      <c r="A2920" s="163"/>
      <c r="B2920" s="106"/>
      <c r="C2920" s="73" t="s">
        <v>1553</v>
      </c>
      <c r="D2920" s="73"/>
      <c r="E2920" s="73"/>
      <c r="F2920" s="74" t="s">
        <v>1516</v>
      </c>
      <c r="G2920" s="72">
        <v>8</v>
      </c>
    </row>
    <row r="2921" spans="1:11" x14ac:dyDescent="0.25">
      <c r="A2921" s="163"/>
      <c r="B2921" s="106"/>
      <c r="C2921" s="73" t="s">
        <v>1554</v>
      </c>
      <c r="D2921" s="73"/>
      <c r="E2921" s="73"/>
      <c r="F2921" s="74" t="s">
        <v>1516</v>
      </c>
      <c r="G2921" s="72">
        <v>2</v>
      </c>
    </row>
    <row r="2922" spans="1:11" x14ac:dyDescent="0.25">
      <c r="A2922" s="163"/>
      <c r="B2922" s="106"/>
      <c r="C2922" s="73" t="s">
        <v>1555</v>
      </c>
      <c r="D2922" s="73"/>
      <c r="E2922" s="73"/>
      <c r="F2922" s="74" t="s">
        <v>1516</v>
      </c>
      <c r="G2922" s="72">
        <v>2</v>
      </c>
    </row>
    <row r="2923" spans="1:11" x14ac:dyDescent="0.25">
      <c r="A2923" s="163"/>
      <c r="B2923" s="106"/>
      <c r="C2923" s="73"/>
      <c r="D2923" s="75" t="s">
        <v>1556</v>
      </c>
      <c r="E2923" s="73"/>
      <c r="F2923" s="74"/>
      <c r="G2923" s="72"/>
    </row>
    <row r="2924" spans="1:11" x14ac:dyDescent="0.25">
      <c r="A2924" s="163"/>
      <c r="B2924" s="106"/>
      <c r="C2924" s="73"/>
      <c r="D2924" s="73" t="s">
        <v>1557</v>
      </c>
      <c r="E2924" s="73"/>
      <c r="F2924" s="74" t="s">
        <v>3</v>
      </c>
      <c r="G2924" s="72">
        <f>0.17*0.025*3*2.7*1.15</f>
        <v>3.9588749999999999E-2</v>
      </c>
    </row>
    <row r="2925" spans="1:11" x14ac:dyDescent="0.25">
      <c r="A2925" s="163"/>
      <c r="B2925" s="106"/>
      <c r="C2925" s="73"/>
      <c r="D2925" s="75" t="s">
        <v>1558</v>
      </c>
      <c r="E2925" s="73"/>
      <c r="F2925" s="74"/>
      <c r="G2925" s="72"/>
    </row>
    <row r="2926" spans="1:11" x14ac:dyDescent="0.25">
      <c r="A2926" s="163"/>
      <c r="B2926" s="106"/>
      <c r="C2926" s="73"/>
      <c r="D2926" s="100" t="s">
        <v>1640</v>
      </c>
      <c r="E2926" s="73"/>
      <c r="F2926" s="74" t="s">
        <v>3</v>
      </c>
      <c r="G2926" s="72">
        <f>0.38*0.255*2*0.15*2*1.38</f>
        <v>8.0233199999999991E-2</v>
      </c>
      <c r="K2926" s="212"/>
    </row>
    <row r="2927" spans="1:11" x14ac:dyDescent="0.25">
      <c r="A2927" s="163"/>
      <c r="B2927" s="106"/>
      <c r="C2927" s="73"/>
      <c r="D2927" s="186" t="s">
        <v>12</v>
      </c>
      <c r="E2927" s="73"/>
      <c r="F2927" s="74" t="s">
        <v>3</v>
      </c>
      <c r="G2927" s="72">
        <f>0.3*G2926</f>
        <v>2.4069959999999998E-2</v>
      </c>
      <c r="K2927" s="212"/>
    </row>
    <row r="2928" spans="1:11" x14ac:dyDescent="0.25">
      <c r="A2928" s="163"/>
      <c r="B2928" s="106"/>
      <c r="C2928" s="73"/>
      <c r="D2928" s="100" t="s">
        <v>163</v>
      </c>
      <c r="E2928" s="73"/>
      <c r="F2928" s="74" t="s">
        <v>3</v>
      </c>
      <c r="G2928" s="72">
        <f>G2926*0.81</f>
        <v>6.4988891999999993E-2</v>
      </c>
      <c r="K2928" s="212"/>
    </row>
    <row r="2929" spans="1:11" x14ac:dyDescent="0.25">
      <c r="A2929" s="163"/>
      <c r="B2929" s="106"/>
      <c r="C2929" s="73"/>
      <c r="D2929" s="100" t="s">
        <v>164</v>
      </c>
      <c r="E2929" s="73"/>
      <c r="F2929" s="74" t="s">
        <v>3</v>
      </c>
      <c r="G2929" s="72">
        <f>0.3*G2928</f>
        <v>1.9496667599999996E-2</v>
      </c>
      <c r="K2929" s="212"/>
    </row>
    <row r="2930" spans="1:11" x14ac:dyDescent="0.25">
      <c r="A2930" s="163"/>
      <c r="B2930" s="106"/>
      <c r="C2930" s="73"/>
      <c r="D2930" s="73" t="s">
        <v>855</v>
      </c>
      <c r="E2930" s="73"/>
      <c r="F2930" s="74" t="s">
        <v>3</v>
      </c>
      <c r="G2930" s="72">
        <f>0.405*0.26*1.5*2.7*1.172</f>
        <v>0.49981698000000002</v>
      </c>
    </row>
    <row r="2931" spans="1:11" x14ac:dyDescent="0.25">
      <c r="A2931" s="163"/>
      <c r="B2931" s="106"/>
      <c r="C2931" s="73"/>
      <c r="D2931" s="75" t="s">
        <v>1559</v>
      </c>
      <c r="E2931" s="73"/>
      <c r="F2931" s="74"/>
      <c r="G2931" s="72"/>
    </row>
    <row r="2932" spans="1:11" x14ac:dyDescent="0.25">
      <c r="A2932" s="163"/>
      <c r="B2932" s="106"/>
      <c r="C2932" s="73"/>
      <c r="D2932" s="73" t="s">
        <v>1560</v>
      </c>
      <c r="E2932" s="73"/>
      <c r="F2932" s="74" t="s">
        <v>3</v>
      </c>
      <c r="G2932" s="72">
        <f>0.03*0.05*2*8*1.15</f>
        <v>2.76E-2</v>
      </c>
    </row>
    <row r="2933" spans="1:11" x14ac:dyDescent="0.25">
      <c r="A2933" s="163"/>
      <c r="B2933" s="106"/>
      <c r="C2933" s="73"/>
      <c r="D2933" s="73"/>
      <c r="E2933" s="73"/>
      <c r="F2933" s="74"/>
      <c r="G2933" s="72"/>
    </row>
    <row r="2934" spans="1:11" x14ac:dyDescent="0.25">
      <c r="A2934" s="193"/>
      <c r="B2934" s="106"/>
      <c r="C2934" s="75" t="s">
        <v>1617</v>
      </c>
      <c r="D2934" s="73"/>
      <c r="E2934" s="73"/>
      <c r="F2934" s="74"/>
      <c r="G2934" s="72"/>
    </row>
    <row r="2935" spans="1:11" x14ac:dyDescent="0.25">
      <c r="A2935" s="163"/>
      <c r="B2935" s="106"/>
      <c r="C2935" s="73" t="s">
        <v>140</v>
      </c>
      <c r="D2935" s="73"/>
      <c r="E2935" s="73"/>
      <c r="F2935" s="74" t="s">
        <v>3</v>
      </c>
      <c r="G2935" s="72">
        <f>0.02*3.14*0.08*1.2</f>
        <v>6.0288000000000008E-3</v>
      </c>
    </row>
    <row r="2936" spans="1:11" ht="17.25" x14ac:dyDescent="0.25">
      <c r="A2936" s="163"/>
      <c r="B2936" s="106"/>
      <c r="C2936" s="73" t="s">
        <v>23</v>
      </c>
      <c r="D2936" s="73"/>
      <c r="E2936" s="73"/>
      <c r="F2936" s="74" t="s">
        <v>596</v>
      </c>
      <c r="G2936" s="72">
        <f>G2935*1.5</f>
        <v>9.0432000000000012E-3</v>
      </c>
      <c r="K2936" s="209"/>
    </row>
    <row r="2937" spans="1:11" x14ac:dyDescent="0.25">
      <c r="A2937" s="163"/>
      <c r="B2937" s="106"/>
      <c r="C2937" s="73" t="s">
        <v>142</v>
      </c>
      <c r="D2937" s="73"/>
      <c r="E2937" s="73"/>
      <c r="F2937" s="74" t="s">
        <v>3</v>
      </c>
      <c r="G2937" s="72">
        <f>G2935/4</f>
        <v>1.5072000000000002E-3</v>
      </c>
      <c r="K2937" s="209"/>
    </row>
    <row r="2938" spans="1:11" x14ac:dyDescent="0.25">
      <c r="A2938" s="163"/>
      <c r="B2938" s="96"/>
      <c r="C2938" s="78"/>
      <c r="D2938" s="78" t="s">
        <v>1618</v>
      </c>
      <c r="E2938" s="73"/>
      <c r="F2938" s="74"/>
      <c r="G2938" s="72"/>
      <c r="K2938"/>
    </row>
    <row r="2939" spans="1:11" x14ac:dyDescent="0.25">
      <c r="A2939" s="163"/>
      <c r="B2939" s="96"/>
      <c r="C2939" s="78"/>
      <c r="D2939" s="186" t="s">
        <v>1619</v>
      </c>
      <c r="E2939" s="73"/>
      <c r="F2939" s="74" t="s">
        <v>3</v>
      </c>
      <c r="G2939" s="72">
        <f>0.02*0.02*1.5*8*1.15</f>
        <v>5.5199999999999997E-3</v>
      </c>
      <c r="K2939"/>
    </row>
    <row r="2940" spans="1:11" x14ac:dyDescent="0.25">
      <c r="A2940" s="163"/>
      <c r="B2940" s="96"/>
      <c r="C2940" s="78"/>
      <c r="D2940" s="78"/>
      <c r="E2940" s="73"/>
      <c r="F2940" s="74"/>
      <c r="G2940" s="72"/>
      <c r="K2940"/>
    </row>
    <row r="2941" spans="1:11" x14ac:dyDescent="0.25">
      <c r="A2941" s="193"/>
      <c r="B2941" s="96"/>
      <c r="C2941" s="75" t="s">
        <v>1620</v>
      </c>
      <c r="D2941" s="73"/>
      <c r="E2941" s="73"/>
      <c r="F2941" s="74" t="s">
        <v>1626</v>
      </c>
      <c r="G2941" s="72"/>
      <c r="K2941"/>
    </row>
    <row r="2942" spans="1:11" x14ac:dyDescent="0.25">
      <c r="A2942" s="163"/>
      <c r="B2942" s="96"/>
      <c r="C2942" s="73"/>
      <c r="D2942" s="75" t="s">
        <v>1621</v>
      </c>
      <c r="E2942" s="73"/>
      <c r="F2942" s="74"/>
      <c r="G2942" s="72"/>
      <c r="K2942"/>
    </row>
    <row r="2943" spans="1:11" x14ac:dyDescent="0.25">
      <c r="A2943" s="163"/>
      <c r="B2943" s="96"/>
      <c r="C2943" s="73"/>
      <c r="D2943" s="73" t="s">
        <v>1624</v>
      </c>
      <c r="E2943" s="73"/>
      <c r="F2943" s="74" t="s">
        <v>3</v>
      </c>
      <c r="G2943" s="72">
        <f>0.075*0.075*3*1.4*1.25</f>
        <v>2.9531250000000002E-2</v>
      </c>
      <c r="K2943"/>
    </row>
    <row r="2944" spans="1:11" x14ac:dyDescent="0.25">
      <c r="A2944" s="163"/>
      <c r="B2944" s="96"/>
      <c r="C2944" s="78"/>
      <c r="D2944" s="78" t="s">
        <v>1622</v>
      </c>
      <c r="E2944" s="73"/>
      <c r="F2944" s="74"/>
      <c r="G2944" s="72"/>
      <c r="K2944"/>
    </row>
    <row r="2945" spans="1:11" x14ac:dyDescent="0.25">
      <c r="A2945" s="163"/>
      <c r="B2945" s="96"/>
      <c r="C2945" s="78"/>
      <c r="D2945" s="73" t="s">
        <v>1625</v>
      </c>
      <c r="E2945" s="73"/>
      <c r="F2945" s="74" t="s">
        <v>3</v>
      </c>
      <c r="G2945" s="72">
        <f>0.075*0.075*0.3*9*1.29</f>
        <v>1.9591875000000002E-2</v>
      </c>
      <c r="K2945"/>
    </row>
    <row r="2946" spans="1:11" x14ac:dyDescent="0.25">
      <c r="A2946" s="163"/>
      <c r="B2946" s="96"/>
      <c r="C2946" s="78"/>
      <c r="D2946" s="78" t="s">
        <v>1623</v>
      </c>
      <c r="E2946" s="73"/>
      <c r="F2946" s="74"/>
      <c r="G2946" s="72"/>
      <c r="K2946"/>
    </row>
    <row r="2947" spans="1:11" x14ac:dyDescent="0.25">
      <c r="A2947" s="163"/>
      <c r="B2947" s="96"/>
      <c r="C2947" s="78"/>
      <c r="D2947" s="73" t="s">
        <v>1625</v>
      </c>
      <c r="E2947" s="73"/>
      <c r="F2947" s="74" t="s">
        <v>3</v>
      </c>
      <c r="G2947" s="72">
        <f>0.075*0.075*0.3*9*1.29</f>
        <v>1.9591875000000002E-2</v>
      </c>
      <c r="K2947"/>
    </row>
    <row r="2948" spans="1:11" x14ac:dyDescent="0.25">
      <c r="A2948" s="163"/>
      <c r="B2948" s="96"/>
      <c r="C2948" s="78"/>
      <c r="D2948" s="78"/>
      <c r="E2948" s="73"/>
      <c r="F2948" s="74"/>
      <c r="G2948" s="72"/>
      <c r="K2948"/>
    </row>
    <row r="2949" spans="1:11" x14ac:dyDescent="0.25">
      <c r="A2949" s="193"/>
      <c r="B2949" s="96"/>
      <c r="C2949" s="78" t="s">
        <v>1627</v>
      </c>
      <c r="D2949" s="78"/>
      <c r="E2949" s="73"/>
      <c r="F2949" s="74"/>
      <c r="G2949" s="72"/>
      <c r="K2949"/>
    </row>
    <row r="2950" spans="1:11" x14ac:dyDescent="0.25">
      <c r="A2950" s="163"/>
      <c r="B2950" s="96"/>
      <c r="C2950" s="186" t="s">
        <v>984</v>
      </c>
      <c r="D2950" s="78"/>
      <c r="E2950" s="73"/>
      <c r="F2950" s="74" t="s">
        <v>3</v>
      </c>
      <c r="G2950" s="72">
        <f>0.1*0.085*1*8*1.18</f>
        <v>8.0240000000000006E-2</v>
      </c>
      <c r="K2950"/>
    </row>
    <row r="2951" spans="1:11" x14ac:dyDescent="0.25">
      <c r="A2951" s="163"/>
      <c r="B2951" s="96"/>
      <c r="C2951" s="73" t="s">
        <v>140</v>
      </c>
      <c r="D2951" s="73"/>
      <c r="E2951" s="73"/>
      <c r="F2951" s="74" t="s">
        <v>3</v>
      </c>
      <c r="G2951" s="72">
        <f>0.025*0.08*1.2</f>
        <v>2.3999999999999998E-3</v>
      </c>
      <c r="K2951"/>
    </row>
    <row r="2952" spans="1:11" ht="17.25" x14ac:dyDescent="0.25">
      <c r="A2952" s="163"/>
      <c r="B2952" s="96"/>
      <c r="C2952" s="73" t="s">
        <v>23</v>
      </c>
      <c r="D2952" s="73"/>
      <c r="E2952" s="73"/>
      <c r="F2952" s="74" t="s">
        <v>596</v>
      </c>
      <c r="G2952" s="72">
        <f>G2951*1.5</f>
        <v>3.5999999999999999E-3</v>
      </c>
      <c r="K2952"/>
    </row>
    <row r="2953" spans="1:11" x14ac:dyDescent="0.25">
      <c r="A2953" s="163"/>
      <c r="B2953" s="96"/>
      <c r="C2953" s="73" t="s">
        <v>142</v>
      </c>
      <c r="D2953" s="73"/>
      <c r="E2953" s="73"/>
      <c r="F2953" s="74" t="s">
        <v>3</v>
      </c>
      <c r="G2953" s="72">
        <f>G2951/4</f>
        <v>5.9999999999999995E-4</v>
      </c>
      <c r="K2953"/>
    </row>
    <row r="2954" spans="1:11" x14ac:dyDescent="0.25">
      <c r="A2954" s="163"/>
      <c r="B2954" s="96"/>
      <c r="C2954" s="78"/>
      <c r="D2954" s="78"/>
      <c r="E2954" s="73"/>
      <c r="F2954" s="74"/>
      <c r="G2954" s="72"/>
      <c r="K2954"/>
    </row>
    <row r="2955" spans="1:11" x14ac:dyDescent="0.25">
      <c r="A2955" s="193"/>
      <c r="B2955" s="96"/>
      <c r="C2955" s="75" t="s">
        <v>1628</v>
      </c>
      <c r="D2955" s="73"/>
      <c r="E2955" s="73"/>
      <c r="F2955" s="73"/>
      <c r="G2955" s="211"/>
      <c r="H2955" s="153"/>
      <c r="K2955"/>
    </row>
    <row r="2956" spans="1:11" x14ac:dyDescent="0.25">
      <c r="A2956" s="163"/>
      <c r="B2956" s="96"/>
      <c r="C2956" s="73" t="s">
        <v>54</v>
      </c>
      <c r="D2956" s="73"/>
      <c r="E2956" s="73"/>
      <c r="F2956" s="74" t="s">
        <v>3</v>
      </c>
      <c r="G2956" s="72">
        <f>0.12*0.066*4*8*1.105</f>
        <v>0.2800512</v>
      </c>
      <c r="K2956"/>
    </row>
    <row r="2957" spans="1:11" x14ac:dyDescent="0.25">
      <c r="A2957" s="163"/>
      <c r="B2957" s="96"/>
      <c r="C2957" s="78"/>
      <c r="D2957" s="78"/>
      <c r="E2957" s="73"/>
      <c r="F2957" s="74"/>
      <c r="G2957" s="72"/>
      <c r="K2957"/>
    </row>
    <row r="2958" spans="1:11" x14ac:dyDescent="0.25">
      <c r="A2958" s="193"/>
      <c r="B2958" s="96"/>
      <c r="C2958" s="78" t="s">
        <v>1629</v>
      </c>
      <c r="D2958" s="78"/>
      <c r="E2958" s="73"/>
      <c r="F2958" s="74"/>
      <c r="G2958" s="72"/>
      <c r="K2958"/>
    </row>
    <row r="2959" spans="1:11" x14ac:dyDescent="0.25">
      <c r="A2959" s="163"/>
      <c r="B2959" s="96"/>
      <c r="C2959" s="186" t="s">
        <v>598</v>
      </c>
      <c r="D2959" s="78"/>
      <c r="E2959" s="73"/>
      <c r="F2959" s="74" t="s">
        <v>3</v>
      </c>
      <c r="G2959" s="72">
        <f>0.05*0.012*2.5*2.7*1.12</f>
        <v>4.536000000000001E-3</v>
      </c>
      <c r="K2959"/>
    </row>
    <row r="2960" spans="1:11" x14ac:dyDescent="0.25">
      <c r="A2960" s="163"/>
      <c r="B2960" s="96"/>
      <c r="C2960" s="78"/>
      <c r="D2960" s="78"/>
      <c r="E2960" s="73"/>
      <c r="F2960" s="74"/>
      <c r="G2960" s="72"/>
      <c r="K2960"/>
    </row>
    <row r="2961" spans="1:11" x14ac:dyDescent="0.25">
      <c r="A2961" s="193"/>
      <c r="B2961" s="96"/>
      <c r="C2961" s="75" t="s">
        <v>1632</v>
      </c>
      <c r="D2961" s="73"/>
      <c r="E2961" s="74"/>
      <c r="F2961" s="153"/>
      <c r="G2961" s="72"/>
      <c r="K2961"/>
    </row>
    <row r="2962" spans="1:11" x14ac:dyDescent="0.25">
      <c r="A2962" s="163"/>
      <c r="B2962" s="96"/>
      <c r="C2962" s="100" t="s">
        <v>412</v>
      </c>
      <c r="D2962" s="73"/>
      <c r="E2962" s="73"/>
      <c r="F2962" s="74" t="s">
        <v>3</v>
      </c>
      <c r="G2962" s="72">
        <f>0.07*0.022*2*8*1.1</f>
        <v>2.7104000000000003E-2</v>
      </c>
      <c r="K2962"/>
    </row>
    <row r="2963" spans="1:11" x14ac:dyDescent="0.25">
      <c r="A2963" s="163"/>
      <c r="B2963" s="96"/>
      <c r="C2963" s="78"/>
      <c r="D2963" s="78"/>
      <c r="E2963" s="73"/>
      <c r="F2963" s="74"/>
      <c r="G2963" s="72"/>
      <c r="K2963"/>
    </row>
    <row r="2964" spans="1:11" x14ac:dyDescent="0.25">
      <c r="A2964" s="193"/>
      <c r="B2964" s="96"/>
      <c r="C2964" s="78" t="s">
        <v>1633</v>
      </c>
      <c r="D2964" s="78"/>
      <c r="E2964" s="73"/>
      <c r="F2964" s="74"/>
      <c r="G2964" s="72"/>
      <c r="K2964"/>
    </row>
    <row r="2965" spans="1:11" x14ac:dyDescent="0.25">
      <c r="A2965" s="163"/>
      <c r="B2965" s="96"/>
      <c r="C2965" s="73" t="s">
        <v>140</v>
      </c>
      <c r="D2965" s="73"/>
      <c r="E2965" s="73"/>
      <c r="F2965" s="74" t="s">
        <v>3</v>
      </c>
      <c r="G2965" s="72">
        <f>0.06*0.08*1.2</f>
        <v>5.7599999999999995E-3</v>
      </c>
      <c r="K2965"/>
    </row>
    <row r="2966" spans="1:11" ht="17.25" x14ac:dyDescent="0.25">
      <c r="A2966" s="163"/>
      <c r="B2966" s="96"/>
      <c r="C2966" s="73" t="s">
        <v>23</v>
      </c>
      <c r="D2966" s="73"/>
      <c r="E2966" s="73"/>
      <c r="F2966" s="74" t="s">
        <v>596</v>
      </c>
      <c r="G2966" s="72">
        <f>G2965*1.5</f>
        <v>8.6399999999999984E-3</v>
      </c>
      <c r="K2966"/>
    </row>
    <row r="2967" spans="1:11" x14ac:dyDescent="0.25">
      <c r="A2967" s="163"/>
      <c r="B2967" s="96"/>
      <c r="C2967" s="73" t="s">
        <v>142</v>
      </c>
      <c r="D2967" s="73"/>
      <c r="E2967" s="73"/>
      <c r="F2967" s="74" t="s">
        <v>3</v>
      </c>
      <c r="G2967" s="72">
        <f>G2965/4</f>
        <v>1.4399999999999999E-3</v>
      </c>
      <c r="K2967"/>
    </row>
    <row r="2968" spans="1:11" x14ac:dyDescent="0.25">
      <c r="A2968" s="163"/>
      <c r="B2968" s="96"/>
      <c r="C2968" s="78"/>
      <c r="D2968" s="78"/>
      <c r="E2968" s="73"/>
      <c r="F2968" s="74"/>
      <c r="G2968" s="72"/>
      <c r="K2968"/>
    </row>
    <row r="2969" spans="1:11" x14ac:dyDescent="0.25">
      <c r="A2969" s="193"/>
      <c r="B2969" s="96"/>
      <c r="C2969" s="78" t="s">
        <v>1634</v>
      </c>
      <c r="D2969" s="78"/>
      <c r="E2969" s="73"/>
      <c r="F2969" s="74"/>
      <c r="G2969" s="72"/>
      <c r="K2969"/>
    </row>
    <row r="2970" spans="1:11" x14ac:dyDescent="0.25">
      <c r="A2970" s="163"/>
      <c r="B2970" s="96"/>
      <c r="C2970" s="186" t="s">
        <v>410</v>
      </c>
      <c r="D2970" s="78"/>
      <c r="E2970" s="73"/>
      <c r="F2970" s="74" t="s">
        <v>3</v>
      </c>
      <c r="G2970" s="72">
        <f>0.06*0.025*5*2.7*1.12</f>
        <v>2.2680000000000002E-2</v>
      </c>
      <c r="K2970"/>
    </row>
    <row r="2971" spans="1:11" x14ac:dyDescent="0.25">
      <c r="A2971" s="163"/>
      <c r="B2971" s="96"/>
      <c r="C2971" s="78"/>
      <c r="D2971" s="78"/>
      <c r="E2971" s="73"/>
      <c r="F2971" s="74"/>
      <c r="G2971" s="72"/>
      <c r="K2971"/>
    </row>
    <row r="2972" spans="1:11" x14ac:dyDescent="0.25">
      <c r="A2972" s="193"/>
      <c r="B2972" s="96"/>
      <c r="C2972" s="75" t="s">
        <v>1635</v>
      </c>
      <c r="D2972" s="73"/>
      <c r="E2972" s="73"/>
      <c r="F2972" s="74"/>
      <c r="G2972" s="72"/>
      <c r="K2972"/>
    </row>
    <row r="2973" spans="1:11" x14ac:dyDescent="0.25">
      <c r="A2973" s="163"/>
      <c r="B2973" s="96"/>
      <c r="C2973" s="73" t="s">
        <v>1636</v>
      </c>
      <c r="D2973" s="73"/>
      <c r="E2973" s="73"/>
      <c r="F2973" s="74" t="s">
        <v>3</v>
      </c>
      <c r="G2973" s="72">
        <f>0.025</f>
        <v>2.5000000000000001E-2</v>
      </c>
      <c r="K2973"/>
    </row>
    <row r="2974" spans="1:11" x14ac:dyDescent="0.25">
      <c r="A2974" s="163"/>
      <c r="B2974" s="96"/>
      <c r="C2974" s="78"/>
      <c r="D2974" s="78"/>
      <c r="E2974" s="73"/>
      <c r="F2974" s="74"/>
      <c r="G2974" s="72"/>
      <c r="K2974"/>
    </row>
    <row r="2975" spans="1:11" x14ac:dyDescent="0.25">
      <c r="A2975" s="193"/>
      <c r="B2975" s="96"/>
      <c r="C2975" s="78" t="s">
        <v>1637</v>
      </c>
      <c r="D2975" s="78"/>
      <c r="E2975" s="73"/>
      <c r="F2975" s="74"/>
      <c r="G2975" s="72"/>
      <c r="K2975"/>
    </row>
    <row r="2976" spans="1:11" x14ac:dyDescent="0.25">
      <c r="A2976" s="163"/>
      <c r="B2976" s="96"/>
      <c r="C2976" s="186" t="s">
        <v>458</v>
      </c>
      <c r="D2976" s="78"/>
      <c r="E2976" s="73"/>
      <c r="F2976" s="74" t="s">
        <v>3</v>
      </c>
      <c r="G2976" s="72">
        <v>3.6999999999999998E-2</v>
      </c>
      <c r="K2976"/>
    </row>
    <row r="2977" spans="1:11" x14ac:dyDescent="0.25">
      <c r="A2977" s="163"/>
      <c r="B2977" s="96"/>
      <c r="C2977" s="186"/>
      <c r="D2977" s="78"/>
      <c r="E2977" s="73"/>
      <c r="F2977" s="74"/>
      <c r="G2977" s="72"/>
      <c r="K2977"/>
    </row>
    <row r="2978" spans="1:11" x14ac:dyDescent="0.25">
      <c r="A2978" s="193"/>
      <c r="B2978" s="96"/>
      <c r="C2978" s="78" t="s">
        <v>1639</v>
      </c>
      <c r="D2978" s="78"/>
      <c r="E2978" s="73"/>
      <c r="F2978" s="74"/>
      <c r="G2978" s="72"/>
      <c r="K2978"/>
    </row>
    <row r="2979" spans="1:11" x14ac:dyDescent="0.25">
      <c r="A2979" s="163"/>
      <c r="B2979" s="96"/>
      <c r="C2979" s="186" t="s">
        <v>1436</v>
      </c>
      <c r="D2979" s="78"/>
      <c r="E2979" s="73"/>
      <c r="F2979" s="74" t="s">
        <v>3</v>
      </c>
      <c r="G2979" s="72">
        <v>0.14000000000000001</v>
      </c>
      <c r="K2979"/>
    </row>
    <row r="2980" spans="1:11" ht="15.75" thickBot="1" x14ac:dyDescent="0.3">
      <c r="A2980" s="68"/>
      <c r="B2980" s="151"/>
      <c r="C2980" s="197"/>
      <c r="D2980" s="198"/>
      <c r="E2980" s="68"/>
      <c r="F2980" s="82"/>
      <c r="G2980" s="83"/>
      <c r="K2980"/>
    </row>
    <row r="2981" spans="1:11" x14ac:dyDescent="0.25">
      <c r="A2981" s="73"/>
      <c r="B2981" s="96"/>
      <c r="C2981" s="186"/>
      <c r="D2981" s="78"/>
      <c r="E2981" s="74" t="s">
        <v>2044</v>
      </c>
      <c r="F2981" s="260" t="s">
        <v>2043</v>
      </c>
      <c r="G2981" s="261"/>
      <c r="H2981" s="163"/>
      <c r="K2981"/>
    </row>
    <row r="2982" spans="1:11" x14ac:dyDescent="0.25">
      <c r="A2982" s="163"/>
      <c r="B2982" s="106"/>
      <c r="C2982" s="75" t="s">
        <v>2030</v>
      </c>
      <c r="D2982" s="73"/>
      <c r="E2982" s="73"/>
      <c r="F2982" s="74"/>
      <c r="G2982" s="72"/>
    </row>
    <row r="2983" spans="1:11" x14ac:dyDescent="0.25">
      <c r="A2983" s="163"/>
      <c r="B2983" s="106"/>
      <c r="C2983" s="73" t="s">
        <v>723</v>
      </c>
      <c r="D2983" s="73"/>
      <c r="E2983" s="73"/>
      <c r="F2983" s="74" t="s">
        <v>3</v>
      </c>
      <c r="G2983" s="148">
        <v>1E-3</v>
      </c>
    </row>
    <row r="2984" spans="1:11" x14ac:dyDescent="0.25">
      <c r="A2984" s="163"/>
      <c r="B2984" s="106"/>
      <c r="C2984" s="73"/>
      <c r="D2984" s="75" t="s">
        <v>2031</v>
      </c>
      <c r="E2984" s="73"/>
      <c r="F2984" s="74"/>
      <c r="G2984" s="72"/>
    </row>
    <row r="2985" spans="1:11" x14ac:dyDescent="0.25">
      <c r="A2985" s="163"/>
      <c r="B2985" s="106"/>
      <c r="C2985" s="73"/>
      <c r="D2985" s="73" t="s">
        <v>671</v>
      </c>
      <c r="E2985" s="73"/>
      <c r="F2985" s="74" t="s">
        <v>3</v>
      </c>
      <c r="G2985" s="72">
        <f>(0.012*3.14*4+0.05)*0.05</f>
        <v>1.0036000000000002E-2</v>
      </c>
    </row>
    <row r="2986" spans="1:11" x14ac:dyDescent="0.25">
      <c r="A2986" s="163"/>
      <c r="B2986" s="106"/>
      <c r="C2986" s="73"/>
      <c r="D2986" s="73" t="s">
        <v>672</v>
      </c>
      <c r="E2986" s="73"/>
      <c r="F2986" s="74" t="s">
        <v>3</v>
      </c>
      <c r="G2986" s="72">
        <f>2.5*G2985</f>
        <v>2.5090000000000005E-2</v>
      </c>
    </row>
    <row r="2987" spans="1:11" x14ac:dyDescent="0.25">
      <c r="A2987" s="163"/>
      <c r="B2987" s="106"/>
      <c r="C2987" s="73"/>
      <c r="D2987" s="73"/>
      <c r="E2987" s="75" t="s">
        <v>673</v>
      </c>
      <c r="F2987" s="74"/>
      <c r="G2987" s="72"/>
    </row>
    <row r="2988" spans="1:11" x14ac:dyDescent="0.25">
      <c r="A2988" s="163"/>
      <c r="B2988" s="106"/>
      <c r="C2988" s="73"/>
      <c r="D2988" s="73"/>
      <c r="E2988" s="73" t="s">
        <v>2032</v>
      </c>
      <c r="F2988" s="74" t="s">
        <v>3</v>
      </c>
      <c r="G2988" s="72">
        <f>0.05*0.08</f>
        <v>4.0000000000000001E-3</v>
      </c>
      <c r="K2988" s="258"/>
    </row>
    <row r="2989" spans="1:11" x14ac:dyDescent="0.25">
      <c r="A2989" s="163"/>
      <c r="B2989" s="106"/>
      <c r="C2989" s="73"/>
      <c r="D2989" s="73"/>
      <c r="E2989" s="73" t="s">
        <v>672</v>
      </c>
      <c r="F2989" s="74" t="s">
        <v>3</v>
      </c>
      <c r="G2989" s="72">
        <f>2.5*G2988</f>
        <v>0.01</v>
      </c>
      <c r="K2989" s="258"/>
    </row>
    <row r="2990" spans="1:11" x14ac:dyDescent="0.25">
      <c r="A2990" s="163"/>
      <c r="B2990" s="106"/>
      <c r="C2990" s="73"/>
      <c r="D2990" s="73"/>
      <c r="E2990" s="73" t="s">
        <v>2033</v>
      </c>
      <c r="F2990" s="74" t="s">
        <v>3</v>
      </c>
      <c r="G2990" s="72">
        <f>0.04*0.055*0.5*8.5*1.25</f>
        <v>1.16875E-2</v>
      </c>
    </row>
    <row r="2991" spans="1:11" x14ac:dyDescent="0.25">
      <c r="A2991" s="163"/>
      <c r="B2991" s="106"/>
      <c r="C2991" s="73"/>
      <c r="D2991" s="73"/>
      <c r="E2991" s="75" t="s">
        <v>675</v>
      </c>
      <c r="F2991" s="74"/>
      <c r="G2991" s="148"/>
    </row>
    <row r="2992" spans="1:11" ht="17.25" x14ac:dyDescent="0.25">
      <c r="A2992" s="163"/>
      <c r="B2992" s="106"/>
      <c r="C2992" s="73"/>
      <c r="D2992" s="73"/>
      <c r="E2992" s="73" t="s">
        <v>2034</v>
      </c>
      <c r="F2992" s="74" t="s">
        <v>677</v>
      </c>
      <c r="G2992" s="72">
        <f>0.055*0.055</f>
        <v>3.0249999999999999E-3</v>
      </c>
    </row>
    <row r="2993" spans="1:9" x14ac:dyDescent="0.25">
      <c r="A2993" s="163"/>
      <c r="B2993" s="106"/>
      <c r="C2993" s="73"/>
      <c r="D2993" s="73"/>
      <c r="E2993" s="75" t="s">
        <v>936</v>
      </c>
      <c r="F2993" s="74"/>
      <c r="G2993" s="148"/>
    </row>
    <row r="2994" spans="1:9" x14ac:dyDescent="0.25">
      <c r="A2994" s="163"/>
      <c r="B2994" s="106"/>
      <c r="C2994" s="73"/>
      <c r="D2994" s="73"/>
      <c r="E2994" s="73" t="s">
        <v>2035</v>
      </c>
      <c r="F2994" s="74" t="s">
        <v>3</v>
      </c>
      <c r="G2994" s="72">
        <f>0.015*0.015*0.5*8.5</f>
        <v>9.5624999999999996E-4</v>
      </c>
    </row>
    <row r="2995" spans="1:9" x14ac:dyDescent="0.25">
      <c r="A2995" s="163"/>
      <c r="B2995" s="106"/>
      <c r="C2995" s="73"/>
      <c r="D2995" s="75" t="s">
        <v>2036</v>
      </c>
      <c r="E2995" s="73"/>
      <c r="F2995" s="74"/>
      <c r="G2995" s="72"/>
    </row>
    <row r="2996" spans="1:9" x14ac:dyDescent="0.25">
      <c r="A2996" s="163"/>
      <c r="B2996" s="106"/>
      <c r="C2996" s="73"/>
      <c r="D2996" s="73" t="s">
        <v>1054</v>
      </c>
      <c r="E2996" s="73"/>
      <c r="F2996" s="74" t="s">
        <v>3</v>
      </c>
      <c r="G2996" s="72">
        <f>(0.07+0.012*3.14*2)*0.07*1.2</f>
        <v>1.2210240000000002E-2</v>
      </c>
    </row>
    <row r="2997" spans="1:9" ht="17.25" x14ac:dyDescent="0.25">
      <c r="A2997" s="163"/>
      <c r="B2997" s="106"/>
      <c r="C2997" s="73"/>
      <c r="D2997" s="73" t="s">
        <v>1055</v>
      </c>
      <c r="E2997" s="73"/>
      <c r="F2997" s="74" t="s">
        <v>596</v>
      </c>
      <c r="G2997" s="72">
        <f>G2996</f>
        <v>1.2210240000000002E-2</v>
      </c>
    </row>
    <row r="2998" spans="1:9" x14ac:dyDescent="0.25">
      <c r="A2998" s="163"/>
      <c r="B2998" s="106"/>
      <c r="C2998" s="73"/>
      <c r="D2998" s="73" t="s">
        <v>140</v>
      </c>
      <c r="E2998" s="73"/>
      <c r="F2998" s="74" t="s">
        <v>3</v>
      </c>
      <c r="G2998" s="72">
        <f>0.012*3.14*2*0.08*1.2</f>
        <v>7.234560000000001E-3</v>
      </c>
    </row>
    <row r="2999" spans="1:9" ht="17.25" x14ac:dyDescent="0.25">
      <c r="A2999" s="163"/>
      <c r="B2999" s="106"/>
      <c r="C2999" s="73"/>
      <c r="D2999" s="73" t="s">
        <v>23</v>
      </c>
      <c r="E2999" s="73"/>
      <c r="F2999" s="74" t="s">
        <v>596</v>
      </c>
      <c r="G2999" s="72">
        <f>G2998*1.5</f>
        <v>1.0851840000000001E-2</v>
      </c>
    </row>
    <row r="3000" spans="1:9" x14ac:dyDescent="0.25">
      <c r="A3000" s="163"/>
      <c r="B3000" s="106"/>
      <c r="C3000" s="73"/>
      <c r="D3000" s="73" t="s">
        <v>142</v>
      </c>
      <c r="E3000" s="73"/>
      <c r="F3000" s="74" t="s">
        <v>3</v>
      </c>
      <c r="G3000" s="72">
        <f>G2998/4</f>
        <v>1.8086400000000002E-3</v>
      </c>
    </row>
    <row r="3001" spans="1:9" x14ac:dyDescent="0.25">
      <c r="A3001" s="163"/>
      <c r="B3001" s="106"/>
      <c r="C3001" s="73"/>
      <c r="D3001" s="77" t="s">
        <v>114</v>
      </c>
      <c r="E3001" s="73"/>
      <c r="F3001" s="74" t="s">
        <v>3</v>
      </c>
      <c r="G3001" s="72">
        <f>G3003*0.85</f>
        <v>1.5249E-2</v>
      </c>
    </row>
    <row r="3002" spans="1:9" x14ac:dyDescent="0.25">
      <c r="A3002" s="163"/>
      <c r="B3002" s="106"/>
      <c r="C3002" s="73"/>
      <c r="D3002" s="77" t="s">
        <v>164</v>
      </c>
      <c r="E3002" s="73"/>
      <c r="F3002" s="74" t="s">
        <v>3</v>
      </c>
      <c r="G3002" s="72">
        <f>0.3*G3001</f>
        <v>4.5747000000000001E-3</v>
      </c>
    </row>
    <row r="3003" spans="1:9" x14ac:dyDescent="0.25">
      <c r="A3003" s="163"/>
      <c r="B3003" s="106"/>
      <c r="C3003" s="73"/>
      <c r="D3003" s="77" t="s">
        <v>148</v>
      </c>
      <c r="E3003" s="73"/>
      <c r="F3003" s="74" t="s">
        <v>3</v>
      </c>
      <c r="G3003" s="72">
        <f>(0.4*0.011*2+0.1*0.025*2)*1.3</f>
        <v>1.7940000000000001E-2</v>
      </c>
    </row>
    <row r="3004" spans="1:9" x14ac:dyDescent="0.25">
      <c r="A3004" s="163"/>
      <c r="B3004" s="106"/>
      <c r="C3004" s="73"/>
      <c r="D3004" s="77" t="s">
        <v>12</v>
      </c>
      <c r="E3004" s="73"/>
      <c r="F3004" s="74" t="s">
        <v>3</v>
      </c>
      <c r="G3004" s="72">
        <f>0.3*G3003</f>
        <v>5.3820000000000005E-3</v>
      </c>
    </row>
    <row r="3005" spans="1:9" x14ac:dyDescent="0.25">
      <c r="A3005" s="163"/>
      <c r="B3005" s="106"/>
      <c r="C3005" s="73"/>
      <c r="D3005" s="73"/>
      <c r="E3005" s="75" t="s">
        <v>2037</v>
      </c>
      <c r="F3005" s="74"/>
      <c r="G3005" s="72"/>
    </row>
    <row r="3006" spans="1:9" x14ac:dyDescent="0.25">
      <c r="A3006" s="163"/>
      <c r="B3006" s="106"/>
      <c r="C3006" s="73"/>
      <c r="D3006" s="73"/>
      <c r="E3006" s="73" t="s">
        <v>2040</v>
      </c>
      <c r="F3006" s="74" t="s">
        <v>3</v>
      </c>
      <c r="G3006" s="72">
        <f>0.062*0.046*4*8*1.2</f>
        <v>0.1095168</v>
      </c>
    </row>
    <row r="3007" spans="1:9" x14ac:dyDescent="0.25">
      <c r="A3007" s="163"/>
      <c r="B3007" s="106"/>
      <c r="C3007" s="73"/>
      <c r="D3007" s="73"/>
      <c r="E3007" s="75" t="s">
        <v>2038</v>
      </c>
      <c r="F3007" s="74"/>
      <c r="G3007" s="72"/>
    </row>
    <row r="3008" spans="1:9" x14ac:dyDescent="0.25">
      <c r="A3008" s="163"/>
      <c r="B3008" s="106"/>
      <c r="C3008" s="73"/>
      <c r="D3008" s="73"/>
      <c r="E3008" s="73" t="s">
        <v>680</v>
      </c>
      <c r="F3008" s="74" t="s">
        <v>3</v>
      </c>
      <c r="G3008" s="72">
        <v>0.05</v>
      </c>
      <c r="I3008" t="s">
        <v>2042</v>
      </c>
    </row>
    <row r="3009" spans="1:11" x14ac:dyDescent="0.25">
      <c r="A3009" s="163"/>
      <c r="B3009" s="106"/>
      <c r="C3009" s="73"/>
      <c r="D3009" s="73"/>
      <c r="E3009" s="75" t="s">
        <v>2039</v>
      </c>
      <c r="F3009" s="74"/>
      <c r="G3009" s="72"/>
    </row>
    <row r="3010" spans="1:11" x14ac:dyDescent="0.25">
      <c r="A3010" s="163"/>
      <c r="B3010" s="106"/>
      <c r="C3010" s="73"/>
      <c r="D3010" s="73"/>
      <c r="E3010" s="73" t="s">
        <v>680</v>
      </c>
      <c r="F3010" s="74" t="s">
        <v>3</v>
      </c>
      <c r="G3010" s="72">
        <v>0.11</v>
      </c>
      <c r="I3010" t="s">
        <v>2041</v>
      </c>
    </row>
    <row r="3011" spans="1:11" ht="15.75" thickBot="1" x14ac:dyDescent="0.3">
      <c r="A3011" s="67"/>
      <c r="B3011" s="151"/>
      <c r="C3011" s="198"/>
      <c r="D3011" s="198"/>
      <c r="E3011" s="68"/>
      <c r="F3011" s="82"/>
      <c r="G3011" s="83"/>
      <c r="K3011"/>
    </row>
    <row r="3012" spans="1:11" x14ac:dyDescent="0.25">
      <c r="A3012" s="159"/>
      <c r="B3012" s="192"/>
      <c r="C3012" s="200"/>
      <c r="D3012" s="200"/>
      <c r="E3012" s="93"/>
      <c r="F3012" s="175" t="s">
        <v>1806</v>
      </c>
      <c r="G3012" s="176"/>
      <c r="K3012"/>
    </row>
    <row r="3013" spans="1:11" ht="18.75" x14ac:dyDescent="0.3">
      <c r="A3013" s="168"/>
      <c r="B3013" s="106"/>
      <c r="C3013" s="78"/>
      <c r="D3013" s="73"/>
      <c r="E3013" s="222" t="s">
        <v>1805</v>
      </c>
      <c r="F3013" s="233" t="s">
        <v>1804</v>
      </c>
      <c r="G3013" s="223"/>
      <c r="H3013" s="73"/>
      <c r="K3013"/>
    </row>
    <row r="3014" spans="1:11" ht="10.5" customHeight="1" x14ac:dyDescent="0.25">
      <c r="A3014" s="168"/>
      <c r="B3014" s="106"/>
      <c r="C3014" s="78"/>
      <c r="D3014" s="78"/>
      <c r="E3014" s="73"/>
      <c r="F3014" s="74"/>
      <c r="G3014" s="72"/>
      <c r="H3014" s="73"/>
      <c r="K3014"/>
    </row>
    <row r="3015" spans="1:11" x14ac:dyDescent="0.25">
      <c r="A3015" s="177"/>
      <c r="B3015" s="106" t="s">
        <v>1565</v>
      </c>
      <c r="C3015" s="78" t="s">
        <v>1561</v>
      </c>
      <c r="D3015" s="78"/>
      <c r="E3015" s="73"/>
      <c r="F3015" s="74"/>
      <c r="G3015" s="72"/>
      <c r="H3015" s="73"/>
      <c r="K3015"/>
    </row>
    <row r="3016" spans="1:11" x14ac:dyDescent="0.25">
      <c r="A3016" s="168"/>
      <c r="B3016" s="106"/>
      <c r="C3016" s="186" t="s">
        <v>984</v>
      </c>
      <c r="D3016" s="78"/>
      <c r="E3016" s="73"/>
      <c r="F3016" s="74" t="s">
        <v>3</v>
      </c>
      <c r="G3016" s="72">
        <f>(0.035*3.14*0.75+0.015+0.04)*0.02*1*8*1.2</f>
        <v>2.6385600000000006E-2</v>
      </c>
      <c r="H3016" s="73"/>
      <c r="K3016"/>
    </row>
    <row r="3017" spans="1:11" ht="9" customHeight="1" x14ac:dyDescent="0.25">
      <c r="A3017" s="168"/>
      <c r="B3017" s="106"/>
      <c r="C3017" s="78"/>
      <c r="D3017" s="78"/>
      <c r="E3017" s="73"/>
      <c r="F3017" s="74"/>
      <c r="G3017" s="72"/>
      <c r="H3017" s="73"/>
      <c r="K3017"/>
    </row>
    <row r="3018" spans="1:11" x14ac:dyDescent="0.25">
      <c r="A3018" s="177"/>
      <c r="B3018" s="106" t="s">
        <v>1565</v>
      </c>
      <c r="C3018" s="78" t="s">
        <v>1562</v>
      </c>
      <c r="D3018" s="78"/>
      <c r="E3018" s="73"/>
      <c r="F3018" s="74"/>
      <c r="G3018" s="72"/>
      <c r="H3018" s="73"/>
      <c r="K3018"/>
    </row>
    <row r="3019" spans="1:11" x14ac:dyDescent="0.25">
      <c r="A3019" s="168"/>
      <c r="B3019" s="106"/>
      <c r="C3019" s="186" t="s">
        <v>1143</v>
      </c>
      <c r="D3019" s="78"/>
      <c r="E3019" s="73"/>
      <c r="F3019" s="74" t="s">
        <v>3</v>
      </c>
      <c r="G3019" s="72">
        <f>0.052*0.022*3*8*1.12</f>
        <v>3.0750719999999995E-2</v>
      </c>
      <c r="H3019" s="73"/>
      <c r="K3019"/>
    </row>
    <row r="3020" spans="1:11" ht="11.25" customHeight="1" x14ac:dyDescent="0.25">
      <c r="A3020" s="168"/>
      <c r="B3020" s="106"/>
      <c r="C3020" s="78"/>
      <c r="D3020" s="78"/>
      <c r="E3020" s="73"/>
      <c r="F3020" s="74"/>
      <c r="G3020" s="72"/>
      <c r="H3020" s="73"/>
      <c r="K3020"/>
    </row>
    <row r="3021" spans="1:11" x14ac:dyDescent="0.25">
      <c r="A3021" s="177"/>
      <c r="B3021" s="106" t="s">
        <v>1565</v>
      </c>
      <c r="C3021" s="78" t="s">
        <v>1563</v>
      </c>
      <c r="D3021" s="78"/>
      <c r="E3021" s="73"/>
      <c r="F3021" s="74"/>
      <c r="G3021" s="72"/>
      <c r="H3021" s="73"/>
      <c r="K3021"/>
    </row>
    <row r="3022" spans="1:11" x14ac:dyDescent="0.25">
      <c r="A3022" s="168"/>
      <c r="B3022" s="106"/>
      <c r="C3022" s="186" t="s">
        <v>651</v>
      </c>
      <c r="D3022" s="78"/>
      <c r="E3022" s="73"/>
      <c r="F3022" s="74" t="s">
        <v>3</v>
      </c>
      <c r="G3022" s="72">
        <f>0.13*0.02*2*2.7*1.12</f>
        <v>1.5724800000000004E-2</v>
      </c>
      <c r="H3022" s="73"/>
      <c r="K3022"/>
    </row>
    <row r="3023" spans="1:11" ht="9.75" customHeight="1" x14ac:dyDescent="0.25">
      <c r="A3023" s="168"/>
      <c r="B3023" s="106"/>
      <c r="C3023" s="78"/>
      <c r="D3023" s="78"/>
      <c r="E3023" s="73"/>
      <c r="F3023" s="74"/>
      <c r="G3023" s="72"/>
      <c r="H3023" s="73"/>
      <c r="K3023"/>
    </row>
    <row r="3024" spans="1:11" x14ac:dyDescent="0.25">
      <c r="A3024" s="177"/>
      <c r="B3024" s="106" t="s">
        <v>1565</v>
      </c>
      <c r="C3024" s="78" t="s">
        <v>1564</v>
      </c>
      <c r="D3024" s="78"/>
      <c r="E3024" s="73"/>
      <c r="F3024" s="74"/>
      <c r="G3024" s="72"/>
      <c r="H3024" s="73"/>
      <c r="K3024"/>
    </row>
    <row r="3025" spans="1:16" x14ac:dyDescent="0.25">
      <c r="A3025" s="168"/>
      <c r="B3025" s="106"/>
      <c r="C3025" s="77" t="s">
        <v>1641</v>
      </c>
      <c r="D3025" s="78"/>
      <c r="E3025" s="73"/>
      <c r="F3025" s="74" t="s">
        <v>3</v>
      </c>
      <c r="G3025" s="72">
        <f>0.1*0.028*3*8.5*1.12</f>
        <v>7.9968000000000011E-2</v>
      </c>
      <c r="H3025" s="73" t="s">
        <v>1565</v>
      </c>
      <c r="K3025"/>
    </row>
    <row r="3026" spans="1:16" ht="9" customHeight="1" x14ac:dyDescent="0.25">
      <c r="A3026" s="168"/>
      <c r="B3026" s="106"/>
      <c r="C3026" s="78"/>
      <c r="D3026" s="78"/>
      <c r="E3026" s="73"/>
      <c r="F3026" s="74"/>
      <c r="G3026" s="72"/>
      <c r="H3026" s="73"/>
      <c r="K3026"/>
    </row>
    <row r="3027" spans="1:16" x14ac:dyDescent="0.25">
      <c r="A3027" s="177"/>
      <c r="B3027" s="106" t="s">
        <v>1565</v>
      </c>
      <c r="C3027" s="78" t="s">
        <v>1566</v>
      </c>
      <c r="D3027" s="78"/>
      <c r="E3027" s="73"/>
      <c r="F3027" s="74"/>
      <c r="G3027" s="72"/>
      <c r="H3027" s="73"/>
      <c r="K3027"/>
    </row>
    <row r="3028" spans="1:16" x14ac:dyDescent="0.25">
      <c r="A3028" s="168"/>
      <c r="B3028" s="106"/>
      <c r="C3028" s="77" t="s">
        <v>1642</v>
      </c>
      <c r="D3028" s="78"/>
      <c r="E3028" s="73"/>
      <c r="F3028" s="74" t="s">
        <v>3</v>
      </c>
      <c r="G3028" s="72">
        <f>0.13*0.085*4*8.5*1.119</f>
        <v>0.42040830000000001</v>
      </c>
      <c r="H3028" s="73" t="s">
        <v>1565</v>
      </c>
      <c r="K3028"/>
    </row>
    <row r="3029" spans="1:16" ht="9" customHeight="1" x14ac:dyDescent="0.25">
      <c r="A3029" s="168"/>
      <c r="B3029" s="106"/>
      <c r="C3029" s="186"/>
      <c r="D3029" s="78"/>
      <c r="E3029" s="73"/>
      <c r="F3029" s="74"/>
      <c r="G3029" s="72"/>
      <c r="H3029" s="73"/>
      <c r="K3029"/>
    </row>
    <row r="3030" spans="1:16" x14ac:dyDescent="0.25">
      <c r="A3030" s="177"/>
      <c r="B3030" s="106" t="s">
        <v>1565</v>
      </c>
      <c r="C3030" s="78" t="s">
        <v>1567</v>
      </c>
      <c r="D3030" s="78"/>
      <c r="E3030" s="73"/>
      <c r="F3030" s="74"/>
      <c r="G3030" s="72"/>
      <c r="H3030" s="73"/>
      <c r="K3030"/>
    </row>
    <row r="3031" spans="1:16" x14ac:dyDescent="0.25">
      <c r="A3031" s="168"/>
      <c r="B3031" s="106"/>
      <c r="C3031" s="77" t="s">
        <v>1643</v>
      </c>
      <c r="D3031" s="78"/>
      <c r="E3031" s="73"/>
      <c r="F3031" s="74" t="s">
        <v>3</v>
      </c>
      <c r="G3031" s="72">
        <f>0.13*0.06*3*8.5*1.08</f>
        <v>0.21481199999999998</v>
      </c>
      <c r="H3031" s="73"/>
      <c r="K3031"/>
    </row>
    <row r="3032" spans="1:16" ht="8.25" customHeight="1" x14ac:dyDescent="0.25">
      <c r="A3032" s="168"/>
      <c r="B3032" s="106"/>
      <c r="C3032" s="186"/>
      <c r="D3032" s="78"/>
      <c r="E3032" s="73"/>
      <c r="F3032" s="74"/>
      <c r="G3032" s="72"/>
      <c r="H3032" s="73"/>
      <c r="K3032"/>
    </row>
    <row r="3033" spans="1:16" x14ac:dyDescent="0.25">
      <c r="A3033" s="177"/>
      <c r="B3033" s="106" t="s">
        <v>1565</v>
      </c>
      <c r="C3033" s="78" t="s">
        <v>1568</v>
      </c>
      <c r="D3033" s="78"/>
      <c r="E3033" s="73"/>
      <c r="F3033" s="74"/>
      <c r="G3033" s="72"/>
      <c r="H3033" s="73"/>
      <c r="K3033"/>
    </row>
    <row r="3034" spans="1:16" x14ac:dyDescent="0.25">
      <c r="A3034" s="168"/>
      <c r="B3034" s="106"/>
      <c r="C3034" s="77" t="s">
        <v>957</v>
      </c>
      <c r="D3034" s="78"/>
      <c r="E3034" s="73"/>
      <c r="F3034" s="74" t="s">
        <v>3</v>
      </c>
      <c r="G3034" s="72">
        <v>8.9999999999999993E-3</v>
      </c>
      <c r="H3034" s="73"/>
      <c r="K3034"/>
    </row>
    <row r="3035" spans="1:16" ht="8.25" customHeight="1" x14ac:dyDescent="0.25">
      <c r="A3035" s="168"/>
      <c r="B3035" s="106"/>
      <c r="C3035" s="186"/>
      <c r="D3035" s="78"/>
      <c r="E3035" s="73"/>
      <c r="F3035" s="74"/>
      <c r="G3035" s="72"/>
      <c r="H3035" s="73"/>
      <c r="K3035"/>
    </row>
    <row r="3036" spans="1:16" x14ac:dyDescent="0.25">
      <c r="A3036" s="177"/>
      <c r="B3036" s="106" t="s">
        <v>1565</v>
      </c>
      <c r="C3036" s="78" t="s">
        <v>1569</v>
      </c>
      <c r="D3036" s="78"/>
      <c r="E3036" s="73"/>
      <c r="F3036" s="74"/>
      <c r="G3036" s="72"/>
      <c r="H3036" s="73"/>
      <c r="K3036"/>
      <c r="L3036" s="78"/>
      <c r="M3036" s="78"/>
      <c r="O3036" s="208"/>
      <c r="P3036" s="153"/>
    </row>
    <row r="3037" spans="1:16" x14ac:dyDescent="0.25">
      <c r="A3037" s="168"/>
      <c r="B3037" s="106"/>
      <c r="C3037" s="77" t="s">
        <v>1054</v>
      </c>
      <c r="D3037" s="73"/>
      <c r="E3037" s="73"/>
      <c r="F3037" s="152" t="s">
        <v>3</v>
      </c>
      <c r="G3037" s="72">
        <f>0.3*0.08*1.1</f>
        <v>2.6400000000000003E-2</v>
      </c>
      <c r="H3037" s="73"/>
      <c r="K3037"/>
      <c r="L3037" s="77"/>
      <c r="M3037" s="73"/>
      <c r="N3037" s="73"/>
      <c r="O3037" s="152"/>
      <c r="P3037" s="153"/>
    </row>
    <row r="3038" spans="1:16" ht="17.25" x14ac:dyDescent="0.25">
      <c r="A3038" s="168"/>
      <c r="B3038" s="106"/>
      <c r="C3038" s="73" t="s">
        <v>1055</v>
      </c>
      <c r="D3038" s="73"/>
      <c r="E3038" s="73"/>
      <c r="F3038" s="152" t="s">
        <v>596</v>
      </c>
      <c r="G3038" s="72">
        <f>G3037</f>
        <v>2.6400000000000003E-2</v>
      </c>
      <c r="H3038" s="73"/>
      <c r="K3038"/>
      <c r="L3038" s="73"/>
      <c r="M3038" s="73"/>
      <c r="N3038" s="73"/>
      <c r="O3038" s="152"/>
      <c r="P3038" s="153"/>
    </row>
    <row r="3039" spans="1:16" x14ac:dyDescent="0.25">
      <c r="A3039" s="168"/>
      <c r="B3039" s="106"/>
      <c r="C3039" s="73"/>
      <c r="D3039" s="78" t="s">
        <v>1570</v>
      </c>
      <c r="E3039" s="73"/>
      <c r="F3039" s="74"/>
      <c r="G3039" s="224" t="s">
        <v>624</v>
      </c>
      <c r="H3039" s="73"/>
      <c r="K3039"/>
      <c r="L3039" s="73"/>
      <c r="M3039" s="73"/>
      <c r="N3039" s="73"/>
      <c r="O3039" s="152"/>
      <c r="P3039" s="153"/>
    </row>
    <row r="3040" spans="1:16" x14ac:dyDescent="0.25">
      <c r="A3040" s="168"/>
      <c r="B3040" s="106"/>
      <c r="C3040" s="73"/>
      <c r="D3040" s="77" t="s">
        <v>1647</v>
      </c>
      <c r="E3040" s="73"/>
      <c r="F3040" s="74" t="s">
        <v>3</v>
      </c>
      <c r="G3040" s="72">
        <f>0.115*0.28*6*8*1.1515</f>
        <v>1.7797584000000004</v>
      </c>
      <c r="H3040" s="73"/>
      <c r="K3040"/>
      <c r="L3040" s="73"/>
      <c r="M3040" s="73"/>
      <c r="N3040" s="73"/>
      <c r="O3040" s="152"/>
      <c r="P3040" s="153"/>
    </row>
    <row r="3041" spans="1:16" x14ac:dyDescent="0.25">
      <c r="A3041" s="168"/>
      <c r="B3041" s="106"/>
      <c r="C3041" s="73"/>
      <c r="D3041" s="78" t="s">
        <v>1571</v>
      </c>
      <c r="E3041" s="73"/>
      <c r="F3041" s="74"/>
      <c r="G3041" s="72"/>
      <c r="H3041" s="73"/>
      <c r="K3041"/>
      <c r="L3041" s="73"/>
      <c r="M3041" s="73"/>
      <c r="N3041" s="73"/>
      <c r="O3041" s="152"/>
      <c r="P3041" s="153"/>
    </row>
    <row r="3042" spans="1:16" x14ac:dyDescent="0.25">
      <c r="A3042" s="168"/>
      <c r="B3042" s="106"/>
      <c r="C3042" s="73"/>
      <c r="D3042" s="77" t="s">
        <v>1646</v>
      </c>
      <c r="E3042" s="73"/>
      <c r="F3042" s="74" t="s">
        <v>3</v>
      </c>
      <c r="G3042" s="72">
        <f>0.062*0.032*4*8*1.15</f>
        <v>7.3011199999999998E-2</v>
      </c>
      <c r="H3042" s="73"/>
      <c r="K3042"/>
      <c r="L3042" s="73"/>
      <c r="M3042" s="73"/>
      <c r="N3042" s="73"/>
      <c r="O3042" s="152"/>
      <c r="P3042" s="153"/>
    </row>
    <row r="3043" spans="1:16" x14ac:dyDescent="0.25">
      <c r="A3043" s="168"/>
      <c r="B3043" s="106"/>
      <c r="C3043" s="73"/>
      <c r="D3043" s="78" t="s">
        <v>1644</v>
      </c>
      <c r="E3043" s="73"/>
      <c r="F3043" s="74"/>
      <c r="G3043" s="72"/>
      <c r="H3043" s="73"/>
      <c r="K3043"/>
      <c r="L3043" s="73"/>
      <c r="M3043" s="73"/>
      <c r="N3043" s="73"/>
      <c r="O3043" s="152"/>
      <c r="P3043" s="153"/>
    </row>
    <row r="3044" spans="1:16" x14ac:dyDescent="0.25">
      <c r="A3044" s="168"/>
      <c r="B3044" s="106"/>
      <c r="C3044" s="73"/>
      <c r="D3044" s="77" t="s">
        <v>1645</v>
      </c>
      <c r="E3044" s="73"/>
      <c r="F3044" s="74" t="s">
        <v>3</v>
      </c>
      <c r="G3044" s="72">
        <f>0.06*0.015*3*8*1.12</f>
        <v>2.4192000000000005E-2</v>
      </c>
      <c r="H3044" s="73"/>
      <c r="K3044"/>
      <c r="L3044" s="73"/>
      <c r="M3044" s="73"/>
      <c r="N3044" s="73"/>
      <c r="O3044" s="152"/>
      <c r="P3044" s="153"/>
    </row>
    <row r="3045" spans="1:16" ht="9.75" customHeight="1" x14ac:dyDescent="0.25">
      <c r="A3045" s="168"/>
      <c r="B3045" s="106"/>
      <c r="C3045" s="73"/>
      <c r="D3045" s="73"/>
      <c r="E3045" s="73"/>
      <c r="F3045" s="74"/>
      <c r="G3045" s="72"/>
      <c r="H3045" s="73"/>
      <c r="I3045" s="213"/>
      <c r="K3045"/>
      <c r="L3045" s="186"/>
    </row>
    <row r="3046" spans="1:16" x14ac:dyDescent="0.25">
      <c r="A3046" s="177"/>
      <c r="B3046" s="106" t="s">
        <v>1565</v>
      </c>
      <c r="C3046" s="78" t="s">
        <v>1573</v>
      </c>
      <c r="D3046" s="78"/>
      <c r="E3046" s="73"/>
      <c r="F3046" s="74"/>
      <c r="G3046" s="72"/>
      <c r="H3046" s="73"/>
      <c r="J3046" s="13" t="s">
        <v>1654</v>
      </c>
      <c r="K3046" s="13" t="s">
        <v>1656</v>
      </c>
    </row>
    <row r="3047" spans="1:16" x14ac:dyDescent="0.25">
      <c r="A3047" s="163"/>
      <c r="B3047" s="96"/>
      <c r="C3047" s="73" t="s">
        <v>140</v>
      </c>
      <c r="D3047" s="73"/>
      <c r="E3047" s="73"/>
      <c r="F3047" s="74" t="s">
        <v>3</v>
      </c>
      <c r="G3047" s="72">
        <f>0.06*0.08*1.12</f>
        <v>5.3759999999999997E-3</v>
      </c>
      <c r="H3047" s="73"/>
      <c r="J3047" s="13" t="s">
        <v>1655</v>
      </c>
      <c r="K3047" s="214" t="s">
        <v>625</v>
      </c>
    </row>
    <row r="3048" spans="1:16" ht="17.25" x14ac:dyDescent="0.25">
      <c r="A3048" s="163"/>
      <c r="B3048" s="96"/>
      <c r="C3048" s="73" t="s">
        <v>23</v>
      </c>
      <c r="D3048" s="73"/>
      <c r="E3048" s="73"/>
      <c r="F3048" s="74" t="s">
        <v>596</v>
      </c>
      <c r="G3048" s="72">
        <f>G3047*1.5</f>
        <v>8.064E-3</v>
      </c>
      <c r="H3048" s="73"/>
      <c r="K3048"/>
      <c r="L3048" s="186"/>
    </row>
    <row r="3049" spans="1:16" x14ac:dyDescent="0.25">
      <c r="A3049" s="163"/>
      <c r="B3049" s="96"/>
      <c r="C3049" s="73" t="s">
        <v>142</v>
      </c>
      <c r="D3049" s="73"/>
      <c r="E3049" s="73"/>
      <c r="F3049" s="74" t="s">
        <v>3</v>
      </c>
      <c r="G3049" s="72">
        <f>G3047/4</f>
        <v>1.3439999999999999E-3</v>
      </c>
      <c r="H3049" s="73"/>
      <c r="K3049"/>
      <c r="L3049" s="186"/>
    </row>
    <row r="3050" spans="1:16" x14ac:dyDescent="0.25">
      <c r="A3050" s="163"/>
      <c r="B3050" s="96"/>
      <c r="C3050" s="77" t="s">
        <v>1054</v>
      </c>
      <c r="D3050" s="73"/>
      <c r="E3050" s="73"/>
      <c r="F3050" s="152" t="s">
        <v>3</v>
      </c>
      <c r="G3050" s="72">
        <f>0.13*0.08*1.2</f>
        <v>1.2480000000000002E-2</v>
      </c>
      <c r="H3050" s="73"/>
      <c r="K3050"/>
      <c r="L3050" s="186"/>
    </row>
    <row r="3051" spans="1:16" ht="17.25" x14ac:dyDescent="0.25">
      <c r="A3051" s="163"/>
      <c r="B3051" s="96"/>
      <c r="C3051" s="73" t="s">
        <v>1055</v>
      </c>
      <c r="D3051" s="73"/>
      <c r="E3051" s="73"/>
      <c r="F3051" s="152" t="s">
        <v>596</v>
      </c>
      <c r="G3051" s="72">
        <f>G3050</f>
        <v>1.2480000000000002E-2</v>
      </c>
      <c r="H3051" s="73"/>
      <c r="K3051"/>
      <c r="L3051" s="186"/>
    </row>
    <row r="3052" spans="1:16" x14ac:dyDescent="0.25">
      <c r="A3052" s="163"/>
      <c r="B3052" s="96"/>
      <c r="C3052" s="186" t="s">
        <v>1648</v>
      </c>
      <c r="D3052" s="78"/>
      <c r="E3052" s="73"/>
      <c r="F3052" s="74" t="s">
        <v>3</v>
      </c>
      <c r="G3052" s="72">
        <f>0.001</f>
        <v>1E-3</v>
      </c>
      <c r="H3052" s="73"/>
      <c r="K3052"/>
      <c r="L3052" s="186"/>
    </row>
    <row r="3053" spans="1:16" x14ac:dyDescent="0.25">
      <c r="A3053" s="163"/>
      <c r="B3053" s="96"/>
      <c r="C3053" s="78"/>
      <c r="D3053" s="78" t="s">
        <v>1649</v>
      </c>
      <c r="E3053" s="73"/>
      <c r="F3053" s="74"/>
      <c r="G3053" s="72"/>
      <c r="H3053" s="73"/>
      <c r="K3053"/>
      <c r="L3053" s="186"/>
    </row>
    <row r="3054" spans="1:16" x14ac:dyDescent="0.25">
      <c r="A3054" s="163"/>
      <c r="B3054" s="96"/>
      <c r="C3054" s="78"/>
      <c r="D3054" s="186" t="s">
        <v>1650</v>
      </c>
      <c r="E3054" s="73"/>
      <c r="F3054" s="74" t="s">
        <v>3</v>
      </c>
      <c r="G3054" s="72">
        <f>0.2*0.165*1.5*8*1.137</f>
        <v>0.45025200000000004</v>
      </c>
      <c r="H3054" s="73"/>
      <c r="K3054"/>
      <c r="L3054" s="186"/>
    </row>
    <row r="3055" spans="1:16" x14ac:dyDescent="0.25">
      <c r="A3055" s="163"/>
      <c r="B3055" s="96"/>
      <c r="C3055" s="78"/>
      <c r="D3055" s="78" t="s">
        <v>1651</v>
      </c>
      <c r="E3055" s="73"/>
      <c r="F3055" s="74"/>
      <c r="G3055" s="72"/>
      <c r="H3055" s="73"/>
      <c r="K3055"/>
      <c r="L3055" s="186"/>
    </row>
    <row r="3056" spans="1:16" x14ac:dyDescent="0.25">
      <c r="A3056" s="163"/>
      <c r="B3056" s="96"/>
      <c r="C3056" s="78"/>
      <c r="D3056" s="186" t="s">
        <v>177</v>
      </c>
      <c r="E3056" s="73"/>
      <c r="F3056" s="74" t="s">
        <v>3</v>
      </c>
      <c r="G3056" s="72">
        <f>0.015*0.031*1*8*1.12</f>
        <v>4.1663999999999998E-3</v>
      </c>
      <c r="H3056" s="73"/>
      <c r="K3056"/>
      <c r="L3056" s="186"/>
    </row>
    <row r="3057" spans="1:12" x14ac:dyDescent="0.25">
      <c r="A3057" s="168"/>
      <c r="B3057" s="106"/>
      <c r="C3057" s="78"/>
      <c r="D3057" s="78" t="s">
        <v>1652</v>
      </c>
      <c r="E3057" s="73"/>
      <c r="F3057" s="74"/>
      <c r="G3057" s="72"/>
      <c r="H3057" s="73"/>
      <c r="K3057"/>
      <c r="L3057" s="186"/>
    </row>
    <row r="3058" spans="1:12" x14ac:dyDescent="0.25">
      <c r="A3058" s="168"/>
      <c r="B3058" s="106"/>
      <c r="C3058" s="78"/>
      <c r="D3058" s="186" t="s">
        <v>177</v>
      </c>
      <c r="E3058" s="73"/>
      <c r="F3058" s="74" t="s">
        <v>3</v>
      </c>
      <c r="G3058" s="72">
        <f>0.015*0.065*1*8*1.12</f>
        <v>8.7360000000000007E-3</v>
      </c>
      <c r="H3058" s="73"/>
      <c r="K3058"/>
      <c r="L3058" s="186"/>
    </row>
    <row r="3059" spans="1:12" x14ac:dyDescent="0.25">
      <c r="A3059" s="168"/>
      <c r="B3059" s="106"/>
      <c r="C3059" s="78"/>
      <c r="D3059" s="78" t="s">
        <v>1653</v>
      </c>
      <c r="E3059" s="73"/>
      <c r="F3059" s="74"/>
      <c r="G3059" s="72"/>
      <c r="H3059" s="73"/>
      <c r="K3059"/>
      <c r="L3059" s="186"/>
    </row>
    <row r="3060" spans="1:12" x14ac:dyDescent="0.25">
      <c r="A3060" s="168"/>
      <c r="B3060" s="106"/>
      <c r="C3060" s="78"/>
      <c r="D3060" s="77" t="s">
        <v>828</v>
      </c>
      <c r="E3060" s="73"/>
      <c r="F3060" s="74" t="s">
        <v>3</v>
      </c>
      <c r="G3060" s="72">
        <f>0.01*0.01*3*8*1.1</f>
        <v>2.6400000000000004E-3</v>
      </c>
      <c r="H3060" s="73"/>
      <c r="K3060"/>
      <c r="L3060" s="186"/>
    </row>
    <row r="3061" spans="1:12" ht="9" customHeight="1" x14ac:dyDescent="0.25">
      <c r="A3061" s="168"/>
      <c r="B3061" s="106"/>
      <c r="C3061" s="78"/>
      <c r="D3061" s="78"/>
      <c r="E3061" s="73"/>
      <c r="F3061" s="74"/>
      <c r="G3061" s="72"/>
      <c r="H3061" s="73"/>
      <c r="K3061"/>
      <c r="L3061" s="186"/>
    </row>
    <row r="3062" spans="1:12" x14ac:dyDescent="0.25">
      <c r="A3062" s="177"/>
      <c r="B3062" s="106" t="s">
        <v>1565</v>
      </c>
      <c r="C3062" s="78" t="s">
        <v>1575</v>
      </c>
      <c r="D3062" s="78"/>
      <c r="E3062" s="73"/>
      <c r="F3062" s="74"/>
      <c r="G3062" s="72"/>
      <c r="H3062" s="73"/>
      <c r="K3062"/>
    </row>
    <row r="3063" spans="1:12" x14ac:dyDescent="0.25">
      <c r="A3063" s="168"/>
      <c r="B3063" s="106"/>
      <c r="C3063" s="77" t="s">
        <v>1574</v>
      </c>
      <c r="D3063" s="78"/>
      <c r="E3063" s="73"/>
      <c r="F3063" s="74"/>
      <c r="G3063" s="72">
        <f>0.055*0.055*2*1.4*1.1</f>
        <v>9.3169999999999989E-3</v>
      </c>
      <c r="H3063" s="73"/>
      <c r="K3063"/>
    </row>
    <row r="3064" spans="1:12" ht="8.25" customHeight="1" x14ac:dyDescent="0.25">
      <c r="A3064" s="168"/>
      <c r="B3064" s="106"/>
      <c r="C3064" s="77"/>
      <c r="D3064" s="78"/>
      <c r="E3064" s="73"/>
      <c r="F3064" s="74"/>
      <c r="G3064" s="72"/>
      <c r="H3064" s="73"/>
      <c r="K3064"/>
    </row>
    <row r="3065" spans="1:12" x14ac:dyDescent="0.25">
      <c r="A3065" s="177"/>
      <c r="B3065" s="106" t="s">
        <v>1565</v>
      </c>
      <c r="C3065" s="78" t="s">
        <v>1576</v>
      </c>
      <c r="D3065" s="78"/>
      <c r="E3065" s="73"/>
      <c r="F3065" s="74"/>
      <c r="G3065" s="72"/>
      <c r="H3065" s="73"/>
      <c r="K3065"/>
    </row>
    <row r="3066" spans="1:12" x14ac:dyDescent="0.25">
      <c r="A3066" s="168"/>
      <c r="B3066" s="106"/>
      <c r="C3066" s="77" t="s">
        <v>722</v>
      </c>
      <c r="D3066" s="78"/>
      <c r="E3066" s="73"/>
      <c r="F3066" s="74" t="s">
        <v>3</v>
      </c>
      <c r="G3066" s="72">
        <f>0.087*0.02*1.5*8*1.1</f>
        <v>2.2968000000000002E-2</v>
      </c>
      <c r="H3066" s="73"/>
      <c r="K3066"/>
    </row>
    <row r="3067" spans="1:12" ht="7.5" customHeight="1" x14ac:dyDescent="0.25">
      <c r="A3067" s="168"/>
      <c r="B3067" s="106"/>
      <c r="C3067" s="77"/>
      <c r="D3067" s="78"/>
      <c r="E3067" s="73"/>
      <c r="F3067" s="74"/>
      <c r="G3067" s="72"/>
      <c r="H3067" s="73"/>
      <c r="K3067"/>
    </row>
    <row r="3068" spans="1:12" x14ac:dyDescent="0.25">
      <c r="A3068" s="177"/>
      <c r="B3068" s="106" t="s">
        <v>1565</v>
      </c>
      <c r="C3068" s="78" t="s">
        <v>1577</v>
      </c>
      <c r="D3068" s="78"/>
      <c r="E3068" s="73"/>
      <c r="F3068" s="74"/>
      <c r="G3068" s="72"/>
      <c r="H3068" s="73"/>
      <c r="K3068"/>
    </row>
    <row r="3069" spans="1:12" x14ac:dyDescent="0.25">
      <c r="A3069" s="168"/>
      <c r="B3069" s="106"/>
      <c r="C3069" s="77" t="s">
        <v>300</v>
      </c>
      <c r="D3069" s="78"/>
      <c r="E3069" s="73"/>
      <c r="F3069" s="74" t="s">
        <v>3</v>
      </c>
      <c r="G3069" s="72">
        <f>0.065*0.155*3*8*1.118</f>
        <v>0.27033240000000003</v>
      </c>
      <c r="H3069" s="73"/>
      <c r="K3069"/>
    </row>
    <row r="3070" spans="1:12" ht="7.5" customHeight="1" x14ac:dyDescent="0.25">
      <c r="A3070" s="168"/>
      <c r="B3070" s="106"/>
      <c r="C3070" s="77"/>
      <c r="D3070" s="78"/>
      <c r="E3070" s="73"/>
      <c r="F3070" s="74"/>
      <c r="G3070" s="72"/>
      <c r="H3070" s="73"/>
      <c r="K3070"/>
    </row>
    <row r="3071" spans="1:12" x14ac:dyDescent="0.25">
      <c r="A3071" s="177"/>
      <c r="B3071" s="106" t="s">
        <v>1565</v>
      </c>
      <c r="C3071" s="78" t="s">
        <v>1578</v>
      </c>
      <c r="D3071" s="78"/>
      <c r="E3071" s="73"/>
      <c r="F3071" s="74"/>
      <c r="G3071" s="72"/>
      <c r="H3071" s="73"/>
      <c r="K3071"/>
    </row>
    <row r="3072" spans="1:12" x14ac:dyDescent="0.25">
      <c r="A3072" s="168"/>
      <c r="B3072" s="106"/>
      <c r="C3072" s="77" t="s">
        <v>272</v>
      </c>
      <c r="D3072" s="78"/>
      <c r="E3072" s="73"/>
      <c r="F3072" s="74" t="s">
        <v>3</v>
      </c>
      <c r="G3072" s="72">
        <f>0.02*0.02*2*8*1.1</f>
        <v>7.0400000000000011E-3</v>
      </c>
      <c r="H3072" s="73"/>
      <c r="K3072"/>
    </row>
    <row r="3073" spans="1:11" ht="9.75" customHeight="1" x14ac:dyDescent="0.25">
      <c r="A3073" s="168"/>
      <c r="B3073" s="106"/>
      <c r="C3073" s="77"/>
      <c r="D3073" s="78"/>
      <c r="E3073" s="73"/>
      <c r="F3073" s="74"/>
      <c r="G3073" s="72"/>
      <c r="H3073" s="73"/>
      <c r="K3073"/>
    </row>
    <row r="3074" spans="1:11" x14ac:dyDescent="0.25">
      <c r="A3074" s="177"/>
      <c r="B3074" s="106" t="s">
        <v>1565</v>
      </c>
      <c r="C3074" s="78" t="s">
        <v>1716</v>
      </c>
      <c r="D3074" s="78"/>
      <c r="E3074" s="73"/>
      <c r="F3074" s="74"/>
      <c r="G3074" s="72"/>
      <c r="H3074" s="73"/>
      <c r="K3074"/>
    </row>
    <row r="3075" spans="1:11" x14ac:dyDescent="0.25">
      <c r="A3075" s="168"/>
      <c r="B3075" s="106"/>
      <c r="C3075" s="77" t="s">
        <v>272</v>
      </c>
      <c r="D3075" s="78"/>
      <c r="E3075" s="73"/>
      <c r="F3075" s="74" t="s">
        <v>3</v>
      </c>
      <c r="G3075" s="72">
        <f>0.095*0.065*2*8*1.111</f>
        <v>0.1097668</v>
      </c>
      <c r="H3075" s="73"/>
      <c r="K3075"/>
    </row>
    <row r="3076" spans="1:11" ht="9" customHeight="1" x14ac:dyDescent="0.25">
      <c r="A3076" s="168"/>
      <c r="B3076" s="106"/>
      <c r="C3076" s="77"/>
      <c r="D3076" s="78"/>
      <c r="E3076" s="73"/>
      <c r="F3076" s="74"/>
      <c r="G3076" s="72"/>
      <c r="H3076" s="73"/>
      <c r="K3076"/>
    </row>
    <row r="3077" spans="1:11" x14ac:dyDescent="0.25">
      <c r="A3077" s="177"/>
      <c r="B3077" s="106" t="s">
        <v>1565</v>
      </c>
      <c r="C3077" s="78" t="s">
        <v>1579</v>
      </c>
      <c r="D3077" s="78"/>
      <c r="E3077" s="73"/>
      <c r="F3077" s="74"/>
      <c r="G3077" s="72"/>
      <c r="H3077" s="73"/>
      <c r="K3077"/>
    </row>
    <row r="3078" spans="1:11" x14ac:dyDescent="0.25">
      <c r="A3078" s="168"/>
      <c r="B3078" s="106"/>
      <c r="C3078" s="77" t="s">
        <v>984</v>
      </c>
      <c r="D3078" s="78"/>
      <c r="E3078" s="73"/>
      <c r="F3078" s="74" t="s">
        <v>3</v>
      </c>
      <c r="G3078" s="72">
        <f>0.165*0.065*1*8*1.12</f>
        <v>9.6096000000000015E-2</v>
      </c>
      <c r="H3078" s="73"/>
      <c r="K3078"/>
    </row>
    <row r="3079" spans="1:11" x14ac:dyDescent="0.25">
      <c r="A3079" s="168"/>
      <c r="B3079" s="106"/>
      <c r="C3079" s="77" t="s">
        <v>8</v>
      </c>
      <c r="D3079" s="78"/>
      <c r="E3079" s="73"/>
      <c r="F3079" s="74" t="s">
        <v>3</v>
      </c>
      <c r="G3079" s="72">
        <f>0.009</f>
        <v>8.9999999999999993E-3</v>
      </c>
      <c r="H3079" s="73"/>
      <c r="K3079"/>
    </row>
    <row r="3080" spans="1:11" x14ac:dyDescent="0.25">
      <c r="A3080" s="168"/>
      <c r="B3080" s="106"/>
      <c r="C3080" s="77" t="s">
        <v>36</v>
      </c>
      <c r="D3080" s="78"/>
      <c r="E3080" s="73"/>
      <c r="F3080" s="74" t="s">
        <v>3</v>
      </c>
      <c r="G3080" s="72">
        <f>0.157*0.06*2*0.18*2*1.45</f>
        <v>9.8344799999999979E-3</v>
      </c>
      <c r="H3080" s="73"/>
      <c r="K3080"/>
    </row>
    <row r="3081" spans="1:11" x14ac:dyDescent="0.25">
      <c r="A3081" s="168"/>
      <c r="B3081" s="106"/>
      <c r="C3081" s="77" t="s">
        <v>12</v>
      </c>
      <c r="D3081" s="78"/>
      <c r="E3081" s="73"/>
      <c r="F3081" s="74" t="s">
        <v>3</v>
      </c>
      <c r="G3081" s="72">
        <f>0.3*(G3080+G3079)</f>
        <v>5.650343999999999E-3</v>
      </c>
      <c r="H3081" s="73"/>
      <c r="K3081"/>
    </row>
    <row r="3082" spans="1:11" ht="9.75" customHeight="1" x14ac:dyDescent="0.25">
      <c r="A3082" s="168"/>
      <c r="B3082" s="106"/>
      <c r="C3082" s="77"/>
      <c r="D3082" s="78"/>
      <c r="E3082" s="73"/>
      <c r="F3082" s="74"/>
      <c r="G3082" s="72"/>
      <c r="H3082" s="73"/>
      <c r="K3082"/>
    </row>
    <row r="3083" spans="1:11" x14ac:dyDescent="0.25">
      <c r="A3083" s="177"/>
      <c r="B3083" s="106" t="s">
        <v>1565</v>
      </c>
      <c r="C3083" s="78" t="s">
        <v>1580</v>
      </c>
      <c r="D3083" s="78"/>
      <c r="E3083" s="73"/>
      <c r="F3083" s="74"/>
      <c r="G3083" s="72"/>
      <c r="H3083" s="73"/>
      <c r="K3083"/>
    </row>
    <row r="3084" spans="1:11" x14ac:dyDescent="0.25">
      <c r="A3084" s="168"/>
      <c r="B3084" s="106"/>
      <c r="C3084" s="77" t="s">
        <v>1572</v>
      </c>
      <c r="D3084" s="78"/>
      <c r="E3084" s="73"/>
      <c r="F3084" s="74" t="s">
        <v>3</v>
      </c>
      <c r="G3084" s="72">
        <f>0.09*0.025*3*8*1.12</f>
        <v>6.0479999999999999E-2</v>
      </c>
      <c r="H3084" s="73"/>
      <c r="K3084"/>
    </row>
    <row r="3085" spans="1:11" x14ac:dyDescent="0.25">
      <c r="A3085" s="168"/>
      <c r="B3085" s="106"/>
      <c r="C3085" s="77"/>
      <c r="D3085" s="78"/>
      <c r="E3085" s="73"/>
      <c r="F3085" s="74"/>
      <c r="G3085" s="72"/>
      <c r="H3085" s="73"/>
      <c r="K3085"/>
    </row>
    <row r="3086" spans="1:11" x14ac:dyDescent="0.25">
      <c r="A3086" s="177"/>
      <c r="B3086" s="106" t="s">
        <v>1565</v>
      </c>
      <c r="C3086" s="78" t="s">
        <v>1581</v>
      </c>
      <c r="D3086" s="78"/>
      <c r="E3086" s="73"/>
      <c r="F3086" s="74"/>
      <c r="G3086" s="72"/>
      <c r="H3086" s="73"/>
      <c r="K3086"/>
    </row>
    <row r="3087" spans="1:11" x14ac:dyDescent="0.25">
      <c r="A3087" s="168"/>
      <c r="B3087" s="106"/>
      <c r="C3087" s="77" t="s">
        <v>1582</v>
      </c>
      <c r="D3087" s="78"/>
      <c r="E3087" s="73"/>
      <c r="F3087" s="74" t="s">
        <v>3</v>
      </c>
      <c r="G3087" s="72">
        <f>0.025*0.025*1.5*8*1.15</f>
        <v>8.6250000000000007E-3</v>
      </c>
      <c r="H3087" s="73"/>
      <c r="K3087"/>
    </row>
    <row r="3088" spans="1:11" x14ac:dyDescent="0.25">
      <c r="A3088" s="168"/>
      <c r="B3088" s="106"/>
      <c r="C3088" s="77"/>
      <c r="D3088" s="78"/>
      <c r="E3088" s="73"/>
      <c r="F3088" s="74"/>
      <c r="G3088" s="72"/>
      <c r="H3088" s="73"/>
      <c r="K3088"/>
    </row>
    <row r="3089" spans="1:11" x14ac:dyDescent="0.25">
      <c r="A3089" s="177"/>
      <c r="B3089" s="106" t="s">
        <v>1565</v>
      </c>
      <c r="C3089" s="78" t="s">
        <v>1583</v>
      </c>
      <c r="D3089" s="78"/>
      <c r="E3089" s="73"/>
      <c r="F3089" s="74"/>
      <c r="G3089" s="72"/>
      <c r="H3089" s="73"/>
      <c r="K3089"/>
    </row>
    <row r="3090" spans="1:11" x14ac:dyDescent="0.25">
      <c r="A3090" s="168"/>
      <c r="B3090" s="106"/>
      <c r="C3090" s="186" t="s">
        <v>1657</v>
      </c>
      <c r="D3090" s="78"/>
      <c r="E3090" s="73"/>
      <c r="F3090" s="74" t="s">
        <v>3</v>
      </c>
      <c r="G3090" s="72">
        <v>5.0000000000000001E-3</v>
      </c>
      <c r="H3090" s="73"/>
      <c r="J3090" s="13" t="s">
        <v>1661</v>
      </c>
      <c r="K3090"/>
    </row>
    <row r="3091" spans="1:11" x14ac:dyDescent="0.25">
      <c r="A3091" s="168"/>
      <c r="B3091" s="106"/>
      <c r="C3091" s="186" t="s">
        <v>1658</v>
      </c>
      <c r="D3091" s="78"/>
      <c r="E3091" s="73"/>
      <c r="F3091" s="74" t="s">
        <v>3</v>
      </c>
      <c r="G3091" s="72">
        <f>0.001</f>
        <v>1E-3</v>
      </c>
      <c r="H3091" s="73"/>
      <c r="J3091" s="13" t="s">
        <v>1662</v>
      </c>
      <c r="K3091"/>
    </row>
    <row r="3092" spans="1:11" x14ac:dyDescent="0.25">
      <c r="A3092" s="168"/>
      <c r="B3092" s="106"/>
      <c r="C3092" s="186" t="s">
        <v>671</v>
      </c>
      <c r="D3092" s="78"/>
      <c r="E3092" s="73"/>
      <c r="F3092" s="74" t="s">
        <v>3</v>
      </c>
      <c r="G3092" s="72">
        <v>3.0000000000000001E-3</v>
      </c>
      <c r="H3092" s="73"/>
      <c r="J3092" s="13" t="s">
        <v>1663</v>
      </c>
      <c r="K3092"/>
    </row>
    <row r="3093" spans="1:11" x14ac:dyDescent="0.25">
      <c r="A3093" s="168"/>
      <c r="B3093" s="106"/>
      <c r="C3093" s="186" t="s">
        <v>1675</v>
      </c>
      <c r="D3093" s="73"/>
      <c r="E3093" s="73"/>
      <c r="F3093" s="74" t="s">
        <v>195</v>
      </c>
      <c r="G3093" s="72">
        <v>0.11</v>
      </c>
      <c r="H3093" s="73"/>
      <c r="I3093" t="s">
        <v>1678</v>
      </c>
      <c r="J3093" s="13" t="s">
        <v>1664</v>
      </c>
      <c r="K3093"/>
    </row>
    <row r="3094" spans="1:11" x14ac:dyDescent="0.25">
      <c r="A3094" s="168"/>
      <c r="B3094" s="106"/>
      <c r="C3094" s="186" t="s">
        <v>1676</v>
      </c>
      <c r="D3094" s="73"/>
      <c r="E3094" s="73"/>
      <c r="F3094" s="74" t="s">
        <v>195</v>
      </c>
      <c r="G3094" s="72">
        <v>1.4</v>
      </c>
      <c r="H3094" s="73"/>
      <c r="I3094" t="s">
        <v>1677</v>
      </c>
      <c r="J3094" s="13" t="s">
        <v>1665</v>
      </c>
      <c r="K3094"/>
    </row>
    <row r="3095" spans="1:11" x14ac:dyDescent="0.25">
      <c r="A3095" s="168"/>
      <c r="B3095" s="106"/>
      <c r="C3095" s="78"/>
      <c r="D3095" s="78" t="s">
        <v>1659</v>
      </c>
      <c r="E3095" s="73"/>
      <c r="F3095" s="74"/>
      <c r="G3095" s="72"/>
      <c r="H3095" s="73"/>
      <c r="J3095" s="13" t="s">
        <v>1666</v>
      </c>
      <c r="K3095"/>
    </row>
    <row r="3096" spans="1:11" x14ac:dyDescent="0.25">
      <c r="A3096" s="168"/>
      <c r="B3096" s="106"/>
      <c r="C3096" s="73"/>
      <c r="D3096" s="73" t="s">
        <v>8</v>
      </c>
      <c r="E3096" s="73"/>
      <c r="F3096" s="74" t="s">
        <v>3</v>
      </c>
      <c r="G3096" s="72">
        <f>G3097</f>
        <v>1.5551999999999998E-2</v>
      </c>
      <c r="H3096" s="73"/>
      <c r="J3096" s="13" t="s">
        <v>1667</v>
      </c>
      <c r="K3096"/>
    </row>
    <row r="3097" spans="1:11" x14ac:dyDescent="0.25">
      <c r="A3097" s="168"/>
      <c r="B3097" s="106"/>
      <c r="C3097" s="73"/>
      <c r="D3097" s="73" t="s">
        <v>115</v>
      </c>
      <c r="E3097" s="73"/>
      <c r="F3097" s="74" t="s">
        <v>3</v>
      </c>
      <c r="G3097" s="72">
        <f>0.12*0.12*2*0.18*2*1.5</f>
        <v>1.5551999999999998E-2</v>
      </c>
      <c r="H3097" s="73"/>
      <c r="J3097" s="13" t="s">
        <v>1668</v>
      </c>
      <c r="K3097"/>
    </row>
    <row r="3098" spans="1:11" x14ac:dyDescent="0.25">
      <c r="A3098" s="168"/>
      <c r="B3098" s="106"/>
      <c r="C3098" s="73"/>
      <c r="D3098" s="186" t="s">
        <v>12</v>
      </c>
      <c r="E3098" s="73"/>
      <c r="F3098" s="74" t="s">
        <v>3</v>
      </c>
      <c r="G3098" s="72">
        <f>0.3*(G3097+G3096)</f>
        <v>9.3311999999999978E-3</v>
      </c>
      <c r="H3098" s="73"/>
      <c r="J3098" s="13" t="s">
        <v>1669</v>
      </c>
      <c r="K3098"/>
    </row>
    <row r="3099" spans="1:11" x14ac:dyDescent="0.25">
      <c r="A3099" s="168"/>
      <c r="B3099" s="106"/>
      <c r="C3099" s="73"/>
      <c r="D3099" s="77" t="s">
        <v>1054</v>
      </c>
      <c r="E3099" s="73"/>
      <c r="F3099" s="152" t="s">
        <v>3</v>
      </c>
      <c r="G3099" s="72">
        <f>0.12*0.08*1.3</f>
        <v>1.248E-2</v>
      </c>
      <c r="H3099" s="73"/>
      <c r="J3099" s="13" t="s">
        <v>1671</v>
      </c>
      <c r="K3099"/>
    </row>
    <row r="3100" spans="1:11" ht="17.25" x14ac:dyDescent="0.25">
      <c r="A3100" s="168"/>
      <c r="B3100" s="106"/>
      <c r="C3100" s="73"/>
      <c r="D3100" s="73" t="s">
        <v>1055</v>
      </c>
      <c r="E3100" s="73"/>
      <c r="F3100" s="152" t="s">
        <v>596</v>
      </c>
      <c r="G3100" s="72">
        <f>G3099</f>
        <v>1.248E-2</v>
      </c>
      <c r="H3100" s="73"/>
      <c r="K3100"/>
    </row>
    <row r="3101" spans="1:11" x14ac:dyDescent="0.25">
      <c r="A3101" s="168"/>
      <c r="B3101" s="106"/>
      <c r="C3101" s="78"/>
      <c r="D3101" s="78"/>
      <c r="E3101" s="75" t="s">
        <v>1670</v>
      </c>
      <c r="F3101" s="74"/>
      <c r="G3101" s="72"/>
      <c r="H3101" s="73"/>
      <c r="K3101"/>
    </row>
    <row r="3102" spans="1:11" x14ac:dyDescent="0.25">
      <c r="A3102" s="168"/>
      <c r="B3102" s="106"/>
      <c r="C3102" s="78"/>
      <c r="D3102" s="78"/>
      <c r="E3102" s="77" t="s">
        <v>1054</v>
      </c>
      <c r="F3102" s="152" t="s">
        <v>3</v>
      </c>
      <c r="G3102" s="72">
        <f>0.01*3.14*0.08*1.2</f>
        <v>3.0144000000000004E-3</v>
      </c>
      <c r="H3102" s="73"/>
      <c r="K3102"/>
    </row>
    <row r="3103" spans="1:11" ht="17.25" x14ac:dyDescent="0.25">
      <c r="A3103" s="168"/>
      <c r="B3103" s="106"/>
      <c r="C3103" s="78"/>
      <c r="D3103" s="78"/>
      <c r="E3103" s="73" t="s">
        <v>1055</v>
      </c>
      <c r="F3103" s="152" t="s">
        <v>596</v>
      </c>
      <c r="G3103" s="72">
        <f>G3102</f>
        <v>3.0144000000000004E-3</v>
      </c>
      <c r="H3103" s="73"/>
      <c r="I3103" t="s">
        <v>1174</v>
      </c>
      <c r="K3103"/>
    </row>
    <row r="3104" spans="1:11" x14ac:dyDescent="0.25">
      <c r="A3104" s="168"/>
      <c r="B3104" s="106"/>
      <c r="C3104" s="78"/>
      <c r="D3104" s="73"/>
      <c r="E3104" s="78" t="s">
        <v>1672</v>
      </c>
      <c r="F3104" s="74"/>
      <c r="G3104" s="72"/>
      <c r="H3104" s="73"/>
      <c r="J3104" s="13" t="s">
        <v>1674</v>
      </c>
      <c r="K3104"/>
    </row>
    <row r="3105" spans="1:11" x14ac:dyDescent="0.25">
      <c r="A3105" s="168"/>
      <c r="B3105" s="106"/>
      <c r="C3105" s="78"/>
      <c r="D3105" s="78"/>
      <c r="E3105" s="77" t="s">
        <v>1673</v>
      </c>
      <c r="F3105" s="74" t="s">
        <v>3</v>
      </c>
      <c r="G3105" s="72">
        <f>0.035</f>
        <v>3.5000000000000003E-2</v>
      </c>
      <c r="H3105" s="73"/>
      <c r="K3105"/>
    </row>
    <row r="3106" spans="1:11" x14ac:dyDescent="0.25">
      <c r="A3106" s="168"/>
      <c r="B3106" s="106"/>
      <c r="C3106" s="78"/>
      <c r="D3106" s="78" t="s">
        <v>1660</v>
      </c>
      <c r="E3106" s="73"/>
      <c r="F3106" s="74"/>
      <c r="G3106" s="72"/>
      <c r="H3106" s="73"/>
      <c r="K3106"/>
    </row>
    <row r="3107" spans="1:11" x14ac:dyDescent="0.25">
      <c r="A3107" s="168"/>
      <c r="B3107" s="106"/>
      <c r="C3107" s="78"/>
      <c r="D3107" s="186" t="s">
        <v>1658</v>
      </c>
      <c r="E3107" s="73"/>
      <c r="F3107" s="74" t="s">
        <v>3</v>
      </c>
      <c r="G3107" s="72">
        <v>1E-3</v>
      </c>
      <c r="H3107" s="73"/>
      <c r="K3107"/>
    </row>
    <row r="3108" spans="1:11" x14ac:dyDescent="0.25">
      <c r="A3108" s="168"/>
      <c r="B3108" s="106"/>
      <c r="C3108" s="78"/>
      <c r="D3108" s="77" t="s">
        <v>379</v>
      </c>
      <c r="E3108" s="73"/>
      <c r="F3108" s="74" t="s">
        <v>195</v>
      </c>
      <c r="G3108" s="72">
        <v>1.8</v>
      </c>
      <c r="H3108" s="73"/>
      <c r="K3108"/>
    </row>
    <row r="3109" spans="1:11" x14ac:dyDescent="0.25">
      <c r="A3109" s="168"/>
      <c r="B3109" s="106"/>
      <c r="C3109" s="78"/>
      <c r="D3109" s="73" t="s">
        <v>671</v>
      </c>
      <c r="E3109" s="73"/>
      <c r="F3109" s="74" t="s">
        <v>3</v>
      </c>
      <c r="G3109" s="72">
        <v>7.0000000000000001E-3</v>
      </c>
      <c r="H3109" s="73"/>
      <c r="K3109"/>
    </row>
    <row r="3110" spans="1:11" x14ac:dyDescent="0.25">
      <c r="A3110" s="168"/>
      <c r="B3110" s="106"/>
      <c r="C3110" s="78"/>
      <c r="D3110" s="186" t="s">
        <v>672</v>
      </c>
      <c r="E3110" s="73"/>
      <c r="F3110" s="74" t="s">
        <v>3</v>
      </c>
      <c r="G3110" s="72">
        <f>2.5*G3109</f>
        <v>1.7500000000000002E-2</v>
      </c>
      <c r="H3110" s="73"/>
      <c r="K3110"/>
    </row>
    <row r="3111" spans="1:11" x14ac:dyDescent="0.25">
      <c r="A3111" s="168"/>
      <c r="B3111" s="106"/>
      <c r="C3111" s="78"/>
      <c r="D3111" s="78"/>
      <c r="E3111" s="73"/>
      <c r="F3111" s="74"/>
      <c r="G3111" s="72"/>
      <c r="H3111" s="73"/>
      <c r="K3111"/>
    </row>
    <row r="3112" spans="1:11" x14ac:dyDescent="0.25">
      <c r="A3112" s="177"/>
      <c r="B3112" s="106" t="s">
        <v>1565</v>
      </c>
      <c r="C3112" s="78" t="s">
        <v>1584</v>
      </c>
      <c r="D3112" s="78"/>
      <c r="E3112" s="73"/>
      <c r="F3112" s="74"/>
      <c r="G3112" s="72"/>
      <c r="H3112" s="73"/>
      <c r="K3112"/>
    </row>
    <row r="3113" spans="1:11" x14ac:dyDescent="0.25">
      <c r="A3113" s="168"/>
      <c r="B3113" s="106"/>
      <c r="C3113" s="77" t="s">
        <v>1585</v>
      </c>
      <c r="D3113" s="78"/>
      <c r="E3113" s="73"/>
      <c r="F3113" s="74" t="s">
        <v>3</v>
      </c>
      <c r="G3113" s="72">
        <f>0.135*0.05*4*8*1.12</f>
        <v>0.24192000000000005</v>
      </c>
      <c r="H3113" s="73"/>
      <c r="K3113"/>
    </row>
    <row r="3114" spans="1:11" x14ac:dyDescent="0.25">
      <c r="A3114" s="168"/>
      <c r="B3114" s="106"/>
      <c r="C3114" s="77"/>
      <c r="D3114" s="78"/>
      <c r="E3114" s="73"/>
      <c r="F3114" s="74"/>
      <c r="G3114" s="72"/>
      <c r="H3114" s="73"/>
      <c r="K3114"/>
    </row>
    <row r="3115" spans="1:11" x14ac:dyDescent="0.25">
      <c r="A3115" s="177"/>
      <c r="B3115" s="106" t="s">
        <v>1565</v>
      </c>
      <c r="C3115" s="78" t="s">
        <v>1679</v>
      </c>
      <c r="D3115" s="78"/>
      <c r="E3115" s="73"/>
      <c r="F3115" s="74"/>
      <c r="G3115" s="72"/>
      <c r="H3115" s="73"/>
      <c r="K3115"/>
    </row>
    <row r="3116" spans="1:11" x14ac:dyDescent="0.25">
      <c r="A3116" s="168"/>
      <c r="B3116" s="106"/>
      <c r="C3116" s="77" t="s">
        <v>275</v>
      </c>
      <c r="D3116" s="78"/>
      <c r="E3116" s="73"/>
      <c r="F3116" s="74" t="s">
        <v>3</v>
      </c>
      <c r="G3116" s="72">
        <f>0.07*0.07*1.5*8*1.12</f>
        <v>6.5856000000000012E-2</v>
      </c>
      <c r="H3116" s="73"/>
      <c r="K3116"/>
    </row>
    <row r="3117" spans="1:11" x14ac:dyDescent="0.25">
      <c r="A3117" s="168"/>
      <c r="B3117" s="106"/>
      <c r="C3117" s="77"/>
      <c r="D3117" s="78"/>
      <c r="E3117" s="73"/>
      <c r="F3117" s="74"/>
      <c r="G3117" s="72"/>
      <c r="H3117" s="73"/>
      <c r="K3117"/>
    </row>
    <row r="3118" spans="1:11" x14ac:dyDescent="0.25">
      <c r="A3118" s="177"/>
      <c r="B3118" s="106" t="s">
        <v>1565</v>
      </c>
      <c r="C3118" s="78" t="s">
        <v>1446</v>
      </c>
      <c r="D3118" s="78"/>
      <c r="E3118" s="73"/>
      <c r="F3118" s="74"/>
      <c r="G3118" s="72"/>
      <c r="H3118" s="73"/>
      <c r="K3118"/>
    </row>
    <row r="3119" spans="1:11" x14ac:dyDescent="0.25">
      <c r="A3119" s="168"/>
      <c r="B3119" s="106"/>
      <c r="C3119" s="77" t="s">
        <v>415</v>
      </c>
      <c r="D3119" s="78"/>
      <c r="E3119" s="73"/>
      <c r="F3119" s="74" t="s">
        <v>3</v>
      </c>
      <c r="G3119" s="72">
        <v>0.17499999999999999</v>
      </c>
      <c r="H3119" s="73"/>
      <c r="I3119" t="s">
        <v>1586</v>
      </c>
      <c r="K3119"/>
    </row>
    <row r="3120" spans="1:11" x14ac:dyDescent="0.25">
      <c r="A3120" s="168"/>
      <c r="B3120" s="106"/>
      <c r="C3120" s="77" t="s">
        <v>8</v>
      </c>
      <c r="D3120" s="78"/>
      <c r="E3120" s="73"/>
      <c r="F3120" s="74" t="s">
        <v>3</v>
      </c>
      <c r="G3120" s="72">
        <f>G3121</f>
        <v>1.0454399999999999E-2</v>
      </c>
      <c r="H3120" s="73"/>
      <c r="K3120"/>
    </row>
    <row r="3121" spans="1:11" x14ac:dyDescent="0.25">
      <c r="A3121" s="168"/>
      <c r="B3121" s="106"/>
      <c r="C3121" s="77" t="s">
        <v>115</v>
      </c>
      <c r="D3121" s="78"/>
      <c r="E3121" s="73"/>
      <c r="F3121" s="74" t="s">
        <v>3</v>
      </c>
      <c r="G3121" s="72">
        <f>0.11*0.11*2*0.18*2*1.2</f>
        <v>1.0454399999999999E-2</v>
      </c>
      <c r="H3121" s="73"/>
      <c r="K3121"/>
    </row>
    <row r="3122" spans="1:11" x14ac:dyDescent="0.25">
      <c r="A3122" s="168"/>
      <c r="B3122" s="106"/>
      <c r="C3122" s="77" t="s">
        <v>12</v>
      </c>
      <c r="D3122" s="78"/>
      <c r="E3122" s="73"/>
      <c r="F3122" s="74" t="s">
        <v>3</v>
      </c>
      <c r="G3122" s="72" t="e">
        <f>0.3*(G3121+#REF!)</f>
        <v>#REF!</v>
      </c>
      <c r="H3122" s="73"/>
      <c r="K3122"/>
    </row>
    <row r="3123" spans="1:11" x14ac:dyDescent="0.25">
      <c r="A3123" s="168"/>
      <c r="B3123" s="106"/>
      <c r="C3123" s="77"/>
      <c r="D3123" s="78"/>
      <c r="E3123" s="73"/>
      <c r="F3123" s="74"/>
      <c r="G3123" s="72"/>
      <c r="H3123" s="73"/>
      <c r="K3123"/>
    </row>
    <row r="3124" spans="1:11" x14ac:dyDescent="0.25">
      <c r="A3124" s="177"/>
      <c r="B3124" s="106" t="s">
        <v>1565</v>
      </c>
      <c r="C3124" s="78" t="s">
        <v>1680</v>
      </c>
      <c r="D3124" s="78"/>
      <c r="E3124" s="73"/>
      <c r="F3124" s="74"/>
      <c r="G3124" s="72"/>
      <c r="H3124" s="73"/>
      <c r="K3124"/>
    </row>
    <row r="3125" spans="1:11" x14ac:dyDescent="0.25">
      <c r="A3125" s="168"/>
      <c r="B3125" s="106"/>
      <c r="C3125" s="77" t="s">
        <v>1054</v>
      </c>
      <c r="D3125" s="73"/>
      <c r="E3125" s="73"/>
      <c r="F3125" s="152" t="s">
        <v>3</v>
      </c>
      <c r="G3125" s="72">
        <f>0.1*0.08*1.2</f>
        <v>9.5999999999999992E-3</v>
      </c>
      <c r="H3125" s="73"/>
      <c r="K3125"/>
    </row>
    <row r="3126" spans="1:11" ht="17.25" x14ac:dyDescent="0.25">
      <c r="A3126" s="168"/>
      <c r="B3126" s="106"/>
      <c r="C3126" s="73" t="s">
        <v>1055</v>
      </c>
      <c r="D3126" s="73"/>
      <c r="E3126" s="73"/>
      <c r="F3126" s="152" t="s">
        <v>596</v>
      </c>
      <c r="G3126" s="72">
        <f>G3125</f>
        <v>9.5999999999999992E-3</v>
      </c>
      <c r="H3126" s="73"/>
      <c r="K3126"/>
    </row>
    <row r="3127" spans="1:11" x14ac:dyDescent="0.25">
      <c r="A3127" s="168"/>
      <c r="B3127" s="106"/>
      <c r="C3127" s="73"/>
      <c r="D3127" s="75" t="s">
        <v>1681</v>
      </c>
      <c r="E3127" s="73"/>
      <c r="F3127" s="152"/>
      <c r="G3127" s="72"/>
      <c r="H3127" s="73"/>
      <c r="K3127"/>
    </row>
    <row r="3128" spans="1:11" x14ac:dyDescent="0.25">
      <c r="A3128" s="168"/>
      <c r="B3128" s="106"/>
      <c r="C3128" s="73"/>
      <c r="D3128" s="77" t="s">
        <v>1054</v>
      </c>
      <c r="E3128" s="73"/>
      <c r="F3128" s="152" t="s">
        <v>3</v>
      </c>
      <c r="G3128" s="72">
        <f>0.03*3.14*0.08*1.2</f>
        <v>9.0432000000000012E-3</v>
      </c>
      <c r="H3128" s="73"/>
      <c r="K3128"/>
    </row>
    <row r="3129" spans="1:11" ht="17.25" x14ac:dyDescent="0.25">
      <c r="A3129" s="168"/>
      <c r="B3129" s="106"/>
      <c r="C3129" s="73"/>
      <c r="D3129" s="73" t="s">
        <v>1055</v>
      </c>
      <c r="E3129" s="73"/>
      <c r="F3129" s="152" t="s">
        <v>596</v>
      </c>
      <c r="G3129" s="72">
        <f>G3128</f>
        <v>9.0432000000000012E-3</v>
      </c>
      <c r="H3129" s="73"/>
      <c r="K3129"/>
    </row>
    <row r="3130" spans="1:11" x14ac:dyDescent="0.25">
      <c r="A3130" s="168"/>
      <c r="B3130" s="106"/>
      <c r="C3130" s="73"/>
      <c r="D3130" s="73"/>
      <c r="E3130" s="75" t="s">
        <v>1682</v>
      </c>
      <c r="F3130" s="152"/>
      <c r="G3130" s="72"/>
      <c r="H3130" s="73"/>
      <c r="K3130"/>
    </row>
    <row r="3131" spans="1:11" x14ac:dyDescent="0.25">
      <c r="A3131" s="168"/>
      <c r="B3131" s="106"/>
      <c r="C3131" s="73"/>
      <c r="D3131" s="73"/>
      <c r="E3131" s="77" t="s">
        <v>1685</v>
      </c>
      <c r="F3131" s="152" t="s">
        <v>3</v>
      </c>
      <c r="G3131" s="72">
        <v>0.20799999999999999</v>
      </c>
      <c r="H3131" s="73"/>
      <c r="K3131"/>
    </row>
    <row r="3132" spans="1:11" x14ac:dyDescent="0.25">
      <c r="A3132" s="168"/>
      <c r="B3132" s="106"/>
      <c r="C3132" s="73"/>
      <c r="D3132" s="73"/>
      <c r="E3132" s="75" t="s">
        <v>1683</v>
      </c>
      <c r="F3132" s="152"/>
      <c r="G3132" s="72"/>
      <c r="H3132" s="73"/>
      <c r="K3132"/>
    </row>
    <row r="3133" spans="1:11" x14ac:dyDescent="0.25">
      <c r="A3133" s="168"/>
      <c r="B3133" s="106"/>
      <c r="C3133" s="73"/>
      <c r="D3133" s="73"/>
      <c r="E3133" s="77" t="s">
        <v>412</v>
      </c>
      <c r="F3133" s="152" t="s">
        <v>3</v>
      </c>
      <c r="G3133" s="72">
        <f>0.035*0.035*2*8</f>
        <v>1.9600000000000003E-2</v>
      </c>
      <c r="H3133" s="73"/>
      <c r="K3133"/>
    </row>
    <row r="3134" spans="1:11" x14ac:dyDescent="0.25">
      <c r="A3134" s="168"/>
      <c r="B3134" s="106"/>
      <c r="C3134" s="73"/>
      <c r="D3134" s="75" t="s">
        <v>1684</v>
      </c>
      <c r="E3134" s="73"/>
      <c r="F3134" s="152"/>
      <c r="G3134" s="72"/>
      <c r="H3134" s="73"/>
      <c r="K3134"/>
    </row>
    <row r="3135" spans="1:11" x14ac:dyDescent="0.25">
      <c r="A3135" s="168"/>
      <c r="B3135" s="106"/>
      <c r="C3135" s="73"/>
      <c r="D3135" s="77" t="s">
        <v>1686</v>
      </c>
      <c r="E3135" s="73"/>
      <c r="F3135" s="74" t="s">
        <v>3</v>
      </c>
      <c r="G3135" s="72">
        <v>0.11</v>
      </c>
      <c r="H3135" s="73"/>
      <c r="K3135"/>
    </row>
    <row r="3136" spans="1:11" x14ac:dyDescent="0.25">
      <c r="A3136" s="168"/>
      <c r="B3136" s="106"/>
      <c r="C3136" s="77"/>
      <c r="D3136" s="78"/>
      <c r="E3136" s="73"/>
      <c r="F3136" s="74"/>
      <c r="G3136" s="72"/>
      <c r="H3136" s="73"/>
      <c r="K3136"/>
    </row>
    <row r="3137" spans="1:11" x14ac:dyDescent="0.25">
      <c r="A3137" s="177"/>
      <c r="B3137" s="106" t="s">
        <v>1565</v>
      </c>
      <c r="C3137" s="78" t="s">
        <v>1587</v>
      </c>
      <c r="D3137" s="78"/>
      <c r="E3137" s="73"/>
      <c r="F3137" s="74"/>
      <c r="G3137" s="72"/>
      <c r="H3137" s="73"/>
      <c r="K3137"/>
    </row>
    <row r="3138" spans="1:11" x14ac:dyDescent="0.25">
      <c r="A3138" s="168"/>
      <c r="B3138" s="106"/>
      <c r="C3138" s="77" t="s">
        <v>1054</v>
      </c>
      <c r="D3138" s="73"/>
      <c r="E3138" s="73"/>
      <c r="F3138" s="152" t="s">
        <v>3</v>
      </c>
      <c r="G3138" s="72">
        <f>0.01*3.14*0.08*1.2</f>
        <v>3.0144000000000004E-3</v>
      </c>
      <c r="H3138" s="73"/>
      <c r="K3138"/>
    </row>
    <row r="3139" spans="1:11" ht="17.25" x14ac:dyDescent="0.25">
      <c r="A3139" s="168"/>
      <c r="B3139" s="106"/>
      <c r="C3139" s="73" t="s">
        <v>1055</v>
      </c>
      <c r="D3139" s="73"/>
      <c r="E3139" s="73"/>
      <c r="F3139" s="152" t="s">
        <v>596</v>
      </c>
      <c r="G3139" s="72">
        <f>G3138</f>
        <v>3.0144000000000004E-3</v>
      </c>
      <c r="H3139" s="73"/>
      <c r="K3139"/>
    </row>
    <row r="3140" spans="1:11" x14ac:dyDescent="0.25">
      <c r="A3140" s="168"/>
      <c r="B3140" s="106"/>
      <c r="C3140" s="73"/>
      <c r="D3140" s="75" t="s">
        <v>1687</v>
      </c>
      <c r="E3140" s="73"/>
      <c r="F3140" s="152"/>
      <c r="G3140" s="72"/>
      <c r="H3140" s="73"/>
      <c r="K3140"/>
    </row>
    <row r="3141" spans="1:11" x14ac:dyDescent="0.25">
      <c r="A3141" s="168"/>
      <c r="B3141" s="106"/>
      <c r="C3141" s="73"/>
      <c r="D3141" s="77" t="s">
        <v>1688</v>
      </c>
      <c r="E3141" s="73"/>
      <c r="F3141" s="74" t="s">
        <v>3</v>
      </c>
      <c r="G3141" s="72">
        <f>0.06*0.035*2*8*1.12</f>
        <v>3.7632000000000006E-2</v>
      </c>
      <c r="H3141" s="73"/>
      <c r="K3141"/>
    </row>
    <row r="3142" spans="1:11" x14ac:dyDescent="0.25">
      <c r="A3142" s="168"/>
      <c r="B3142" s="106"/>
      <c r="C3142" s="77"/>
      <c r="D3142" s="78"/>
      <c r="E3142" s="73"/>
      <c r="F3142" s="74"/>
      <c r="G3142" s="72"/>
      <c r="H3142" s="73"/>
      <c r="K3142"/>
    </row>
    <row r="3143" spans="1:11" x14ac:dyDescent="0.25">
      <c r="A3143" s="177"/>
      <c r="B3143" s="106" t="s">
        <v>1565</v>
      </c>
      <c r="C3143" s="78" t="s">
        <v>1588</v>
      </c>
      <c r="D3143" s="78"/>
      <c r="E3143" s="73"/>
      <c r="F3143" s="74"/>
      <c r="G3143" s="72"/>
      <c r="H3143" s="73"/>
      <c r="K3143"/>
    </row>
    <row r="3144" spans="1:11" x14ac:dyDescent="0.25">
      <c r="A3144" s="168"/>
      <c r="B3144" s="106"/>
      <c r="C3144" s="73" t="s">
        <v>140</v>
      </c>
      <c r="D3144" s="73"/>
      <c r="E3144" s="73"/>
      <c r="F3144" s="74" t="s">
        <v>3</v>
      </c>
      <c r="G3144" s="72">
        <f>0.012*3.14*2*0.08*1.2</f>
        <v>7.234560000000001E-3</v>
      </c>
      <c r="H3144" s="73"/>
      <c r="K3144"/>
    </row>
    <row r="3145" spans="1:11" ht="17.25" x14ac:dyDescent="0.25">
      <c r="A3145" s="168"/>
      <c r="B3145" s="106"/>
      <c r="C3145" s="73" t="s">
        <v>23</v>
      </c>
      <c r="D3145" s="73"/>
      <c r="E3145" s="73"/>
      <c r="F3145" s="74" t="s">
        <v>596</v>
      </c>
      <c r="G3145" s="72">
        <f>G3144*1.5</f>
        <v>1.0851840000000001E-2</v>
      </c>
      <c r="H3145" s="73"/>
      <c r="K3145"/>
    </row>
    <row r="3146" spans="1:11" x14ac:dyDescent="0.25">
      <c r="A3146" s="168"/>
      <c r="B3146" s="106"/>
      <c r="C3146" s="73" t="s">
        <v>142</v>
      </c>
      <c r="D3146" s="73"/>
      <c r="E3146" s="73"/>
      <c r="F3146" s="74" t="s">
        <v>3</v>
      </c>
      <c r="G3146" s="72">
        <f>G3144/4</f>
        <v>1.8086400000000002E-3</v>
      </c>
      <c r="H3146" s="73"/>
      <c r="K3146"/>
    </row>
    <row r="3147" spans="1:11" x14ac:dyDescent="0.25">
      <c r="A3147" s="168"/>
      <c r="B3147" s="106"/>
      <c r="C3147" s="186" t="s">
        <v>143</v>
      </c>
      <c r="D3147" s="78"/>
      <c r="E3147" s="73"/>
      <c r="F3147" s="74" t="s">
        <v>3</v>
      </c>
      <c r="G3147" s="72">
        <f>0.2*0.011*2*1.2</f>
        <v>5.28E-3</v>
      </c>
      <c r="H3147" s="73"/>
      <c r="K3147"/>
    </row>
    <row r="3148" spans="1:11" x14ac:dyDescent="0.25">
      <c r="A3148" s="168"/>
      <c r="B3148" s="106"/>
      <c r="C3148" s="186" t="s">
        <v>12</v>
      </c>
      <c r="D3148" s="78"/>
      <c r="E3148" s="73"/>
      <c r="F3148" s="74" t="s">
        <v>3</v>
      </c>
      <c r="G3148" s="72">
        <f>0.3*G3147</f>
        <v>1.5839999999999999E-3</v>
      </c>
      <c r="H3148" s="73"/>
      <c r="K3148"/>
    </row>
    <row r="3149" spans="1:11" x14ac:dyDescent="0.25">
      <c r="A3149" s="168"/>
      <c r="B3149" s="106"/>
      <c r="C3149" s="186" t="s">
        <v>143</v>
      </c>
      <c r="D3149" s="78"/>
      <c r="E3149" s="77"/>
      <c r="F3149" s="74" t="s">
        <v>3</v>
      </c>
      <c r="G3149" s="72">
        <f>G3151</f>
        <v>5.28E-3</v>
      </c>
      <c r="H3149" s="73"/>
      <c r="K3149"/>
    </row>
    <row r="3150" spans="1:11" x14ac:dyDescent="0.25">
      <c r="A3150" s="168"/>
      <c r="B3150" s="106"/>
      <c r="C3150" s="186" t="s">
        <v>8</v>
      </c>
      <c r="D3150" s="78"/>
      <c r="E3150" s="77"/>
      <c r="F3150" s="74" t="s">
        <v>3</v>
      </c>
      <c r="G3150" s="72">
        <f>G3151</f>
        <v>5.28E-3</v>
      </c>
      <c r="H3150" s="73"/>
      <c r="K3150"/>
    </row>
    <row r="3151" spans="1:11" x14ac:dyDescent="0.25">
      <c r="A3151" s="168"/>
      <c r="B3151" s="106"/>
      <c r="C3151" s="186" t="s">
        <v>1783</v>
      </c>
      <c r="D3151" s="78"/>
      <c r="E3151" s="77"/>
      <c r="F3151" s="74" t="s">
        <v>3</v>
      </c>
      <c r="G3151" s="72">
        <f>0.2*0.011*2*1.2</f>
        <v>5.28E-3</v>
      </c>
      <c r="H3151" s="73"/>
      <c r="K3151"/>
    </row>
    <row r="3152" spans="1:11" x14ac:dyDescent="0.25">
      <c r="A3152" s="168"/>
      <c r="B3152" s="106"/>
      <c r="C3152" s="186" t="s">
        <v>12</v>
      </c>
      <c r="D3152" s="78"/>
      <c r="E3152" s="77"/>
      <c r="F3152" s="74" t="s">
        <v>3</v>
      </c>
      <c r="G3152" s="72">
        <f>0.3*(G3151+G3150+G3149)</f>
        <v>4.7520000000000001E-3</v>
      </c>
      <c r="H3152" s="73"/>
      <c r="K3152"/>
    </row>
    <row r="3153" spans="1:11" x14ac:dyDescent="0.25">
      <c r="A3153" s="168"/>
      <c r="B3153" s="106"/>
      <c r="C3153" s="78"/>
      <c r="D3153" s="78" t="s">
        <v>1689</v>
      </c>
      <c r="E3153" s="73"/>
      <c r="F3153" s="74"/>
      <c r="G3153" s="72"/>
      <c r="H3153" s="73"/>
      <c r="K3153"/>
    </row>
    <row r="3154" spans="1:11" x14ac:dyDescent="0.25">
      <c r="A3154" s="168"/>
      <c r="B3154" s="106"/>
      <c r="C3154" s="73"/>
      <c r="D3154" s="77" t="s">
        <v>1589</v>
      </c>
      <c r="E3154" s="73"/>
      <c r="F3154" s="74" t="s">
        <v>3</v>
      </c>
      <c r="G3154" s="72">
        <v>5.5E-2</v>
      </c>
      <c r="H3154" s="73"/>
      <c r="I3154" t="s">
        <v>1690</v>
      </c>
      <c r="K3154"/>
    </row>
    <row r="3155" spans="1:11" x14ac:dyDescent="0.25">
      <c r="A3155" s="168"/>
      <c r="B3155" s="106"/>
      <c r="C3155" s="73"/>
      <c r="D3155" s="73"/>
      <c r="E3155" s="73"/>
      <c r="F3155" s="74"/>
      <c r="G3155" s="72"/>
      <c r="H3155" s="73"/>
      <c r="K3155"/>
    </row>
    <row r="3156" spans="1:11" x14ac:dyDescent="0.25">
      <c r="A3156" s="177"/>
      <c r="B3156" s="106" t="s">
        <v>1565</v>
      </c>
      <c r="C3156" s="78" t="s">
        <v>1590</v>
      </c>
      <c r="D3156" s="78"/>
      <c r="E3156" s="73"/>
      <c r="F3156" s="74"/>
      <c r="G3156" s="72"/>
      <c r="H3156" s="73"/>
      <c r="K3156"/>
    </row>
    <row r="3157" spans="1:11" x14ac:dyDescent="0.25">
      <c r="A3157" s="168"/>
      <c r="B3157" s="106"/>
      <c r="C3157" s="77" t="s">
        <v>163</v>
      </c>
      <c r="D3157" s="73"/>
      <c r="E3157" s="73"/>
      <c r="F3157" s="74" t="s">
        <v>3</v>
      </c>
      <c r="G3157" s="72">
        <f>G3159*0.81</f>
        <v>0.17006112000000001</v>
      </c>
      <c r="H3157" s="73"/>
      <c r="K3157"/>
    </row>
    <row r="3158" spans="1:11" x14ac:dyDescent="0.25">
      <c r="A3158" s="168"/>
      <c r="B3158" s="106"/>
      <c r="C3158" s="77" t="s">
        <v>1591</v>
      </c>
      <c r="D3158" s="73"/>
      <c r="E3158" s="73"/>
      <c r="F3158" s="74" t="s">
        <v>3</v>
      </c>
      <c r="G3158" s="72">
        <f>0.3*G3157</f>
        <v>5.1018336000000004E-2</v>
      </c>
      <c r="H3158" s="73"/>
      <c r="K3158"/>
    </row>
    <row r="3159" spans="1:11" x14ac:dyDescent="0.25">
      <c r="A3159" s="168"/>
      <c r="B3159" s="106"/>
      <c r="C3159" s="77" t="s">
        <v>115</v>
      </c>
      <c r="D3159" s="73"/>
      <c r="E3159" s="73"/>
      <c r="F3159" s="74" t="s">
        <v>3</v>
      </c>
      <c r="G3159" s="72">
        <f>0.6*0.4*2*0.18*2*1.215</f>
        <v>0.209952</v>
      </c>
      <c r="H3159" s="73"/>
      <c r="K3159"/>
    </row>
    <row r="3160" spans="1:11" x14ac:dyDescent="0.25">
      <c r="A3160" s="168"/>
      <c r="B3160" s="106"/>
      <c r="C3160" s="77" t="s">
        <v>12</v>
      </c>
      <c r="D3160" s="73"/>
      <c r="E3160" s="73"/>
      <c r="F3160" s="74" t="s">
        <v>3</v>
      </c>
      <c r="G3160" s="72">
        <f>0.3*G3159</f>
        <v>6.2985600000000003E-2</v>
      </c>
      <c r="H3160" s="73"/>
      <c r="K3160"/>
    </row>
    <row r="3161" spans="1:11" x14ac:dyDescent="0.25">
      <c r="A3161" s="168"/>
      <c r="B3161" s="106"/>
      <c r="C3161" s="77" t="s">
        <v>1592</v>
      </c>
      <c r="D3161" s="73"/>
      <c r="E3161" s="73"/>
      <c r="F3161" s="152" t="s">
        <v>3</v>
      </c>
      <c r="G3161" s="80">
        <f>1*0.08*1.25</f>
        <v>0.1</v>
      </c>
      <c r="H3161" s="73"/>
      <c r="K3161"/>
    </row>
    <row r="3162" spans="1:11" ht="17.25" x14ac:dyDescent="0.25">
      <c r="A3162" s="168"/>
      <c r="B3162" s="106"/>
      <c r="C3162" s="73" t="s">
        <v>168</v>
      </c>
      <c r="D3162" s="73"/>
      <c r="E3162" s="73"/>
      <c r="F3162" s="152" t="s">
        <v>596</v>
      </c>
      <c r="G3162" s="72">
        <f>1.1*G3161</f>
        <v>0.11000000000000001</v>
      </c>
      <c r="H3162" s="73"/>
      <c r="K3162"/>
    </row>
    <row r="3163" spans="1:11" x14ac:dyDescent="0.25">
      <c r="A3163" s="168"/>
      <c r="B3163" s="106"/>
      <c r="C3163" s="73"/>
      <c r="D3163" s="75" t="s">
        <v>1691</v>
      </c>
      <c r="E3163" s="73"/>
      <c r="F3163" s="152"/>
      <c r="G3163" s="72"/>
      <c r="H3163" s="153"/>
      <c r="K3163"/>
    </row>
    <row r="3164" spans="1:11" x14ac:dyDescent="0.25">
      <c r="A3164" s="168"/>
      <c r="B3164" s="106"/>
      <c r="C3164" s="73"/>
      <c r="D3164" s="73" t="s">
        <v>651</v>
      </c>
      <c r="E3164" s="73"/>
      <c r="F3164" s="152" t="s">
        <v>3</v>
      </c>
      <c r="G3164" s="72">
        <f>0.6*0.35*2*2.7*1.146</f>
        <v>1.2995639999999999</v>
      </c>
      <c r="H3164" s="153"/>
      <c r="K3164"/>
    </row>
    <row r="3165" spans="1:11" x14ac:dyDescent="0.25">
      <c r="A3165" s="168"/>
      <c r="B3165" s="106"/>
      <c r="C3165" s="73"/>
      <c r="D3165" s="75" t="s">
        <v>1692</v>
      </c>
      <c r="E3165" s="73"/>
      <c r="F3165" s="152"/>
      <c r="G3165" s="72"/>
      <c r="H3165" s="153"/>
      <c r="K3165"/>
    </row>
    <row r="3166" spans="1:11" x14ac:dyDescent="0.25">
      <c r="A3166" s="168"/>
      <c r="B3166" s="106"/>
      <c r="C3166" s="73"/>
      <c r="D3166" s="73" t="s">
        <v>651</v>
      </c>
      <c r="E3166" s="73"/>
      <c r="F3166" s="152" t="s">
        <v>3</v>
      </c>
      <c r="G3166" s="72">
        <f>0.12*0.1*2*2.7*1.15</f>
        <v>7.4520000000000003E-2</v>
      </c>
      <c r="H3166" s="153"/>
      <c r="K3166"/>
    </row>
    <row r="3167" spans="1:11" x14ac:dyDescent="0.25">
      <c r="A3167" s="168"/>
      <c r="B3167" s="106"/>
      <c r="C3167" s="73"/>
      <c r="D3167" s="75" t="s">
        <v>1693</v>
      </c>
      <c r="E3167" s="73"/>
      <c r="F3167" s="152"/>
      <c r="G3167" s="72"/>
      <c r="H3167" s="153"/>
      <c r="K3167"/>
    </row>
    <row r="3168" spans="1:11" x14ac:dyDescent="0.25">
      <c r="A3168" s="168"/>
      <c r="B3168" s="106"/>
      <c r="C3168" s="73"/>
      <c r="D3168" s="73" t="s">
        <v>651</v>
      </c>
      <c r="E3168" s="73"/>
      <c r="F3168" s="152" t="s">
        <v>3</v>
      </c>
      <c r="G3168" s="72">
        <f>0.11*0.14*2*2.7*1.14</f>
        <v>9.4802400000000009E-2</v>
      </c>
      <c r="H3168" s="153"/>
      <c r="K3168"/>
    </row>
    <row r="3169" spans="1:11" x14ac:dyDescent="0.25">
      <c r="A3169" s="168"/>
      <c r="B3169" s="106"/>
      <c r="C3169" s="73"/>
      <c r="D3169" s="75" t="s">
        <v>1694</v>
      </c>
      <c r="E3169" s="73"/>
      <c r="F3169" s="152"/>
      <c r="G3169" s="72"/>
      <c r="H3169" s="153"/>
      <c r="K3169"/>
    </row>
    <row r="3170" spans="1:11" x14ac:dyDescent="0.25">
      <c r="A3170" s="168"/>
      <c r="B3170" s="106"/>
      <c r="C3170" s="73"/>
      <c r="D3170" s="73" t="s">
        <v>651</v>
      </c>
      <c r="E3170" s="73"/>
      <c r="F3170" s="152" t="s">
        <v>3</v>
      </c>
      <c r="G3170" s="72">
        <f>0.435*0.105*2*2.7*1.135</f>
        <v>0.27994207500000001</v>
      </c>
      <c r="H3170" s="153"/>
      <c r="K3170"/>
    </row>
    <row r="3171" spans="1:11" x14ac:dyDescent="0.25">
      <c r="A3171" s="168"/>
      <c r="B3171" s="106"/>
      <c r="C3171" s="73"/>
      <c r="D3171" s="75" t="s">
        <v>1695</v>
      </c>
      <c r="E3171" s="73"/>
      <c r="F3171" s="152"/>
      <c r="G3171" s="72"/>
      <c r="H3171" s="153"/>
      <c r="K3171"/>
    </row>
    <row r="3172" spans="1:11" x14ac:dyDescent="0.25">
      <c r="A3172" s="168"/>
      <c r="B3172" s="106"/>
      <c r="C3172" s="73"/>
      <c r="D3172" s="73" t="s">
        <v>651</v>
      </c>
      <c r="E3172" s="73"/>
      <c r="F3172" s="152" t="s">
        <v>3</v>
      </c>
      <c r="G3172" s="72">
        <f>0.225*0.335*2*2.7*1.13</f>
        <v>0.45993825000000005</v>
      </c>
      <c r="H3172" s="153"/>
      <c r="K3172"/>
    </row>
    <row r="3173" spans="1:11" x14ac:dyDescent="0.25">
      <c r="A3173" s="168"/>
      <c r="B3173" s="106"/>
      <c r="C3173" s="73"/>
      <c r="D3173" s="75" t="s">
        <v>1696</v>
      </c>
      <c r="E3173" s="73"/>
      <c r="F3173" s="152"/>
      <c r="G3173" s="72"/>
      <c r="H3173" s="153"/>
      <c r="K3173"/>
    </row>
    <row r="3174" spans="1:11" x14ac:dyDescent="0.25">
      <c r="A3174" s="168"/>
      <c r="B3174" s="106"/>
      <c r="C3174" s="73"/>
      <c r="D3174" s="73" t="s">
        <v>651</v>
      </c>
      <c r="E3174" s="73"/>
      <c r="F3174" s="152" t="s">
        <v>3</v>
      </c>
      <c r="G3174" s="72">
        <f>0.11*0.09*2*2.7*1.12</f>
        <v>5.9875200000000003E-2</v>
      </c>
      <c r="H3174" s="153"/>
      <c r="K3174"/>
    </row>
    <row r="3175" spans="1:11" x14ac:dyDescent="0.25">
      <c r="A3175" s="168"/>
      <c r="B3175" s="106"/>
      <c r="C3175" s="73"/>
      <c r="D3175" s="75" t="s">
        <v>1697</v>
      </c>
      <c r="E3175" s="73"/>
      <c r="F3175" s="152"/>
      <c r="G3175" s="72"/>
      <c r="H3175" s="153"/>
      <c r="K3175"/>
    </row>
    <row r="3176" spans="1:11" x14ac:dyDescent="0.25">
      <c r="A3176" s="168"/>
      <c r="B3176" s="106"/>
      <c r="C3176" s="73"/>
      <c r="D3176" s="73" t="s">
        <v>1698</v>
      </c>
      <c r="E3176" s="73"/>
      <c r="F3176" s="152" t="s">
        <v>3</v>
      </c>
      <c r="G3176" s="72">
        <v>0.02</v>
      </c>
      <c r="H3176" s="153"/>
      <c r="K3176"/>
    </row>
    <row r="3177" spans="1:11" x14ac:dyDescent="0.25">
      <c r="A3177" s="168"/>
      <c r="B3177" s="106"/>
      <c r="C3177" s="73"/>
      <c r="D3177" s="73"/>
      <c r="E3177" s="73"/>
      <c r="F3177" s="74"/>
      <c r="G3177" s="72"/>
      <c r="H3177" s="73"/>
      <c r="K3177"/>
    </row>
    <row r="3178" spans="1:11" x14ac:dyDescent="0.25">
      <c r="A3178" s="177"/>
      <c r="B3178" s="106" t="s">
        <v>1565</v>
      </c>
      <c r="C3178" s="78" t="s">
        <v>1593</v>
      </c>
      <c r="D3178" s="78"/>
      <c r="E3178" s="73"/>
      <c r="F3178" s="74"/>
      <c r="G3178" s="72"/>
      <c r="H3178" s="73"/>
      <c r="K3178"/>
    </row>
    <row r="3179" spans="1:11" x14ac:dyDescent="0.25">
      <c r="A3179" s="168"/>
      <c r="B3179" s="106"/>
      <c r="C3179" s="73" t="s">
        <v>140</v>
      </c>
      <c r="D3179" s="73"/>
      <c r="E3179" s="73"/>
      <c r="F3179" s="74" t="s">
        <v>3</v>
      </c>
      <c r="G3179" s="72">
        <f>0.012*3.14*3*0.08*1.2</f>
        <v>1.0851840000000001E-2</v>
      </c>
      <c r="H3179" s="73"/>
      <c r="K3179"/>
    </row>
    <row r="3180" spans="1:11" ht="17.25" x14ac:dyDescent="0.25">
      <c r="A3180" s="168"/>
      <c r="B3180" s="106"/>
      <c r="C3180" s="73" t="s">
        <v>23</v>
      </c>
      <c r="D3180" s="73"/>
      <c r="E3180" s="73"/>
      <c r="F3180" s="74" t="s">
        <v>596</v>
      </c>
      <c r="G3180" s="72">
        <f>G3179*1.5</f>
        <v>1.6277760000000002E-2</v>
      </c>
      <c r="H3180" s="73"/>
      <c r="K3180"/>
    </row>
    <row r="3181" spans="1:11" x14ac:dyDescent="0.25">
      <c r="A3181" s="168"/>
      <c r="B3181" s="106"/>
      <c r="C3181" s="73" t="s">
        <v>142</v>
      </c>
      <c r="D3181" s="73"/>
      <c r="E3181" s="73"/>
      <c r="F3181" s="74" t="s">
        <v>3</v>
      </c>
      <c r="G3181" s="72">
        <f>G3179/4</f>
        <v>2.7129600000000004E-3</v>
      </c>
      <c r="H3181" s="73"/>
      <c r="K3181"/>
    </row>
    <row r="3182" spans="1:11" x14ac:dyDescent="0.25">
      <c r="A3182" s="168"/>
      <c r="B3182" s="106"/>
      <c r="C3182" s="77" t="s">
        <v>148</v>
      </c>
      <c r="D3182" s="73"/>
      <c r="E3182" s="73"/>
      <c r="F3182" s="74" t="s">
        <v>3</v>
      </c>
      <c r="G3182" s="72">
        <f>0.8*0.011*2*1.2</f>
        <v>2.112E-2</v>
      </c>
      <c r="H3182" s="73"/>
      <c r="K3182"/>
    </row>
    <row r="3183" spans="1:11" x14ac:dyDescent="0.25">
      <c r="A3183" s="168"/>
      <c r="B3183" s="106"/>
      <c r="C3183" s="77" t="s">
        <v>8</v>
      </c>
      <c r="D3183" s="73"/>
      <c r="E3183" s="73"/>
      <c r="F3183" s="74" t="s">
        <v>3</v>
      </c>
      <c r="G3183" s="72">
        <f>G3182*0.8</f>
        <v>1.6896000000000001E-2</v>
      </c>
      <c r="H3183" s="73"/>
      <c r="K3183"/>
    </row>
    <row r="3184" spans="1:11" x14ac:dyDescent="0.25">
      <c r="A3184" s="168"/>
      <c r="B3184" s="106"/>
      <c r="C3184" s="77" t="s">
        <v>12</v>
      </c>
      <c r="D3184" s="73"/>
      <c r="E3184" s="73"/>
      <c r="F3184" s="74" t="s">
        <v>3</v>
      </c>
      <c r="G3184" s="72">
        <f>0.3*(G3183+G3182)</f>
        <v>1.14048E-2</v>
      </c>
      <c r="H3184" s="73"/>
      <c r="K3184"/>
    </row>
    <row r="3185" spans="1:11" x14ac:dyDescent="0.25">
      <c r="A3185" s="168"/>
      <c r="B3185" s="106"/>
      <c r="C3185" s="73"/>
      <c r="D3185" s="75" t="s">
        <v>1699</v>
      </c>
      <c r="E3185" s="73"/>
      <c r="F3185" s="74"/>
      <c r="G3185" s="72"/>
      <c r="H3185" s="73"/>
      <c r="K3185"/>
    </row>
    <row r="3186" spans="1:11" x14ac:dyDescent="0.25">
      <c r="A3186" s="168"/>
      <c r="B3186" s="106"/>
      <c r="C3186" s="73"/>
      <c r="D3186" s="73" t="s">
        <v>1594</v>
      </c>
      <c r="E3186" s="73"/>
      <c r="F3186" s="74" t="s">
        <v>3</v>
      </c>
      <c r="G3186" s="72">
        <v>0.22</v>
      </c>
      <c r="H3186" s="73"/>
      <c r="I3186" t="s">
        <v>1700</v>
      </c>
      <c r="K3186"/>
    </row>
    <row r="3187" spans="1:11" x14ac:dyDescent="0.25">
      <c r="A3187" s="168"/>
      <c r="B3187" s="106"/>
      <c r="C3187" s="73"/>
      <c r="D3187" s="73"/>
      <c r="E3187" s="73"/>
      <c r="F3187" s="74"/>
      <c r="G3187" s="72"/>
      <c r="H3187" s="73"/>
      <c r="K3187"/>
    </row>
    <row r="3188" spans="1:11" x14ac:dyDescent="0.25">
      <c r="A3188" s="177"/>
      <c r="B3188" s="106" t="s">
        <v>1565</v>
      </c>
      <c r="C3188" s="78" t="s">
        <v>1595</v>
      </c>
      <c r="D3188" s="78"/>
      <c r="E3188" s="73"/>
      <c r="F3188" s="74"/>
      <c r="G3188" s="72"/>
      <c r="H3188" s="73"/>
      <c r="K3188"/>
    </row>
    <row r="3189" spans="1:11" x14ac:dyDescent="0.25">
      <c r="A3189" s="168"/>
      <c r="B3189" s="106"/>
      <c r="C3189" s="73"/>
      <c r="D3189" s="77" t="s">
        <v>1701</v>
      </c>
      <c r="E3189" s="73"/>
      <c r="F3189" s="74" t="s">
        <v>3</v>
      </c>
      <c r="G3189" s="72">
        <f>0.523*0.24*3*8*1.029</f>
        <v>3.0998419199999998</v>
      </c>
      <c r="H3189" s="73"/>
      <c r="K3189"/>
    </row>
    <row r="3190" spans="1:11" x14ac:dyDescent="0.25">
      <c r="A3190" s="168"/>
      <c r="B3190" s="106"/>
      <c r="C3190" s="73"/>
      <c r="D3190" s="73"/>
      <c r="E3190" s="73"/>
      <c r="F3190" s="74"/>
      <c r="G3190" s="72"/>
      <c r="H3190" s="73"/>
      <c r="K3190"/>
    </row>
    <row r="3191" spans="1:11" x14ac:dyDescent="0.25">
      <c r="A3191" s="177"/>
      <c r="B3191" s="106" t="s">
        <v>1565</v>
      </c>
      <c r="C3191" s="78" t="s">
        <v>1596</v>
      </c>
      <c r="D3191" s="78"/>
      <c r="E3191" s="73"/>
      <c r="F3191" s="74"/>
      <c r="G3191" s="72"/>
      <c r="H3191" s="73"/>
      <c r="K3191"/>
    </row>
    <row r="3192" spans="1:11" x14ac:dyDescent="0.25">
      <c r="A3192" s="163"/>
      <c r="B3192" s="96"/>
      <c r="C3192" s="186" t="s">
        <v>1702</v>
      </c>
      <c r="D3192" s="78"/>
      <c r="E3192" s="73"/>
      <c r="F3192" s="74" t="s">
        <v>1516</v>
      </c>
      <c r="G3192" s="72">
        <v>2</v>
      </c>
      <c r="H3192" s="73"/>
      <c r="K3192"/>
    </row>
    <row r="3193" spans="1:11" x14ac:dyDescent="0.25">
      <c r="A3193" s="163"/>
      <c r="B3193" s="96"/>
      <c r="C3193" s="77" t="s">
        <v>1707</v>
      </c>
      <c r="D3193" s="78"/>
      <c r="E3193" s="73"/>
      <c r="F3193" s="74" t="s">
        <v>3</v>
      </c>
      <c r="G3193" s="72">
        <f>G3195*0.93</f>
        <v>2.0087999999999998E-2</v>
      </c>
      <c r="H3193" s="73"/>
      <c r="K3193"/>
    </row>
    <row r="3194" spans="1:11" x14ac:dyDescent="0.25">
      <c r="A3194" s="163"/>
      <c r="B3194" s="96"/>
      <c r="C3194" s="77" t="s">
        <v>12</v>
      </c>
      <c r="D3194" s="78"/>
      <c r="E3194" s="73"/>
      <c r="F3194" s="74" t="s">
        <v>3</v>
      </c>
      <c r="G3194" s="72">
        <f>0.3*G3193</f>
        <v>6.0263999999999995E-3</v>
      </c>
      <c r="H3194" s="73"/>
      <c r="K3194"/>
    </row>
    <row r="3195" spans="1:11" x14ac:dyDescent="0.25">
      <c r="A3195" s="163"/>
      <c r="B3195" s="96"/>
      <c r="C3195" s="77" t="s">
        <v>72</v>
      </c>
      <c r="D3195" s="78"/>
      <c r="E3195" s="73"/>
      <c r="F3195" s="74" t="s">
        <v>3</v>
      </c>
      <c r="G3195" s="72">
        <f>0.6*0.015*2*1.2</f>
        <v>2.1599999999999998E-2</v>
      </c>
      <c r="H3195" s="73"/>
      <c r="K3195"/>
    </row>
    <row r="3196" spans="1:11" x14ac:dyDescent="0.25">
      <c r="A3196" s="163"/>
      <c r="B3196" s="96"/>
      <c r="C3196" s="77" t="s">
        <v>11</v>
      </c>
      <c r="D3196" s="78"/>
      <c r="E3196" s="73"/>
      <c r="F3196" s="74" t="s">
        <v>3</v>
      </c>
      <c r="G3196" s="72">
        <f>0.3*G3195</f>
        <v>6.4799999999999988E-3</v>
      </c>
      <c r="H3196" s="73"/>
      <c r="K3196"/>
    </row>
    <row r="3197" spans="1:11" x14ac:dyDescent="0.25">
      <c r="A3197" s="163"/>
      <c r="B3197" s="96"/>
      <c r="C3197" s="77" t="s">
        <v>1054</v>
      </c>
      <c r="D3197" s="73"/>
      <c r="E3197" s="73"/>
      <c r="F3197" s="152" t="s">
        <v>3</v>
      </c>
      <c r="G3197" s="72">
        <f>0.23*0.08*1.1</f>
        <v>2.0240000000000001E-2</v>
      </c>
      <c r="H3197" s="73"/>
      <c r="K3197"/>
    </row>
    <row r="3198" spans="1:11" ht="17.25" x14ac:dyDescent="0.25">
      <c r="A3198" s="163"/>
      <c r="B3198" s="96"/>
      <c r="C3198" s="73" t="s">
        <v>1055</v>
      </c>
      <c r="D3198" s="73"/>
      <c r="E3198" s="73"/>
      <c r="F3198" s="152" t="s">
        <v>596</v>
      </c>
      <c r="G3198" s="72">
        <f>G3197</f>
        <v>2.0240000000000001E-2</v>
      </c>
      <c r="H3198" s="73"/>
      <c r="K3198"/>
    </row>
    <row r="3199" spans="1:11" x14ac:dyDescent="0.25">
      <c r="A3199" s="163"/>
      <c r="B3199" s="96"/>
      <c r="C3199" s="78"/>
      <c r="D3199" s="75" t="s">
        <v>297</v>
      </c>
      <c r="E3199" s="73"/>
      <c r="F3199" s="74"/>
      <c r="G3199" s="72"/>
      <c r="H3199" s="73"/>
      <c r="K3199"/>
    </row>
    <row r="3200" spans="1:11" x14ac:dyDescent="0.25">
      <c r="A3200" s="163"/>
      <c r="B3200" s="96"/>
      <c r="C3200" s="78"/>
      <c r="D3200" s="186" t="s">
        <v>1705</v>
      </c>
      <c r="E3200" s="73"/>
      <c r="F3200" s="152" t="s">
        <v>3</v>
      </c>
      <c r="G3200" s="72">
        <f>0.065*0.02*0.75*8*1.25</f>
        <v>9.7500000000000017E-3</v>
      </c>
      <c r="H3200" s="73"/>
      <c r="K3200"/>
    </row>
    <row r="3201" spans="1:11" x14ac:dyDescent="0.25">
      <c r="A3201" s="163"/>
      <c r="B3201" s="96"/>
      <c r="C3201" s="78"/>
      <c r="D3201" s="78" t="s">
        <v>299</v>
      </c>
      <c r="E3201" s="73"/>
      <c r="F3201" s="74"/>
      <c r="G3201" s="72"/>
      <c r="H3201" s="73"/>
      <c r="K3201"/>
    </row>
    <row r="3202" spans="1:11" x14ac:dyDescent="0.25">
      <c r="A3202" s="163"/>
      <c r="B3202" s="96"/>
      <c r="C3202" s="78"/>
      <c r="D3202" s="186" t="s">
        <v>300</v>
      </c>
      <c r="E3202" s="73"/>
      <c r="F3202" s="152" t="s">
        <v>3</v>
      </c>
      <c r="G3202" s="72">
        <f>0.31*0.02*3*8*1.14</f>
        <v>0.16963199999999998</v>
      </c>
      <c r="H3202" s="73"/>
      <c r="K3202"/>
    </row>
    <row r="3203" spans="1:11" x14ac:dyDescent="0.25">
      <c r="A3203" s="163"/>
      <c r="B3203" s="96"/>
      <c r="C3203" s="78"/>
      <c r="D3203" s="78" t="s">
        <v>1703</v>
      </c>
      <c r="E3203" s="73"/>
      <c r="F3203" s="74"/>
      <c r="G3203" s="72"/>
      <c r="H3203" s="73"/>
      <c r="K3203"/>
    </row>
    <row r="3204" spans="1:11" x14ac:dyDescent="0.25">
      <c r="A3204" s="163"/>
      <c r="B3204" s="96"/>
      <c r="C3204" s="78"/>
      <c r="D3204" s="186" t="s">
        <v>300</v>
      </c>
      <c r="E3204" s="73"/>
      <c r="F3204" s="152" t="s">
        <v>3</v>
      </c>
      <c r="G3204" s="72">
        <f>0.065*0.02*3*8*1.12</f>
        <v>3.494400000000001E-2</v>
      </c>
      <c r="H3204" s="73"/>
      <c r="K3204"/>
    </row>
    <row r="3205" spans="1:11" x14ac:dyDescent="0.25">
      <c r="A3205" s="163"/>
      <c r="B3205" s="96"/>
      <c r="C3205" s="78"/>
      <c r="D3205" s="78" t="s">
        <v>1704</v>
      </c>
      <c r="E3205" s="73"/>
      <c r="F3205" s="74"/>
      <c r="G3205" s="72"/>
      <c r="H3205" s="73"/>
      <c r="K3205"/>
    </row>
    <row r="3206" spans="1:11" x14ac:dyDescent="0.25">
      <c r="A3206" s="163"/>
      <c r="B3206" s="96"/>
      <c r="C3206" s="78"/>
      <c r="D3206" s="77" t="s">
        <v>1706</v>
      </c>
      <c r="E3206" s="73"/>
      <c r="F3206" s="152" t="s">
        <v>3</v>
      </c>
      <c r="G3206" s="72">
        <v>6.0000000000000001E-3</v>
      </c>
      <c r="H3206" s="73"/>
      <c r="K3206"/>
    </row>
    <row r="3207" spans="1:11" x14ac:dyDescent="0.25">
      <c r="A3207" s="163"/>
      <c r="B3207" s="96"/>
      <c r="C3207" s="78"/>
      <c r="D3207" s="78" t="s">
        <v>303</v>
      </c>
      <c r="E3207" s="73"/>
      <c r="F3207" s="74"/>
      <c r="G3207" s="72"/>
      <c r="H3207" s="73"/>
      <c r="K3207"/>
    </row>
    <row r="3208" spans="1:11" x14ac:dyDescent="0.25">
      <c r="A3208" s="163"/>
      <c r="B3208" s="96"/>
      <c r="C3208" s="78"/>
      <c r="D3208" s="186" t="s">
        <v>300</v>
      </c>
      <c r="E3208" s="73"/>
      <c r="F3208" s="152" t="s">
        <v>3</v>
      </c>
      <c r="G3208" s="72">
        <f>0.115*0.02*3*8*1.18</f>
        <v>6.5135999999999999E-2</v>
      </c>
      <c r="H3208" s="73"/>
      <c r="K3208"/>
    </row>
    <row r="3209" spans="1:11" x14ac:dyDescent="0.25">
      <c r="A3209" s="163"/>
      <c r="B3209" s="96"/>
      <c r="C3209" s="78"/>
      <c r="D3209" s="78"/>
      <c r="E3209" s="73"/>
      <c r="F3209" s="74"/>
      <c r="G3209" s="72"/>
      <c r="H3209" s="73"/>
      <c r="K3209"/>
    </row>
    <row r="3210" spans="1:11" x14ac:dyDescent="0.25">
      <c r="A3210" s="193"/>
      <c r="B3210" s="96" t="s">
        <v>1565</v>
      </c>
      <c r="C3210" s="78" t="s">
        <v>1597</v>
      </c>
      <c r="D3210" s="78"/>
      <c r="E3210" s="73"/>
      <c r="F3210" s="74"/>
      <c r="G3210" s="72"/>
      <c r="H3210" s="73"/>
      <c r="K3210"/>
    </row>
    <row r="3211" spans="1:11" x14ac:dyDescent="0.25">
      <c r="A3211" s="163"/>
      <c r="B3211" s="96"/>
      <c r="C3211" s="77" t="s">
        <v>855</v>
      </c>
      <c r="D3211" s="73"/>
      <c r="E3211" s="73"/>
      <c r="F3211" s="74" t="s">
        <v>3</v>
      </c>
      <c r="G3211" s="72">
        <f>0.435*0.2*1.5*2.7*1.135</f>
        <v>0.39991725000000006</v>
      </c>
      <c r="H3211" s="73"/>
      <c r="K3211"/>
    </row>
    <row r="3212" spans="1:11" x14ac:dyDescent="0.25">
      <c r="A3212" s="163"/>
      <c r="B3212" s="96"/>
      <c r="C3212" s="73"/>
      <c r="D3212" s="73"/>
      <c r="E3212" s="73"/>
      <c r="F3212" s="74"/>
      <c r="G3212" s="72"/>
      <c r="H3212" s="73"/>
      <c r="K3212"/>
    </row>
    <row r="3213" spans="1:11" x14ac:dyDescent="0.25">
      <c r="A3213" s="193"/>
      <c r="B3213" s="96" t="s">
        <v>1565</v>
      </c>
      <c r="C3213" s="78" t="s">
        <v>1598</v>
      </c>
      <c r="D3213" s="78"/>
      <c r="E3213" s="73"/>
      <c r="F3213" s="74"/>
      <c r="G3213" s="72"/>
      <c r="H3213" s="73"/>
      <c r="K3213"/>
    </row>
    <row r="3214" spans="1:11" x14ac:dyDescent="0.25">
      <c r="A3214" s="163"/>
      <c r="B3214" s="96"/>
      <c r="C3214" s="77" t="s">
        <v>1708</v>
      </c>
      <c r="D3214" s="73"/>
      <c r="E3214" s="73"/>
      <c r="F3214" s="74" t="s">
        <v>3</v>
      </c>
      <c r="G3214" s="72">
        <f>0.047*0.085*2*8*1.12</f>
        <v>7.1590400000000012E-2</v>
      </c>
      <c r="H3214" s="73"/>
      <c r="K3214"/>
    </row>
    <row r="3215" spans="1:11" x14ac:dyDescent="0.25">
      <c r="A3215" s="163"/>
      <c r="B3215" s="96"/>
      <c r="C3215" s="73"/>
      <c r="D3215" s="73"/>
      <c r="E3215" s="73"/>
      <c r="F3215" s="74"/>
      <c r="G3215" s="72"/>
      <c r="H3215" s="73"/>
      <c r="K3215"/>
    </row>
    <row r="3216" spans="1:11" x14ac:dyDescent="0.25">
      <c r="A3216" s="193"/>
      <c r="B3216" s="96" t="s">
        <v>1565</v>
      </c>
      <c r="C3216" s="78" t="s">
        <v>1599</v>
      </c>
      <c r="D3216" s="78"/>
      <c r="E3216" s="73"/>
      <c r="F3216" s="74"/>
      <c r="G3216" s="72"/>
      <c r="H3216" s="73"/>
      <c r="K3216"/>
    </row>
    <row r="3217" spans="1:11" x14ac:dyDescent="0.25">
      <c r="A3217" s="163"/>
      <c r="B3217" s="96"/>
      <c r="C3217" s="77" t="s">
        <v>1709</v>
      </c>
      <c r="D3217" s="73"/>
      <c r="E3217" s="73"/>
      <c r="F3217" s="74" t="s">
        <v>3</v>
      </c>
      <c r="G3217" s="72">
        <v>0.03</v>
      </c>
      <c r="H3217" s="73"/>
      <c r="I3217" t="s">
        <v>1311</v>
      </c>
      <c r="K3217"/>
    </row>
    <row r="3218" spans="1:11" x14ac:dyDescent="0.25">
      <c r="A3218" s="163"/>
      <c r="B3218" s="96"/>
      <c r="C3218" s="77"/>
      <c r="D3218" s="78"/>
      <c r="E3218" s="73"/>
      <c r="F3218" s="74"/>
      <c r="G3218" s="72"/>
      <c r="H3218" s="73"/>
      <c r="K3218"/>
    </row>
    <row r="3219" spans="1:11" x14ac:dyDescent="0.25">
      <c r="A3219" s="193"/>
      <c r="B3219" s="96" t="s">
        <v>1565</v>
      </c>
      <c r="C3219" s="78" t="s">
        <v>1600</v>
      </c>
      <c r="D3219" s="78"/>
      <c r="E3219" s="73"/>
      <c r="F3219" s="74"/>
      <c r="G3219" s="72"/>
      <c r="H3219" s="73"/>
      <c r="K3219"/>
    </row>
    <row r="3220" spans="1:11" x14ac:dyDescent="0.25">
      <c r="A3220" s="163"/>
      <c r="B3220" s="96"/>
      <c r="C3220" s="77" t="s">
        <v>415</v>
      </c>
      <c r="D3220" s="73"/>
      <c r="E3220" s="73"/>
      <c r="F3220" s="74" t="s">
        <v>3</v>
      </c>
      <c r="G3220" s="72">
        <f>(0.03*3.14+0.045)*0.016*1.5*8*1.12</f>
        <v>2.9933568000000001E-2</v>
      </c>
      <c r="H3220" s="73"/>
      <c r="K3220"/>
    </row>
    <row r="3221" spans="1:11" x14ac:dyDescent="0.25">
      <c r="A3221" s="163"/>
      <c r="B3221" s="96"/>
      <c r="C3221" s="77"/>
      <c r="D3221" s="78"/>
      <c r="E3221" s="73"/>
      <c r="F3221" s="74"/>
      <c r="G3221" s="72"/>
      <c r="H3221" s="73"/>
      <c r="K3221"/>
    </row>
    <row r="3222" spans="1:11" x14ac:dyDescent="0.25">
      <c r="A3222" s="193"/>
      <c r="B3222" s="96" t="s">
        <v>1565</v>
      </c>
      <c r="C3222" s="78" t="s">
        <v>1601</v>
      </c>
      <c r="D3222" s="78"/>
      <c r="E3222" s="73"/>
      <c r="F3222" s="74"/>
      <c r="G3222" s="72"/>
      <c r="H3222" s="73"/>
      <c r="K3222"/>
    </row>
    <row r="3223" spans="1:11" x14ac:dyDescent="0.25">
      <c r="A3223" s="163"/>
      <c r="B3223" s="96"/>
      <c r="C3223" s="77" t="s">
        <v>415</v>
      </c>
      <c r="D3223" s="73"/>
      <c r="E3223" s="73"/>
      <c r="F3223" s="74" t="s">
        <v>3</v>
      </c>
      <c r="G3223" s="72">
        <f>(0.025*3.14+0.05)*0.016*1.5*8*1.12</f>
        <v>2.7632640000000003E-2</v>
      </c>
      <c r="H3223" s="73"/>
      <c r="K3223"/>
    </row>
    <row r="3224" spans="1:11" x14ac:dyDescent="0.25">
      <c r="A3224" s="163"/>
      <c r="B3224" s="96"/>
      <c r="C3224" s="77"/>
      <c r="D3224" s="78"/>
      <c r="E3224" s="73"/>
      <c r="F3224" s="74"/>
      <c r="G3224" s="72"/>
      <c r="H3224" s="73"/>
      <c r="K3224"/>
    </row>
    <row r="3225" spans="1:11" x14ac:dyDescent="0.25">
      <c r="A3225" s="193"/>
      <c r="B3225" s="96" t="s">
        <v>1565</v>
      </c>
      <c r="C3225" s="78" t="s">
        <v>1710</v>
      </c>
      <c r="D3225" s="78"/>
      <c r="E3225" s="73"/>
      <c r="F3225" s="74"/>
      <c r="G3225" s="72"/>
      <c r="H3225" s="73"/>
      <c r="K3225"/>
    </row>
    <row r="3226" spans="1:11" x14ac:dyDescent="0.25">
      <c r="A3226" s="163"/>
      <c r="B3226" s="96"/>
      <c r="C3226" s="186" t="s">
        <v>1602</v>
      </c>
      <c r="D3226" s="73"/>
      <c r="E3226" s="73"/>
      <c r="F3226" s="74" t="s">
        <v>3</v>
      </c>
      <c r="G3226" s="72">
        <f>0.035*0.035*3*8*1.12</f>
        <v>3.2928000000000006E-2</v>
      </c>
      <c r="H3226" s="73"/>
      <c r="K3226"/>
    </row>
    <row r="3227" spans="1:11" x14ac:dyDescent="0.25">
      <c r="A3227" s="163"/>
      <c r="B3227" s="96"/>
      <c r="C3227" s="77"/>
      <c r="D3227" s="78"/>
      <c r="E3227" s="73"/>
      <c r="F3227" s="74"/>
      <c r="G3227" s="72"/>
      <c r="H3227" s="73"/>
      <c r="K3227"/>
    </row>
    <row r="3228" spans="1:11" x14ac:dyDescent="0.25">
      <c r="A3228" s="193"/>
      <c r="B3228" s="96" t="s">
        <v>1565</v>
      </c>
      <c r="C3228" s="78" t="s">
        <v>1603</v>
      </c>
      <c r="D3228" s="78"/>
      <c r="E3228" s="73"/>
      <c r="F3228" s="74"/>
      <c r="G3228" s="72"/>
      <c r="H3228" s="73"/>
      <c r="K3228"/>
    </row>
    <row r="3229" spans="1:11" x14ac:dyDescent="0.25">
      <c r="A3229" s="163"/>
      <c r="B3229" s="96"/>
      <c r="C3229" s="77" t="s">
        <v>855</v>
      </c>
      <c r="D3229" s="73"/>
      <c r="E3229" s="73"/>
      <c r="F3229" s="74" t="s">
        <v>3</v>
      </c>
      <c r="G3229" s="72">
        <f>0.37*0.055*1.5*2.7*1.12</f>
        <v>9.2307600000000017E-2</v>
      </c>
      <c r="H3229" s="73"/>
      <c r="K3229"/>
    </row>
    <row r="3230" spans="1:11" x14ac:dyDescent="0.25">
      <c r="A3230" s="163"/>
      <c r="B3230" s="96"/>
      <c r="C3230" s="77" t="s">
        <v>163</v>
      </c>
      <c r="D3230" s="73"/>
      <c r="E3230" s="73"/>
      <c r="F3230" s="74" t="s">
        <v>3</v>
      </c>
      <c r="G3230" s="72">
        <f>G3232*0.78</f>
        <v>2.0217599999999995E-2</v>
      </c>
      <c r="H3230" s="73"/>
      <c r="K3230"/>
    </row>
    <row r="3231" spans="1:11" x14ac:dyDescent="0.25">
      <c r="A3231" s="163"/>
      <c r="B3231" s="96"/>
      <c r="C3231" s="77" t="s">
        <v>1591</v>
      </c>
      <c r="D3231" s="73"/>
      <c r="E3231" s="73"/>
      <c r="F3231" s="74" t="s">
        <v>3</v>
      </c>
      <c r="G3231" s="72">
        <f>0.3*G3230</f>
        <v>6.0652799999999984E-3</v>
      </c>
      <c r="H3231" s="73"/>
      <c r="K3231"/>
    </row>
    <row r="3232" spans="1:11" x14ac:dyDescent="0.25">
      <c r="A3232" s="163"/>
      <c r="B3232" s="96"/>
      <c r="C3232" s="186" t="s">
        <v>72</v>
      </c>
      <c r="D3232" s="73"/>
      <c r="E3232" s="73"/>
      <c r="F3232" s="74" t="s">
        <v>3</v>
      </c>
      <c r="G3232" s="72">
        <f>0.36*0.03*2*1.2</f>
        <v>2.5919999999999995E-2</v>
      </c>
      <c r="H3232" s="73"/>
      <c r="K3232"/>
    </row>
    <row r="3233" spans="1:11" x14ac:dyDescent="0.25">
      <c r="A3233" s="163"/>
      <c r="B3233" s="96"/>
      <c r="C3233" s="186" t="s">
        <v>11</v>
      </c>
      <c r="D3233" s="73"/>
      <c r="E3233" s="73"/>
      <c r="F3233" s="74" t="s">
        <v>3</v>
      </c>
      <c r="G3233" s="72">
        <f>0.3*G3232</f>
        <v>7.7759999999999982E-3</v>
      </c>
      <c r="H3233" s="73"/>
      <c r="K3233"/>
    </row>
    <row r="3234" spans="1:11" x14ac:dyDescent="0.25">
      <c r="A3234" s="163"/>
      <c r="B3234" s="96"/>
      <c r="C3234" s="77"/>
      <c r="D3234" s="186"/>
      <c r="E3234" s="73"/>
      <c r="F3234" s="74"/>
      <c r="G3234" s="72"/>
      <c r="H3234" s="73"/>
      <c r="K3234"/>
    </row>
    <row r="3235" spans="1:11" x14ac:dyDescent="0.25">
      <c r="A3235" s="193"/>
      <c r="B3235" s="96" t="s">
        <v>1565</v>
      </c>
      <c r="C3235" s="78" t="s">
        <v>1717</v>
      </c>
      <c r="D3235" s="78"/>
      <c r="E3235" s="73"/>
      <c r="F3235" s="74"/>
      <c r="G3235" s="72"/>
      <c r="H3235" s="73"/>
      <c r="K3235"/>
    </row>
    <row r="3236" spans="1:11" x14ac:dyDescent="0.25">
      <c r="A3236" s="163"/>
      <c r="B3236" s="96"/>
      <c r="C3236" s="77" t="s">
        <v>163</v>
      </c>
      <c r="D3236" s="73"/>
      <c r="E3236" s="73"/>
      <c r="F3236" s="74" t="s">
        <v>3</v>
      </c>
      <c r="G3236" s="72">
        <f>G3238*0.81</f>
        <v>0.17006112000000001</v>
      </c>
      <c r="H3236" s="73"/>
      <c r="K3236"/>
    </row>
    <row r="3237" spans="1:11" x14ac:dyDescent="0.25">
      <c r="A3237" s="163"/>
      <c r="B3237" s="96"/>
      <c r="C3237" s="77" t="s">
        <v>1591</v>
      </c>
      <c r="D3237" s="73"/>
      <c r="E3237" s="73"/>
      <c r="F3237" s="74" t="s">
        <v>3</v>
      </c>
      <c r="G3237" s="72">
        <f>0.3*G3236</f>
        <v>5.1018336000000004E-2</v>
      </c>
      <c r="H3237" s="73"/>
      <c r="K3237"/>
    </row>
    <row r="3238" spans="1:11" x14ac:dyDescent="0.25">
      <c r="A3238" s="163"/>
      <c r="B3238" s="96"/>
      <c r="C3238" s="77" t="s">
        <v>115</v>
      </c>
      <c r="D3238" s="73"/>
      <c r="E3238" s="73"/>
      <c r="F3238" s="74" t="s">
        <v>3</v>
      </c>
      <c r="G3238" s="72">
        <f>0.6*0.4*2*0.18*2*1.215</f>
        <v>0.209952</v>
      </c>
      <c r="H3238" s="73"/>
      <c r="K3238"/>
    </row>
    <row r="3239" spans="1:11" x14ac:dyDescent="0.25">
      <c r="A3239" s="163"/>
      <c r="B3239" s="96"/>
      <c r="C3239" s="77" t="s">
        <v>12</v>
      </c>
      <c r="D3239" s="73"/>
      <c r="E3239" s="73"/>
      <c r="F3239" s="74" t="s">
        <v>3</v>
      </c>
      <c r="G3239" s="72">
        <f>0.3*G3238</f>
        <v>6.2985600000000003E-2</v>
      </c>
      <c r="H3239" s="73"/>
      <c r="K3239"/>
    </row>
    <row r="3240" spans="1:11" x14ac:dyDescent="0.25">
      <c r="A3240" s="163"/>
      <c r="B3240" s="96"/>
      <c r="C3240" s="77" t="s">
        <v>1592</v>
      </c>
      <c r="D3240" s="73"/>
      <c r="E3240" s="73"/>
      <c r="F3240" s="152" t="s">
        <v>3</v>
      </c>
      <c r="G3240" s="80">
        <f>1*0.08*1.25</f>
        <v>0.1</v>
      </c>
      <c r="H3240" s="73"/>
      <c r="K3240"/>
    </row>
    <row r="3241" spans="1:11" ht="17.25" x14ac:dyDescent="0.25">
      <c r="A3241" s="163"/>
      <c r="B3241" s="96"/>
      <c r="C3241" s="73" t="s">
        <v>168</v>
      </c>
      <c r="D3241" s="73"/>
      <c r="E3241" s="73"/>
      <c r="F3241" s="152" t="s">
        <v>596</v>
      </c>
      <c r="G3241" s="72">
        <f>1.1*G3240</f>
        <v>0.11000000000000001</v>
      </c>
      <c r="H3241" s="73"/>
      <c r="K3241"/>
    </row>
    <row r="3242" spans="1:11" x14ac:dyDescent="0.25">
      <c r="A3242" s="163"/>
      <c r="B3242" s="96"/>
      <c r="C3242" s="73"/>
      <c r="D3242" s="78" t="s">
        <v>1718</v>
      </c>
      <c r="E3242" s="77"/>
      <c r="F3242" s="152"/>
      <c r="G3242" s="80"/>
      <c r="H3242" s="73"/>
      <c r="K3242"/>
    </row>
    <row r="3243" spans="1:11" x14ac:dyDescent="0.25">
      <c r="A3243" s="163"/>
      <c r="B3243" s="96"/>
      <c r="C3243" s="73"/>
      <c r="D3243" s="77" t="s">
        <v>651</v>
      </c>
      <c r="E3243" s="77"/>
      <c r="F3243" s="152" t="s">
        <v>3</v>
      </c>
      <c r="G3243" s="80">
        <f>0.6*0.35*2*2.7*1.146</f>
        <v>1.2995639999999999</v>
      </c>
      <c r="H3243" s="73"/>
      <c r="K3243"/>
    </row>
    <row r="3244" spans="1:11" x14ac:dyDescent="0.25">
      <c r="A3244" s="163"/>
      <c r="B3244" s="96"/>
      <c r="C3244" s="73"/>
      <c r="D3244" s="78" t="s">
        <v>1692</v>
      </c>
      <c r="E3244" s="77"/>
      <c r="F3244" s="152"/>
      <c r="G3244" s="80"/>
      <c r="H3244" s="73"/>
      <c r="K3244"/>
    </row>
    <row r="3245" spans="1:11" x14ac:dyDescent="0.25">
      <c r="A3245" s="163"/>
      <c r="B3245" s="96"/>
      <c r="C3245" s="73"/>
      <c r="D3245" s="77" t="s">
        <v>651</v>
      </c>
      <c r="E3245" s="77"/>
      <c r="F3245" s="152" t="s">
        <v>3</v>
      </c>
      <c r="G3245" s="80">
        <f>0.12*0.1*2*2.7*1.15</f>
        <v>7.4520000000000003E-2</v>
      </c>
      <c r="H3245" s="73"/>
      <c r="K3245"/>
    </row>
    <row r="3246" spans="1:11" x14ac:dyDescent="0.25">
      <c r="A3246" s="163"/>
      <c r="B3246" s="96"/>
      <c r="C3246" s="73"/>
      <c r="D3246" s="78" t="s">
        <v>1693</v>
      </c>
      <c r="E3246" s="77"/>
      <c r="F3246" s="152"/>
      <c r="G3246" s="80"/>
      <c r="H3246" s="73"/>
      <c r="K3246"/>
    </row>
    <row r="3247" spans="1:11" x14ac:dyDescent="0.25">
      <c r="A3247" s="163"/>
      <c r="B3247" s="96"/>
      <c r="C3247" s="73"/>
      <c r="D3247" s="77" t="s">
        <v>651</v>
      </c>
      <c r="E3247" s="77"/>
      <c r="F3247" s="152" t="s">
        <v>3</v>
      </c>
      <c r="G3247" s="80">
        <f>0.11*0.14*2*2.7*1.14</f>
        <v>9.4802400000000009E-2</v>
      </c>
      <c r="H3247" s="73"/>
      <c r="K3247"/>
    </row>
    <row r="3248" spans="1:11" x14ac:dyDescent="0.25">
      <c r="A3248" s="163"/>
      <c r="B3248" s="96"/>
      <c r="C3248" s="73"/>
      <c r="D3248" s="78" t="s">
        <v>1720</v>
      </c>
      <c r="E3248" s="77"/>
      <c r="F3248" s="152"/>
      <c r="G3248" s="80"/>
      <c r="H3248" s="73"/>
      <c r="K3248"/>
    </row>
    <row r="3249" spans="1:11" x14ac:dyDescent="0.25">
      <c r="A3249" s="163"/>
      <c r="B3249" s="96"/>
      <c r="C3249" s="73"/>
      <c r="D3249" s="77" t="s">
        <v>651</v>
      </c>
      <c r="E3249" s="77"/>
      <c r="F3249" s="152" t="s">
        <v>3</v>
      </c>
      <c r="G3249" s="80">
        <f>0.435*0.105*2*2.7*1.135</f>
        <v>0.27994207500000001</v>
      </c>
      <c r="H3249" s="73"/>
      <c r="K3249"/>
    </row>
    <row r="3250" spans="1:11" x14ac:dyDescent="0.25">
      <c r="A3250" s="163"/>
      <c r="B3250" s="96"/>
      <c r="C3250" s="73"/>
      <c r="D3250" s="78" t="s">
        <v>1719</v>
      </c>
      <c r="E3250" s="77"/>
      <c r="F3250" s="152"/>
      <c r="G3250" s="80"/>
      <c r="H3250" s="73"/>
      <c r="K3250"/>
    </row>
    <row r="3251" spans="1:11" x14ac:dyDescent="0.25">
      <c r="A3251" s="163"/>
      <c r="B3251" s="96"/>
      <c r="C3251" s="73"/>
      <c r="D3251" s="77" t="s">
        <v>651</v>
      </c>
      <c r="E3251" s="77"/>
      <c r="F3251" s="152" t="s">
        <v>3</v>
      </c>
      <c r="G3251" s="80">
        <f>0.22*0.335*2*2.7*1.13</f>
        <v>0.44971740000000004</v>
      </c>
      <c r="H3251" s="73"/>
      <c r="K3251"/>
    </row>
    <row r="3252" spans="1:11" x14ac:dyDescent="0.25">
      <c r="A3252" s="163"/>
      <c r="B3252" s="96"/>
      <c r="C3252" s="73"/>
      <c r="D3252" s="78" t="s">
        <v>1696</v>
      </c>
      <c r="E3252" s="77"/>
      <c r="F3252" s="152"/>
      <c r="G3252" s="80"/>
      <c r="H3252" s="73"/>
      <c r="K3252"/>
    </row>
    <row r="3253" spans="1:11" x14ac:dyDescent="0.25">
      <c r="A3253" s="163"/>
      <c r="B3253" s="96"/>
      <c r="C3253" s="73"/>
      <c r="D3253" s="77" t="s">
        <v>651</v>
      </c>
      <c r="E3253" s="77"/>
      <c r="F3253" s="152" t="s">
        <v>3</v>
      </c>
      <c r="G3253" s="80">
        <f>0.11*0.09*2*2.7*1.12</f>
        <v>5.9875200000000003E-2</v>
      </c>
      <c r="H3253" s="73"/>
      <c r="K3253"/>
    </row>
    <row r="3254" spans="1:11" x14ac:dyDescent="0.25">
      <c r="A3254" s="163"/>
      <c r="B3254" s="96"/>
      <c r="C3254" s="73"/>
      <c r="D3254" s="78" t="s">
        <v>1697</v>
      </c>
      <c r="E3254" s="77"/>
      <c r="F3254" s="152"/>
      <c r="G3254" s="80"/>
      <c r="H3254" s="73"/>
      <c r="K3254"/>
    </row>
    <row r="3255" spans="1:11" x14ac:dyDescent="0.25">
      <c r="A3255" s="163"/>
      <c r="B3255" s="96"/>
      <c r="C3255" s="73"/>
      <c r="D3255" s="77" t="s">
        <v>1698</v>
      </c>
      <c r="E3255" s="77"/>
      <c r="F3255" s="152" t="s">
        <v>3</v>
      </c>
      <c r="G3255" s="80">
        <v>0.02</v>
      </c>
      <c r="H3255" s="73"/>
    </row>
    <row r="3256" spans="1:11" x14ac:dyDescent="0.25">
      <c r="A3256" s="163"/>
      <c r="B3256" s="96"/>
      <c r="C3256" s="73"/>
      <c r="D3256" s="77"/>
      <c r="E3256" s="77"/>
      <c r="F3256" s="152"/>
      <c r="G3256" s="80"/>
      <c r="H3256" s="73"/>
      <c r="K3256" s="215"/>
    </row>
    <row r="3257" spans="1:11" x14ac:dyDescent="0.25">
      <c r="A3257" s="193"/>
      <c r="B3257" s="96" t="s">
        <v>1565</v>
      </c>
      <c r="C3257" s="75" t="s">
        <v>1711</v>
      </c>
      <c r="D3257" s="73"/>
      <c r="E3257" s="73"/>
      <c r="F3257" s="74"/>
      <c r="G3257" s="72"/>
      <c r="H3257" s="73"/>
      <c r="I3257" s="8"/>
      <c r="K3257"/>
    </row>
    <row r="3258" spans="1:11" x14ac:dyDescent="0.25">
      <c r="A3258" s="163"/>
      <c r="B3258" s="96"/>
      <c r="C3258" s="73" t="s">
        <v>415</v>
      </c>
      <c r="D3258" s="73"/>
      <c r="E3258" s="73"/>
      <c r="F3258" s="74" t="s">
        <v>3</v>
      </c>
      <c r="G3258" s="72">
        <f>0.01*1.12</f>
        <v>1.1200000000000002E-2</v>
      </c>
      <c r="H3258" s="73"/>
      <c r="K3258"/>
    </row>
    <row r="3259" spans="1:11" x14ac:dyDescent="0.25">
      <c r="A3259" s="163"/>
      <c r="B3259" s="96"/>
      <c r="C3259" s="73"/>
      <c r="D3259" s="73"/>
      <c r="E3259" s="73"/>
      <c r="F3259" s="74"/>
      <c r="G3259" s="72"/>
      <c r="H3259" s="73"/>
      <c r="K3259"/>
    </row>
    <row r="3260" spans="1:11" x14ac:dyDescent="0.25">
      <c r="A3260" s="193"/>
      <c r="B3260" s="96" t="s">
        <v>1565</v>
      </c>
      <c r="C3260" s="75" t="s">
        <v>1712</v>
      </c>
      <c r="D3260" s="73"/>
      <c r="E3260" s="73"/>
      <c r="F3260" s="74"/>
      <c r="G3260" s="72"/>
      <c r="H3260" s="73"/>
      <c r="K3260"/>
    </row>
    <row r="3261" spans="1:11" x14ac:dyDescent="0.25">
      <c r="A3261" s="163"/>
      <c r="B3261" s="96"/>
      <c r="C3261" s="73" t="s">
        <v>578</v>
      </c>
      <c r="D3261" s="73"/>
      <c r="E3261" s="73"/>
      <c r="F3261" s="74" t="s">
        <v>3</v>
      </c>
      <c r="G3261" s="72">
        <f>0.045*0.045*0.3*9*1.5</f>
        <v>8.2012500000000002E-3</v>
      </c>
      <c r="H3261" s="73"/>
      <c r="K3261"/>
    </row>
    <row r="3262" spans="1:11" x14ac:dyDescent="0.25">
      <c r="A3262" s="163"/>
      <c r="B3262" s="96"/>
      <c r="C3262" s="73" t="s">
        <v>1713</v>
      </c>
      <c r="D3262" s="73"/>
      <c r="E3262" s="73"/>
      <c r="F3262" s="74" t="s">
        <v>195</v>
      </c>
      <c r="G3262" s="72">
        <f>0.028*3.14*1.1</f>
        <v>9.671200000000002E-2</v>
      </c>
      <c r="H3262" s="73"/>
      <c r="K3262"/>
    </row>
    <row r="3263" spans="1:11" x14ac:dyDescent="0.25">
      <c r="A3263" s="163"/>
      <c r="B3263" s="96"/>
      <c r="C3263" s="73"/>
      <c r="D3263" s="73"/>
      <c r="E3263" s="73"/>
      <c r="F3263" s="74"/>
      <c r="G3263" s="72"/>
      <c r="H3263" s="73"/>
      <c r="K3263"/>
    </row>
    <row r="3264" spans="1:11" x14ac:dyDescent="0.25">
      <c r="A3264" s="193"/>
      <c r="B3264" s="96" t="s">
        <v>1565</v>
      </c>
      <c r="C3264" s="75" t="s">
        <v>1697</v>
      </c>
      <c r="D3264" s="73"/>
      <c r="E3264" s="152"/>
      <c r="F3264" s="218"/>
      <c r="G3264" s="72"/>
      <c r="H3264" s="73"/>
      <c r="K3264"/>
    </row>
    <row r="3265" spans="1:11" x14ac:dyDescent="0.25">
      <c r="A3265" s="163"/>
      <c r="B3265" s="96"/>
      <c r="C3265" s="73" t="s">
        <v>1698</v>
      </c>
      <c r="D3265" s="73"/>
      <c r="E3265" s="73"/>
      <c r="F3265" s="152" t="s">
        <v>3</v>
      </c>
      <c r="G3265" s="72">
        <v>0.02</v>
      </c>
      <c r="H3265" s="73"/>
      <c r="K3265"/>
    </row>
    <row r="3266" spans="1:11" x14ac:dyDescent="0.25">
      <c r="A3266" s="163"/>
      <c r="B3266" s="96"/>
      <c r="C3266" s="73"/>
      <c r="D3266" s="73"/>
      <c r="E3266" s="73"/>
      <c r="F3266" s="74"/>
      <c r="G3266" s="72"/>
      <c r="H3266" s="73"/>
      <c r="K3266"/>
    </row>
    <row r="3267" spans="1:11" x14ac:dyDescent="0.25">
      <c r="A3267" s="193"/>
      <c r="B3267" s="96" t="s">
        <v>1565</v>
      </c>
      <c r="C3267" s="75" t="s">
        <v>1714</v>
      </c>
      <c r="D3267" s="73"/>
      <c r="E3267" s="73"/>
      <c r="F3267" s="74"/>
      <c r="G3267" s="72"/>
      <c r="H3267" s="73"/>
      <c r="K3267"/>
    </row>
    <row r="3268" spans="1:11" x14ac:dyDescent="0.25">
      <c r="A3268" s="163"/>
      <c r="B3268" s="96"/>
      <c r="C3268" s="73" t="s">
        <v>1715</v>
      </c>
      <c r="D3268" s="73"/>
      <c r="E3268" s="73"/>
      <c r="F3268" s="74" t="s">
        <v>3</v>
      </c>
      <c r="G3268" s="72">
        <v>0.02</v>
      </c>
      <c r="H3268" s="73"/>
      <c r="K3268"/>
    </row>
    <row r="3269" spans="1:11" x14ac:dyDescent="0.25">
      <c r="A3269" s="163"/>
      <c r="B3269" s="96"/>
      <c r="C3269" s="73"/>
      <c r="D3269" s="73"/>
      <c r="E3269" s="73"/>
      <c r="F3269" s="74"/>
      <c r="G3269" s="72"/>
      <c r="H3269" s="73"/>
      <c r="K3269"/>
    </row>
    <row r="3270" spans="1:11" x14ac:dyDescent="0.25">
      <c r="A3270" s="193"/>
      <c r="B3270" s="96" t="s">
        <v>1565</v>
      </c>
      <c r="C3270" s="75" t="s">
        <v>1721</v>
      </c>
      <c r="D3270" s="73"/>
      <c r="E3270" s="73"/>
      <c r="F3270" s="74"/>
      <c r="G3270" s="72"/>
      <c r="H3270" s="73"/>
      <c r="K3270"/>
    </row>
    <row r="3271" spans="1:11" x14ac:dyDescent="0.25">
      <c r="A3271" s="163"/>
      <c r="B3271" s="96"/>
      <c r="C3271" s="77" t="s">
        <v>1054</v>
      </c>
      <c r="D3271" s="73"/>
      <c r="E3271" s="73"/>
      <c r="F3271" s="152" t="s">
        <v>3</v>
      </c>
      <c r="G3271" s="72">
        <f>0.8*0.08*1.25</f>
        <v>0.08</v>
      </c>
      <c r="H3271" s="73"/>
      <c r="K3271"/>
    </row>
    <row r="3272" spans="1:11" ht="17.25" x14ac:dyDescent="0.25">
      <c r="A3272" s="163"/>
      <c r="B3272" s="96"/>
      <c r="C3272" s="73" t="s">
        <v>1055</v>
      </c>
      <c r="D3272" s="73"/>
      <c r="E3272" s="73"/>
      <c r="F3272" s="152" t="s">
        <v>596</v>
      </c>
      <c r="G3272" s="72">
        <f>G3271</f>
        <v>0.08</v>
      </c>
      <c r="H3272" s="73"/>
      <c r="K3272"/>
    </row>
    <row r="3273" spans="1:11" x14ac:dyDescent="0.25">
      <c r="A3273" s="163"/>
      <c r="B3273" s="96"/>
      <c r="C3273" s="77" t="s">
        <v>13</v>
      </c>
      <c r="D3273" s="73"/>
      <c r="E3273" s="73"/>
      <c r="F3273" s="74" t="s">
        <v>3</v>
      </c>
      <c r="G3273" s="72">
        <v>0.05</v>
      </c>
      <c r="H3273" s="73"/>
      <c r="K3273"/>
    </row>
    <row r="3274" spans="1:11" x14ac:dyDescent="0.25">
      <c r="A3274" s="163"/>
      <c r="B3274" s="96"/>
      <c r="C3274" s="77" t="s">
        <v>8</v>
      </c>
      <c r="D3274" s="73"/>
      <c r="E3274" s="73"/>
      <c r="F3274" s="74" t="s">
        <v>3</v>
      </c>
      <c r="G3274" s="72">
        <f>0.8*G3276</f>
        <v>0.12012134400000003</v>
      </c>
      <c r="H3274" s="73"/>
      <c r="K3274"/>
    </row>
    <row r="3275" spans="1:11" x14ac:dyDescent="0.25">
      <c r="A3275" s="163"/>
      <c r="B3275" s="96"/>
      <c r="C3275" s="77" t="s">
        <v>12</v>
      </c>
      <c r="D3275" s="73"/>
      <c r="E3275" s="73"/>
      <c r="F3275" s="74" t="s">
        <v>3</v>
      </c>
      <c r="G3275" s="72">
        <f>0.3*G3274</f>
        <v>3.6036403200000011E-2</v>
      </c>
      <c r="H3275" s="73"/>
      <c r="K3275"/>
    </row>
    <row r="3276" spans="1:11" x14ac:dyDescent="0.25">
      <c r="A3276" s="163"/>
      <c r="B3276" s="96"/>
      <c r="C3276" s="77" t="s">
        <v>72</v>
      </c>
      <c r="D3276" s="73"/>
      <c r="E3276" s="73"/>
      <c r="F3276" s="74" t="s">
        <v>3</v>
      </c>
      <c r="G3276" s="72">
        <f>(0.5*0.05*2*2+0.55*0.09*2*2+0.31*0.12*2)*0.18*2*1.12</f>
        <v>0.15015168000000004</v>
      </c>
      <c r="H3276" s="73"/>
      <c r="K3276"/>
    </row>
    <row r="3277" spans="1:11" x14ac:dyDescent="0.25">
      <c r="A3277" s="163"/>
      <c r="B3277" s="96"/>
      <c r="C3277" s="77" t="s">
        <v>11</v>
      </c>
      <c r="D3277" s="73"/>
      <c r="E3277" s="73"/>
      <c r="F3277" s="74" t="s">
        <v>3</v>
      </c>
      <c r="G3277" s="72">
        <f>0.3*G3276</f>
        <v>4.5045504000000007E-2</v>
      </c>
      <c r="H3277" s="73"/>
      <c r="K3277"/>
    </row>
    <row r="3278" spans="1:11" x14ac:dyDescent="0.25">
      <c r="A3278" s="163"/>
      <c r="B3278" s="96"/>
      <c r="C3278" s="77"/>
      <c r="D3278" s="75" t="s">
        <v>1722</v>
      </c>
      <c r="E3278" s="73"/>
      <c r="F3278" s="74"/>
      <c r="G3278" s="72"/>
      <c r="H3278" s="73"/>
      <c r="K3278"/>
    </row>
    <row r="3279" spans="1:11" x14ac:dyDescent="0.25">
      <c r="A3279" s="163"/>
      <c r="B3279" s="96"/>
      <c r="C3279" s="77"/>
      <c r="D3279" s="73" t="s">
        <v>300</v>
      </c>
      <c r="E3279" s="73"/>
      <c r="F3279" s="74" t="s">
        <v>3</v>
      </c>
      <c r="G3279" s="72">
        <f>0.315*0.12*3*8*1.124</f>
        <v>1.0196928000000001</v>
      </c>
      <c r="H3279" s="73"/>
      <c r="K3279"/>
    </row>
    <row r="3280" spans="1:11" x14ac:dyDescent="0.25">
      <c r="A3280" s="163"/>
      <c r="B3280" s="96"/>
      <c r="C3280" s="77"/>
      <c r="D3280" s="75" t="s">
        <v>1723</v>
      </c>
      <c r="E3280" s="73"/>
      <c r="F3280" s="74"/>
      <c r="G3280" s="72"/>
      <c r="H3280" s="73"/>
      <c r="K3280"/>
    </row>
    <row r="3281" spans="1:11" x14ac:dyDescent="0.25">
      <c r="A3281" s="163"/>
      <c r="B3281" s="96"/>
      <c r="C3281" s="77"/>
      <c r="D3281" s="73" t="s">
        <v>300</v>
      </c>
      <c r="E3281" s="73"/>
      <c r="F3281" s="74" t="s">
        <v>3</v>
      </c>
      <c r="G3281" s="72">
        <f>0.55*0.095*3*8*1.1165</f>
        <v>1.400091</v>
      </c>
      <c r="H3281" s="73"/>
      <c r="K3281"/>
    </row>
    <row r="3282" spans="1:11" x14ac:dyDescent="0.25">
      <c r="A3282" s="163"/>
      <c r="B3282" s="96"/>
      <c r="C3282" s="77"/>
      <c r="D3282" s="75" t="s">
        <v>1724</v>
      </c>
      <c r="E3282" s="73"/>
      <c r="F3282" s="74"/>
      <c r="G3282" s="72"/>
      <c r="H3282" s="73"/>
      <c r="K3282"/>
    </row>
    <row r="3283" spans="1:11" x14ac:dyDescent="0.25">
      <c r="A3283" s="163"/>
      <c r="B3283" s="96"/>
      <c r="C3283" s="77"/>
      <c r="D3283" s="73" t="s">
        <v>300</v>
      </c>
      <c r="E3283" s="73"/>
      <c r="F3283" s="74" t="s">
        <v>3</v>
      </c>
      <c r="G3283" s="72">
        <f>0.56*0.095*3*8*1.12</f>
        <v>1.4300160000000004</v>
      </c>
      <c r="H3283" s="73"/>
      <c r="K3283"/>
    </row>
    <row r="3284" spans="1:11" x14ac:dyDescent="0.25">
      <c r="A3284" s="163"/>
      <c r="B3284" s="96"/>
      <c r="C3284" s="77"/>
      <c r="D3284" s="75" t="s">
        <v>1725</v>
      </c>
      <c r="E3284" s="73"/>
      <c r="F3284" s="74"/>
      <c r="G3284" s="72"/>
      <c r="H3284" s="73"/>
      <c r="K3284"/>
    </row>
    <row r="3285" spans="1:11" x14ac:dyDescent="0.25">
      <c r="A3285" s="163"/>
      <c r="B3285" s="96"/>
      <c r="C3285" s="73"/>
      <c r="D3285" s="73" t="s">
        <v>226</v>
      </c>
      <c r="E3285" s="73"/>
      <c r="F3285" s="74" t="s">
        <v>3</v>
      </c>
      <c r="G3285" s="72">
        <f>0.455*0.04*5*8*1.12</f>
        <v>0.81536000000000008</v>
      </c>
      <c r="H3285" s="73"/>
      <c r="K3285"/>
    </row>
    <row r="3286" spans="1:11" x14ac:dyDescent="0.25">
      <c r="A3286" s="163"/>
      <c r="B3286" s="96"/>
      <c r="C3286" s="73"/>
      <c r="D3286" s="75" t="s">
        <v>1726</v>
      </c>
      <c r="E3286" s="73"/>
      <c r="F3286" s="74"/>
      <c r="G3286" s="72"/>
      <c r="H3286" s="73"/>
      <c r="K3286"/>
    </row>
    <row r="3287" spans="1:11" x14ac:dyDescent="0.25">
      <c r="A3287" s="163"/>
      <c r="B3287" s="96"/>
      <c r="C3287" s="73"/>
      <c r="D3287" s="73" t="s">
        <v>300</v>
      </c>
      <c r="E3287" s="73"/>
      <c r="F3287" s="74" t="s">
        <v>3</v>
      </c>
      <c r="G3287" s="72">
        <f>0.13*0.16*3*8*1.081</f>
        <v>0.53963520000000009</v>
      </c>
      <c r="H3287" s="73"/>
      <c r="K3287"/>
    </row>
    <row r="3288" spans="1:11" x14ac:dyDescent="0.25">
      <c r="A3288" s="163"/>
      <c r="B3288" s="96"/>
      <c r="C3288" s="73"/>
      <c r="D3288" s="75"/>
      <c r="E3288" s="73"/>
      <c r="F3288" s="74"/>
      <c r="G3288" s="72"/>
      <c r="H3288" s="73"/>
      <c r="K3288"/>
    </row>
    <row r="3289" spans="1:11" x14ac:dyDescent="0.25">
      <c r="A3289" s="193"/>
      <c r="B3289" s="96" t="s">
        <v>1565</v>
      </c>
      <c r="C3289" s="75" t="s">
        <v>1727</v>
      </c>
      <c r="D3289" s="75"/>
      <c r="E3289" s="73"/>
      <c r="F3289" s="74"/>
      <c r="G3289" s="72"/>
      <c r="H3289" s="73"/>
      <c r="K3289"/>
    </row>
    <row r="3290" spans="1:11" x14ac:dyDescent="0.25">
      <c r="A3290" s="163"/>
      <c r="B3290" s="96"/>
      <c r="C3290" s="73" t="s">
        <v>8</v>
      </c>
      <c r="D3290" s="75"/>
      <c r="E3290" s="73"/>
      <c r="F3290" s="74" t="s">
        <v>3</v>
      </c>
      <c r="G3290" s="72">
        <f>G3292</f>
        <v>4.2900000000000004E-3</v>
      </c>
      <c r="H3290" s="73"/>
      <c r="K3290"/>
    </row>
    <row r="3291" spans="1:11" x14ac:dyDescent="0.25">
      <c r="A3291" s="163"/>
      <c r="B3291" s="96"/>
      <c r="C3291" s="73" t="s">
        <v>12</v>
      </c>
      <c r="D3291" s="75"/>
      <c r="E3291" s="73"/>
      <c r="F3291" s="74" t="s">
        <v>3</v>
      </c>
      <c r="G3291" s="72">
        <f>0.3*G3290</f>
        <v>1.2870000000000002E-3</v>
      </c>
      <c r="H3291" s="73"/>
      <c r="K3291"/>
    </row>
    <row r="3292" spans="1:11" x14ac:dyDescent="0.25">
      <c r="A3292" s="163"/>
      <c r="B3292" s="96"/>
      <c r="C3292" s="73" t="s">
        <v>72</v>
      </c>
      <c r="D3292" s="75"/>
      <c r="E3292" s="73"/>
      <c r="F3292" s="74" t="s">
        <v>3</v>
      </c>
      <c r="G3292" s="72">
        <f>0.13*0.011*2*1.5</f>
        <v>4.2900000000000004E-3</v>
      </c>
      <c r="H3292" s="73"/>
      <c r="K3292"/>
    </row>
    <row r="3293" spans="1:11" x14ac:dyDescent="0.25">
      <c r="A3293" s="163"/>
      <c r="B3293" s="96"/>
      <c r="C3293" s="73" t="s">
        <v>11</v>
      </c>
      <c r="D3293" s="75"/>
      <c r="E3293" s="73"/>
      <c r="F3293" s="74" t="s">
        <v>3</v>
      </c>
      <c r="G3293" s="72">
        <f>0.3*G3292</f>
        <v>1.2870000000000002E-3</v>
      </c>
      <c r="H3293" s="73"/>
      <c r="K3293"/>
    </row>
    <row r="3294" spans="1:11" x14ac:dyDescent="0.25">
      <c r="A3294" s="163"/>
      <c r="B3294" s="96"/>
      <c r="C3294" s="73"/>
      <c r="D3294" s="75" t="s">
        <v>1728</v>
      </c>
      <c r="E3294" s="73"/>
      <c r="F3294" s="74"/>
      <c r="G3294" s="72"/>
      <c r="H3294" s="73"/>
      <c r="K3294"/>
    </row>
    <row r="3295" spans="1:11" x14ac:dyDescent="0.25">
      <c r="A3295" s="163"/>
      <c r="B3295" s="96"/>
      <c r="C3295" s="73"/>
      <c r="D3295" s="100" t="s">
        <v>177</v>
      </c>
      <c r="E3295" s="73"/>
      <c r="F3295" s="74" t="s">
        <v>3</v>
      </c>
      <c r="G3295" s="72">
        <f>0.127*0.03*1*8*1.12</f>
        <v>3.4137600000000004E-2</v>
      </c>
      <c r="H3295" s="73"/>
      <c r="K3295"/>
    </row>
    <row r="3296" spans="1:11" x14ac:dyDescent="0.25">
      <c r="A3296" s="163"/>
      <c r="B3296" s="96"/>
      <c r="C3296" s="73"/>
      <c r="D3296" s="100" t="s">
        <v>13</v>
      </c>
      <c r="E3296" s="73"/>
      <c r="F3296" s="74" t="s">
        <v>3</v>
      </c>
      <c r="G3296" s="72">
        <f>0.01</f>
        <v>0.01</v>
      </c>
      <c r="H3296" s="73"/>
      <c r="K3296"/>
    </row>
    <row r="3297" spans="1:11" x14ac:dyDescent="0.25">
      <c r="A3297" s="163"/>
      <c r="B3297" s="96"/>
      <c r="C3297" s="73"/>
      <c r="D3297" s="75"/>
      <c r="E3297" s="73"/>
      <c r="F3297" s="74"/>
      <c r="G3297" s="72"/>
      <c r="H3297" s="73"/>
      <c r="K3297"/>
    </row>
    <row r="3298" spans="1:11" x14ac:dyDescent="0.25">
      <c r="A3298" s="193"/>
      <c r="B3298" s="96" t="s">
        <v>1565</v>
      </c>
      <c r="C3298" s="75" t="s">
        <v>1729</v>
      </c>
      <c r="D3298" s="75"/>
      <c r="E3298" s="73"/>
      <c r="F3298" s="74"/>
      <c r="G3298" s="72"/>
      <c r="H3298" s="73"/>
      <c r="K3298"/>
    </row>
    <row r="3299" spans="1:11" x14ac:dyDescent="0.25">
      <c r="A3299" s="163"/>
      <c r="B3299" s="96"/>
      <c r="C3299" s="73" t="s">
        <v>1730</v>
      </c>
      <c r="D3299" s="75"/>
      <c r="E3299" s="73"/>
      <c r="F3299" s="74" t="s">
        <v>3</v>
      </c>
      <c r="G3299" s="72">
        <f>0.023*1.2</f>
        <v>2.76E-2</v>
      </c>
      <c r="H3299" s="73"/>
      <c r="K3299"/>
    </row>
    <row r="3300" spans="1:11" x14ac:dyDescent="0.25">
      <c r="A3300" s="163"/>
      <c r="B3300" s="96"/>
      <c r="C3300" s="73"/>
      <c r="D3300" s="75"/>
      <c r="E3300" s="73"/>
      <c r="F3300" s="74"/>
      <c r="G3300" s="72"/>
      <c r="H3300" s="73"/>
      <c r="K3300"/>
    </row>
    <row r="3301" spans="1:11" x14ac:dyDescent="0.25">
      <c r="A3301" s="193"/>
      <c r="B3301" s="106" t="s">
        <v>1565</v>
      </c>
      <c r="C3301" s="75" t="s">
        <v>1738</v>
      </c>
      <c r="D3301" s="73"/>
      <c r="E3301" s="73"/>
      <c r="F3301" s="74"/>
      <c r="G3301" s="72"/>
      <c r="H3301" s="73"/>
      <c r="K3301" s="215"/>
    </row>
    <row r="3302" spans="1:11" x14ac:dyDescent="0.25">
      <c r="A3302" s="163"/>
      <c r="B3302" s="106"/>
      <c r="C3302" s="77" t="s">
        <v>1054</v>
      </c>
      <c r="D3302" s="73"/>
      <c r="E3302" s="73"/>
      <c r="F3302" s="152" t="s">
        <v>3</v>
      </c>
      <c r="G3302" s="72">
        <f>0.1*0.08*1.2</f>
        <v>9.5999999999999992E-3</v>
      </c>
      <c r="H3302" s="73"/>
      <c r="K3302" s="215"/>
    </row>
    <row r="3303" spans="1:11" ht="17.25" x14ac:dyDescent="0.25">
      <c r="A3303" s="163"/>
      <c r="B3303" s="106"/>
      <c r="C3303" s="73" t="s">
        <v>1055</v>
      </c>
      <c r="D3303" s="73"/>
      <c r="E3303" s="73"/>
      <c r="F3303" s="152" t="s">
        <v>596</v>
      </c>
      <c r="G3303" s="72">
        <f>G3302</f>
        <v>9.5999999999999992E-3</v>
      </c>
      <c r="H3303" s="73"/>
      <c r="K3303" s="215"/>
    </row>
    <row r="3304" spans="1:11" x14ac:dyDescent="0.25">
      <c r="A3304" s="163"/>
      <c r="B3304" s="106"/>
      <c r="C3304" s="73"/>
      <c r="D3304" s="75" t="s">
        <v>1740</v>
      </c>
      <c r="E3304" s="73"/>
      <c r="F3304" s="74"/>
      <c r="G3304" s="72"/>
      <c r="H3304" s="73"/>
      <c r="K3304" s="215"/>
    </row>
    <row r="3305" spans="1:11" x14ac:dyDescent="0.25">
      <c r="A3305" s="163"/>
      <c r="B3305" s="106"/>
      <c r="C3305" s="73"/>
      <c r="D3305" s="73" t="s">
        <v>1741</v>
      </c>
      <c r="E3305" s="73"/>
      <c r="F3305" s="74" t="s">
        <v>3</v>
      </c>
      <c r="G3305" s="72">
        <f>0.21*0.59*1*8*1.12</f>
        <v>1.110144</v>
      </c>
      <c r="H3305" s="73"/>
      <c r="K3305" s="215"/>
    </row>
    <row r="3306" spans="1:11" x14ac:dyDescent="0.25">
      <c r="A3306" s="163"/>
      <c r="B3306" s="106"/>
      <c r="C3306" s="73"/>
      <c r="D3306" s="73"/>
      <c r="E3306" s="73"/>
      <c r="F3306" s="74"/>
      <c r="G3306" s="72"/>
      <c r="H3306" s="73"/>
      <c r="K3306" s="215"/>
    </row>
    <row r="3307" spans="1:11" x14ac:dyDescent="0.25">
      <c r="A3307" s="193"/>
      <c r="B3307" s="106" t="s">
        <v>1565</v>
      </c>
      <c r="C3307" s="75" t="s">
        <v>1755</v>
      </c>
      <c r="D3307" s="73"/>
      <c r="E3307" s="73"/>
      <c r="F3307" s="74"/>
      <c r="G3307" s="72"/>
      <c r="H3307" s="73"/>
      <c r="K3307" s="215"/>
    </row>
    <row r="3308" spans="1:11" x14ac:dyDescent="0.25">
      <c r="A3308" s="163"/>
      <c r="B3308" s="106"/>
      <c r="C3308" s="73" t="s">
        <v>140</v>
      </c>
      <c r="D3308" s="73"/>
      <c r="E3308" s="73"/>
      <c r="F3308" s="74" t="s">
        <v>3</v>
      </c>
      <c r="G3308" s="72">
        <f>0.07*0.08*1.2</f>
        <v>6.7200000000000011E-3</v>
      </c>
      <c r="H3308" s="73"/>
      <c r="K3308" s="215"/>
    </row>
    <row r="3309" spans="1:11" ht="17.25" x14ac:dyDescent="0.25">
      <c r="A3309" s="163"/>
      <c r="B3309" s="106"/>
      <c r="C3309" s="73" t="s">
        <v>23</v>
      </c>
      <c r="D3309" s="73"/>
      <c r="E3309" s="73"/>
      <c r="F3309" s="74" t="s">
        <v>596</v>
      </c>
      <c r="G3309" s="72">
        <f>G3308*1.5</f>
        <v>1.0080000000000002E-2</v>
      </c>
      <c r="H3309" s="73"/>
      <c r="K3309" s="215"/>
    </row>
    <row r="3310" spans="1:11" x14ac:dyDescent="0.25">
      <c r="A3310" s="163"/>
      <c r="B3310" s="106"/>
      <c r="C3310" s="73" t="s">
        <v>142</v>
      </c>
      <c r="D3310" s="73"/>
      <c r="E3310" s="73"/>
      <c r="F3310" s="74" t="s">
        <v>3</v>
      </c>
      <c r="G3310" s="72">
        <f>G3308/4</f>
        <v>1.6800000000000003E-3</v>
      </c>
      <c r="H3310" s="73"/>
      <c r="K3310" s="215"/>
    </row>
    <row r="3311" spans="1:11" x14ac:dyDescent="0.25">
      <c r="A3311" s="163"/>
      <c r="B3311" s="106"/>
      <c r="C3311" s="73"/>
      <c r="D3311" s="75" t="s">
        <v>1756</v>
      </c>
      <c r="E3311" s="73"/>
      <c r="F3311" s="74"/>
      <c r="G3311" s="72"/>
      <c r="H3311" s="73"/>
      <c r="K3311" s="215"/>
    </row>
    <row r="3312" spans="1:11" x14ac:dyDescent="0.25">
      <c r="A3312" s="163"/>
      <c r="B3312" s="106"/>
      <c r="C3312" s="73"/>
      <c r="D3312" s="73" t="s">
        <v>275</v>
      </c>
      <c r="E3312" s="73"/>
      <c r="F3312" s="74" t="s">
        <v>3</v>
      </c>
      <c r="G3312" s="72">
        <f>0.19*0.19*1.5*8*1.12</f>
        <v>0.48518400000000006</v>
      </c>
      <c r="H3312" s="73"/>
      <c r="K3312" s="215"/>
    </row>
    <row r="3313" spans="1:11" x14ac:dyDescent="0.25">
      <c r="A3313" s="163"/>
      <c r="B3313" s="106"/>
      <c r="C3313" s="73"/>
      <c r="D3313" s="73"/>
      <c r="E3313" s="73"/>
      <c r="F3313" s="74"/>
      <c r="G3313" s="72"/>
      <c r="H3313" s="73"/>
      <c r="K3313" s="215"/>
    </row>
    <row r="3314" spans="1:11" x14ac:dyDescent="0.25">
      <c r="A3314" s="193"/>
      <c r="B3314" s="106" t="s">
        <v>1565</v>
      </c>
      <c r="C3314" s="75" t="s">
        <v>1768</v>
      </c>
      <c r="D3314" s="73"/>
      <c r="E3314" s="73"/>
      <c r="F3314" s="74"/>
      <c r="G3314" s="72"/>
      <c r="H3314" s="73"/>
      <c r="K3314" s="215"/>
    </row>
    <row r="3315" spans="1:11" x14ac:dyDescent="0.25">
      <c r="A3315" s="163"/>
      <c r="B3315" s="106"/>
      <c r="C3315" s="73" t="s">
        <v>1759</v>
      </c>
      <c r="D3315" s="73"/>
      <c r="E3315" s="73"/>
      <c r="F3315" s="74" t="s">
        <v>3</v>
      </c>
      <c r="G3315" s="72">
        <v>3.0000000000000001E-3</v>
      </c>
      <c r="H3315" s="73"/>
      <c r="K3315" s="215"/>
    </row>
    <row r="3316" spans="1:11" x14ac:dyDescent="0.25">
      <c r="A3316" s="163"/>
      <c r="B3316" s="106"/>
      <c r="C3316" s="73"/>
      <c r="D3316" s="75" t="s">
        <v>1760</v>
      </c>
      <c r="E3316" s="73"/>
      <c r="F3316" s="74"/>
      <c r="G3316" s="72"/>
      <c r="H3316" s="73"/>
      <c r="K3316" s="215"/>
    </row>
    <row r="3317" spans="1:11" x14ac:dyDescent="0.25">
      <c r="A3317" s="163"/>
      <c r="B3317" s="106"/>
      <c r="C3317" s="73"/>
      <c r="D3317" s="100" t="s">
        <v>177</v>
      </c>
      <c r="E3317" s="73"/>
      <c r="F3317" s="74" t="s">
        <v>3</v>
      </c>
      <c r="G3317" s="72">
        <f>0.16*0.125*1*8*1.125</f>
        <v>0.18</v>
      </c>
      <c r="H3317" s="73"/>
      <c r="K3317" s="215"/>
    </row>
    <row r="3318" spans="1:11" x14ac:dyDescent="0.25">
      <c r="A3318" s="163"/>
      <c r="B3318" s="106"/>
      <c r="C3318" s="73"/>
      <c r="D3318" s="75" t="s">
        <v>1761</v>
      </c>
      <c r="E3318" s="73"/>
      <c r="F3318" s="74"/>
      <c r="G3318" s="72"/>
      <c r="H3318" s="73"/>
      <c r="K3318" s="215"/>
    </row>
    <row r="3319" spans="1:11" x14ac:dyDescent="0.25">
      <c r="A3319" s="163"/>
      <c r="B3319" s="106"/>
      <c r="C3319" s="73"/>
      <c r="D3319" s="100" t="s">
        <v>177</v>
      </c>
      <c r="E3319" s="73"/>
      <c r="F3319" s="74" t="s">
        <v>3</v>
      </c>
      <c r="G3319" s="72">
        <f>0.155*0.145*1*8*1.115</f>
        <v>0.20047699999999999</v>
      </c>
      <c r="H3319" s="73"/>
      <c r="K3319" s="215"/>
    </row>
    <row r="3320" spans="1:11" x14ac:dyDescent="0.25">
      <c r="A3320" s="163"/>
      <c r="B3320" s="106"/>
      <c r="C3320" s="73"/>
      <c r="D3320" s="75" t="s">
        <v>1762</v>
      </c>
      <c r="E3320" s="73"/>
      <c r="F3320" s="74"/>
      <c r="G3320" s="72"/>
      <c r="H3320" s="73"/>
      <c r="K3320" s="215"/>
    </row>
    <row r="3321" spans="1:11" x14ac:dyDescent="0.25">
      <c r="A3321" s="163"/>
      <c r="B3321" s="106"/>
      <c r="C3321" s="73"/>
      <c r="D3321" s="73" t="s">
        <v>412</v>
      </c>
      <c r="E3321" s="73"/>
      <c r="F3321" s="74" t="s">
        <v>3</v>
      </c>
      <c r="G3321" s="72">
        <f>0.112*0.02*2*8*1.11</f>
        <v>3.9782400000000009E-2</v>
      </c>
      <c r="H3321" s="73"/>
      <c r="K3321" s="215"/>
    </row>
    <row r="3322" spans="1:11" x14ac:dyDescent="0.25">
      <c r="A3322" s="163"/>
      <c r="B3322" s="106"/>
      <c r="C3322" s="73"/>
      <c r="D3322" s="75" t="s">
        <v>1763</v>
      </c>
      <c r="E3322" s="73"/>
      <c r="F3322" s="74"/>
      <c r="G3322" s="72"/>
      <c r="H3322" s="73"/>
      <c r="K3322" s="215"/>
    </row>
    <row r="3323" spans="1:11" x14ac:dyDescent="0.25">
      <c r="A3323" s="163"/>
      <c r="B3323" s="106"/>
      <c r="C3323" s="73"/>
      <c r="D3323" s="73" t="s">
        <v>412</v>
      </c>
      <c r="E3323" s="73"/>
      <c r="F3323" s="74" t="s">
        <v>3</v>
      </c>
      <c r="G3323" s="72">
        <f>0.062*0.01*2*8*1</f>
        <v>9.92E-3</v>
      </c>
      <c r="H3323" s="73"/>
      <c r="I3323" t="s">
        <v>1764</v>
      </c>
      <c r="K3323" s="215"/>
    </row>
    <row r="3324" spans="1:11" ht="8.25" customHeight="1" x14ac:dyDescent="0.25">
      <c r="A3324" s="163"/>
      <c r="B3324" s="106"/>
      <c r="C3324" s="73"/>
      <c r="D3324" s="73"/>
      <c r="E3324" s="73"/>
      <c r="F3324" s="74"/>
      <c r="G3324" s="72"/>
      <c r="H3324" s="73"/>
      <c r="K3324" s="215"/>
    </row>
    <row r="3325" spans="1:11" x14ac:dyDescent="0.25">
      <c r="A3325" s="193"/>
      <c r="B3325" s="106" t="s">
        <v>1565</v>
      </c>
      <c r="C3325" s="75" t="s">
        <v>1765</v>
      </c>
      <c r="D3325" s="73"/>
      <c r="E3325" s="73"/>
      <c r="F3325" s="74"/>
      <c r="G3325" s="72"/>
      <c r="H3325" s="73"/>
      <c r="K3325" s="215"/>
    </row>
    <row r="3326" spans="1:11" x14ac:dyDescent="0.25">
      <c r="A3326" s="163"/>
      <c r="B3326" s="106"/>
      <c r="C3326" s="73" t="s">
        <v>497</v>
      </c>
      <c r="D3326" s="73"/>
      <c r="E3326" s="73"/>
      <c r="F3326" s="74" t="s">
        <v>3</v>
      </c>
      <c r="G3326" s="72">
        <f>0.3*0.08*1.25</f>
        <v>0.03</v>
      </c>
      <c r="H3326" s="73"/>
      <c r="K3326" s="215"/>
    </row>
    <row r="3327" spans="1:11" x14ac:dyDescent="0.25">
      <c r="A3327" s="163"/>
      <c r="B3327" s="106"/>
      <c r="C3327" s="73" t="s">
        <v>168</v>
      </c>
      <c r="D3327" s="73"/>
      <c r="E3327" s="73"/>
      <c r="F3327" s="220" t="s">
        <v>1752</v>
      </c>
      <c r="G3327" s="72">
        <f>G3326*1.1</f>
        <v>3.3000000000000002E-2</v>
      </c>
      <c r="H3327" s="73"/>
      <c r="K3327" s="215"/>
    </row>
    <row r="3328" spans="1:11" x14ac:dyDescent="0.25">
      <c r="A3328" s="163"/>
      <c r="B3328" s="106"/>
      <c r="C3328" s="73"/>
      <c r="D3328" s="75" t="s">
        <v>1766</v>
      </c>
      <c r="E3328" s="73"/>
      <c r="F3328" s="74"/>
      <c r="G3328" s="72"/>
      <c r="H3328" s="73"/>
      <c r="K3328" s="215"/>
    </row>
    <row r="3329" spans="1:11" x14ac:dyDescent="0.25">
      <c r="A3329" s="163"/>
      <c r="B3329" s="106"/>
      <c r="C3329" s="73"/>
      <c r="D3329" s="73" t="s">
        <v>213</v>
      </c>
      <c r="E3329" s="73"/>
      <c r="F3329" s="74" t="s">
        <v>3</v>
      </c>
      <c r="G3329" s="72">
        <f>0.55*0.25*3*2.7*1.122</f>
        <v>1.2496275000000003</v>
      </c>
      <c r="H3329" s="73"/>
      <c r="K3329" s="215"/>
    </row>
    <row r="3330" spans="1:11" x14ac:dyDescent="0.25">
      <c r="A3330" s="163"/>
      <c r="B3330" s="106"/>
      <c r="C3330" s="73"/>
      <c r="D3330" s="75" t="s">
        <v>1767</v>
      </c>
      <c r="E3330" s="73"/>
      <c r="F3330" s="74"/>
      <c r="G3330" s="72"/>
      <c r="H3330" s="73"/>
      <c r="K3330" s="215"/>
    </row>
    <row r="3331" spans="1:11" x14ac:dyDescent="0.25">
      <c r="A3331" s="163"/>
      <c r="B3331" s="106"/>
      <c r="C3331" s="73"/>
      <c r="D3331" s="73" t="s">
        <v>213</v>
      </c>
      <c r="E3331" s="73"/>
      <c r="F3331" s="74" t="s">
        <v>3</v>
      </c>
      <c r="G3331" s="72">
        <f>0.05*0.04*3*2.7*1.12</f>
        <v>1.8144000000000004E-2</v>
      </c>
      <c r="H3331" s="73"/>
      <c r="K3331" s="215"/>
    </row>
    <row r="3332" spans="1:11" ht="9.75" customHeight="1" x14ac:dyDescent="0.25">
      <c r="A3332" s="163"/>
      <c r="B3332" s="106"/>
      <c r="C3332" s="73"/>
      <c r="D3332" s="73"/>
      <c r="E3332" s="73"/>
      <c r="F3332" s="74"/>
      <c r="G3332" s="72"/>
      <c r="H3332" s="73"/>
      <c r="K3332" s="216"/>
    </row>
    <row r="3333" spans="1:11" x14ac:dyDescent="0.25">
      <c r="A3333" s="193"/>
      <c r="B3333" s="106" t="s">
        <v>1565</v>
      </c>
      <c r="C3333" s="75" t="s">
        <v>1769</v>
      </c>
      <c r="D3333" s="73"/>
      <c r="E3333" s="73"/>
      <c r="F3333" s="74"/>
      <c r="G3333" s="72"/>
      <c r="H3333" s="73"/>
      <c r="K3333" s="216"/>
    </row>
    <row r="3334" spans="1:11" x14ac:dyDescent="0.25">
      <c r="A3334" s="163"/>
      <c r="B3334" s="106"/>
      <c r="C3334" s="73" t="s">
        <v>671</v>
      </c>
      <c r="D3334" s="73"/>
      <c r="E3334" s="73"/>
      <c r="F3334" s="74" t="s">
        <v>3</v>
      </c>
      <c r="G3334" s="72">
        <f>1.2*0.08*1.2</f>
        <v>0.1152</v>
      </c>
      <c r="H3334" s="73"/>
      <c r="K3334" s="216"/>
    </row>
    <row r="3335" spans="1:11" x14ac:dyDescent="0.25">
      <c r="A3335" s="163"/>
      <c r="B3335" s="106"/>
      <c r="C3335" s="73" t="s">
        <v>672</v>
      </c>
      <c r="D3335" s="73"/>
      <c r="E3335" s="73"/>
      <c r="F3335" s="74" t="s">
        <v>3</v>
      </c>
      <c r="G3335" s="72">
        <f>G3334*2</f>
        <v>0.23039999999999999</v>
      </c>
      <c r="H3335" s="73"/>
      <c r="K3335" s="216"/>
    </row>
    <row r="3336" spans="1:11" x14ac:dyDescent="0.25">
      <c r="A3336" s="163"/>
      <c r="B3336" s="106"/>
      <c r="C3336" s="73" t="s">
        <v>1785</v>
      </c>
      <c r="D3336" s="73"/>
      <c r="E3336" s="73"/>
      <c r="F3336" s="74" t="s">
        <v>3</v>
      </c>
      <c r="G3336" s="72">
        <v>2E-3</v>
      </c>
      <c r="H3336" s="73"/>
      <c r="K3336" s="216"/>
    </row>
    <row r="3337" spans="1:11" x14ac:dyDescent="0.25">
      <c r="A3337" s="163"/>
      <c r="B3337" s="106"/>
      <c r="C3337" s="73"/>
      <c r="D3337" s="75" t="s">
        <v>1771</v>
      </c>
      <c r="E3337" s="73"/>
      <c r="F3337" s="74"/>
      <c r="G3337" s="72"/>
      <c r="H3337" s="73"/>
      <c r="K3337" s="216"/>
    </row>
    <row r="3338" spans="1:11" x14ac:dyDescent="0.25">
      <c r="A3338" s="163"/>
      <c r="B3338" s="106"/>
      <c r="C3338" s="73"/>
      <c r="D3338" s="73" t="s">
        <v>177</v>
      </c>
      <c r="E3338" s="73"/>
      <c r="F3338" s="74" t="s">
        <v>3</v>
      </c>
      <c r="G3338" s="72">
        <f>0.54*0.1*1*8*1.122</f>
        <v>0.48470400000000008</v>
      </c>
      <c r="H3338" s="73"/>
      <c r="K3338" s="216"/>
    </row>
    <row r="3339" spans="1:11" x14ac:dyDescent="0.25">
      <c r="A3339" s="163"/>
      <c r="B3339" s="106"/>
      <c r="C3339" s="73"/>
      <c r="D3339" s="77" t="s">
        <v>1054</v>
      </c>
      <c r="E3339" s="73"/>
      <c r="F3339" s="152" t="s">
        <v>3</v>
      </c>
      <c r="G3339" s="72">
        <f>0.1*0.06*1.2</f>
        <v>7.1999999999999998E-3</v>
      </c>
      <c r="H3339" s="73"/>
      <c r="K3339" s="216"/>
    </row>
    <row r="3340" spans="1:11" ht="17.25" x14ac:dyDescent="0.25">
      <c r="A3340" s="163"/>
      <c r="B3340" s="106"/>
      <c r="C3340" s="73"/>
      <c r="D3340" s="73" t="s">
        <v>1055</v>
      </c>
      <c r="E3340" s="73"/>
      <c r="F3340" s="152" t="s">
        <v>596</v>
      </c>
      <c r="G3340" s="72">
        <f>G3339</f>
        <v>7.1999999999999998E-3</v>
      </c>
      <c r="H3340" s="73"/>
      <c r="K3340" s="216"/>
    </row>
    <row r="3341" spans="1:11" x14ac:dyDescent="0.25">
      <c r="A3341" s="163"/>
      <c r="B3341" s="106"/>
      <c r="C3341" s="73"/>
      <c r="D3341" s="75" t="s">
        <v>1772</v>
      </c>
      <c r="E3341" s="73"/>
      <c r="F3341" s="74"/>
      <c r="G3341" s="72"/>
      <c r="H3341" s="73"/>
      <c r="K3341" s="216"/>
    </row>
    <row r="3342" spans="1:11" x14ac:dyDescent="0.25">
      <c r="A3342" s="163"/>
      <c r="B3342" s="106"/>
      <c r="C3342" s="73"/>
      <c r="D3342" s="73" t="s">
        <v>177</v>
      </c>
      <c r="E3342" s="73"/>
      <c r="F3342" s="152" t="s">
        <v>3</v>
      </c>
      <c r="G3342" s="72">
        <f>0.18*0.14*1*8*1.115</f>
        <v>0.22478400000000001</v>
      </c>
      <c r="H3342" s="73"/>
      <c r="K3342" s="216"/>
    </row>
    <row r="3343" spans="1:11" x14ac:dyDescent="0.25">
      <c r="A3343" s="163"/>
      <c r="B3343" s="106"/>
      <c r="C3343" s="73"/>
      <c r="D3343" s="75" t="s">
        <v>1786</v>
      </c>
      <c r="E3343" s="73"/>
      <c r="F3343" s="74"/>
      <c r="G3343" s="72"/>
      <c r="H3343" s="73"/>
      <c r="K3343" s="216"/>
    </row>
    <row r="3344" spans="1:11" ht="17.25" x14ac:dyDescent="0.25">
      <c r="A3344" s="163"/>
      <c r="B3344" s="106"/>
      <c r="C3344" s="73"/>
      <c r="D3344" s="73" t="s">
        <v>1787</v>
      </c>
      <c r="E3344" s="73"/>
      <c r="F3344" s="152" t="s">
        <v>677</v>
      </c>
      <c r="G3344" s="72">
        <f>0.55*0.085*1.08</f>
        <v>5.0490000000000014E-2</v>
      </c>
      <c r="H3344" s="73"/>
      <c r="K3344" s="216"/>
    </row>
    <row r="3345" spans="1:11" ht="8.25" customHeight="1" x14ac:dyDescent="0.25">
      <c r="A3345" s="163"/>
      <c r="B3345" s="106"/>
      <c r="C3345" s="73"/>
      <c r="D3345" s="73"/>
      <c r="E3345" s="73"/>
      <c r="F3345" s="74"/>
      <c r="G3345" s="72"/>
      <c r="H3345" s="73"/>
      <c r="K3345" s="216"/>
    </row>
    <row r="3346" spans="1:11" x14ac:dyDescent="0.25">
      <c r="A3346" s="193"/>
      <c r="B3346" s="106" t="s">
        <v>1565</v>
      </c>
      <c r="C3346" s="75" t="s">
        <v>1773</v>
      </c>
      <c r="D3346" s="73"/>
      <c r="E3346" s="73"/>
      <c r="F3346" s="74"/>
      <c r="G3346" s="72"/>
      <c r="H3346" s="73"/>
      <c r="K3346" s="216"/>
    </row>
    <row r="3347" spans="1:11" x14ac:dyDescent="0.25">
      <c r="A3347" s="163"/>
      <c r="B3347" s="106"/>
      <c r="C3347" s="73" t="s">
        <v>1774</v>
      </c>
      <c r="D3347" s="73"/>
      <c r="E3347" s="73"/>
      <c r="F3347" s="74" t="s">
        <v>3</v>
      </c>
      <c r="G3347" s="72">
        <f>0.04*0.02*1*8*1.15</f>
        <v>7.3599999999999994E-3</v>
      </c>
      <c r="H3347" s="73"/>
      <c r="K3347" s="216"/>
    </row>
    <row r="3348" spans="1:11" ht="9" customHeight="1" x14ac:dyDescent="0.25">
      <c r="A3348" s="163"/>
      <c r="B3348" s="106"/>
      <c r="C3348" s="73"/>
      <c r="D3348" s="73"/>
      <c r="E3348" s="73"/>
      <c r="F3348" s="74"/>
      <c r="G3348" s="72"/>
      <c r="H3348" s="73"/>
      <c r="K3348" s="216"/>
    </row>
    <row r="3349" spans="1:11" x14ac:dyDescent="0.25">
      <c r="A3349" s="193"/>
      <c r="B3349" s="106" t="s">
        <v>1565</v>
      </c>
      <c r="C3349" s="75" t="s">
        <v>1775</v>
      </c>
      <c r="D3349" s="73"/>
      <c r="E3349" s="73"/>
      <c r="F3349" s="74"/>
      <c r="G3349" s="72"/>
      <c r="H3349" s="73"/>
      <c r="K3349" s="216"/>
    </row>
    <row r="3350" spans="1:11" x14ac:dyDescent="0.25">
      <c r="A3350" s="163"/>
      <c r="B3350" s="106"/>
      <c r="C3350" s="73" t="s">
        <v>140</v>
      </c>
      <c r="D3350" s="73"/>
      <c r="E3350" s="73"/>
      <c r="F3350" s="74" t="s">
        <v>3</v>
      </c>
      <c r="G3350" s="72">
        <f>0.07*0.08*1.2</f>
        <v>6.7200000000000011E-3</v>
      </c>
      <c r="H3350" s="73"/>
      <c r="K3350" s="216"/>
    </row>
    <row r="3351" spans="1:11" ht="17.25" x14ac:dyDescent="0.25">
      <c r="A3351" s="163"/>
      <c r="B3351" s="106"/>
      <c r="C3351" s="73" t="s">
        <v>23</v>
      </c>
      <c r="D3351" s="73"/>
      <c r="E3351" s="73"/>
      <c r="F3351" s="74" t="s">
        <v>596</v>
      </c>
      <c r="G3351" s="72">
        <f>G3350*1.5</f>
        <v>1.0080000000000002E-2</v>
      </c>
      <c r="H3351" s="73"/>
      <c r="K3351" s="216"/>
    </row>
    <row r="3352" spans="1:11" x14ac:dyDescent="0.25">
      <c r="A3352" s="163"/>
      <c r="B3352" s="106"/>
      <c r="C3352" s="73" t="s">
        <v>142</v>
      </c>
      <c r="D3352" s="73"/>
      <c r="E3352" s="73"/>
      <c r="F3352" s="74" t="s">
        <v>3</v>
      </c>
      <c r="G3352" s="72">
        <f>G3350/4</f>
        <v>1.6800000000000003E-3</v>
      </c>
      <c r="H3352" s="73"/>
      <c r="K3352" s="216"/>
    </row>
    <row r="3353" spans="1:11" x14ac:dyDescent="0.25">
      <c r="A3353" s="163"/>
      <c r="B3353" s="106"/>
      <c r="C3353" s="73"/>
      <c r="D3353" s="75" t="s">
        <v>1776</v>
      </c>
      <c r="E3353" s="73"/>
      <c r="F3353" s="74"/>
      <c r="G3353" s="72"/>
      <c r="H3353" s="73"/>
      <c r="K3353" s="216"/>
    </row>
    <row r="3354" spans="1:11" x14ac:dyDescent="0.25">
      <c r="A3354" s="163"/>
      <c r="B3354" s="106"/>
      <c r="C3354" s="73"/>
      <c r="D3354" s="73" t="s">
        <v>1777</v>
      </c>
      <c r="E3354" s="73"/>
      <c r="F3354" s="74" t="s">
        <v>3</v>
      </c>
      <c r="G3354" s="72">
        <v>0.04</v>
      </c>
      <c r="H3354" s="73"/>
      <c r="I3354" t="s">
        <v>1778</v>
      </c>
      <c r="K3354" s="216"/>
    </row>
    <row r="3355" spans="1:11" ht="9" customHeight="1" x14ac:dyDescent="0.25">
      <c r="A3355" s="163"/>
      <c r="B3355" s="106"/>
      <c r="C3355" s="73"/>
      <c r="D3355" s="73"/>
      <c r="E3355" s="73"/>
      <c r="F3355" s="74"/>
      <c r="G3355" s="72"/>
      <c r="H3355" s="73"/>
      <c r="K3355" s="216"/>
    </row>
    <row r="3356" spans="1:11" x14ac:dyDescent="0.25">
      <c r="A3356" s="193"/>
      <c r="B3356" s="106" t="s">
        <v>1565</v>
      </c>
      <c r="C3356" s="75" t="s">
        <v>1779</v>
      </c>
      <c r="D3356" s="73"/>
      <c r="E3356" s="73"/>
      <c r="F3356" s="74"/>
      <c r="G3356" s="72"/>
      <c r="H3356" s="73"/>
      <c r="K3356" s="216"/>
    </row>
    <row r="3357" spans="1:11" x14ac:dyDescent="0.25">
      <c r="A3357" s="163"/>
      <c r="B3357" s="106"/>
      <c r="C3357" s="73" t="s">
        <v>1784</v>
      </c>
      <c r="D3357" s="73"/>
      <c r="E3357" s="73"/>
      <c r="F3357" s="74" t="s">
        <v>3</v>
      </c>
      <c r="G3357" s="72">
        <f>0.15*0.037*1*8*1.13</f>
        <v>5.0171999999999987E-2</v>
      </c>
      <c r="H3357" s="73"/>
      <c r="K3357" s="216"/>
    </row>
    <row r="3358" spans="1:11" ht="8.25" customHeight="1" x14ac:dyDescent="0.25">
      <c r="A3358" s="163"/>
      <c r="B3358" s="106"/>
      <c r="C3358" s="73"/>
      <c r="D3358" s="73"/>
      <c r="E3358" s="73"/>
      <c r="F3358" s="74"/>
      <c r="G3358" s="72"/>
      <c r="H3358" s="73"/>
      <c r="K3358" s="216"/>
    </row>
    <row r="3359" spans="1:11" x14ac:dyDescent="0.25">
      <c r="A3359" s="193"/>
      <c r="B3359" s="106" t="s">
        <v>1565</v>
      </c>
      <c r="C3359" s="75" t="s">
        <v>1780</v>
      </c>
      <c r="D3359" s="73"/>
      <c r="E3359" s="73"/>
      <c r="F3359" s="74"/>
      <c r="G3359" s="72"/>
      <c r="H3359" s="73"/>
      <c r="K3359" s="216"/>
    </row>
    <row r="3360" spans="1:11" x14ac:dyDescent="0.25">
      <c r="A3360" s="163"/>
      <c r="B3360" s="106"/>
      <c r="C3360" s="77" t="s">
        <v>1781</v>
      </c>
      <c r="D3360" s="73"/>
      <c r="E3360" s="73"/>
      <c r="F3360" s="74" t="s">
        <v>3</v>
      </c>
      <c r="G3360" s="72">
        <f>0.1*0.1*2*2.7*1.02</f>
        <v>5.5080000000000018E-2</v>
      </c>
      <c r="H3360" s="73"/>
      <c r="K3360" s="216"/>
    </row>
    <row r="3361" spans="1:11" ht="8.25" customHeight="1" x14ac:dyDescent="0.25">
      <c r="A3361" s="163"/>
      <c r="B3361" s="106"/>
      <c r="C3361" s="73"/>
      <c r="D3361" s="73"/>
      <c r="E3361" s="73"/>
      <c r="F3361" s="74"/>
      <c r="G3361" s="72"/>
      <c r="H3361" s="73"/>
      <c r="K3361" s="216"/>
    </row>
    <row r="3362" spans="1:11" x14ac:dyDescent="0.25">
      <c r="A3362" s="193"/>
      <c r="B3362" s="106" t="s">
        <v>1565</v>
      </c>
      <c r="C3362" s="78" t="s">
        <v>1788</v>
      </c>
      <c r="D3362" s="73"/>
      <c r="E3362" s="73"/>
      <c r="F3362" s="74"/>
      <c r="G3362" s="72"/>
      <c r="H3362" s="73"/>
      <c r="K3362" s="216"/>
    </row>
    <row r="3363" spans="1:11" x14ac:dyDescent="0.25">
      <c r="A3363" s="163"/>
      <c r="B3363" s="106"/>
      <c r="C3363" s="77" t="s">
        <v>1793</v>
      </c>
      <c r="D3363" s="73"/>
      <c r="E3363" s="73"/>
      <c r="F3363" s="74" t="s">
        <v>1516</v>
      </c>
      <c r="G3363" s="72">
        <v>8</v>
      </c>
      <c r="H3363" s="73"/>
      <c r="K3363" s="216"/>
    </row>
    <row r="3364" spans="1:11" x14ac:dyDescent="0.25">
      <c r="A3364" s="163"/>
      <c r="B3364" s="106"/>
      <c r="C3364" s="78"/>
      <c r="D3364" s="75" t="s">
        <v>1789</v>
      </c>
      <c r="E3364" s="73"/>
      <c r="F3364" s="74"/>
      <c r="G3364" s="72"/>
      <c r="H3364" s="73"/>
      <c r="K3364" s="216"/>
    </row>
    <row r="3365" spans="1:11" x14ac:dyDescent="0.25">
      <c r="A3365" s="163"/>
      <c r="B3365" s="106"/>
      <c r="C3365" s="78"/>
      <c r="D3365" s="77" t="s">
        <v>1054</v>
      </c>
      <c r="E3365" s="73"/>
      <c r="F3365" s="152" t="s">
        <v>3</v>
      </c>
      <c r="G3365" s="72">
        <f>0.025*0.08*1.2</f>
        <v>2.3999999999999998E-3</v>
      </c>
      <c r="H3365" s="73"/>
      <c r="K3365" s="216"/>
    </row>
    <row r="3366" spans="1:11" ht="17.25" x14ac:dyDescent="0.25">
      <c r="A3366" s="163"/>
      <c r="B3366" s="106"/>
      <c r="C3366" s="78"/>
      <c r="D3366" s="73" t="s">
        <v>1055</v>
      </c>
      <c r="E3366" s="73"/>
      <c r="F3366" s="152" t="s">
        <v>596</v>
      </c>
      <c r="G3366" s="72">
        <f>G3365</f>
        <v>2.3999999999999998E-3</v>
      </c>
      <c r="H3366" s="73"/>
      <c r="K3366" s="216"/>
    </row>
    <row r="3367" spans="1:11" x14ac:dyDescent="0.25">
      <c r="A3367" s="163"/>
      <c r="B3367" s="106"/>
      <c r="C3367" s="78"/>
      <c r="D3367" s="100" t="s">
        <v>37</v>
      </c>
      <c r="E3367" s="73"/>
      <c r="F3367" s="152" t="s">
        <v>3</v>
      </c>
      <c r="G3367" s="72">
        <f>0.25*0.035*0.2*2*1.3</f>
        <v>4.5500000000000011E-3</v>
      </c>
      <c r="H3367" s="73"/>
      <c r="K3367" s="216"/>
    </row>
    <row r="3368" spans="1:11" x14ac:dyDescent="0.25">
      <c r="A3368" s="163"/>
      <c r="B3368" s="106"/>
      <c r="C3368" s="78"/>
      <c r="D3368" s="186" t="s">
        <v>8</v>
      </c>
      <c r="E3368" s="73"/>
      <c r="F3368" s="74" t="s">
        <v>3</v>
      </c>
      <c r="G3368" s="72">
        <f>G3369*0.8</f>
        <v>4.6656000000000006E-3</v>
      </c>
      <c r="H3368" s="73"/>
      <c r="K3368" s="216"/>
    </row>
    <row r="3369" spans="1:11" x14ac:dyDescent="0.25">
      <c r="A3369" s="163"/>
      <c r="B3369" s="106"/>
      <c r="C3369" s="78"/>
      <c r="D3369" s="77" t="s">
        <v>115</v>
      </c>
      <c r="E3369" s="73"/>
      <c r="F3369" s="74" t="s">
        <v>3</v>
      </c>
      <c r="G3369" s="72">
        <f>0.27*0.05*0.18*2*1.2</f>
        <v>5.8320000000000004E-3</v>
      </c>
      <c r="H3369" s="73"/>
      <c r="K3369" s="216"/>
    </row>
    <row r="3370" spans="1:11" x14ac:dyDescent="0.25">
      <c r="A3370" s="163"/>
      <c r="B3370" s="106"/>
      <c r="C3370" s="78"/>
      <c r="D3370" s="186" t="s">
        <v>12</v>
      </c>
      <c r="E3370" s="73"/>
      <c r="F3370" s="74" t="s">
        <v>3</v>
      </c>
      <c r="G3370" s="72">
        <f>0.3*(G3369+G3368)</f>
        <v>3.1492800000000004E-3</v>
      </c>
      <c r="H3370" s="73"/>
      <c r="K3370" s="216"/>
    </row>
    <row r="3371" spans="1:11" x14ac:dyDescent="0.25">
      <c r="A3371" s="163"/>
      <c r="B3371" s="106"/>
      <c r="C3371" s="78"/>
      <c r="D3371" s="75"/>
      <c r="E3371" s="75" t="s">
        <v>1791</v>
      </c>
      <c r="F3371" s="74"/>
      <c r="G3371" s="72"/>
      <c r="H3371" s="73"/>
      <c r="K3371" s="216"/>
    </row>
    <row r="3372" spans="1:11" x14ac:dyDescent="0.25">
      <c r="A3372" s="163"/>
      <c r="B3372" s="106"/>
      <c r="C3372" s="78"/>
      <c r="D3372" s="73"/>
      <c r="E3372" s="73" t="s">
        <v>275</v>
      </c>
      <c r="F3372" s="74" t="s">
        <v>3</v>
      </c>
      <c r="G3372" s="72">
        <f>0.355*0.035*1.5*8*1.142</f>
        <v>0.17027219999999998</v>
      </c>
      <c r="H3372" s="73"/>
      <c r="K3372" s="216"/>
    </row>
    <row r="3373" spans="1:11" x14ac:dyDescent="0.25">
      <c r="A3373" s="163"/>
      <c r="B3373" s="106"/>
      <c r="C3373" s="78"/>
      <c r="D3373" s="75" t="s">
        <v>1790</v>
      </c>
      <c r="E3373" s="73"/>
      <c r="F3373" s="74"/>
      <c r="G3373" s="72"/>
      <c r="H3373" s="73"/>
      <c r="K3373" s="216"/>
    </row>
    <row r="3374" spans="1:11" x14ac:dyDescent="0.25">
      <c r="A3374" s="163"/>
      <c r="B3374" s="106"/>
      <c r="C3374" s="78"/>
      <c r="D3374" s="77" t="s">
        <v>1054</v>
      </c>
      <c r="E3374" s="73"/>
      <c r="F3374" s="152" t="s">
        <v>3</v>
      </c>
      <c r="G3374" s="72">
        <f>(0.1+0.016*3.14*4)*0.08*1.2</f>
        <v>2.889216E-2</v>
      </c>
      <c r="H3374" s="73"/>
      <c r="K3374" s="216"/>
    </row>
    <row r="3375" spans="1:11" ht="17.25" x14ac:dyDescent="0.25">
      <c r="A3375" s="163"/>
      <c r="B3375" s="106"/>
      <c r="C3375" s="78"/>
      <c r="D3375" s="73" t="s">
        <v>1055</v>
      </c>
      <c r="E3375" s="73"/>
      <c r="F3375" s="152" t="s">
        <v>596</v>
      </c>
      <c r="G3375" s="72">
        <f>G3374</f>
        <v>2.889216E-2</v>
      </c>
      <c r="H3375" s="73"/>
      <c r="K3375" s="216"/>
    </row>
    <row r="3376" spans="1:11" x14ac:dyDescent="0.25">
      <c r="A3376" s="163"/>
      <c r="B3376" s="106"/>
      <c r="C3376" s="78"/>
      <c r="D3376" s="100" t="s">
        <v>37</v>
      </c>
      <c r="E3376" s="73"/>
      <c r="F3376" s="152" t="s">
        <v>3</v>
      </c>
      <c r="G3376" s="72">
        <f>0.25*0.035*0.2*2*1.3</f>
        <v>4.5500000000000011E-3</v>
      </c>
      <c r="H3376" s="73"/>
      <c r="K3376" s="216"/>
    </row>
    <row r="3377" spans="1:11" x14ac:dyDescent="0.25">
      <c r="A3377" s="163"/>
      <c r="B3377" s="106"/>
      <c r="C3377" s="78"/>
      <c r="D3377" s="186" t="s">
        <v>8</v>
      </c>
      <c r="E3377" s="73"/>
      <c r="F3377" s="74" t="s">
        <v>3</v>
      </c>
      <c r="G3377" s="72">
        <f>G3378*0.8</f>
        <v>2.0390399999999999E-2</v>
      </c>
      <c r="H3377" s="73"/>
      <c r="K3377" s="216"/>
    </row>
    <row r="3378" spans="1:11" x14ac:dyDescent="0.25">
      <c r="A3378" s="163"/>
      <c r="B3378" s="106"/>
      <c r="C3378" s="78"/>
      <c r="D3378" s="77" t="s">
        <v>115</v>
      </c>
      <c r="E3378" s="73"/>
      <c r="F3378" s="74" t="s">
        <v>3</v>
      </c>
      <c r="G3378" s="72">
        <f>1.2*0.05*0.18*2*1.18</f>
        <v>2.5487999999999997E-2</v>
      </c>
      <c r="H3378" s="73"/>
      <c r="K3378" s="216"/>
    </row>
    <row r="3379" spans="1:11" x14ac:dyDescent="0.25">
      <c r="A3379" s="163"/>
      <c r="B3379" s="106"/>
      <c r="C3379" s="78"/>
      <c r="D3379" s="186" t="s">
        <v>12</v>
      </c>
      <c r="E3379" s="73"/>
      <c r="F3379" s="74" t="s">
        <v>3</v>
      </c>
      <c r="G3379" s="72">
        <f>0.3*(G3378+G3377)</f>
        <v>1.376352E-2</v>
      </c>
      <c r="H3379" s="73"/>
      <c r="K3379" s="216"/>
    </row>
    <row r="3380" spans="1:11" x14ac:dyDescent="0.25">
      <c r="A3380" s="163"/>
      <c r="B3380" s="106"/>
      <c r="C3380" s="78"/>
      <c r="D3380" s="186"/>
      <c r="E3380" s="75" t="s">
        <v>1792</v>
      </c>
      <c r="F3380" s="74"/>
      <c r="G3380" s="72"/>
      <c r="H3380" s="73"/>
      <c r="K3380" s="216"/>
    </row>
    <row r="3381" spans="1:11" x14ac:dyDescent="0.25">
      <c r="A3381" s="163"/>
      <c r="B3381" s="106"/>
      <c r="C3381" s="78"/>
      <c r="D3381" s="186"/>
      <c r="E3381" s="73" t="s">
        <v>275</v>
      </c>
      <c r="F3381" s="74" t="s">
        <v>3</v>
      </c>
      <c r="G3381" s="72">
        <f>(0.515*0.265-0.472*0.19)*1.5*8*1.158</f>
        <v>0.65026332000000009</v>
      </c>
      <c r="H3381" s="73"/>
      <c r="K3381" s="216"/>
    </row>
    <row r="3382" spans="1:11" ht="8.25" customHeight="1" x14ac:dyDescent="0.25">
      <c r="A3382" s="163"/>
      <c r="B3382" s="106"/>
      <c r="C3382" s="78"/>
      <c r="D3382" s="73"/>
      <c r="E3382" s="73"/>
      <c r="F3382" s="74"/>
      <c r="G3382" s="72"/>
      <c r="H3382" s="73"/>
      <c r="K3382" s="216"/>
    </row>
    <row r="3383" spans="1:11" x14ac:dyDescent="0.25">
      <c r="A3383" s="193"/>
      <c r="B3383" s="96" t="s">
        <v>1565</v>
      </c>
      <c r="C3383" s="78" t="s">
        <v>1604</v>
      </c>
      <c r="D3383" s="186"/>
      <c r="E3383" s="73"/>
      <c r="F3383" s="74"/>
      <c r="G3383" s="72"/>
      <c r="H3383" s="73"/>
      <c r="K3383"/>
    </row>
    <row r="3384" spans="1:11" x14ac:dyDescent="0.25">
      <c r="A3384" s="163"/>
      <c r="B3384" s="96"/>
      <c r="C3384" s="77"/>
      <c r="D3384" s="186" t="s">
        <v>1605</v>
      </c>
      <c r="E3384" s="73"/>
      <c r="F3384" s="74" t="s">
        <v>3</v>
      </c>
      <c r="G3384" s="72">
        <f>0.045*0.08*0.8*8*1.12</f>
        <v>2.5804800000000003E-2</v>
      </c>
      <c r="H3384" s="73"/>
      <c r="K3384"/>
    </row>
    <row r="3385" spans="1:11" ht="8.25" customHeight="1" x14ac:dyDescent="0.25">
      <c r="A3385" s="163"/>
      <c r="B3385" s="96"/>
      <c r="C3385" s="77"/>
      <c r="D3385" s="186"/>
      <c r="E3385" s="73"/>
      <c r="F3385" s="74"/>
      <c r="G3385" s="72"/>
      <c r="H3385" s="73"/>
      <c r="K3385"/>
    </row>
    <row r="3386" spans="1:11" x14ac:dyDescent="0.25">
      <c r="A3386" s="193"/>
      <c r="B3386" s="96" t="s">
        <v>1565</v>
      </c>
      <c r="C3386" s="78" t="s">
        <v>1606</v>
      </c>
      <c r="D3386" s="186"/>
      <c r="E3386" s="73"/>
      <c r="F3386" s="74"/>
      <c r="G3386" s="72"/>
      <c r="H3386" s="73"/>
      <c r="K3386"/>
    </row>
    <row r="3387" spans="1:11" x14ac:dyDescent="0.25">
      <c r="A3387" s="163"/>
      <c r="B3387" s="96"/>
      <c r="C3387" s="77"/>
      <c r="D3387" s="77" t="s">
        <v>1607</v>
      </c>
      <c r="E3387" s="73"/>
      <c r="F3387" s="74" t="s">
        <v>3</v>
      </c>
      <c r="G3387" s="72">
        <f>(0.035*3.14+0.04)*0.02*0.8*8*1.12</f>
        <v>2.1489664000000002E-2</v>
      </c>
      <c r="H3387" s="73"/>
      <c r="K3387"/>
    </row>
    <row r="3388" spans="1:11" ht="8.25" customHeight="1" x14ac:dyDescent="0.25">
      <c r="A3388" s="163"/>
      <c r="B3388" s="96"/>
      <c r="C3388" s="77"/>
      <c r="D3388" s="186"/>
      <c r="E3388" s="73"/>
      <c r="F3388" s="74"/>
      <c r="G3388" s="72"/>
      <c r="H3388" s="73"/>
      <c r="K3388"/>
    </row>
    <row r="3389" spans="1:11" x14ac:dyDescent="0.25">
      <c r="A3389" s="193"/>
      <c r="B3389" s="96" t="s">
        <v>1565</v>
      </c>
      <c r="C3389" s="78" t="s">
        <v>1608</v>
      </c>
      <c r="D3389" s="186"/>
      <c r="E3389" s="73"/>
      <c r="F3389" s="74"/>
      <c r="G3389" s="72"/>
      <c r="H3389" s="73"/>
      <c r="K3389"/>
    </row>
    <row r="3390" spans="1:11" x14ac:dyDescent="0.25">
      <c r="A3390" s="163"/>
      <c r="B3390" s="96"/>
      <c r="C3390" s="77"/>
      <c r="D3390" s="77" t="s">
        <v>1799</v>
      </c>
      <c r="E3390" s="73"/>
      <c r="F3390" s="74" t="s">
        <v>3</v>
      </c>
      <c r="G3390" s="72">
        <f>0.28*0.03*0.25*8*1.12</f>
        <v>1.8816000000000003E-2</v>
      </c>
      <c r="H3390" s="73"/>
      <c r="K3390"/>
    </row>
    <row r="3391" spans="1:11" ht="8.25" customHeight="1" x14ac:dyDescent="0.25">
      <c r="A3391" s="163"/>
      <c r="B3391" s="96"/>
      <c r="C3391" s="77"/>
      <c r="D3391" s="186"/>
      <c r="E3391" s="73"/>
      <c r="F3391" s="74"/>
      <c r="G3391" s="72"/>
      <c r="H3391" s="73"/>
      <c r="K3391"/>
    </row>
    <row r="3392" spans="1:11" x14ac:dyDescent="0.25">
      <c r="A3392" s="193"/>
      <c r="B3392" s="96" t="s">
        <v>1565</v>
      </c>
      <c r="C3392" s="78" t="s">
        <v>1610</v>
      </c>
      <c r="D3392" s="186"/>
      <c r="E3392" s="73"/>
      <c r="F3392" s="74"/>
      <c r="G3392" s="72"/>
      <c r="H3392" s="73"/>
      <c r="K3392"/>
    </row>
    <row r="3393" spans="1:11" x14ac:dyDescent="0.25">
      <c r="A3393" s="163"/>
      <c r="B3393" s="96"/>
      <c r="C3393" s="77"/>
      <c r="D3393" s="77" t="s">
        <v>1800</v>
      </c>
      <c r="E3393" s="73"/>
      <c r="F3393" s="74" t="s">
        <v>3</v>
      </c>
      <c r="G3393" s="72">
        <f>0.28*0.03*0.5*8*1.12</f>
        <v>3.7632000000000006E-2</v>
      </c>
      <c r="H3393" s="73"/>
      <c r="K3393"/>
    </row>
    <row r="3394" spans="1:11" ht="8.25" customHeight="1" x14ac:dyDescent="0.25">
      <c r="A3394" s="163"/>
      <c r="B3394" s="96"/>
      <c r="C3394" s="77"/>
      <c r="D3394" s="186"/>
      <c r="E3394" s="73"/>
      <c r="F3394" s="74"/>
      <c r="G3394" s="72"/>
      <c r="H3394" s="73"/>
      <c r="K3394"/>
    </row>
    <row r="3395" spans="1:11" x14ac:dyDescent="0.25">
      <c r="A3395" s="193"/>
      <c r="B3395" s="96" t="s">
        <v>1565</v>
      </c>
      <c r="C3395" s="78" t="s">
        <v>1609</v>
      </c>
      <c r="D3395" s="186"/>
      <c r="E3395" s="73"/>
      <c r="F3395" s="74"/>
      <c r="G3395" s="72"/>
      <c r="H3395" s="73"/>
      <c r="K3395"/>
    </row>
    <row r="3396" spans="1:11" x14ac:dyDescent="0.25">
      <c r="A3396" s="163"/>
      <c r="B3396" s="96"/>
      <c r="C3396" s="77"/>
      <c r="D3396" s="77" t="s">
        <v>1801</v>
      </c>
      <c r="E3396" s="73"/>
      <c r="F3396" s="74" t="s">
        <v>3</v>
      </c>
      <c r="G3396" s="72">
        <f>0.28*0.03*1*8*1.12</f>
        <v>7.5264000000000011E-2</v>
      </c>
      <c r="H3396" s="73"/>
      <c r="K3396"/>
    </row>
    <row r="3397" spans="1:11" ht="8.25" customHeight="1" x14ac:dyDescent="0.25">
      <c r="A3397" s="163"/>
      <c r="B3397" s="96"/>
      <c r="C3397" s="77"/>
      <c r="D3397" s="186"/>
      <c r="E3397" s="73"/>
      <c r="F3397" s="74"/>
      <c r="G3397" s="72"/>
      <c r="H3397" s="73"/>
      <c r="K3397"/>
    </row>
    <row r="3398" spans="1:11" x14ac:dyDescent="0.25">
      <c r="A3398" s="193"/>
      <c r="B3398" s="96" t="s">
        <v>1565</v>
      </c>
      <c r="C3398" s="78" t="s">
        <v>1611</v>
      </c>
      <c r="D3398" s="186"/>
      <c r="E3398" s="73"/>
      <c r="F3398" s="74"/>
      <c r="G3398" s="72"/>
      <c r="H3398" s="73"/>
      <c r="K3398"/>
    </row>
    <row r="3399" spans="1:11" x14ac:dyDescent="0.25">
      <c r="A3399" s="163"/>
      <c r="B3399" s="96"/>
      <c r="C3399" s="77"/>
      <c r="D3399" s="77" t="s">
        <v>1802</v>
      </c>
      <c r="E3399" s="73"/>
      <c r="F3399" s="74" t="s">
        <v>3</v>
      </c>
      <c r="G3399" s="72">
        <f>0.28*0.03*2*8*1.115</f>
        <v>0.14985600000000002</v>
      </c>
      <c r="H3399" s="73"/>
      <c r="K3399"/>
    </row>
    <row r="3400" spans="1:11" ht="7.5" customHeight="1" x14ac:dyDescent="0.25">
      <c r="A3400" s="163"/>
      <c r="B3400" s="96"/>
      <c r="C3400" s="77"/>
      <c r="D3400" s="186"/>
      <c r="E3400" s="73"/>
      <c r="F3400" s="74"/>
      <c r="G3400" s="72"/>
      <c r="H3400" s="73"/>
      <c r="K3400"/>
    </row>
    <row r="3401" spans="1:11" x14ac:dyDescent="0.25">
      <c r="A3401" s="193"/>
      <c r="B3401" s="96" t="s">
        <v>1565</v>
      </c>
      <c r="C3401" s="78" t="s">
        <v>1612</v>
      </c>
      <c r="D3401" s="186"/>
      <c r="E3401" s="73"/>
      <c r="F3401" s="74"/>
      <c r="G3401" s="72"/>
      <c r="H3401" s="73"/>
      <c r="I3401" t="s">
        <v>1803</v>
      </c>
      <c r="K3401"/>
    </row>
    <row r="3402" spans="1:11" x14ac:dyDescent="0.25">
      <c r="A3402" s="163"/>
      <c r="B3402" s="96"/>
      <c r="C3402" s="77"/>
      <c r="D3402" s="77" t="s">
        <v>1613</v>
      </c>
      <c r="E3402" s="73"/>
      <c r="F3402" s="74" t="s">
        <v>3</v>
      </c>
      <c r="G3402" s="72">
        <f>0.055*0.435*1.5*8*1.185</f>
        <v>0.3402135</v>
      </c>
      <c r="H3402" s="73"/>
      <c r="K3402"/>
    </row>
    <row r="3403" spans="1:11" ht="8.25" customHeight="1" x14ac:dyDescent="0.25">
      <c r="A3403" s="163"/>
      <c r="B3403" s="96"/>
      <c r="C3403" s="77"/>
      <c r="D3403" s="186"/>
      <c r="E3403" s="73"/>
      <c r="F3403" s="74"/>
      <c r="G3403" s="72"/>
      <c r="H3403" s="73"/>
      <c r="K3403"/>
    </row>
    <row r="3404" spans="1:11" x14ac:dyDescent="0.25">
      <c r="A3404" s="193"/>
      <c r="B3404" s="96" t="s">
        <v>1565</v>
      </c>
      <c r="C3404" s="78" t="s">
        <v>1614</v>
      </c>
      <c r="D3404" s="186"/>
      <c r="E3404" s="73"/>
      <c r="F3404" s="74"/>
      <c r="G3404" s="72"/>
      <c r="H3404" s="73"/>
      <c r="K3404"/>
    </row>
    <row r="3405" spans="1:11" x14ac:dyDescent="0.25">
      <c r="A3405" s="163"/>
      <c r="B3405" s="96"/>
      <c r="C3405" s="77"/>
      <c r="D3405" s="77" t="s">
        <v>1613</v>
      </c>
      <c r="E3405" s="73"/>
      <c r="F3405" s="74" t="s">
        <v>3</v>
      </c>
      <c r="G3405" s="72">
        <v>0.54</v>
      </c>
      <c r="H3405" s="73"/>
      <c r="I3405" t="s">
        <v>1803</v>
      </c>
      <c r="K3405"/>
    </row>
    <row r="3406" spans="1:11" ht="7.5" customHeight="1" x14ac:dyDescent="0.25">
      <c r="A3406" s="163"/>
      <c r="B3406" s="96"/>
      <c r="C3406" s="77"/>
      <c r="D3406" s="186"/>
      <c r="E3406" s="73"/>
      <c r="F3406" s="74"/>
      <c r="G3406" s="72"/>
      <c r="H3406" s="73"/>
      <c r="K3406"/>
    </row>
    <row r="3407" spans="1:11" x14ac:dyDescent="0.25">
      <c r="A3407" s="193"/>
      <c r="B3407" s="96" t="s">
        <v>1565</v>
      </c>
      <c r="C3407" s="78" t="s">
        <v>1615</v>
      </c>
      <c r="D3407" s="186"/>
      <c r="E3407" s="73"/>
      <c r="F3407" s="74"/>
      <c r="G3407" s="72"/>
      <c r="H3407" s="73"/>
      <c r="K3407"/>
    </row>
    <row r="3408" spans="1:11" x14ac:dyDescent="0.25">
      <c r="A3408" s="163"/>
      <c r="B3408" s="96"/>
      <c r="C3408" s="77"/>
      <c r="D3408" s="77" t="s">
        <v>1613</v>
      </c>
      <c r="E3408" s="73"/>
      <c r="F3408" s="74" t="s">
        <v>3</v>
      </c>
      <c r="G3408" s="72">
        <f>0.0581*0.43*1.5*8</f>
        <v>0.29979599999999995</v>
      </c>
      <c r="H3408" s="73"/>
      <c r="K3408"/>
    </row>
    <row r="3409" spans="1:11" x14ac:dyDescent="0.25">
      <c r="A3409" s="163"/>
      <c r="B3409" s="96"/>
      <c r="C3409" s="77"/>
      <c r="D3409" s="186"/>
      <c r="E3409" s="73"/>
      <c r="F3409" s="74"/>
      <c r="G3409" s="72"/>
      <c r="H3409" s="73"/>
      <c r="K3409"/>
    </row>
    <row r="3410" spans="1:11" x14ac:dyDescent="0.25">
      <c r="A3410" s="217"/>
      <c r="B3410" s="13"/>
      <c r="C3410" s="3" t="s">
        <v>1808</v>
      </c>
      <c r="F3410" s="216"/>
      <c r="G3410" s="72"/>
      <c r="K3410"/>
    </row>
    <row r="3411" spans="1:11" x14ac:dyDescent="0.25">
      <c r="B3411" s="13"/>
      <c r="D3411" t="s">
        <v>361</v>
      </c>
      <c r="F3411" s="216" t="s">
        <v>3</v>
      </c>
      <c r="G3411" s="72">
        <f>0.025*0.025*0.5*8*1.1</f>
        <v>2.7500000000000007E-3</v>
      </c>
      <c r="K3411"/>
    </row>
    <row r="3412" spans="1:11" x14ac:dyDescent="0.25">
      <c r="B3412" s="13"/>
      <c r="F3412" s="216"/>
      <c r="G3412" s="72"/>
      <c r="K3412"/>
    </row>
    <row r="3413" spans="1:11" x14ac:dyDescent="0.25">
      <c r="A3413" s="217"/>
      <c r="B3413" s="13"/>
      <c r="C3413" s="3" t="s">
        <v>1809</v>
      </c>
      <c r="F3413" s="216"/>
      <c r="G3413" s="72"/>
      <c r="K3413"/>
    </row>
    <row r="3414" spans="1:11" x14ac:dyDescent="0.25">
      <c r="B3414" s="13"/>
      <c r="D3414" t="s">
        <v>1812</v>
      </c>
      <c r="F3414" s="216" t="s">
        <v>3</v>
      </c>
      <c r="G3414" s="72">
        <f>0.025*0.025*0.5*8*1.1</f>
        <v>2.7500000000000007E-3</v>
      </c>
      <c r="K3414"/>
    </row>
    <row r="3415" spans="1:11" x14ac:dyDescent="0.25">
      <c r="B3415" s="13"/>
      <c r="F3415" s="216"/>
      <c r="G3415" s="72"/>
      <c r="K3415"/>
    </row>
    <row r="3416" spans="1:11" x14ac:dyDescent="0.25">
      <c r="A3416" s="217"/>
      <c r="B3416" s="13"/>
      <c r="C3416" s="3" t="s">
        <v>1810</v>
      </c>
      <c r="F3416" s="216"/>
      <c r="G3416" s="72"/>
      <c r="K3416"/>
    </row>
    <row r="3417" spans="1:11" x14ac:dyDescent="0.25">
      <c r="B3417" s="13"/>
      <c r="D3417" t="s">
        <v>1813</v>
      </c>
      <c r="F3417" s="216" t="s">
        <v>3</v>
      </c>
      <c r="G3417" s="72">
        <f>0.035/7</f>
        <v>5.0000000000000001E-3</v>
      </c>
      <c r="K3417"/>
    </row>
    <row r="3418" spans="1:11" x14ac:dyDescent="0.25">
      <c r="B3418" s="13"/>
      <c r="F3418" s="216"/>
      <c r="G3418" s="72"/>
      <c r="K3418"/>
    </row>
    <row r="3419" spans="1:11" x14ac:dyDescent="0.25">
      <c r="A3419" s="217"/>
      <c r="B3419" s="13"/>
      <c r="C3419" s="3" t="s">
        <v>1811</v>
      </c>
      <c r="F3419" s="216"/>
      <c r="G3419" s="72"/>
      <c r="K3419"/>
    </row>
    <row r="3420" spans="1:11" x14ac:dyDescent="0.25">
      <c r="B3420" s="13"/>
      <c r="D3420" t="s">
        <v>1813</v>
      </c>
      <c r="F3420" s="216" t="s">
        <v>3</v>
      </c>
      <c r="G3420" s="72">
        <f>0.035</f>
        <v>3.5000000000000003E-2</v>
      </c>
      <c r="K3420"/>
    </row>
    <row r="3421" spans="1:11" x14ac:dyDescent="0.25">
      <c r="B3421" s="13"/>
      <c r="F3421" s="216"/>
      <c r="G3421" s="72"/>
      <c r="K3421"/>
    </row>
    <row r="3422" spans="1:11" x14ac:dyDescent="0.25">
      <c r="A3422" s="217"/>
      <c r="B3422" s="13"/>
      <c r="C3422" s="3" t="s">
        <v>1711</v>
      </c>
      <c r="F3422" s="216"/>
      <c r="G3422" s="72"/>
      <c r="K3422"/>
    </row>
    <row r="3423" spans="1:11" x14ac:dyDescent="0.25">
      <c r="B3423" s="13"/>
      <c r="D3423" t="s">
        <v>415</v>
      </c>
      <c r="F3423" s="216" t="s">
        <v>3</v>
      </c>
      <c r="G3423" s="72">
        <f>0.085*0.014*1.5*8</f>
        <v>1.4280000000000001E-2</v>
      </c>
      <c r="K3423"/>
    </row>
    <row r="3424" spans="1:11" x14ac:dyDescent="0.25">
      <c r="B3424" s="13"/>
      <c r="F3424" s="216"/>
      <c r="G3424" s="72"/>
      <c r="K3424"/>
    </row>
    <row r="3425" spans="1:11" x14ac:dyDescent="0.25">
      <c r="A3425" s="217"/>
      <c r="B3425" s="13"/>
      <c r="C3425" s="3" t="s">
        <v>1814</v>
      </c>
      <c r="F3425" s="221"/>
      <c r="G3425" s="72"/>
      <c r="K3425"/>
    </row>
    <row r="3426" spans="1:11" x14ac:dyDescent="0.25">
      <c r="B3426" s="13"/>
      <c r="D3426" t="s">
        <v>1816</v>
      </c>
      <c r="F3426" s="221" t="s">
        <v>3</v>
      </c>
      <c r="G3426" s="72">
        <f>0.1*0.03*0.5*8*1.15</f>
        <v>1.38E-2</v>
      </c>
      <c r="K3426"/>
    </row>
    <row r="3427" spans="1:11" x14ac:dyDescent="0.25">
      <c r="B3427" s="13"/>
      <c r="F3427" s="221"/>
      <c r="G3427" s="72"/>
      <c r="K3427"/>
    </row>
    <row r="3428" spans="1:11" x14ac:dyDescent="0.25">
      <c r="A3428" s="217"/>
      <c r="B3428" s="13"/>
      <c r="C3428" s="3" t="s">
        <v>1815</v>
      </c>
      <c r="F3428" s="221"/>
      <c r="G3428" s="72"/>
      <c r="K3428"/>
    </row>
    <row r="3429" spans="1:11" x14ac:dyDescent="0.25">
      <c r="B3429" s="13"/>
      <c r="D3429" t="s">
        <v>1817</v>
      </c>
      <c r="F3429" s="221" t="s">
        <v>3</v>
      </c>
      <c r="G3429" s="72">
        <f>0.1*0.03*1*8*1.12</f>
        <v>2.6880000000000005E-2</v>
      </c>
      <c r="K3429"/>
    </row>
    <row r="3430" spans="1:11" x14ac:dyDescent="0.25">
      <c r="B3430" s="13"/>
      <c r="F3430" s="221"/>
      <c r="G3430" s="72"/>
      <c r="K3430"/>
    </row>
    <row r="3431" spans="1:11" x14ac:dyDescent="0.25">
      <c r="A3431" s="217"/>
      <c r="B3431" s="13"/>
      <c r="C3431" s="3" t="s">
        <v>1818</v>
      </c>
      <c r="F3431" s="221"/>
      <c r="G3431" s="72"/>
      <c r="K3431"/>
    </row>
    <row r="3432" spans="1:11" x14ac:dyDescent="0.25">
      <c r="B3432" s="13"/>
      <c r="D3432" t="s">
        <v>1824</v>
      </c>
      <c r="F3432" s="221" t="s">
        <v>3</v>
      </c>
      <c r="G3432" s="72">
        <f>0.065*0.04*0.25*8*1.12</f>
        <v>5.8240000000000011E-3</v>
      </c>
      <c r="K3432"/>
    </row>
    <row r="3433" spans="1:11" x14ac:dyDescent="0.25">
      <c r="B3433" s="13"/>
      <c r="F3433" s="221"/>
      <c r="G3433" s="72"/>
      <c r="K3433"/>
    </row>
    <row r="3434" spans="1:11" x14ac:dyDescent="0.25">
      <c r="A3434" s="217"/>
      <c r="B3434" s="13"/>
      <c r="C3434" s="3" t="s">
        <v>1819</v>
      </c>
      <c r="F3434" s="221"/>
      <c r="G3434" s="72"/>
      <c r="K3434"/>
    </row>
    <row r="3435" spans="1:11" x14ac:dyDescent="0.25">
      <c r="B3435" s="13"/>
      <c r="D3435" t="s">
        <v>54</v>
      </c>
      <c r="F3435" s="221" t="s">
        <v>3</v>
      </c>
      <c r="G3435" s="72">
        <f>0.065*0.04*4*8*1.14</f>
        <v>9.4848000000000002E-2</v>
      </c>
      <c r="K3435"/>
    </row>
    <row r="3436" spans="1:11" x14ac:dyDescent="0.25">
      <c r="B3436" s="13"/>
      <c r="F3436" s="221"/>
      <c r="G3436" s="72"/>
      <c r="K3436"/>
    </row>
    <row r="3437" spans="1:11" x14ac:dyDescent="0.25">
      <c r="A3437" s="217"/>
      <c r="B3437" s="13"/>
      <c r="C3437" s="3" t="s">
        <v>1820</v>
      </c>
      <c r="F3437" s="221"/>
      <c r="G3437" s="72"/>
      <c r="K3437"/>
    </row>
    <row r="3438" spans="1:11" x14ac:dyDescent="0.25">
      <c r="B3438" s="13"/>
      <c r="D3438" t="s">
        <v>1823</v>
      </c>
      <c r="F3438" s="221" t="s">
        <v>3</v>
      </c>
      <c r="G3438" s="72">
        <f>0.1*0.1*0.1*8</f>
        <v>8.0000000000000019E-3</v>
      </c>
      <c r="K3438"/>
    </row>
    <row r="3439" spans="1:11" x14ac:dyDescent="0.25">
      <c r="B3439" s="13"/>
      <c r="F3439" s="221"/>
      <c r="G3439" s="72"/>
      <c r="K3439"/>
    </row>
    <row r="3440" spans="1:11" x14ac:dyDescent="0.25">
      <c r="A3440" s="217"/>
      <c r="B3440" s="13"/>
      <c r="C3440" s="3" t="s">
        <v>1821</v>
      </c>
      <c r="F3440" s="221"/>
      <c r="G3440" s="72"/>
      <c r="K3440"/>
    </row>
    <row r="3441" spans="1:11" x14ac:dyDescent="0.25">
      <c r="B3441" s="13"/>
      <c r="D3441" t="s">
        <v>1825</v>
      </c>
      <c r="F3441" s="221" t="s">
        <v>3</v>
      </c>
      <c r="G3441" s="72">
        <f>0.1*0.1*0.25*8</f>
        <v>2.0000000000000004E-2</v>
      </c>
      <c r="K3441"/>
    </row>
    <row r="3442" spans="1:11" x14ac:dyDescent="0.25">
      <c r="B3442" s="13"/>
      <c r="F3442" s="221"/>
      <c r="G3442" s="72"/>
      <c r="K3442"/>
    </row>
    <row r="3443" spans="1:11" x14ac:dyDescent="0.25">
      <c r="A3443" s="217"/>
      <c r="B3443" s="13"/>
      <c r="C3443" s="3" t="s">
        <v>1822</v>
      </c>
      <c r="F3443" s="221"/>
      <c r="G3443" s="72"/>
      <c r="K3443"/>
    </row>
    <row r="3444" spans="1:11" x14ac:dyDescent="0.25">
      <c r="B3444" s="13"/>
      <c r="D3444" t="s">
        <v>1826</v>
      </c>
      <c r="F3444" s="221" t="s">
        <v>3</v>
      </c>
      <c r="G3444" s="72">
        <f>0.1*0.1*0.5*8</f>
        <v>4.0000000000000008E-2</v>
      </c>
      <c r="K3444"/>
    </row>
    <row r="3445" spans="1:11" x14ac:dyDescent="0.25">
      <c r="B3445" s="13"/>
      <c r="F3445" s="221"/>
      <c r="G3445" s="72"/>
      <c r="K3445"/>
    </row>
    <row r="3446" spans="1:11" x14ac:dyDescent="0.25">
      <c r="A3446" s="217"/>
      <c r="B3446" s="13"/>
      <c r="C3446" s="3" t="s">
        <v>1827</v>
      </c>
      <c r="F3446" s="221"/>
      <c r="G3446" s="72"/>
      <c r="K3446"/>
    </row>
    <row r="3447" spans="1:11" x14ac:dyDescent="0.25">
      <c r="B3447" s="13"/>
      <c r="D3447" t="s">
        <v>1828</v>
      </c>
      <c r="F3447" s="221" t="s">
        <v>3</v>
      </c>
      <c r="G3447" s="72">
        <f>0.06*0.06*1*8*1.05</f>
        <v>3.024E-2</v>
      </c>
      <c r="K3447"/>
    </row>
    <row r="3448" spans="1:11" x14ac:dyDescent="0.25">
      <c r="B3448" s="13"/>
      <c r="F3448" s="221"/>
      <c r="G3448" s="72"/>
      <c r="K3448"/>
    </row>
    <row r="3449" spans="1:11" x14ac:dyDescent="0.25">
      <c r="A3449" s="217"/>
      <c r="B3449" s="13"/>
      <c r="C3449" s="3" t="s">
        <v>1829</v>
      </c>
      <c r="F3449" s="221"/>
      <c r="G3449" s="72"/>
      <c r="K3449"/>
    </row>
    <row r="3450" spans="1:11" x14ac:dyDescent="0.25">
      <c r="B3450" s="13"/>
      <c r="D3450" t="s">
        <v>412</v>
      </c>
      <c r="F3450" s="221" t="s">
        <v>3</v>
      </c>
      <c r="G3450" s="72">
        <f>0.08*0.08*2*8*1.12</f>
        <v>0.11468800000000001</v>
      </c>
      <c r="K3450"/>
    </row>
    <row r="3451" spans="1:11" x14ac:dyDescent="0.25">
      <c r="B3451" s="13"/>
      <c r="F3451" s="221"/>
      <c r="G3451" s="72"/>
      <c r="K3451"/>
    </row>
    <row r="3452" spans="1:11" x14ac:dyDescent="0.25">
      <c r="A3452" s="217"/>
      <c r="B3452" s="13"/>
      <c r="C3452" s="3" t="s">
        <v>1830</v>
      </c>
      <c r="F3452" s="221"/>
      <c r="G3452" s="72"/>
      <c r="K3452"/>
    </row>
    <row r="3453" spans="1:11" x14ac:dyDescent="0.25">
      <c r="B3453" s="13"/>
      <c r="D3453" t="s">
        <v>415</v>
      </c>
      <c r="F3453" s="221" t="s">
        <v>3</v>
      </c>
      <c r="G3453" s="72">
        <f>0.014*1.12</f>
        <v>1.5680000000000003E-2</v>
      </c>
      <c r="K3453"/>
    </row>
    <row r="3454" spans="1:11" x14ac:dyDescent="0.25">
      <c r="B3454" s="13"/>
      <c r="F3454" s="221"/>
      <c r="G3454" s="72"/>
      <c r="K3454"/>
    </row>
    <row r="3455" spans="1:11" x14ac:dyDescent="0.25">
      <c r="A3455" s="217"/>
      <c r="B3455" s="13"/>
      <c r="C3455" s="3" t="s">
        <v>1831</v>
      </c>
      <c r="F3455" s="221"/>
      <c r="G3455" s="72"/>
      <c r="K3455"/>
    </row>
    <row r="3456" spans="1:11" x14ac:dyDescent="0.25">
      <c r="B3456" s="13"/>
      <c r="D3456" t="s">
        <v>177</v>
      </c>
      <c r="F3456" s="221" t="s">
        <v>3</v>
      </c>
      <c r="G3456" s="72">
        <f>0.019*1.12</f>
        <v>2.128E-2</v>
      </c>
      <c r="K3456"/>
    </row>
    <row r="3457" spans="1:11" x14ac:dyDescent="0.25">
      <c r="B3457" s="13"/>
      <c r="F3457" s="221"/>
      <c r="G3457" s="148"/>
      <c r="K3457"/>
    </row>
    <row r="3458" spans="1:11" x14ac:dyDescent="0.25">
      <c r="A3458" s="217"/>
      <c r="B3458" s="13"/>
      <c r="C3458" s="3" t="s">
        <v>1832</v>
      </c>
      <c r="F3458" s="221"/>
      <c r="G3458" s="72"/>
      <c r="K3458"/>
    </row>
    <row r="3459" spans="1:11" x14ac:dyDescent="0.25">
      <c r="B3459" s="13"/>
      <c r="C3459" s="73" t="s">
        <v>140</v>
      </c>
      <c r="D3459" s="73"/>
      <c r="E3459" s="73"/>
      <c r="F3459" s="74" t="s">
        <v>3</v>
      </c>
      <c r="G3459" s="72">
        <f>0.035*0.08*1.1</f>
        <v>3.0800000000000007E-3</v>
      </c>
      <c r="K3459"/>
    </row>
    <row r="3460" spans="1:11" ht="17.25" x14ac:dyDescent="0.25">
      <c r="B3460" s="13"/>
      <c r="C3460" s="73" t="s">
        <v>23</v>
      </c>
      <c r="D3460" s="73"/>
      <c r="E3460" s="73"/>
      <c r="F3460" s="74" t="s">
        <v>596</v>
      </c>
      <c r="G3460" s="72">
        <f>G3459*1.5</f>
        <v>4.6200000000000008E-3</v>
      </c>
      <c r="K3460"/>
    </row>
    <row r="3461" spans="1:11" x14ac:dyDescent="0.25">
      <c r="B3461" s="13"/>
      <c r="C3461" s="73" t="s">
        <v>142</v>
      </c>
      <c r="D3461" s="73"/>
      <c r="E3461" s="73"/>
      <c r="F3461" s="74" t="s">
        <v>3</v>
      </c>
      <c r="G3461" s="72">
        <f>G3459/4</f>
        <v>7.7000000000000018E-4</v>
      </c>
      <c r="K3461"/>
    </row>
    <row r="3462" spans="1:11" x14ac:dyDescent="0.25">
      <c r="B3462" s="13"/>
      <c r="C3462" s="77" t="s">
        <v>114</v>
      </c>
      <c r="F3462" s="221" t="s">
        <v>3</v>
      </c>
      <c r="G3462" s="72">
        <f>G3464*0.7</f>
        <v>2.1251999999999997E-2</v>
      </c>
      <c r="K3462"/>
    </row>
    <row r="3463" spans="1:11" x14ac:dyDescent="0.25">
      <c r="B3463" s="13"/>
      <c r="C3463" s="77" t="s">
        <v>164</v>
      </c>
      <c r="F3463" s="221" t="s">
        <v>3</v>
      </c>
      <c r="G3463" s="72">
        <f>0.3*G3462</f>
        <v>6.3755999999999986E-3</v>
      </c>
      <c r="K3463"/>
    </row>
    <row r="3464" spans="1:11" x14ac:dyDescent="0.25">
      <c r="B3464" s="13"/>
      <c r="C3464" s="77" t="s">
        <v>649</v>
      </c>
      <c r="F3464" s="221" t="s">
        <v>3</v>
      </c>
      <c r="G3464" s="72">
        <f>1.2*0.011*2*1.15</f>
        <v>3.0359999999999995E-2</v>
      </c>
      <c r="K3464"/>
    </row>
    <row r="3465" spans="1:11" x14ac:dyDescent="0.25">
      <c r="B3465" s="13"/>
      <c r="C3465" s="77" t="s">
        <v>12</v>
      </c>
      <c r="F3465" s="221" t="s">
        <v>3</v>
      </c>
      <c r="G3465" s="72">
        <f>0.3*G3464</f>
        <v>9.107999999999998E-3</v>
      </c>
      <c r="K3465"/>
    </row>
    <row r="3466" spans="1:11" x14ac:dyDescent="0.25">
      <c r="B3466" s="13"/>
      <c r="D3466" s="3" t="s">
        <v>1833</v>
      </c>
      <c r="F3466" s="221"/>
      <c r="G3466" s="72"/>
      <c r="K3466"/>
    </row>
    <row r="3467" spans="1:11" x14ac:dyDescent="0.25">
      <c r="B3467" s="13"/>
      <c r="D3467" t="s">
        <v>1777</v>
      </c>
      <c r="F3467" s="221" t="s">
        <v>3</v>
      </c>
      <c r="G3467" s="72">
        <v>0.32</v>
      </c>
      <c r="I3467" t="s">
        <v>1839</v>
      </c>
      <c r="K3467"/>
    </row>
    <row r="3468" spans="1:11" x14ac:dyDescent="0.25">
      <c r="B3468" s="13"/>
      <c r="F3468" s="221"/>
      <c r="G3468" s="72"/>
      <c r="K3468"/>
    </row>
    <row r="3469" spans="1:11" x14ac:dyDescent="0.25">
      <c r="A3469" s="217"/>
      <c r="B3469" s="13"/>
      <c r="C3469" s="3" t="s">
        <v>1836</v>
      </c>
      <c r="F3469" s="221"/>
      <c r="G3469" s="72"/>
      <c r="K3469"/>
    </row>
    <row r="3470" spans="1:11" x14ac:dyDescent="0.25">
      <c r="B3470" s="13"/>
      <c r="C3470" s="73" t="s">
        <v>140</v>
      </c>
      <c r="D3470" s="73"/>
      <c r="E3470" s="73"/>
      <c r="F3470" s="74" t="s">
        <v>3</v>
      </c>
      <c r="G3470" s="72">
        <f>0.07*0.08*1.1</f>
        <v>6.1600000000000014E-3</v>
      </c>
      <c r="K3470"/>
    </row>
    <row r="3471" spans="1:11" ht="17.25" x14ac:dyDescent="0.25">
      <c r="B3471" s="13"/>
      <c r="C3471" s="73" t="s">
        <v>23</v>
      </c>
      <c r="D3471" s="73"/>
      <c r="E3471" s="73"/>
      <c r="F3471" s="74" t="s">
        <v>596</v>
      </c>
      <c r="G3471" s="72">
        <f>G3470*1.5</f>
        <v>9.2400000000000017E-3</v>
      </c>
      <c r="K3471"/>
    </row>
    <row r="3472" spans="1:11" x14ac:dyDescent="0.25">
      <c r="B3472" s="13"/>
      <c r="C3472" s="73" t="s">
        <v>142</v>
      </c>
      <c r="D3472" s="73"/>
      <c r="E3472" s="73"/>
      <c r="F3472" s="74" t="s">
        <v>3</v>
      </c>
      <c r="G3472" s="72">
        <f>G3470/4</f>
        <v>1.5400000000000004E-3</v>
      </c>
      <c r="K3472"/>
    </row>
    <row r="3473" spans="1:11" x14ac:dyDescent="0.25">
      <c r="B3473" s="13"/>
      <c r="C3473" s="77" t="s">
        <v>114</v>
      </c>
      <c r="F3473" s="221" t="s">
        <v>3</v>
      </c>
      <c r="G3473" s="72">
        <f>G3475*0.7</f>
        <v>1.7709999999999997E-2</v>
      </c>
      <c r="K3473"/>
    </row>
    <row r="3474" spans="1:11" x14ac:dyDescent="0.25">
      <c r="B3474" s="13"/>
      <c r="C3474" s="77" t="s">
        <v>164</v>
      </c>
      <c r="F3474" s="221" t="s">
        <v>3</v>
      </c>
      <c r="G3474" s="72">
        <f>0.3*G3473</f>
        <v>5.3129999999999991E-3</v>
      </c>
      <c r="K3474"/>
    </row>
    <row r="3475" spans="1:11" x14ac:dyDescent="0.25">
      <c r="B3475" s="13"/>
      <c r="C3475" s="77" t="s">
        <v>649</v>
      </c>
      <c r="F3475" s="221" t="s">
        <v>3</v>
      </c>
      <c r="G3475" s="72">
        <f>1*0.011*2*1.15</f>
        <v>2.5299999999999996E-2</v>
      </c>
      <c r="K3475"/>
    </row>
    <row r="3476" spans="1:11" x14ac:dyDescent="0.25">
      <c r="B3476" s="13"/>
      <c r="C3476" s="77" t="s">
        <v>12</v>
      </c>
      <c r="F3476" s="221" t="s">
        <v>3</v>
      </c>
      <c r="G3476" s="72">
        <f>0.3*G3475</f>
        <v>7.5899999999999987E-3</v>
      </c>
      <c r="K3476"/>
    </row>
    <row r="3477" spans="1:11" x14ac:dyDescent="0.25">
      <c r="B3477" s="13"/>
      <c r="D3477" s="3" t="s">
        <v>1837</v>
      </c>
      <c r="F3477" s="221"/>
      <c r="G3477" s="72"/>
      <c r="K3477"/>
    </row>
    <row r="3478" spans="1:11" x14ac:dyDescent="0.25">
      <c r="B3478" s="13"/>
      <c r="D3478" t="s">
        <v>1777</v>
      </c>
      <c r="F3478" s="221" t="s">
        <v>3</v>
      </c>
      <c r="G3478" s="72">
        <v>0.255</v>
      </c>
      <c r="I3478" t="s">
        <v>1838</v>
      </c>
      <c r="K3478"/>
    </row>
    <row r="3479" spans="1:11" x14ac:dyDescent="0.25">
      <c r="B3479" s="13"/>
      <c r="F3479" s="221"/>
      <c r="G3479" s="72"/>
      <c r="K3479"/>
    </row>
    <row r="3480" spans="1:11" x14ac:dyDescent="0.25">
      <c r="A3480" s="217"/>
      <c r="B3480" s="13"/>
      <c r="C3480" s="3" t="s">
        <v>1840</v>
      </c>
      <c r="F3480" s="221"/>
      <c r="G3480" s="72"/>
      <c r="K3480"/>
    </row>
    <row r="3481" spans="1:11" x14ac:dyDescent="0.25">
      <c r="B3481" s="13"/>
      <c r="C3481" s="73" t="s">
        <v>140</v>
      </c>
      <c r="D3481" s="73"/>
      <c r="E3481" s="73"/>
      <c r="F3481" s="74" t="s">
        <v>3</v>
      </c>
      <c r="G3481" s="72">
        <f>0.035*0.08*1.1</f>
        <v>3.0800000000000007E-3</v>
      </c>
      <c r="K3481"/>
    </row>
    <row r="3482" spans="1:11" ht="17.25" x14ac:dyDescent="0.25">
      <c r="B3482" s="13"/>
      <c r="C3482" s="73" t="s">
        <v>23</v>
      </c>
      <c r="D3482" s="73"/>
      <c r="E3482" s="73"/>
      <c r="F3482" s="74" t="s">
        <v>596</v>
      </c>
      <c r="G3482" s="72">
        <f>G3481*1.5</f>
        <v>4.6200000000000008E-3</v>
      </c>
      <c r="K3482"/>
    </row>
    <row r="3483" spans="1:11" x14ac:dyDescent="0.25">
      <c r="B3483" s="13"/>
      <c r="C3483" s="73" t="s">
        <v>142</v>
      </c>
      <c r="D3483" s="73"/>
      <c r="E3483" s="73"/>
      <c r="F3483" s="74" t="s">
        <v>3</v>
      </c>
      <c r="G3483" s="72">
        <f>G3481/4</f>
        <v>7.7000000000000018E-4</v>
      </c>
      <c r="K3483"/>
    </row>
    <row r="3484" spans="1:11" x14ac:dyDescent="0.25">
      <c r="B3484" s="13"/>
      <c r="C3484" s="77" t="s">
        <v>114</v>
      </c>
      <c r="F3484" s="221" t="s">
        <v>3</v>
      </c>
      <c r="G3484" s="72">
        <f>G3486*0.7</f>
        <v>1.8772599999999997E-2</v>
      </c>
      <c r="K3484"/>
    </row>
    <row r="3485" spans="1:11" x14ac:dyDescent="0.25">
      <c r="B3485" s="13"/>
      <c r="C3485" s="77" t="s">
        <v>164</v>
      </c>
      <c r="F3485" s="221" t="s">
        <v>3</v>
      </c>
      <c r="G3485" s="72">
        <f>0.3*G3484</f>
        <v>5.6317799999999986E-3</v>
      </c>
      <c r="K3485"/>
    </row>
    <row r="3486" spans="1:11" x14ac:dyDescent="0.25">
      <c r="B3486" s="13"/>
      <c r="C3486" s="77" t="s">
        <v>649</v>
      </c>
      <c r="F3486" s="221" t="s">
        <v>3</v>
      </c>
      <c r="G3486" s="72">
        <f>1.06*0.011*2*1.15</f>
        <v>2.6817999999999998E-2</v>
      </c>
      <c r="K3486"/>
    </row>
    <row r="3487" spans="1:11" x14ac:dyDescent="0.25">
      <c r="B3487" s="13"/>
      <c r="C3487" s="77" t="s">
        <v>12</v>
      </c>
      <c r="F3487" s="221" t="s">
        <v>3</v>
      </c>
      <c r="G3487" s="72">
        <f>0.3*G3486</f>
        <v>8.0453999999999994E-3</v>
      </c>
      <c r="K3487"/>
    </row>
    <row r="3488" spans="1:11" x14ac:dyDescent="0.25">
      <c r="B3488" s="13"/>
      <c r="D3488" s="3" t="s">
        <v>2138</v>
      </c>
      <c r="F3488" s="221"/>
      <c r="G3488" s="72"/>
      <c r="K3488"/>
    </row>
    <row r="3489" spans="1:11" x14ac:dyDescent="0.25">
      <c r="B3489" s="13"/>
      <c r="D3489" t="s">
        <v>1777</v>
      </c>
      <c r="F3489" s="221" t="s">
        <v>3</v>
      </c>
      <c r="G3489" s="72">
        <v>0.28000000000000003</v>
      </c>
      <c r="I3489" t="s">
        <v>1841</v>
      </c>
      <c r="K3489"/>
    </row>
    <row r="3490" spans="1:11" x14ac:dyDescent="0.25">
      <c r="B3490" s="13"/>
      <c r="F3490" s="221"/>
      <c r="G3490" s="72"/>
      <c r="K3490"/>
    </row>
    <row r="3491" spans="1:11" x14ac:dyDescent="0.25">
      <c r="A3491" s="217"/>
      <c r="B3491" s="13"/>
      <c r="C3491" s="3" t="s">
        <v>1842</v>
      </c>
      <c r="F3491" s="221"/>
      <c r="G3491" s="72"/>
      <c r="K3491"/>
    </row>
    <row r="3492" spans="1:11" x14ac:dyDescent="0.25">
      <c r="B3492" s="13"/>
      <c r="C3492" s="73" t="s">
        <v>140</v>
      </c>
      <c r="D3492" s="73"/>
      <c r="E3492" s="73"/>
      <c r="F3492" s="74" t="s">
        <v>3</v>
      </c>
      <c r="G3492" s="72">
        <f>0.035*0.08*1.1</f>
        <v>3.0800000000000007E-3</v>
      </c>
      <c r="K3492"/>
    </row>
    <row r="3493" spans="1:11" ht="17.25" x14ac:dyDescent="0.25">
      <c r="B3493" s="13"/>
      <c r="C3493" s="73" t="s">
        <v>23</v>
      </c>
      <c r="D3493" s="73"/>
      <c r="E3493" s="73"/>
      <c r="F3493" s="74" t="s">
        <v>596</v>
      </c>
      <c r="G3493" s="72">
        <f>G3492*1.5</f>
        <v>4.6200000000000008E-3</v>
      </c>
      <c r="K3493"/>
    </row>
    <row r="3494" spans="1:11" x14ac:dyDescent="0.25">
      <c r="B3494" s="13"/>
      <c r="C3494" s="73" t="s">
        <v>142</v>
      </c>
      <c r="D3494" s="73"/>
      <c r="E3494" s="73"/>
      <c r="F3494" s="74" t="s">
        <v>3</v>
      </c>
      <c r="G3494" s="72">
        <f>G3492/4</f>
        <v>7.7000000000000018E-4</v>
      </c>
      <c r="K3494"/>
    </row>
    <row r="3495" spans="1:11" x14ac:dyDescent="0.25">
      <c r="B3495" s="13"/>
      <c r="C3495" s="77" t="s">
        <v>114</v>
      </c>
      <c r="F3495" s="221" t="s">
        <v>3</v>
      </c>
      <c r="G3495" s="72">
        <f>G3497</f>
        <v>2.8600000000000001E-3</v>
      </c>
      <c r="K3495"/>
    </row>
    <row r="3496" spans="1:11" x14ac:dyDescent="0.25">
      <c r="B3496" s="13"/>
      <c r="C3496" s="77" t="s">
        <v>164</v>
      </c>
      <c r="F3496" s="221" t="s">
        <v>3</v>
      </c>
      <c r="G3496" s="72">
        <f>0.3*G3495</f>
        <v>8.5800000000000004E-4</v>
      </c>
      <c r="K3496"/>
    </row>
    <row r="3497" spans="1:11" x14ac:dyDescent="0.25">
      <c r="B3497" s="13"/>
      <c r="C3497" s="77" t="s">
        <v>649</v>
      </c>
      <c r="F3497" s="221" t="s">
        <v>3</v>
      </c>
      <c r="G3497" s="72">
        <f>0.1*0.011*2*1.3</f>
        <v>2.8600000000000001E-3</v>
      </c>
      <c r="K3497"/>
    </row>
    <row r="3498" spans="1:11" x14ac:dyDescent="0.25">
      <c r="B3498" s="13"/>
      <c r="C3498" s="77" t="s">
        <v>12</v>
      </c>
      <c r="F3498" s="221" t="s">
        <v>3</v>
      </c>
      <c r="G3498" s="72">
        <f>0.3*G3497</f>
        <v>8.5800000000000004E-4</v>
      </c>
      <c r="K3498"/>
    </row>
    <row r="3499" spans="1:11" x14ac:dyDescent="0.25">
      <c r="B3499" s="13"/>
      <c r="D3499" s="3" t="s">
        <v>2139</v>
      </c>
      <c r="F3499" s="221"/>
      <c r="G3499" s="72"/>
      <c r="K3499"/>
    </row>
    <row r="3500" spans="1:11" x14ac:dyDescent="0.25">
      <c r="B3500" s="13"/>
      <c r="D3500" t="s">
        <v>1777</v>
      </c>
      <c r="F3500" s="221" t="s">
        <v>3</v>
      </c>
      <c r="G3500" s="72">
        <v>0.02</v>
      </c>
      <c r="I3500" t="s">
        <v>1843</v>
      </c>
      <c r="K3500"/>
    </row>
    <row r="3501" spans="1:11" x14ac:dyDescent="0.25">
      <c r="B3501" s="13"/>
      <c r="F3501" s="221"/>
      <c r="G3501" s="72"/>
      <c r="K3501"/>
    </row>
    <row r="3502" spans="1:11" x14ac:dyDescent="0.25">
      <c r="A3502" s="217"/>
      <c r="B3502" s="13"/>
      <c r="C3502" s="3" t="s">
        <v>1844</v>
      </c>
      <c r="F3502" s="221"/>
      <c r="G3502" s="72"/>
      <c r="K3502"/>
    </row>
    <row r="3503" spans="1:11" x14ac:dyDescent="0.25">
      <c r="B3503" s="13"/>
      <c r="C3503" s="73" t="s">
        <v>140</v>
      </c>
      <c r="D3503" s="73"/>
      <c r="E3503" s="73"/>
      <c r="F3503" s="74" t="s">
        <v>3</v>
      </c>
      <c r="G3503" s="72">
        <f>0.035*0.08*1.1</f>
        <v>3.0800000000000007E-3</v>
      </c>
      <c r="K3503"/>
    </row>
    <row r="3504" spans="1:11" ht="17.25" x14ac:dyDescent="0.25">
      <c r="B3504" s="13"/>
      <c r="C3504" s="73" t="s">
        <v>23</v>
      </c>
      <c r="D3504" s="73"/>
      <c r="E3504" s="73"/>
      <c r="F3504" s="74" t="s">
        <v>596</v>
      </c>
      <c r="G3504" s="72">
        <f>G3503*1.5</f>
        <v>4.6200000000000008E-3</v>
      </c>
      <c r="K3504"/>
    </row>
    <row r="3505" spans="1:11" x14ac:dyDescent="0.25">
      <c r="B3505" s="13"/>
      <c r="C3505" s="73" t="s">
        <v>142</v>
      </c>
      <c r="D3505" s="73"/>
      <c r="E3505" s="73"/>
      <c r="F3505" s="74" t="s">
        <v>3</v>
      </c>
      <c r="G3505" s="72">
        <f>G3503/4</f>
        <v>7.7000000000000018E-4</v>
      </c>
      <c r="K3505"/>
    </row>
    <row r="3506" spans="1:11" x14ac:dyDescent="0.25">
      <c r="B3506" s="13"/>
      <c r="C3506" s="77" t="s">
        <v>114</v>
      </c>
      <c r="F3506" s="221" t="s">
        <v>3</v>
      </c>
      <c r="G3506" s="72">
        <f>G3508</f>
        <v>2.8600000000000001E-3</v>
      </c>
      <c r="K3506"/>
    </row>
    <row r="3507" spans="1:11" x14ac:dyDescent="0.25">
      <c r="B3507" s="13"/>
      <c r="C3507" s="77" t="s">
        <v>164</v>
      </c>
      <c r="F3507" s="221" t="s">
        <v>3</v>
      </c>
      <c r="G3507" s="72">
        <f>0.3*G3506</f>
        <v>8.5800000000000004E-4</v>
      </c>
      <c r="K3507"/>
    </row>
    <row r="3508" spans="1:11" x14ac:dyDescent="0.25">
      <c r="B3508" s="13"/>
      <c r="C3508" s="77" t="s">
        <v>649</v>
      </c>
      <c r="F3508" s="221" t="s">
        <v>3</v>
      </c>
      <c r="G3508" s="72">
        <f>0.1*0.011*2*1.3</f>
        <v>2.8600000000000001E-3</v>
      </c>
      <c r="K3508"/>
    </row>
    <row r="3509" spans="1:11" x14ac:dyDescent="0.25">
      <c r="B3509" s="13"/>
      <c r="C3509" s="77" t="s">
        <v>12</v>
      </c>
      <c r="F3509" s="221" t="s">
        <v>3</v>
      </c>
      <c r="G3509" s="72">
        <f>0.3*G3508</f>
        <v>8.5800000000000004E-4</v>
      </c>
      <c r="K3509"/>
    </row>
    <row r="3510" spans="1:11" x14ac:dyDescent="0.25">
      <c r="B3510" s="13"/>
      <c r="D3510" s="3" t="s">
        <v>1845</v>
      </c>
      <c r="F3510" s="221"/>
      <c r="G3510" s="72"/>
      <c r="K3510"/>
    </row>
    <row r="3511" spans="1:11" x14ac:dyDescent="0.25">
      <c r="B3511" s="13"/>
      <c r="D3511" t="s">
        <v>1777</v>
      </c>
      <c r="F3511" s="221" t="s">
        <v>3</v>
      </c>
      <c r="G3511" s="72">
        <v>0.02</v>
      </c>
      <c r="I3511" t="s">
        <v>1224</v>
      </c>
      <c r="K3511"/>
    </row>
    <row r="3512" spans="1:11" x14ac:dyDescent="0.25">
      <c r="B3512" s="13"/>
      <c r="F3512" s="221"/>
      <c r="G3512" s="72"/>
      <c r="K3512"/>
    </row>
    <row r="3513" spans="1:11" x14ac:dyDescent="0.25">
      <c r="A3513" s="217"/>
      <c r="B3513" s="13"/>
      <c r="C3513" s="3" t="s">
        <v>1846</v>
      </c>
      <c r="F3513" s="221"/>
      <c r="G3513" s="72"/>
      <c r="K3513"/>
    </row>
    <row r="3514" spans="1:11" x14ac:dyDescent="0.25">
      <c r="B3514" s="13"/>
      <c r="C3514" s="73" t="s">
        <v>140</v>
      </c>
      <c r="D3514" s="73"/>
      <c r="E3514" s="73"/>
      <c r="F3514" s="74" t="s">
        <v>3</v>
      </c>
      <c r="G3514" s="72">
        <f>0.07*0.08*1.1</f>
        <v>6.1600000000000014E-3</v>
      </c>
      <c r="K3514"/>
    </row>
    <row r="3515" spans="1:11" ht="17.25" x14ac:dyDescent="0.25">
      <c r="B3515" s="13"/>
      <c r="C3515" s="73" t="s">
        <v>23</v>
      </c>
      <c r="D3515" s="73"/>
      <c r="E3515" s="73"/>
      <c r="F3515" s="74" t="s">
        <v>596</v>
      </c>
      <c r="G3515" s="72">
        <f>G3514*1.5</f>
        <v>9.2400000000000017E-3</v>
      </c>
      <c r="K3515"/>
    </row>
    <row r="3516" spans="1:11" x14ac:dyDescent="0.25">
      <c r="B3516" s="13"/>
      <c r="C3516" s="73" t="s">
        <v>142</v>
      </c>
      <c r="D3516" s="73"/>
      <c r="E3516" s="73"/>
      <c r="F3516" s="74" t="s">
        <v>3</v>
      </c>
      <c r="G3516" s="72">
        <f>G3514/4</f>
        <v>1.5400000000000004E-3</v>
      </c>
      <c r="K3516"/>
    </row>
    <row r="3517" spans="1:11" x14ac:dyDescent="0.25">
      <c r="B3517" s="13"/>
      <c r="C3517" s="77" t="s">
        <v>8</v>
      </c>
      <c r="D3517" s="8"/>
      <c r="E3517" s="8"/>
      <c r="F3517" s="221" t="s">
        <v>3</v>
      </c>
      <c r="G3517" s="72">
        <f>G3518</f>
        <v>2.64E-3</v>
      </c>
      <c r="K3517"/>
    </row>
    <row r="3518" spans="1:11" x14ac:dyDescent="0.25">
      <c r="B3518" s="13"/>
      <c r="C3518" s="77" t="s">
        <v>649</v>
      </c>
      <c r="F3518" s="221" t="s">
        <v>3</v>
      </c>
      <c r="G3518" s="72">
        <f>0.08*0.011*2*1.5</f>
        <v>2.64E-3</v>
      </c>
      <c r="K3518"/>
    </row>
    <row r="3519" spans="1:11" x14ac:dyDescent="0.25">
      <c r="B3519" s="13"/>
      <c r="C3519" s="77" t="s">
        <v>12</v>
      </c>
      <c r="F3519" s="221" t="s">
        <v>3</v>
      </c>
      <c r="G3519" s="72" t="e">
        <f>0.3*(G3518+#REF!)</f>
        <v>#REF!</v>
      </c>
      <c r="K3519"/>
    </row>
    <row r="3520" spans="1:11" x14ac:dyDescent="0.25">
      <c r="B3520" s="13"/>
      <c r="D3520" s="3" t="s">
        <v>1847</v>
      </c>
      <c r="F3520" s="221"/>
      <c r="G3520" s="72"/>
      <c r="K3520"/>
    </row>
    <row r="3521" spans="1:11" x14ac:dyDescent="0.25">
      <c r="B3521" s="13"/>
      <c r="D3521" t="s">
        <v>1777</v>
      </c>
      <c r="F3521" s="74" t="s">
        <v>3</v>
      </c>
      <c r="G3521" s="80">
        <v>0.02</v>
      </c>
      <c r="I3521" t="s">
        <v>1224</v>
      </c>
      <c r="K3521"/>
    </row>
    <row r="3522" spans="1:11" x14ac:dyDescent="0.25">
      <c r="B3522" s="13"/>
      <c r="F3522" s="221"/>
      <c r="G3522" s="72"/>
      <c r="K3522"/>
    </row>
    <row r="3523" spans="1:11" x14ac:dyDescent="0.25">
      <c r="A3523" s="217"/>
      <c r="B3523" s="13"/>
      <c r="C3523" s="3" t="s">
        <v>1848</v>
      </c>
      <c r="F3523" s="221"/>
      <c r="G3523" s="72"/>
      <c r="J3523" s="13" t="s">
        <v>1849</v>
      </c>
      <c r="K3523"/>
    </row>
    <row r="3524" spans="1:11" x14ac:dyDescent="0.25">
      <c r="B3524" s="13"/>
      <c r="C3524" s="73" t="s">
        <v>140</v>
      </c>
      <c r="D3524" s="73"/>
      <c r="E3524" s="73"/>
      <c r="F3524" s="74" t="s">
        <v>3</v>
      </c>
      <c r="G3524" s="72">
        <f>0.005*3.14*5*0.08*1.1</f>
        <v>6.9080000000000018E-3</v>
      </c>
      <c r="J3524" s="13" t="s">
        <v>1850</v>
      </c>
      <c r="K3524"/>
    </row>
    <row r="3525" spans="1:11" ht="17.25" x14ac:dyDescent="0.25">
      <c r="B3525" s="13"/>
      <c r="C3525" s="73" t="s">
        <v>23</v>
      </c>
      <c r="D3525" s="73"/>
      <c r="E3525" s="73"/>
      <c r="F3525" s="74" t="s">
        <v>596</v>
      </c>
      <c r="G3525" s="72">
        <f>G3524*1.5</f>
        <v>1.0362000000000003E-2</v>
      </c>
      <c r="J3525" s="13" t="s">
        <v>1851</v>
      </c>
      <c r="K3525"/>
    </row>
    <row r="3526" spans="1:11" x14ac:dyDescent="0.25">
      <c r="B3526" s="13"/>
      <c r="C3526" s="73" t="s">
        <v>142</v>
      </c>
      <c r="D3526" s="73"/>
      <c r="E3526" s="73"/>
      <c r="F3526" s="74" t="s">
        <v>3</v>
      </c>
      <c r="G3526" s="72">
        <f>G3524/4</f>
        <v>1.7270000000000005E-3</v>
      </c>
      <c r="J3526" s="13" t="s">
        <v>1834</v>
      </c>
      <c r="K3526"/>
    </row>
    <row r="3527" spans="1:11" x14ac:dyDescent="0.25">
      <c r="B3527" s="13"/>
      <c r="C3527" s="77" t="s">
        <v>8</v>
      </c>
      <c r="D3527" s="77"/>
      <c r="E3527" s="77"/>
      <c r="F3527" s="74" t="s">
        <v>3</v>
      </c>
      <c r="G3527" s="72">
        <f>G3528*0.8</f>
        <v>1.3727999999999999E-2</v>
      </c>
      <c r="J3527" s="13" t="s">
        <v>1835</v>
      </c>
      <c r="K3527"/>
    </row>
    <row r="3528" spans="1:11" x14ac:dyDescent="0.25">
      <c r="B3528" s="13"/>
      <c r="C3528" s="77" t="s">
        <v>152</v>
      </c>
      <c r="D3528" s="77"/>
      <c r="E3528" s="77"/>
      <c r="F3528" s="74" t="s">
        <v>3</v>
      </c>
      <c r="G3528" s="72">
        <f>0.65*0.011*2*1.2</f>
        <v>1.7159999999999998E-2</v>
      </c>
      <c r="K3528"/>
    </row>
    <row r="3529" spans="1:11" x14ac:dyDescent="0.25">
      <c r="B3529" s="13"/>
      <c r="C3529" s="77" t="s">
        <v>12</v>
      </c>
      <c r="D3529" s="77"/>
      <c r="E3529" s="77"/>
      <c r="F3529" s="74" t="s">
        <v>3</v>
      </c>
      <c r="G3529" s="72">
        <f>0.3*(G3528+G3527)</f>
        <v>9.2663999999999993E-3</v>
      </c>
      <c r="K3529"/>
    </row>
    <row r="3530" spans="1:11" x14ac:dyDescent="0.25">
      <c r="B3530" s="13"/>
      <c r="D3530" s="3" t="s">
        <v>1852</v>
      </c>
      <c r="F3530" s="221"/>
      <c r="H3530" s="163"/>
      <c r="K3530"/>
    </row>
    <row r="3531" spans="1:11" x14ac:dyDescent="0.25">
      <c r="B3531" s="13"/>
      <c r="D3531" s="8" t="s">
        <v>1870</v>
      </c>
      <c r="F3531" s="74" t="s">
        <v>3</v>
      </c>
      <c r="G3531" s="72">
        <v>5.0000000000000001E-3</v>
      </c>
      <c r="I3531" t="s">
        <v>1871</v>
      </c>
      <c r="K3531"/>
    </row>
    <row r="3532" spans="1:11" x14ac:dyDescent="0.25">
      <c r="B3532" s="13"/>
      <c r="D3532" s="3" t="s">
        <v>1853</v>
      </c>
      <c r="F3532" s="221"/>
      <c r="G3532" s="72"/>
      <c r="K3532"/>
    </row>
    <row r="3533" spans="1:11" x14ac:dyDescent="0.25">
      <c r="B3533" s="13"/>
      <c r="D3533" s="8" t="s">
        <v>1855</v>
      </c>
      <c r="F3533" s="74" t="s">
        <v>3</v>
      </c>
      <c r="G3533" s="72">
        <v>3.1E-2</v>
      </c>
      <c r="I3533" t="s">
        <v>1856</v>
      </c>
      <c r="K3533"/>
    </row>
    <row r="3534" spans="1:11" x14ac:dyDescent="0.25">
      <c r="B3534" s="13"/>
      <c r="D3534" s="3" t="s">
        <v>1854</v>
      </c>
      <c r="F3534" s="221"/>
      <c r="G3534" s="72"/>
      <c r="K3534"/>
    </row>
    <row r="3535" spans="1:11" x14ac:dyDescent="0.25">
      <c r="B3535" s="13"/>
      <c r="D3535" s="8" t="s">
        <v>1870</v>
      </c>
      <c r="F3535" s="74" t="s">
        <v>3</v>
      </c>
      <c r="G3535" s="72">
        <v>0.05</v>
      </c>
      <c r="I3535" t="s">
        <v>1872</v>
      </c>
      <c r="K3535"/>
    </row>
    <row r="3536" spans="1:11" x14ac:dyDescent="0.25">
      <c r="B3536" s="13"/>
      <c r="F3536" s="221"/>
      <c r="G3536" s="72"/>
      <c r="K3536"/>
    </row>
    <row r="3537" spans="1:11" x14ac:dyDescent="0.25">
      <c r="B3537" s="13"/>
      <c r="F3537" s="221"/>
      <c r="G3537" s="72"/>
      <c r="K3537"/>
    </row>
    <row r="3538" spans="1:11" x14ac:dyDescent="0.25">
      <c r="A3538" s="217"/>
      <c r="B3538" s="13"/>
      <c r="C3538" s="3" t="s">
        <v>1859</v>
      </c>
      <c r="F3538" s="221"/>
      <c r="G3538" s="72"/>
      <c r="K3538"/>
    </row>
    <row r="3539" spans="1:11" x14ac:dyDescent="0.25">
      <c r="B3539" s="13"/>
      <c r="D3539" t="s">
        <v>1860</v>
      </c>
      <c r="F3539" s="221" t="s">
        <v>3</v>
      </c>
      <c r="G3539" s="72">
        <f>0.09/6*4</f>
        <v>0.06</v>
      </c>
      <c r="K3539"/>
    </row>
    <row r="3540" spans="1:11" x14ac:dyDescent="0.25">
      <c r="B3540" s="13"/>
      <c r="F3540" s="221"/>
      <c r="G3540" s="72"/>
      <c r="K3540"/>
    </row>
    <row r="3541" spans="1:11" x14ac:dyDescent="0.25">
      <c r="A3541" s="217"/>
      <c r="B3541" s="13"/>
      <c r="C3541" s="3" t="s">
        <v>1861</v>
      </c>
      <c r="F3541" s="221"/>
      <c r="G3541" s="72"/>
      <c r="K3541"/>
    </row>
    <row r="3542" spans="1:11" x14ac:dyDescent="0.25">
      <c r="B3542" s="13"/>
      <c r="D3542" t="s">
        <v>984</v>
      </c>
      <c r="F3542" s="221" t="s">
        <v>3</v>
      </c>
      <c r="G3542" s="72">
        <f>0.065*0.04*1*8*1.1</f>
        <v>2.2880000000000005E-2</v>
      </c>
      <c r="K3542"/>
    </row>
    <row r="3543" spans="1:11" x14ac:dyDescent="0.25">
      <c r="B3543" s="13"/>
      <c r="F3543" s="221"/>
      <c r="G3543" s="72"/>
      <c r="K3543"/>
    </row>
    <row r="3544" spans="1:11" x14ac:dyDescent="0.25">
      <c r="A3544" s="217"/>
      <c r="B3544" s="13"/>
      <c r="C3544" s="75" t="s">
        <v>1862</v>
      </c>
      <c r="D3544" s="77"/>
      <c r="E3544" s="77"/>
      <c r="F3544" s="77"/>
      <c r="G3544" s="234"/>
      <c r="H3544" s="74"/>
      <c r="I3544" s="153"/>
      <c r="K3544"/>
    </row>
    <row r="3545" spans="1:11" x14ac:dyDescent="0.25">
      <c r="B3545" s="13"/>
      <c r="D3545" s="73" t="s">
        <v>1863</v>
      </c>
      <c r="E3545" s="77"/>
      <c r="F3545" s="74" t="s">
        <v>3</v>
      </c>
      <c r="G3545" s="72">
        <f>0.05*0.03*0.5*8</f>
        <v>6.0000000000000001E-3</v>
      </c>
      <c r="K3545"/>
    </row>
    <row r="3546" spans="1:11" x14ac:dyDescent="0.25">
      <c r="B3546" s="13"/>
      <c r="C3546" s="73"/>
      <c r="D3546" s="77"/>
      <c r="E3546" s="77"/>
      <c r="F3546" s="74"/>
      <c r="G3546" s="72"/>
      <c r="K3546"/>
    </row>
    <row r="3547" spans="1:11" x14ac:dyDescent="0.25">
      <c r="B3547" s="13"/>
      <c r="C3547" s="75" t="s">
        <v>1864</v>
      </c>
      <c r="D3547" s="77"/>
      <c r="E3547" s="77"/>
      <c r="F3547" s="74"/>
      <c r="G3547" s="72"/>
      <c r="K3547"/>
    </row>
    <row r="3548" spans="1:11" x14ac:dyDescent="0.25">
      <c r="A3548" s="217"/>
      <c r="B3548" s="13"/>
      <c r="D3548" s="13" t="s">
        <v>1865</v>
      </c>
      <c r="E3548" s="13"/>
      <c r="F3548" s="74" t="s">
        <v>3</v>
      </c>
      <c r="G3548" s="72">
        <f>0.05*0.03*1*8</f>
        <v>1.2E-2</v>
      </c>
      <c r="K3548"/>
    </row>
    <row r="3549" spans="1:11" x14ac:dyDescent="0.25">
      <c r="B3549" s="13"/>
      <c r="F3549" s="221"/>
      <c r="G3549" s="72"/>
      <c r="K3549"/>
    </row>
    <row r="3550" spans="1:11" x14ac:dyDescent="0.25">
      <c r="A3550" s="217"/>
      <c r="B3550" s="13"/>
      <c r="C3550" s="3" t="s">
        <v>1866</v>
      </c>
      <c r="F3550" s="221"/>
      <c r="G3550" s="72"/>
      <c r="K3550"/>
    </row>
    <row r="3551" spans="1:11" x14ac:dyDescent="0.25">
      <c r="B3551" s="13"/>
      <c r="D3551" t="s">
        <v>984</v>
      </c>
      <c r="F3551" s="221" t="s">
        <v>3</v>
      </c>
      <c r="G3551" s="72">
        <f>0.045*0.045*1*8</f>
        <v>1.6199999999999999E-2</v>
      </c>
      <c r="K3551"/>
    </row>
    <row r="3552" spans="1:11" x14ac:dyDescent="0.25">
      <c r="B3552" s="13"/>
      <c r="F3552" s="221"/>
      <c r="G3552" s="72"/>
      <c r="K3552"/>
    </row>
    <row r="3553" spans="1:11" x14ac:dyDescent="0.25">
      <c r="A3553" s="217"/>
      <c r="B3553" s="13"/>
      <c r="C3553" s="3" t="s">
        <v>1867</v>
      </c>
      <c r="F3553" s="216"/>
      <c r="G3553" s="72"/>
      <c r="K3553"/>
    </row>
    <row r="3554" spans="1:11" x14ac:dyDescent="0.25">
      <c r="B3554" s="13"/>
      <c r="C3554" s="3"/>
      <c r="D3554" t="s">
        <v>1119</v>
      </c>
      <c r="F3554" s="221" t="s">
        <v>3</v>
      </c>
      <c r="G3554" s="72">
        <f>0.045*0.045*0.5*8</f>
        <v>8.0999999999999996E-3</v>
      </c>
      <c r="K3554"/>
    </row>
    <row r="3555" spans="1:11" x14ac:dyDescent="0.25">
      <c r="B3555" s="13"/>
      <c r="C3555" s="3"/>
      <c r="F3555" s="221"/>
      <c r="G3555" s="72"/>
      <c r="K3555"/>
    </row>
    <row r="3556" spans="1:11" x14ac:dyDescent="0.25">
      <c r="A3556" s="217"/>
      <c r="B3556" s="13"/>
      <c r="C3556" s="3" t="s">
        <v>1868</v>
      </c>
      <c r="F3556" s="221"/>
      <c r="G3556" s="72"/>
      <c r="K3556"/>
    </row>
    <row r="3557" spans="1:11" x14ac:dyDescent="0.25">
      <c r="B3557" s="13"/>
      <c r="C3557" s="3"/>
      <c r="D3557" t="s">
        <v>1869</v>
      </c>
      <c r="F3557" s="221" t="s">
        <v>3</v>
      </c>
      <c r="G3557" s="72">
        <f>0.045*0.045*0.5*8</f>
        <v>8.0999999999999996E-3</v>
      </c>
      <c r="K3557"/>
    </row>
    <row r="3558" spans="1:11" ht="15.75" thickBot="1" x14ac:dyDescent="0.3">
      <c r="A3558" s="68"/>
      <c r="B3558" s="151"/>
      <c r="C3558" s="235"/>
      <c r="D3558" s="68"/>
      <c r="E3558" s="68"/>
      <c r="F3558" s="82"/>
      <c r="G3558" s="83"/>
      <c r="K3558"/>
    </row>
    <row r="3559" spans="1:11" x14ac:dyDescent="0.25">
      <c r="A3559" s="159"/>
      <c r="B3559" s="192"/>
      <c r="C3559" s="184"/>
      <c r="D3559" s="93"/>
      <c r="E3559" s="93"/>
      <c r="F3559" s="160"/>
      <c r="G3559" s="90"/>
      <c r="K3559"/>
    </row>
    <row r="3560" spans="1:11" x14ac:dyDescent="0.25">
      <c r="A3560" s="163"/>
      <c r="B3560" s="96"/>
      <c r="C3560" s="233" t="s">
        <v>1510</v>
      </c>
      <c r="D3560" s="99"/>
      <c r="E3560" s="73"/>
      <c r="F3560" s="74"/>
      <c r="G3560" s="72"/>
      <c r="K3560"/>
    </row>
    <row r="3561" spans="1:11" x14ac:dyDescent="0.25">
      <c r="A3561" s="163"/>
      <c r="B3561" s="96"/>
      <c r="C3561" s="96"/>
      <c r="D3561" s="99" t="s">
        <v>1507</v>
      </c>
      <c r="E3561" s="73"/>
      <c r="F3561" s="74" t="s">
        <v>3</v>
      </c>
      <c r="G3561" s="236">
        <v>4.7E-2</v>
      </c>
      <c r="K3561"/>
    </row>
    <row r="3562" spans="1:11" x14ac:dyDescent="0.25">
      <c r="A3562" s="163"/>
      <c r="B3562" s="96"/>
      <c r="C3562" s="233" t="s">
        <v>1509</v>
      </c>
      <c r="D3562" s="99"/>
      <c r="E3562" s="73"/>
      <c r="F3562" s="74"/>
      <c r="G3562" s="236"/>
      <c r="K3562"/>
    </row>
    <row r="3563" spans="1:11" x14ac:dyDescent="0.25">
      <c r="A3563" s="163"/>
      <c r="B3563" s="96"/>
      <c r="C3563" s="96"/>
      <c r="D3563" s="99" t="s">
        <v>1507</v>
      </c>
      <c r="E3563" s="73"/>
      <c r="F3563" s="74" t="s">
        <v>3</v>
      </c>
      <c r="G3563" s="72">
        <v>0.01</v>
      </c>
      <c r="K3563"/>
    </row>
    <row r="3564" spans="1:11" x14ac:dyDescent="0.25">
      <c r="A3564" s="163"/>
      <c r="B3564" s="96"/>
      <c r="C3564" s="233" t="s">
        <v>1508</v>
      </c>
      <c r="D3564" s="99"/>
      <c r="E3564" s="73"/>
      <c r="F3564" s="74"/>
      <c r="G3564" s="72"/>
      <c r="K3564"/>
    </row>
    <row r="3565" spans="1:11" x14ac:dyDescent="0.25">
      <c r="A3565" s="163"/>
      <c r="B3565" s="96"/>
      <c r="C3565" s="73"/>
      <c r="D3565" s="99" t="s">
        <v>1507</v>
      </c>
      <c r="E3565" s="73"/>
      <c r="F3565" s="74" t="s">
        <v>3</v>
      </c>
      <c r="G3565" s="236">
        <v>5.3999999999999999E-2</v>
      </c>
      <c r="K3565"/>
    </row>
    <row r="3566" spans="1:11" ht="15.75" thickBot="1" x14ac:dyDescent="0.3">
      <c r="A3566" s="67"/>
      <c r="B3566" s="151"/>
      <c r="C3566" s="235"/>
      <c r="D3566" s="68"/>
      <c r="E3566" s="68"/>
      <c r="F3566" s="82"/>
      <c r="G3566" s="83"/>
      <c r="K3566"/>
    </row>
    <row r="3567" spans="1:11" ht="15.75" thickBot="1" x14ac:dyDescent="0.3">
      <c r="B3567" s="13"/>
      <c r="C3567" s="3"/>
      <c r="F3567" s="221"/>
      <c r="K3567"/>
    </row>
    <row r="3568" spans="1:11" s="8" customFormat="1" ht="15.75" thickBot="1" x14ac:dyDescent="0.3">
      <c r="A3568" s="228"/>
      <c r="B3568" s="229"/>
      <c r="C3568" s="230"/>
      <c r="D3568" s="230"/>
      <c r="E3568" s="231" t="s">
        <v>1807</v>
      </c>
      <c r="F3568" s="230"/>
      <c r="G3568" s="232"/>
      <c r="J3568" s="18"/>
    </row>
    <row r="3569" spans="1:12" x14ac:dyDescent="0.25">
      <c r="A3569" s="225"/>
      <c r="B3569" s="192"/>
      <c r="C3569" s="184" t="s">
        <v>1711</v>
      </c>
      <c r="D3569" s="93"/>
      <c r="E3569" s="93"/>
      <c r="F3569" s="219" t="s">
        <v>1731</v>
      </c>
      <c r="G3569" s="176"/>
      <c r="I3569" s="8"/>
      <c r="J3569" s="18"/>
      <c r="K3569" s="8"/>
      <c r="L3569" s="8"/>
    </row>
    <row r="3570" spans="1:12" x14ac:dyDescent="0.25">
      <c r="A3570" s="226"/>
      <c r="B3570" s="96"/>
      <c r="C3570" s="73" t="s">
        <v>415</v>
      </c>
      <c r="D3570" s="73"/>
      <c r="E3570" s="73"/>
      <c r="F3570" s="74" t="s">
        <v>3</v>
      </c>
      <c r="G3570" s="72">
        <f>0.01*1.12</f>
        <v>1.1200000000000002E-2</v>
      </c>
      <c r="I3570" s="8"/>
      <c r="J3570" s="18"/>
      <c r="K3570" s="8"/>
      <c r="L3570" s="8"/>
    </row>
    <row r="3571" spans="1:12" x14ac:dyDescent="0.25">
      <c r="A3571" s="226"/>
      <c r="B3571" s="96"/>
      <c r="C3571" s="73"/>
      <c r="D3571" s="73"/>
      <c r="E3571" s="73"/>
      <c r="F3571" s="74"/>
      <c r="G3571" s="72"/>
      <c r="K3571"/>
    </row>
    <row r="3572" spans="1:12" x14ac:dyDescent="0.25">
      <c r="A3572" s="226"/>
      <c r="B3572" s="96"/>
      <c r="C3572" s="75" t="s">
        <v>1712</v>
      </c>
      <c r="D3572" s="73"/>
      <c r="E3572" s="73"/>
      <c r="F3572" s="74"/>
      <c r="G3572" s="72"/>
      <c r="K3572"/>
    </row>
    <row r="3573" spans="1:12" x14ac:dyDescent="0.25">
      <c r="A3573" s="226"/>
      <c r="B3573" s="96"/>
      <c r="C3573" s="73" t="s">
        <v>578</v>
      </c>
      <c r="D3573" s="73"/>
      <c r="E3573" s="73"/>
      <c r="F3573" s="74" t="s">
        <v>3</v>
      </c>
      <c r="G3573" s="72">
        <f>0.045*0.045*0.3*9*1.5</f>
        <v>8.2012500000000002E-3</v>
      </c>
      <c r="K3573"/>
    </row>
    <row r="3574" spans="1:12" x14ac:dyDescent="0.25">
      <c r="A3574" s="226"/>
      <c r="B3574" s="96"/>
      <c r="C3574" s="73" t="s">
        <v>1713</v>
      </c>
      <c r="D3574" s="73"/>
      <c r="E3574" s="73"/>
      <c r="F3574" s="74" t="s">
        <v>195</v>
      </c>
      <c r="G3574" s="72">
        <f>0.028*3.14*1.1</f>
        <v>9.671200000000002E-2</v>
      </c>
      <c r="K3574"/>
    </row>
    <row r="3575" spans="1:12" x14ac:dyDescent="0.25">
      <c r="A3575" s="226"/>
      <c r="B3575" s="96"/>
      <c r="C3575" s="73"/>
      <c r="D3575" s="73"/>
      <c r="E3575" s="73"/>
      <c r="F3575" s="74"/>
      <c r="G3575" s="72"/>
      <c r="K3575"/>
    </row>
    <row r="3576" spans="1:12" x14ac:dyDescent="0.25">
      <c r="A3576" s="226"/>
      <c r="B3576" s="96"/>
      <c r="C3576" s="75" t="s">
        <v>1697</v>
      </c>
      <c r="D3576" s="73"/>
      <c r="E3576" s="152"/>
      <c r="F3576" s="218"/>
      <c r="G3576" s="72"/>
      <c r="K3576"/>
    </row>
    <row r="3577" spans="1:12" x14ac:dyDescent="0.25">
      <c r="A3577" s="226"/>
      <c r="B3577" s="96"/>
      <c r="C3577" s="73" t="s">
        <v>1698</v>
      </c>
      <c r="D3577" s="73"/>
      <c r="E3577" s="73"/>
      <c r="F3577" s="152" t="s">
        <v>3</v>
      </c>
      <c r="G3577" s="72">
        <v>0.02</v>
      </c>
      <c r="K3577"/>
    </row>
    <row r="3578" spans="1:12" x14ac:dyDescent="0.25">
      <c r="A3578" s="226"/>
      <c r="B3578" s="96"/>
      <c r="C3578" s="73"/>
      <c r="D3578" s="73"/>
      <c r="E3578" s="73"/>
      <c r="F3578" s="74"/>
      <c r="G3578" s="72"/>
      <c r="K3578"/>
    </row>
    <row r="3579" spans="1:12" x14ac:dyDescent="0.25">
      <c r="A3579" s="226"/>
      <c r="B3579" s="96"/>
      <c r="C3579" s="75" t="s">
        <v>1714</v>
      </c>
      <c r="D3579" s="73"/>
      <c r="E3579" s="73"/>
      <c r="F3579" s="74"/>
      <c r="G3579" s="72"/>
      <c r="K3579"/>
    </row>
    <row r="3580" spans="1:12" x14ac:dyDescent="0.25">
      <c r="A3580" s="226"/>
      <c r="B3580" s="96"/>
      <c r="C3580" s="73" t="s">
        <v>1715</v>
      </c>
      <c r="D3580" s="73"/>
      <c r="E3580" s="73"/>
      <c r="F3580" s="74" t="s">
        <v>3</v>
      </c>
      <c r="G3580" s="72">
        <v>0.02</v>
      </c>
      <c r="K3580"/>
    </row>
    <row r="3581" spans="1:12" x14ac:dyDescent="0.25">
      <c r="A3581" s="226"/>
      <c r="B3581" s="96"/>
      <c r="C3581" s="73"/>
      <c r="D3581" s="73"/>
      <c r="E3581" s="73"/>
      <c r="F3581" s="74"/>
      <c r="G3581" s="72"/>
      <c r="K3581"/>
    </row>
    <row r="3582" spans="1:12" x14ac:dyDescent="0.25">
      <c r="A3582" s="226"/>
      <c r="B3582" s="96"/>
      <c r="C3582" s="75" t="s">
        <v>1721</v>
      </c>
      <c r="D3582" s="73"/>
      <c r="E3582" s="73"/>
      <c r="F3582" s="74"/>
      <c r="G3582" s="72"/>
    </row>
    <row r="3583" spans="1:12" x14ac:dyDescent="0.25">
      <c r="A3583" s="226"/>
      <c r="B3583" s="96"/>
      <c r="C3583" s="77" t="s">
        <v>1054</v>
      </c>
      <c r="D3583" s="73"/>
      <c r="E3583" s="73"/>
      <c r="F3583" s="152" t="s">
        <v>3</v>
      </c>
      <c r="G3583" s="72">
        <f>0.8*0.08*1.25</f>
        <v>0.08</v>
      </c>
    </row>
    <row r="3584" spans="1:12" ht="17.25" x14ac:dyDescent="0.25">
      <c r="A3584" s="226"/>
      <c r="B3584" s="96"/>
      <c r="C3584" s="73" t="s">
        <v>1055</v>
      </c>
      <c r="D3584" s="73"/>
      <c r="E3584" s="73"/>
      <c r="F3584" s="152" t="s">
        <v>596</v>
      </c>
      <c r="G3584" s="72">
        <f>G3583</f>
        <v>0.08</v>
      </c>
    </row>
    <row r="3585" spans="1:11" x14ac:dyDescent="0.25">
      <c r="A3585" s="226"/>
      <c r="B3585" s="96"/>
      <c r="C3585" s="77" t="s">
        <v>13</v>
      </c>
      <c r="D3585" s="73"/>
      <c r="E3585" s="73"/>
      <c r="F3585" s="74" t="s">
        <v>3</v>
      </c>
      <c r="G3585" s="72">
        <v>0.05</v>
      </c>
    </row>
    <row r="3586" spans="1:11" x14ac:dyDescent="0.25">
      <c r="A3586" s="226"/>
      <c r="B3586" s="96"/>
      <c r="C3586" s="77" t="s">
        <v>8</v>
      </c>
      <c r="D3586" s="73"/>
      <c r="E3586" s="73"/>
      <c r="F3586" s="74" t="s">
        <v>3</v>
      </c>
      <c r="G3586" s="72">
        <f>0.8*G3588</f>
        <v>0.12012134400000003</v>
      </c>
    </row>
    <row r="3587" spans="1:11" x14ac:dyDescent="0.25">
      <c r="A3587" s="226"/>
      <c r="B3587" s="96"/>
      <c r="C3587" s="77" t="s">
        <v>12</v>
      </c>
      <c r="D3587" s="73"/>
      <c r="E3587" s="73"/>
      <c r="F3587" s="74" t="s">
        <v>3</v>
      </c>
      <c r="G3587" s="72">
        <f>0.3*G3586</f>
        <v>3.6036403200000011E-2</v>
      </c>
    </row>
    <row r="3588" spans="1:11" x14ac:dyDescent="0.25">
      <c r="A3588" s="226"/>
      <c r="B3588" s="96"/>
      <c r="C3588" s="77" t="s">
        <v>72</v>
      </c>
      <c r="D3588" s="73"/>
      <c r="E3588" s="73"/>
      <c r="F3588" s="74" t="s">
        <v>3</v>
      </c>
      <c r="G3588" s="72">
        <f>(0.5*0.05*2*2+0.55*0.09*2*2+0.31*0.12*2)*0.18*2*1.12</f>
        <v>0.15015168000000004</v>
      </c>
      <c r="K3588"/>
    </row>
    <row r="3589" spans="1:11" x14ac:dyDescent="0.25">
      <c r="A3589" s="226"/>
      <c r="B3589" s="96"/>
      <c r="C3589" s="77" t="s">
        <v>11</v>
      </c>
      <c r="D3589" s="73"/>
      <c r="E3589" s="73"/>
      <c r="F3589" s="74" t="s">
        <v>3</v>
      </c>
      <c r="G3589" s="72">
        <f>0.3*G3588</f>
        <v>4.5045504000000007E-2</v>
      </c>
      <c r="K3589"/>
    </row>
    <row r="3590" spans="1:11" x14ac:dyDescent="0.25">
      <c r="A3590" s="226"/>
      <c r="B3590" s="96"/>
      <c r="C3590" s="73" t="s">
        <v>226</v>
      </c>
      <c r="D3590" s="73"/>
      <c r="E3590" s="73"/>
      <c r="F3590" s="74" t="s">
        <v>3</v>
      </c>
      <c r="G3590" s="72">
        <f>0.815*2</f>
        <v>1.63</v>
      </c>
      <c r="K3590"/>
    </row>
    <row r="3591" spans="1:11" x14ac:dyDescent="0.25">
      <c r="A3591" s="226"/>
      <c r="B3591" s="96"/>
      <c r="C3591" s="73" t="s">
        <v>300</v>
      </c>
      <c r="D3591" s="73"/>
      <c r="E3591" s="73"/>
      <c r="F3591" s="74" t="s">
        <v>3</v>
      </c>
      <c r="G3591" s="72">
        <f>G3279+G3281+G3283+G3287*2</f>
        <v>4.9290702000000008</v>
      </c>
      <c r="K3591"/>
    </row>
    <row r="3592" spans="1:11" x14ac:dyDescent="0.25">
      <c r="A3592" s="226"/>
      <c r="B3592" s="96"/>
      <c r="C3592" s="73"/>
      <c r="D3592" s="73"/>
      <c r="E3592" s="73"/>
      <c r="F3592" s="73"/>
      <c r="G3592" s="164"/>
      <c r="K3592"/>
    </row>
    <row r="3593" spans="1:11" x14ac:dyDescent="0.25">
      <c r="A3593" s="226"/>
      <c r="B3593" s="96"/>
      <c r="C3593" s="75" t="s">
        <v>1727</v>
      </c>
      <c r="D3593" s="75"/>
      <c r="E3593" s="73"/>
      <c r="F3593" s="74"/>
      <c r="G3593" s="72"/>
      <c r="K3593"/>
    </row>
    <row r="3594" spans="1:11" x14ac:dyDescent="0.25">
      <c r="A3594" s="226"/>
      <c r="B3594" s="96"/>
      <c r="C3594" s="73" t="s">
        <v>8</v>
      </c>
      <c r="D3594" s="75"/>
      <c r="E3594" s="73"/>
      <c r="F3594" s="74" t="s">
        <v>3</v>
      </c>
      <c r="G3594" s="72">
        <f>G3596</f>
        <v>4.2900000000000004E-3</v>
      </c>
      <c r="K3594"/>
    </row>
    <row r="3595" spans="1:11" x14ac:dyDescent="0.25">
      <c r="A3595" s="226"/>
      <c r="B3595" s="96"/>
      <c r="C3595" s="73" t="s">
        <v>12</v>
      </c>
      <c r="D3595" s="75"/>
      <c r="E3595" s="73"/>
      <c r="F3595" s="74" t="s">
        <v>3</v>
      </c>
      <c r="G3595" s="72">
        <f>0.3*G3594</f>
        <v>1.2870000000000002E-3</v>
      </c>
      <c r="K3595"/>
    </row>
    <row r="3596" spans="1:11" x14ac:dyDescent="0.25">
      <c r="A3596" s="226"/>
      <c r="B3596" s="96"/>
      <c r="C3596" s="73" t="s">
        <v>72</v>
      </c>
      <c r="D3596" s="75"/>
      <c r="E3596" s="73"/>
      <c r="F3596" s="74" t="s">
        <v>3</v>
      </c>
      <c r="G3596" s="72">
        <f>0.13*0.011*2*1.5</f>
        <v>4.2900000000000004E-3</v>
      </c>
      <c r="K3596"/>
    </row>
    <row r="3597" spans="1:11" x14ac:dyDescent="0.25">
      <c r="A3597" s="226"/>
      <c r="B3597" s="96"/>
      <c r="C3597" s="73" t="s">
        <v>11</v>
      </c>
      <c r="D3597" s="75"/>
      <c r="E3597" s="73"/>
      <c r="F3597" s="74" t="s">
        <v>3</v>
      </c>
      <c r="G3597" s="72">
        <f>0.3*G3596</f>
        <v>1.2870000000000002E-3</v>
      </c>
      <c r="K3597"/>
    </row>
    <row r="3598" spans="1:11" x14ac:dyDescent="0.25">
      <c r="A3598" s="226"/>
      <c r="B3598" s="96"/>
      <c r="C3598" s="100" t="s">
        <v>177</v>
      </c>
      <c r="D3598" s="73"/>
      <c r="E3598" s="73"/>
      <c r="F3598" s="74" t="s">
        <v>3</v>
      </c>
      <c r="G3598" s="72">
        <f>0.127*0.03*1*8*1.12</f>
        <v>3.4137600000000004E-2</v>
      </c>
      <c r="K3598"/>
    </row>
    <row r="3599" spans="1:11" x14ac:dyDescent="0.25">
      <c r="A3599" s="226"/>
      <c r="B3599" s="96"/>
      <c r="C3599" s="100" t="s">
        <v>13</v>
      </c>
      <c r="D3599" s="73"/>
      <c r="E3599" s="73"/>
      <c r="F3599" s="74" t="s">
        <v>3</v>
      </c>
      <c r="G3599" s="72">
        <f>0.01</f>
        <v>0.01</v>
      </c>
      <c r="K3599"/>
    </row>
    <row r="3600" spans="1:11" x14ac:dyDescent="0.25">
      <c r="A3600" s="226"/>
      <c r="B3600" s="96"/>
      <c r="C3600" s="73"/>
      <c r="D3600" s="73"/>
      <c r="E3600" s="73"/>
      <c r="F3600" s="74"/>
      <c r="G3600" s="72"/>
      <c r="K3600"/>
    </row>
    <row r="3601" spans="1:11" x14ac:dyDescent="0.25">
      <c r="A3601" s="226"/>
      <c r="B3601" s="96"/>
      <c r="C3601" s="75" t="s">
        <v>1729</v>
      </c>
      <c r="D3601" s="75"/>
      <c r="E3601" s="73"/>
      <c r="F3601" s="74"/>
      <c r="G3601" s="72"/>
      <c r="K3601"/>
    </row>
    <row r="3602" spans="1:11" x14ac:dyDescent="0.25">
      <c r="A3602" s="226"/>
      <c r="B3602" s="96"/>
      <c r="C3602" s="73" t="s">
        <v>177</v>
      </c>
      <c r="D3602" s="75"/>
      <c r="E3602" s="73"/>
      <c r="F3602" s="74" t="s">
        <v>3</v>
      </c>
      <c r="G3602" s="72">
        <f>0.023*1.2</f>
        <v>2.76E-2</v>
      </c>
      <c r="K3602"/>
    </row>
    <row r="3603" spans="1:11" x14ac:dyDescent="0.25">
      <c r="A3603" s="226"/>
      <c r="B3603" s="96"/>
      <c r="C3603" s="73"/>
      <c r="D3603" s="73"/>
      <c r="E3603" s="73"/>
      <c r="F3603" s="73"/>
      <c r="G3603" s="164"/>
      <c r="K3603"/>
    </row>
    <row r="3604" spans="1:11" x14ac:dyDescent="0.25">
      <c r="A3604" s="226"/>
      <c r="B3604" s="96"/>
      <c r="C3604" s="75" t="s">
        <v>1732</v>
      </c>
      <c r="D3604" s="73"/>
      <c r="E3604" s="73"/>
      <c r="F3604" s="73"/>
      <c r="G3604" s="164"/>
      <c r="K3604"/>
    </row>
    <row r="3605" spans="1:11" x14ac:dyDescent="0.25">
      <c r="A3605" s="226"/>
      <c r="B3605" s="96"/>
      <c r="C3605" s="73" t="s">
        <v>1733</v>
      </c>
      <c r="D3605" s="73"/>
      <c r="E3605" s="73"/>
      <c r="F3605" s="74" t="s">
        <v>3</v>
      </c>
      <c r="G3605" s="72">
        <v>5.1999999999999998E-2</v>
      </c>
      <c r="K3605"/>
    </row>
    <row r="3606" spans="1:11" x14ac:dyDescent="0.25">
      <c r="A3606" s="226"/>
      <c r="B3606" s="96"/>
      <c r="C3606" s="73" t="s">
        <v>8</v>
      </c>
      <c r="D3606" s="73"/>
      <c r="E3606" s="73"/>
      <c r="F3606" s="74" t="s">
        <v>3</v>
      </c>
      <c r="G3606" s="72">
        <v>1.7999999999999999E-2</v>
      </c>
      <c r="K3606"/>
    </row>
    <row r="3607" spans="1:11" x14ac:dyDescent="0.25">
      <c r="A3607" s="226"/>
      <c r="B3607" s="96"/>
      <c r="C3607" s="73" t="s">
        <v>115</v>
      </c>
      <c r="D3607" s="73"/>
      <c r="E3607" s="73"/>
      <c r="F3607" s="74" t="s">
        <v>3</v>
      </c>
      <c r="G3607" s="72">
        <v>2.3E-2</v>
      </c>
      <c r="K3607"/>
    </row>
    <row r="3608" spans="1:11" x14ac:dyDescent="0.25">
      <c r="A3608" s="226"/>
      <c r="B3608" s="96"/>
      <c r="C3608" s="73" t="s">
        <v>12</v>
      </c>
      <c r="D3608" s="73"/>
      <c r="E3608" s="73"/>
      <c r="F3608" s="74" t="s">
        <v>3</v>
      </c>
      <c r="G3608" s="72">
        <v>1.2E-2</v>
      </c>
      <c r="K3608"/>
    </row>
    <row r="3609" spans="1:11" x14ac:dyDescent="0.25">
      <c r="A3609" s="226"/>
      <c r="B3609" s="106"/>
      <c r="C3609" s="73" t="s">
        <v>1734</v>
      </c>
      <c r="D3609" s="73"/>
      <c r="E3609" s="73"/>
      <c r="F3609" s="74" t="s">
        <v>3</v>
      </c>
      <c r="G3609" s="72">
        <v>0.23499999999999999</v>
      </c>
    </row>
    <row r="3610" spans="1:11" x14ac:dyDescent="0.25">
      <c r="A3610" s="226"/>
      <c r="B3610" s="106"/>
      <c r="C3610" s="73" t="s">
        <v>1735</v>
      </c>
      <c r="D3610" s="73"/>
      <c r="E3610" s="73"/>
      <c r="F3610" s="74" t="s">
        <v>3</v>
      </c>
      <c r="G3610" s="72">
        <f>0.49*0.1*4*1.6*1.02</f>
        <v>0.31987200000000005</v>
      </c>
    </row>
    <row r="3611" spans="1:11" x14ac:dyDescent="0.25">
      <c r="A3611" s="226"/>
      <c r="B3611" s="106"/>
      <c r="C3611" s="73"/>
      <c r="D3611" s="73"/>
      <c r="E3611" s="73"/>
      <c r="F3611" s="74"/>
      <c r="G3611" s="72"/>
    </row>
    <row r="3612" spans="1:11" x14ac:dyDescent="0.25">
      <c r="A3612" s="226"/>
      <c r="B3612" s="106"/>
      <c r="C3612" s="75" t="s">
        <v>1736</v>
      </c>
      <c r="D3612" s="73"/>
      <c r="E3612" s="73"/>
      <c r="F3612" s="74"/>
      <c r="G3612" s="72"/>
    </row>
    <row r="3613" spans="1:11" x14ac:dyDescent="0.25">
      <c r="A3613" s="226"/>
      <c r="B3613" s="106"/>
      <c r="C3613" s="73" t="s">
        <v>1737</v>
      </c>
      <c r="D3613" s="73"/>
      <c r="E3613" s="73"/>
      <c r="F3613" s="74" t="s">
        <v>3</v>
      </c>
      <c r="G3613" s="72">
        <f>0.16</f>
        <v>0.16</v>
      </c>
    </row>
    <row r="3614" spans="1:11" x14ac:dyDescent="0.25">
      <c r="A3614" s="226"/>
      <c r="B3614" s="106"/>
      <c r="C3614" s="73" t="s">
        <v>163</v>
      </c>
      <c r="D3614" s="73"/>
      <c r="E3614" s="73"/>
      <c r="F3614" s="74" t="s">
        <v>3</v>
      </c>
      <c r="G3614" s="72">
        <v>0.03</v>
      </c>
    </row>
    <row r="3615" spans="1:11" x14ac:dyDescent="0.25">
      <c r="A3615" s="226"/>
      <c r="B3615" s="106"/>
      <c r="C3615" s="73" t="s">
        <v>164</v>
      </c>
      <c r="D3615" s="73"/>
      <c r="E3615" s="73"/>
      <c r="F3615" s="74" t="s">
        <v>3</v>
      </c>
      <c r="G3615" s="72">
        <v>0.01</v>
      </c>
    </row>
    <row r="3616" spans="1:11" x14ac:dyDescent="0.25">
      <c r="A3616" s="226"/>
      <c r="B3616" s="106"/>
      <c r="C3616" s="73" t="s">
        <v>1739</v>
      </c>
      <c r="D3616" s="73"/>
      <c r="E3616" s="73"/>
      <c r="F3616" s="74" t="s">
        <v>3</v>
      </c>
      <c r="G3616" s="72">
        <f>0.145*0.05*2*1.6</f>
        <v>2.3199999999999998E-2</v>
      </c>
    </row>
    <row r="3617" spans="1:11" x14ac:dyDescent="0.25">
      <c r="A3617" s="226"/>
      <c r="B3617" s="106"/>
      <c r="C3617" s="73"/>
      <c r="D3617" s="73"/>
      <c r="E3617" s="73"/>
      <c r="F3617" s="74"/>
      <c r="G3617" s="72"/>
      <c r="K3617" s="215"/>
    </row>
    <row r="3618" spans="1:11" x14ac:dyDescent="0.25">
      <c r="A3618" s="226"/>
      <c r="B3618" s="106"/>
      <c r="C3618" s="75" t="s">
        <v>1738</v>
      </c>
      <c r="D3618" s="73"/>
      <c r="E3618" s="73"/>
      <c r="F3618" s="74"/>
      <c r="G3618" s="72"/>
    </row>
    <row r="3619" spans="1:11" x14ac:dyDescent="0.25">
      <c r="A3619" s="226"/>
      <c r="B3619" s="106"/>
      <c r="C3619" s="77" t="s">
        <v>1054</v>
      </c>
      <c r="D3619" s="73"/>
      <c r="E3619" s="73"/>
      <c r="F3619" s="152" t="s">
        <v>3</v>
      </c>
      <c r="G3619" s="72">
        <f>0.1*0.08*1.2</f>
        <v>9.5999999999999992E-3</v>
      </c>
    </row>
    <row r="3620" spans="1:11" ht="17.25" x14ac:dyDescent="0.25">
      <c r="A3620" s="226"/>
      <c r="B3620" s="106"/>
      <c r="C3620" s="73" t="s">
        <v>1055</v>
      </c>
      <c r="D3620" s="73"/>
      <c r="E3620" s="73"/>
      <c r="F3620" s="152" t="s">
        <v>596</v>
      </c>
      <c r="G3620" s="72">
        <f>G3619</f>
        <v>9.5999999999999992E-3</v>
      </c>
    </row>
    <row r="3621" spans="1:11" x14ac:dyDescent="0.25">
      <c r="A3621" s="226"/>
      <c r="B3621" s="106"/>
      <c r="C3621" s="73" t="s">
        <v>1741</v>
      </c>
      <c r="D3621" s="75"/>
      <c r="E3621" s="73"/>
      <c r="F3621" s="74" t="s">
        <v>3</v>
      </c>
      <c r="G3621" s="72">
        <f>0.21*0.59*1*8*1.12</f>
        <v>1.110144</v>
      </c>
    </row>
    <row r="3622" spans="1:11" x14ac:dyDescent="0.25">
      <c r="A3622" s="226"/>
      <c r="B3622" s="106"/>
      <c r="C3622" s="73" t="s">
        <v>1742</v>
      </c>
      <c r="D3622" s="73"/>
      <c r="E3622" s="73"/>
      <c r="F3622" s="74" t="s">
        <v>3</v>
      </c>
      <c r="G3622" s="72">
        <v>0.03</v>
      </c>
    </row>
    <row r="3623" spans="1:11" x14ac:dyDescent="0.25">
      <c r="A3623" s="226"/>
      <c r="B3623" s="106"/>
      <c r="C3623" s="73"/>
      <c r="D3623" s="73"/>
      <c r="E3623" s="73"/>
      <c r="F3623" s="74"/>
      <c r="G3623" s="72"/>
    </row>
    <row r="3624" spans="1:11" x14ac:dyDescent="0.25">
      <c r="A3624" s="226"/>
      <c r="B3624" s="106"/>
      <c r="C3624" s="75" t="s">
        <v>175</v>
      </c>
      <c r="D3624" s="73"/>
      <c r="E3624" s="73"/>
      <c r="F3624" s="74"/>
      <c r="G3624" s="72"/>
    </row>
    <row r="3625" spans="1:11" x14ac:dyDescent="0.25">
      <c r="A3625" s="226"/>
      <c r="B3625" s="106"/>
      <c r="C3625" s="73" t="s">
        <v>1744</v>
      </c>
      <c r="D3625" s="73"/>
      <c r="E3625" s="73"/>
      <c r="F3625" s="74" t="s">
        <v>3</v>
      </c>
      <c r="G3625" s="72">
        <v>0.08</v>
      </c>
    </row>
    <row r="3626" spans="1:11" x14ac:dyDescent="0.25">
      <c r="A3626" s="226"/>
      <c r="B3626" s="106"/>
      <c r="C3626" s="73" t="s">
        <v>1743</v>
      </c>
      <c r="D3626" s="73"/>
      <c r="E3626" s="73"/>
      <c r="F3626" s="74" t="s">
        <v>3</v>
      </c>
      <c r="G3626" s="72">
        <v>0.06</v>
      </c>
    </row>
    <row r="3627" spans="1:11" x14ac:dyDescent="0.25">
      <c r="A3627" s="226"/>
      <c r="B3627" s="106"/>
      <c r="C3627" s="73" t="s">
        <v>1540</v>
      </c>
      <c r="D3627" s="73"/>
      <c r="E3627" s="73"/>
      <c r="F3627" s="74" t="s">
        <v>3</v>
      </c>
      <c r="G3627" s="72">
        <v>9.9000000000000005E-2</v>
      </c>
    </row>
    <row r="3628" spans="1:11" x14ac:dyDescent="0.25">
      <c r="A3628" s="226"/>
      <c r="B3628" s="106"/>
      <c r="C3628" s="73" t="s">
        <v>1745</v>
      </c>
      <c r="D3628" s="73"/>
      <c r="E3628" s="73"/>
      <c r="F3628" s="74" t="s">
        <v>3</v>
      </c>
      <c r="G3628" s="72">
        <v>6.0000000000000001E-3</v>
      </c>
    </row>
    <row r="3629" spans="1:11" x14ac:dyDescent="0.25">
      <c r="A3629" s="226"/>
      <c r="B3629" s="106"/>
      <c r="C3629" s="73"/>
      <c r="D3629" s="73"/>
      <c r="E3629" s="73"/>
      <c r="F3629" s="74"/>
      <c r="G3629" s="72"/>
    </row>
    <row r="3630" spans="1:11" x14ac:dyDescent="0.25">
      <c r="A3630" s="226"/>
      <c r="B3630" s="106"/>
      <c r="C3630" s="75" t="s">
        <v>1746</v>
      </c>
      <c r="D3630" s="73"/>
      <c r="E3630" s="73"/>
      <c r="F3630" s="74"/>
      <c r="G3630" s="72"/>
    </row>
    <row r="3631" spans="1:11" x14ac:dyDescent="0.25">
      <c r="A3631" s="226"/>
      <c r="B3631" s="106"/>
      <c r="C3631" s="73" t="s">
        <v>1747</v>
      </c>
      <c r="D3631" s="73"/>
      <c r="E3631" s="73"/>
      <c r="F3631" s="74" t="s">
        <v>3</v>
      </c>
      <c r="G3631" s="72">
        <v>8.33</v>
      </c>
    </row>
    <row r="3632" spans="1:11" x14ac:dyDescent="0.25">
      <c r="A3632" s="226"/>
      <c r="B3632" s="106"/>
      <c r="C3632" s="73" t="s">
        <v>1748</v>
      </c>
      <c r="D3632" s="73"/>
      <c r="E3632" s="73"/>
      <c r="F3632" s="74" t="s">
        <v>3</v>
      </c>
      <c r="G3632" s="72">
        <v>1</v>
      </c>
    </row>
    <row r="3633" spans="1:11" x14ac:dyDescent="0.25">
      <c r="A3633" s="226"/>
      <c r="B3633" s="106"/>
      <c r="C3633" s="73" t="s">
        <v>1749</v>
      </c>
      <c r="D3633" s="73"/>
      <c r="E3633" s="73"/>
      <c r="F3633" s="74" t="s">
        <v>3</v>
      </c>
      <c r="G3633" s="72">
        <v>0.5</v>
      </c>
    </row>
    <row r="3634" spans="1:11" x14ac:dyDescent="0.25">
      <c r="A3634" s="226"/>
      <c r="B3634" s="106"/>
      <c r="C3634" s="73" t="s">
        <v>1750</v>
      </c>
      <c r="D3634" s="73"/>
      <c r="E3634" s="73"/>
      <c r="F3634" s="74" t="s">
        <v>112</v>
      </c>
      <c r="G3634" s="72">
        <v>0.66500000000000004</v>
      </c>
      <c r="K3634" s="215"/>
    </row>
    <row r="3635" spans="1:11" x14ac:dyDescent="0.25">
      <c r="A3635" s="226"/>
      <c r="B3635" s="106"/>
      <c r="C3635" s="73" t="s">
        <v>1751</v>
      </c>
      <c r="D3635" s="73"/>
      <c r="E3635" s="73"/>
      <c r="F3635" s="74" t="s">
        <v>3</v>
      </c>
      <c r="G3635" s="72">
        <v>7</v>
      </c>
      <c r="K3635" s="215"/>
    </row>
    <row r="3636" spans="1:11" x14ac:dyDescent="0.25">
      <c r="A3636" s="226"/>
      <c r="B3636" s="106"/>
      <c r="C3636" s="73" t="s">
        <v>1054</v>
      </c>
      <c r="D3636" s="73"/>
      <c r="E3636" s="73"/>
      <c r="F3636" s="74" t="s">
        <v>3</v>
      </c>
      <c r="G3636" s="72">
        <v>0.83</v>
      </c>
      <c r="K3636" s="215"/>
    </row>
    <row r="3637" spans="1:11" x14ac:dyDescent="0.25">
      <c r="A3637" s="226"/>
      <c r="B3637" s="106"/>
      <c r="C3637" s="73" t="s">
        <v>1055</v>
      </c>
      <c r="D3637" s="73"/>
      <c r="E3637" s="73"/>
      <c r="F3637" s="220" t="s">
        <v>1752</v>
      </c>
      <c r="G3637" s="72">
        <f>G3636</f>
        <v>0.83</v>
      </c>
      <c r="K3637" s="215"/>
    </row>
    <row r="3638" spans="1:11" x14ac:dyDescent="0.25">
      <c r="A3638" s="226"/>
      <c r="B3638" s="106"/>
      <c r="C3638" s="73"/>
      <c r="D3638" s="73"/>
      <c r="E3638" s="73"/>
      <c r="F3638" s="220"/>
      <c r="G3638" s="72"/>
      <c r="K3638" s="215"/>
    </row>
    <row r="3639" spans="1:11" x14ac:dyDescent="0.25">
      <c r="A3639" s="226"/>
      <c r="B3639" s="106"/>
      <c r="C3639" s="75" t="s">
        <v>1753</v>
      </c>
      <c r="D3639" s="73"/>
      <c r="E3639" s="73"/>
      <c r="F3639" s="74"/>
      <c r="G3639" s="72"/>
    </row>
    <row r="3640" spans="1:11" x14ac:dyDescent="0.25">
      <c r="A3640" s="226"/>
      <c r="B3640" s="106"/>
      <c r="C3640" s="73" t="s">
        <v>1747</v>
      </c>
      <c r="D3640" s="73"/>
      <c r="E3640" s="73"/>
      <c r="F3640" s="74" t="s">
        <v>3</v>
      </c>
      <c r="G3640" s="72">
        <v>8.33</v>
      </c>
      <c r="K3640" s="215"/>
    </row>
    <row r="3641" spans="1:11" x14ac:dyDescent="0.25">
      <c r="A3641" s="226"/>
      <c r="B3641" s="106"/>
      <c r="C3641" s="73" t="s">
        <v>1748</v>
      </c>
      <c r="D3641" s="73"/>
      <c r="E3641" s="73"/>
      <c r="F3641" s="74" t="s">
        <v>3</v>
      </c>
      <c r="G3641" s="72">
        <v>1</v>
      </c>
      <c r="K3641" s="215"/>
    </row>
    <row r="3642" spans="1:11" x14ac:dyDescent="0.25">
      <c r="A3642" s="226"/>
      <c r="B3642" s="106"/>
      <c r="C3642" s="73" t="s">
        <v>1749</v>
      </c>
      <c r="D3642" s="73"/>
      <c r="E3642" s="73"/>
      <c r="F3642" s="74" t="s">
        <v>3</v>
      </c>
      <c r="G3642" s="72">
        <v>0.5</v>
      </c>
      <c r="K3642" s="215"/>
    </row>
    <row r="3643" spans="1:11" x14ac:dyDescent="0.25">
      <c r="A3643" s="226"/>
      <c r="B3643" s="106"/>
      <c r="C3643" s="73" t="s">
        <v>1750</v>
      </c>
      <c r="D3643" s="73"/>
      <c r="E3643" s="73"/>
      <c r="F3643" s="74" t="s">
        <v>112</v>
      </c>
      <c r="G3643" s="72">
        <v>0.66500000000000004</v>
      </c>
    </row>
    <row r="3644" spans="1:11" x14ac:dyDescent="0.25">
      <c r="A3644" s="226"/>
      <c r="B3644" s="106"/>
      <c r="C3644" s="73" t="s">
        <v>1751</v>
      </c>
      <c r="D3644" s="73"/>
      <c r="E3644" s="73"/>
      <c r="F3644" s="74" t="s">
        <v>3</v>
      </c>
      <c r="G3644" s="72">
        <v>7</v>
      </c>
    </row>
    <row r="3645" spans="1:11" x14ac:dyDescent="0.25">
      <c r="A3645" s="226"/>
      <c r="B3645" s="106"/>
      <c r="C3645" s="73" t="s">
        <v>1054</v>
      </c>
      <c r="D3645" s="73"/>
      <c r="E3645" s="73"/>
      <c r="F3645" s="74" t="s">
        <v>3</v>
      </c>
      <c r="G3645" s="72">
        <v>0.83</v>
      </c>
      <c r="K3645" s="215"/>
    </row>
    <row r="3646" spans="1:11" x14ac:dyDescent="0.25">
      <c r="A3646" s="226"/>
      <c r="B3646" s="106"/>
      <c r="C3646" s="73" t="s">
        <v>1055</v>
      </c>
      <c r="D3646" s="73"/>
      <c r="E3646" s="73"/>
      <c r="F3646" s="220" t="s">
        <v>1752</v>
      </c>
      <c r="G3646" s="72">
        <f>G3645</f>
        <v>0.83</v>
      </c>
      <c r="K3646" s="215"/>
    </row>
    <row r="3647" spans="1:11" x14ac:dyDescent="0.25">
      <c r="A3647" s="226"/>
      <c r="B3647" s="106"/>
      <c r="C3647" s="73"/>
      <c r="D3647" s="73"/>
      <c r="E3647" s="73"/>
      <c r="F3647" s="74"/>
      <c r="G3647" s="72"/>
    </row>
    <row r="3648" spans="1:11" x14ac:dyDescent="0.25">
      <c r="A3648" s="226"/>
      <c r="B3648" s="106"/>
      <c r="C3648" s="75" t="s">
        <v>1754</v>
      </c>
      <c r="D3648" s="73"/>
      <c r="E3648" s="73"/>
      <c r="F3648" s="74"/>
      <c r="G3648" s="72"/>
    </row>
    <row r="3649" spans="1:7" x14ac:dyDescent="0.25">
      <c r="A3649" s="226"/>
      <c r="B3649" s="106"/>
      <c r="C3649" s="73" t="s">
        <v>1747</v>
      </c>
      <c r="D3649" s="73"/>
      <c r="E3649" s="73"/>
      <c r="F3649" s="74" t="s">
        <v>3</v>
      </c>
      <c r="G3649" s="72">
        <v>8.33</v>
      </c>
    </row>
    <row r="3650" spans="1:7" x14ac:dyDescent="0.25">
      <c r="A3650" s="226"/>
      <c r="B3650" s="106"/>
      <c r="C3650" s="73" t="s">
        <v>1748</v>
      </c>
      <c r="D3650" s="73"/>
      <c r="E3650" s="73"/>
      <c r="F3650" s="74" t="s">
        <v>3</v>
      </c>
      <c r="G3650" s="72">
        <v>1</v>
      </c>
    </row>
    <row r="3651" spans="1:7" x14ac:dyDescent="0.25">
      <c r="A3651" s="226"/>
      <c r="B3651" s="106"/>
      <c r="C3651" s="73" t="s">
        <v>1749</v>
      </c>
      <c r="D3651" s="73"/>
      <c r="E3651" s="73"/>
      <c r="F3651" s="74" t="s">
        <v>3</v>
      </c>
      <c r="G3651" s="72">
        <v>0.5</v>
      </c>
    </row>
    <row r="3652" spans="1:7" x14ac:dyDescent="0.25">
      <c r="A3652" s="226"/>
      <c r="B3652" s="106"/>
      <c r="C3652" s="73" t="s">
        <v>1750</v>
      </c>
      <c r="D3652" s="73"/>
      <c r="E3652" s="73"/>
      <c r="F3652" s="74" t="s">
        <v>112</v>
      </c>
      <c r="G3652" s="72">
        <v>0.66500000000000004</v>
      </c>
    </row>
    <row r="3653" spans="1:7" x14ac:dyDescent="0.25">
      <c r="A3653" s="226"/>
      <c r="B3653" s="106"/>
      <c r="C3653" s="73" t="s">
        <v>1751</v>
      </c>
      <c r="D3653" s="73"/>
      <c r="E3653" s="73"/>
      <c r="F3653" s="74" t="s">
        <v>3</v>
      </c>
      <c r="G3653" s="72">
        <v>7</v>
      </c>
    </row>
    <row r="3654" spans="1:7" x14ac:dyDescent="0.25">
      <c r="A3654" s="226"/>
      <c r="B3654" s="106"/>
      <c r="C3654" s="73" t="s">
        <v>1054</v>
      </c>
      <c r="D3654" s="73"/>
      <c r="E3654" s="73"/>
      <c r="F3654" s="74" t="s">
        <v>3</v>
      </c>
      <c r="G3654" s="72">
        <v>0.83</v>
      </c>
    </row>
    <row r="3655" spans="1:7" x14ac:dyDescent="0.25">
      <c r="A3655" s="226"/>
      <c r="B3655" s="106"/>
      <c r="C3655" s="73" t="s">
        <v>1055</v>
      </c>
      <c r="D3655" s="73"/>
      <c r="E3655" s="73"/>
      <c r="F3655" s="220" t="s">
        <v>1752</v>
      </c>
      <c r="G3655" s="72">
        <f>G3654</f>
        <v>0.83</v>
      </c>
    </row>
    <row r="3656" spans="1:7" x14ac:dyDescent="0.25">
      <c r="A3656" s="226"/>
      <c r="B3656" s="106"/>
      <c r="C3656" s="73"/>
      <c r="D3656" s="73"/>
      <c r="E3656" s="73"/>
      <c r="F3656" s="74"/>
      <c r="G3656" s="72"/>
    </row>
    <row r="3657" spans="1:7" x14ac:dyDescent="0.25">
      <c r="A3657" s="226"/>
      <c r="B3657" s="106"/>
      <c r="C3657" s="75" t="s">
        <v>1755</v>
      </c>
      <c r="D3657" s="73"/>
      <c r="E3657" s="73"/>
      <c r="F3657" s="74"/>
      <c r="G3657" s="72"/>
    </row>
    <row r="3658" spans="1:7" x14ac:dyDescent="0.25">
      <c r="A3658" s="226"/>
      <c r="B3658" s="106"/>
      <c r="C3658" s="73" t="s">
        <v>140</v>
      </c>
      <c r="D3658" s="73"/>
      <c r="E3658" s="73"/>
      <c r="F3658" s="74" t="s">
        <v>3</v>
      </c>
      <c r="G3658" s="72">
        <f>0.07*0.08*1.2</f>
        <v>6.7200000000000011E-3</v>
      </c>
    </row>
    <row r="3659" spans="1:7" ht="17.25" x14ac:dyDescent="0.25">
      <c r="A3659" s="226"/>
      <c r="B3659" s="106"/>
      <c r="C3659" s="73" t="s">
        <v>23</v>
      </c>
      <c r="D3659" s="73"/>
      <c r="E3659" s="73"/>
      <c r="F3659" s="74" t="s">
        <v>596</v>
      </c>
      <c r="G3659" s="72">
        <f>G3658*1.5</f>
        <v>1.0080000000000002E-2</v>
      </c>
    </row>
    <row r="3660" spans="1:7" x14ac:dyDescent="0.25">
      <c r="A3660" s="226"/>
      <c r="B3660" s="106"/>
      <c r="C3660" s="73" t="s">
        <v>142</v>
      </c>
      <c r="D3660" s="73"/>
      <c r="E3660" s="73"/>
      <c r="F3660" s="74" t="s">
        <v>3</v>
      </c>
      <c r="G3660" s="72">
        <f>G3658/4</f>
        <v>1.6800000000000003E-3</v>
      </c>
    </row>
    <row r="3661" spans="1:7" x14ac:dyDescent="0.25">
      <c r="A3661" s="226"/>
      <c r="B3661" s="106"/>
      <c r="C3661" s="73" t="s">
        <v>275</v>
      </c>
      <c r="D3661" s="75"/>
      <c r="E3661" s="73"/>
      <c r="F3661" s="74" t="s">
        <v>3</v>
      </c>
      <c r="G3661" s="72">
        <f>0.19*0.19*1.5*8*1.12</f>
        <v>0.48518400000000006</v>
      </c>
    </row>
    <row r="3662" spans="1:7" x14ac:dyDescent="0.25">
      <c r="A3662" s="226"/>
      <c r="B3662" s="106"/>
      <c r="C3662" s="73" t="s">
        <v>1757</v>
      </c>
      <c r="D3662" s="73"/>
      <c r="E3662" s="73"/>
      <c r="F3662" s="74" t="s">
        <v>3</v>
      </c>
      <c r="G3662" s="72">
        <v>2.5000000000000001E-2</v>
      </c>
    </row>
    <row r="3663" spans="1:7" x14ac:dyDescent="0.25">
      <c r="A3663" s="226"/>
      <c r="B3663" s="106"/>
      <c r="C3663" s="73"/>
      <c r="D3663" s="73"/>
      <c r="E3663" s="73"/>
      <c r="F3663" s="74"/>
      <c r="G3663" s="72"/>
    </row>
    <row r="3664" spans="1:7" x14ac:dyDescent="0.25">
      <c r="A3664" s="226"/>
      <c r="B3664" s="106"/>
      <c r="C3664" s="75" t="s">
        <v>1758</v>
      </c>
      <c r="D3664" s="73"/>
      <c r="E3664" s="73"/>
      <c r="F3664" s="74"/>
      <c r="G3664" s="72"/>
    </row>
    <row r="3665" spans="1:11" x14ac:dyDescent="0.25">
      <c r="A3665" s="226"/>
      <c r="B3665" s="106"/>
      <c r="C3665" s="73" t="s">
        <v>1759</v>
      </c>
      <c r="D3665" s="73"/>
      <c r="E3665" s="73"/>
      <c r="F3665" s="74" t="s">
        <v>3</v>
      </c>
      <c r="G3665" s="72">
        <v>3.0000000000000001E-3</v>
      </c>
    </row>
    <row r="3666" spans="1:11" x14ac:dyDescent="0.25">
      <c r="A3666" s="226"/>
      <c r="B3666" s="106"/>
      <c r="C3666" s="100" t="s">
        <v>177</v>
      </c>
      <c r="D3666" s="75"/>
      <c r="E3666" s="73"/>
      <c r="F3666" s="74" t="s">
        <v>3</v>
      </c>
      <c r="G3666" s="72">
        <f>0.18+0.2</f>
        <v>0.38</v>
      </c>
    </row>
    <row r="3667" spans="1:11" x14ac:dyDescent="0.25">
      <c r="A3667" s="226"/>
      <c r="B3667" s="106"/>
      <c r="C3667" s="73" t="s">
        <v>412</v>
      </c>
      <c r="D3667" s="73"/>
      <c r="E3667" s="73"/>
      <c r="F3667" s="74" t="s">
        <v>3</v>
      </c>
      <c r="G3667" s="72">
        <f>0.04+0.01*2</f>
        <v>0.06</v>
      </c>
    </row>
    <row r="3668" spans="1:11" x14ac:dyDescent="0.25">
      <c r="A3668" s="226"/>
      <c r="B3668" s="106"/>
      <c r="C3668" s="73"/>
      <c r="D3668" s="73"/>
      <c r="E3668" s="73"/>
      <c r="F3668" s="74"/>
      <c r="G3668" s="72"/>
    </row>
    <row r="3669" spans="1:11" x14ac:dyDescent="0.25">
      <c r="A3669" s="226"/>
      <c r="B3669" s="106"/>
      <c r="C3669" s="75" t="s">
        <v>1765</v>
      </c>
      <c r="D3669" s="73"/>
      <c r="E3669" s="73"/>
      <c r="F3669" s="74"/>
      <c r="G3669" s="72"/>
    </row>
    <row r="3670" spans="1:11" x14ac:dyDescent="0.25">
      <c r="A3670" s="226"/>
      <c r="B3670" s="106"/>
      <c r="C3670" s="73" t="s">
        <v>497</v>
      </c>
      <c r="D3670" s="73"/>
      <c r="E3670" s="73"/>
      <c r="F3670" s="74" t="s">
        <v>3</v>
      </c>
      <c r="G3670" s="72">
        <f>0.3*0.08*1.25</f>
        <v>0.03</v>
      </c>
    </row>
    <row r="3671" spans="1:11" x14ac:dyDescent="0.25">
      <c r="A3671" s="226"/>
      <c r="B3671" s="106"/>
      <c r="C3671" s="73" t="s">
        <v>168</v>
      </c>
      <c r="D3671" s="73"/>
      <c r="E3671" s="73"/>
      <c r="F3671" s="220" t="s">
        <v>1752</v>
      </c>
      <c r="G3671" s="72">
        <f>G3670*1.1</f>
        <v>3.3000000000000002E-2</v>
      </c>
    </row>
    <row r="3672" spans="1:11" x14ac:dyDescent="0.25">
      <c r="A3672" s="226"/>
      <c r="B3672" s="106"/>
      <c r="C3672" s="73" t="s">
        <v>213</v>
      </c>
      <c r="D3672" s="75"/>
      <c r="E3672" s="73"/>
      <c r="F3672" s="74" t="s">
        <v>3</v>
      </c>
      <c r="G3672" s="72">
        <f>0.55*0.25*3*2.7*1.122+0.018+0.01</f>
        <v>1.2776275000000004</v>
      </c>
    </row>
    <row r="3673" spans="1:11" x14ac:dyDescent="0.25">
      <c r="A3673" s="226"/>
      <c r="B3673" s="106"/>
      <c r="C3673" s="73"/>
      <c r="D3673" s="73"/>
      <c r="E3673" s="73"/>
      <c r="F3673" s="74"/>
      <c r="G3673" s="72"/>
    </row>
    <row r="3674" spans="1:11" x14ac:dyDescent="0.25">
      <c r="A3674" s="226"/>
      <c r="B3674" s="106"/>
      <c r="C3674" s="73"/>
      <c r="D3674" s="75"/>
      <c r="E3674" s="73"/>
      <c r="F3674" s="74"/>
      <c r="G3674" s="72"/>
    </row>
    <row r="3675" spans="1:11" x14ac:dyDescent="0.25">
      <c r="A3675" s="226"/>
      <c r="B3675" s="106"/>
      <c r="C3675" s="75" t="s">
        <v>1773</v>
      </c>
      <c r="D3675" s="73"/>
      <c r="E3675" s="73"/>
      <c r="F3675" s="74"/>
      <c r="G3675" s="72"/>
      <c r="K3675" s="216"/>
    </row>
    <row r="3676" spans="1:11" x14ac:dyDescent="0.25">
      <c r="A3676" s="226"/>
      <c r="B3676" s="106"/>
      <c r="C3676" s="73" t="s">
        <v>1774</v>
      </c>
      <c r="D3676" s="73"/>
      <c r="E3676" s="73"/>
      <c r="F3676" s="74" t="s">
        <v>3</v>
      </c>
      <c r="G3676" s="72">
        <f>0.04*0.02*1*8*1.15</f>
        <v>7.3599999999999994E-3</v>
      </c>
      <c r="K3676" s="216"/>
    </row>
    <row r="3677" spans="1:11" x14ac:dyDescent="0.25">
      <c r="A3677" s="226"/>
      <c r="B3677" s="106"/>
      <c r="C3677" s="73"/>
      <c r="D3677" s="73"/>
      <c r="E3677" s="73"/>
      <c r="F3677" s="74"/>
      <c r="G3677" s="72"/>
      <c r="K3677" s="216"/>
    </row>
    <row r="3678" spans="1:11" x14ac:dyDescent="0.25">
      <c r="A3678" s="226"/>
      <c r="B3678" s="106"/>
      <c r="C3678" s="75" t="s">
        <v>1775</v>
      </c>
      <c r="D3678" s="73"/>
      <c r="E3678" s="73"/>
      <c r="F3678" s="74"/>
      <c r="G3678" s="72"/>
      <c r="K3678" s="216"/>
    </row>
    <row r="3679" spans="1:11" x14ac:dyDescent="0.25">
      <c r="A3679" s="226"/>
      <c r="B3679" s="106"/>
      <c r="C3679" s="73" t="s">
        <v>140</v>
      </c>
      <c r="D3679" s="73"/>
      <c r="E3679" s="73"/>
      <c r="F3679" s="74" t="s">
        <v>3</v>
      </c>
      <c r="G3679" s="72">
        <f>0.07*0.08*1.2</f>
        <v>6.7200000000000011E-3</v>
      </c>
      <c r="K3679" s="216"/>
    </row>
    <row r="3680" spans="1:11" ht="17.25" x14ac:dyDescent="0.25">
      <c r="A3680" s="226"/>
      <c r="B3680" s="106"/>
      <c r="C3680" s="73" t="s">
        <v>23</v>
      </c>
      <c r="D3680" s="73"/>
      <c r="E3680" s="73"/>
      <c r="F3680" s="74" t="s">
        <v>596</v>
      </c>
      <c r="G3680" s="72">
        <f>G3679*1.5</f>
        <v>1.0080000000000002E-2</v>
      </c>
      <c r="K3680" s="216"/>
    </row>
    <row r="3681" spans="1:11" x14ac:dyDescent="0.25">
      <c r="A3681" s="226"/>
      <c r="B3681" s="106"/>
      <c r="C3681" s="73" t="s">
        <v>142</v>
      </c>
      <c r="D3681" s="73"/>
      <c r="E3681" s="73"/>
      <c r="F3681" s="74" t="s">
        <v>3</v>
      </c>
      <c r="G3681" s="72">
        <f>G3679/4</f>
        <v>1.6800000000000003E-3</v>
      </c>
      <c r="K3681" s="216"/>
    </row>
    <row r="3682" spans="1:11" x14ac:dyDescent="0.25">
      <c r="A3682" s="226"/>
      <c r="B3682" s="106"/>
      <c r="C3682" s="73" t="s">
        <v>1777</v>
      </c>
      <c r="D3682" s="73"/>
      <c r="E3682" s="73"/>
      <c r="F3682" s="74" t="s">
        <v>3</v>
      </c>
      <c r="G3682" s="72">
        <v>0.04</v>
      </c>
      <c r="K3682" s="216"/>
    </row>
    <row r="3683" spans="1:11" x14ac:dyDescent="0.25">
      <c r="A3683" s="226"/>
      <c r="B3683" s="106"/>
      <c r="C3683" s="186" t="s">
        <v>1782</v>
      </c>
      <c r="D3683" s="73"/>
      <c r="E3683" s="73"/>
      <c r="F3683" s="74" t="s">
        <v>3</v>
      </c>
      <c r="G3683" s="72">
        <f>0.16*2</f>
        <v>0.32</v>
      </c>
      <c r="I3683" t="s">
        <v>1778</v>
      </c>
      <c r="K3683" s="216"/>
    </row>
    <row r="3684" spans="1:11" x14ac:dyDescent="0.25">
      <c r="A3684" s="226"/>
      <c r="B3684" s="106"/>
      <c r="C3684" s="73"/>
      <c r="D3684" s="73"/>
      <c r="E3684" s="73"/>
      <c r="F3684" s="74"/>
      <c r="G3684" s="72"/>
    </row>
    <row r="3685" spans="1:11" x14ac:dyDescent="0.25">
      <c r="A3685" s="226"/>
      <c r="B3685" s="106"/>
      <c r="C3685" s="75" t="s">
        <v>1769</v>
      </c>
      <c r="D3685" s="73"/>
      <c r="E3685" s="73"/>
      <c r="F3685" s="74"/>
      <c r="G3685" s="72"/>
    </row>
    <row r="3686" spans="1:11" x14ac:dyDescent="0.25">
      <c r="A3686" s="226"/>
      <c r="B3686" s="106"/>
      <c r="C3686" s="73" t="s">
        <v>671</v>
      </c>
      <c r="D3686" s="73"/>
      <c r="E3686" s="73"/>
      <c r="F3686" s="74" t="s">
        <v>3</v>
      </c>
      <c r="G3686" s="72">
        <f>1.2*0.08*1.2</f>
        <v>0.1152</v>
      </c>
    </row>
    <row r="3687" spans="1:11" x14ac:dyDescent="0.25">
      <c r="A3687" s="226"/>
      <c r="B3687" s="106"/>
      <c r="C3687" s="73" t="s">
        <v>672</v>
      </c>
      <c r="D3687" s="73"/>
      <c r="E3687" s="73"/>
      <c r="F3687" s="74" t="s">
        <v>3</v>
      </c>
      <c r="G3687" s="72">
        <f>G3686*2</f>
        <v>0.23039999999999999</v>
      </c>
    </row>
    <row r="3688" spans="1:11" x14ac:dyDescent="0.25">
      <c r="A3688" s="226"/>
      <c r="B3688" s="106"/>
      <c r="C3688" s="73" t="s">
        <v>1770</v>
      </c>
      <c r="D3688" s="73"/>
      <c r="E3688" s="73"/>
      <c r="F3688" s="74" t="s">
        <v>3</v>
      </c>
      <c r="G3688" s="72">
        <f>0.535*0.052*2*1.8</f>
        <v>0.100152</v>
      </c>
    </row>
    <row r="3689" spans="1:11" x14ac:dyDescent="0.25">
      <c r="A3689" s="226"/>
      <c r="B3689" s="106"/>
      <c r="C3689" s="73" t="s">
        <v>1785</v>
      </c>
      <c r="D3689" s="73"/>
      <c r="E3689" s="73"/>
      <c r="F3689" s="74" t="s">
        <v>3</v>
      </c>
      <c r="G3689" s="72">
        <v>2E-3</v>
      </c>
    </row>
    <row r="3690" spans="1:11" x14ac:dyDescent="0.25">
      <c r="A3690" s="226"/>
      <c r="B3690" s="106"/>
      <c r="C3690" s="73" t="s">
        <v>177</v>
      </c>
      <c r="D3690" s="73"/>
      <c r="E3690" s="73"/>
      <c r="F3690" s="74" t="s">
        <v>3</v>
      </c>
      <c r="G3690" s="72">
        <f>0.54*0.1*1*8*1.122+0.225</f>
        <v>0.70970400000000011</v>
      </c>
    </row>
    <row r="3691" spans="1:11" x14ac:dyDescent="0.25">
      <c r="A3691" s="226"/>
      <c r="B3691" s="106"/>
      <c r="C3691" s="77" t="s">
        <v>1054</v>
      </c>
      <c r="D3691" s="73"/>
      <c r="E3691" s="73"/>
      <c r="F3691" s="152" t="s">
        <v>3</v>
      </c>
      <c r="G3691" s="72">
        <f>0.1*0.06*1.2</f>
        <v>7.1999999999999998E-3</v>
      </c>
    </row>
    <row r="3692" spans="1:11" ht="17.25" x14ac:dyDescent="0.25">
      <c r="A3692" s="226"/>
      <c r="B3692" s="106"/>
      <c r="C3692" s="73" t="s">
        <v>1055</v>
      </c>
      <c r="D3692" s="73"/>
      <c r="E3692" s="73"/>
      <c r="F3692" s="152" t="s">
        <v>596</v>
      </c>
      <c r="G3692" s="72">
        <f>G3691</f>
        <v>7.1999999999999998E-3</v>
      </c>
    </row>
    <row r="3693" spans="1:11" ht="17.25" x14ac:dyDescent="0.25">
      <c r="A3693" s="226"/>
      <c r="B3693" s="106"/>
      <c r="C3693" s="73" t="s">
        <v>1787</v>
      </c>
      <c r="D3693" s="73"/>
      <c r="E3693" s="73"/>
      <c r="F3693" s="152" t="s">
        <v>677</v>
      </c>
      <c r="G3693" s="72">
        <f>0.55*0.085*1.08</f>
        <v>5.0490000000000014E-2</v>
      </c>
    </row>
    <row r="3694" spans="1:11" x14ac:dyDescent="0.25">
      <c r="A3694" s="226"/>
      <c r="B3694" s="106"/>
      <c r="C3694" s="73"/>
      <c r="D3694" s="73"/>
      <c r="E3694" s="73"/>
      <c r="F3694" s="74"/>
      <c r="G3694" s="72"/>
    </row>
    <row r="3695" spans="1:11" x14ac:dyDescent="0.25">
      <c r="A3695" s="226"/>
      <c r="B3695" s="106"/>
      <c r="C3695" s="78" t="s">
        <v>1788</v>
      </c>
      <c r="D3695" s="73"/>
      <c r="E3695" s="73"/>
      <c r="F3695" s="74"/>
      <c r="G3695" s="72"/>
    </row>
    <row r="3696" spans="1:11" x14ac:dyDescent="0.25">
      <c r="A3696" s="226"/>
      <c r="B3696" s="106"/>
      <c r="C3696" s="77" t="s">
        <v>1793</v>
      </c>
      <c r="D3696" s="73"/>
      <c r="E3696" s="73"/>
      <c r="F3696" s="74" t="s">
        <v>1516</v>
      </c>
      <c r="G3696" s="72">
        <v>8</v>
      </c>
    </row>
    <row r="3697" spans="1:8" x14ac:dyDescent="0.25">
      <c r="A3697" s="226"/>
      <c r="B3697" s="106"/>
      <c r="C3697" s="77" t="s">
        <v>1054</v>
      </c>
      <c r="D3697" s="73"/>
      <c r="E3697" s="73"/>
      <c r="F3697" s="152" t="s">
        <v>3</v>
      </c>
      <c r="G3697" s="72">
        <f>0.0048+0.029+0.026</f>
        <v>5.9800000000000006E-2</v>
      </c>
    </row>
    <row r="3698" spans="1:8" ht="17.25" x14ac:dyDescent="0.25">
      <c r="A3698" s="226"/>
      <c r="B3698" s="106"/>
      <c r="C3698" s="73" t="s">
        <v>1055</v>
      </c>
      <c r="D3698" s="73"/>
      <c r="E3698" s="73"/>
      <c r="F3698" s="152" t="s">
        <v>596</v>
      </c>
      <c r="G3698" s="72">
        <f>G3697</f>
        <v>5.9800000000000006E-2</v>
      </c>
      <c r="H3698" s="2"/>
    </row>
    <row r="3699" spans="1:8" x14ac:dyDescent="0.25">
      <c r="A3699" s="226"/>
      <c r="B3699" s="106"/>
      <c r="C3699" s="100" t="s">
        <v>37</v>
      </c>
      <c r="D3699" s="73"/>
      <c r="E3699" s="73"/>
      <c r="F3699" s="152" t="s">
        <v>3</v>
      </c>
      <c r="G3699" s="72">
        <v>1.4E-2</v>
      </c>
      <c r="H3699" s="2"/>
    </row>
    <row r="3700" spans="1:8" x14ac:dyDescent="0.25">
      <c r="A3700" s="226"/>
      <c r="B3700" s="106"/>
      <c r="C3700" s="186" t="s">
        <v>8</v>
      </c>
      <c r="D3700" s="73"/>
      <c r="E3700" s="73"/>
      <c r="F3700" s="74" t="s">
        <v>3</v>
      </c>
      <c r="G3700" s="72">
        <f>0.0093312+0.02</f>
        <v>2.9331200000000002E-2</v>
      </c>
      <c r="H3700" s="2"/>
    </row>
    <row r="3701" spans="1:8" x14ac:dyDescent="0.25">
      <c r="A3701" s="226"/>
      <c r="B3701" s="106"/>
      <c r="C3701" s="77" t="s">
        <v>115</v>
      </c>
      <c r="D3701" s="73"/>
      <c r="E3701" s="73"/>
      <c r="F3701" s="74" t="s">
        <v>3</v>
      </c>
      <c r="G3701" s="72">
        <f>0.011664+0.025</f>
        <v>3.6664000000000002E-2</v>
      </c>
      <c r="H3701" s="2"/>
    </row>
    <row r="3702" spans="1:8" x14ac:dyDescent="0.25">
      <c r="A3702" s="226"/>
      <c r="B3702" s="106"/>
      <c r="C3702" s="186" t="s">
        <v>12</v>
      </c>
      <c r="D3702" s="73"/>
      <c r="E3702" s="73"/>
      <c r="F3702" s="74" t="s">
        <v>3</v>
      </c>
      <c r="G3702" s="72">
        <f>0.3*(G3701+G3700)</f>
        <v>1.979856E-2</v>
      </c>
      <c r="H3702" s="2"/>
    </row>
    <row r="3703" spans="1:8" x14ac:dyDescent="0.25">
      <c r="A3703" s="226"/>
      <c r="B3703" s="106"/>
      <c r="C3703" s="73" t="s">
        <v>275</v>
      </c>
      <c r="D3703" s="73"/>
      <c r="E3703" s="73"/>
      <c r="F3703" s="74" t="s">
        <v>3</v>
      </c>
      <c r="G3703" s="72">
        <f>0.355*0.035*1.5*8*1.142*2+0.65</f>
        <v>0.99054439999999999</v>
      </c>
      <c r="H3703" s="2"/>
    </row>
    <row r="3704" spans="1:8" x14ac:dyDescent="0.25">
      <c r="A3704" s="226"/>
      <c r="B3704" s="106"/>
      <c r="C3704" s="77" t="s">
        <v>1647</v>
      </c>
      <c r="D3704" s="73"/>
      <c r="E3704" s="73"/>
      <c r="F3704" s="74" t="s">
        <v>3</v>
      </c>
      <c r="G3704" s="72">
        <f>0.115*0.28*6*8*1.1515</f>
        <v>1.7797584000000004</v>
      </c>
    </row>
    <row r="3705" spans="1:8" x14ac:dyDescent="0.25">
      <c r="A3705" s="226"/>
      <c r="B3705" s="106"/>
      <c r="C3705" s="77" t="s">
        <v>1645</v>
      </c>
      <c r="D3705" s="73"/>
      <c r="E3705" s="73"/>
      <c r="F3705" s="74" t="s">
        <v>3</v>
      </c>
      <c r="G3705" s="72">
        <f>0.06*0.015*3*8*1.12</f>
        <v>2.4192000000000005E-2</v>
      </c>
    </row>
    <row r="3706" spans="1:8" x14ac:dyDescent="0.25">
      <c r="A3706" s="226"/>
      <c r="B3706" s="106"/>
      <c r="C3706" s="77" t="s">
        <v>1646</v>
      </c>
      <c r="D3706" s="78"/>
      <c r="E3706" s="78"/>
      <c r="F3706" s="74" t="s">
        <v>3</v>
      </c>
      <c r="G3706" s="72">
        <f>0.062*0.032*4*8*1.15*2</f>
        <v>0.1460224</v>
      </c>
    </row>
    <row r="3707" spans="1:8" x14ac:dyDescent="0.25">
      <c r="A3707" s="226"/>
      <c r="B3707" s="106"/>
      <c r="C3707" s="77" t="s">
        <v>1794</v>
      </c>
      <c r="D3707" s="73"/>
      <c r="E3707" s="73"/>
      <c r="F3707" s="74" t="s">
        <v>3</v>
      </c>
      <c r="G3707" s="72">
        <v>0.28000000000000003</v>
      </c>
    </row>
    <row r="3708" spans="1:8" x14ac:dyDescent="0.25">
      <c r="A3708" s="226"/>
      <c r="B3708" s="106"/>
      <c r="C3708" s="77" t="s">
        <v>1795</v>
      </c>
      <c r="D3708" s="73"/>
      <c r="E3708" s="73"/>
      <c r="F3708" s="74" t="s">
        <v>3</v>
      </c>
      <c r="G3708" s="72">
        <v>0.32</v>
      </c>
    </row>
    <row r="3709" spans="1:8" x14ac:dyDescent="0.25">
      <c r="A3709" s="226"/>
      <c r="B3709" s="106"/>
      <c r="C3709" s="77" t="s">
        <v>1796</v>
      </c>
      <c r="D3709" s="73"/>
      <c r="E3709" s="73"/>
      <c r="F3709" s="74" t="s">
        <v>3</v>
      </c>
      <c r="G3709" s="72">
        <f>0.02*5</f>
        <v>0.1</v>
      </c>
    </row>
    <row r="3710" spans="1:8" x14ac:dyDescent="0.25">
      <c r="A3710" s="226"/>
      <c r="B3710" s="106"/>
      <c r="C3710" s="77" t="s">
        <v>1797</v>
      </c>
      <c r="D3710" s="73"/>
      <c r="E3710" s="73"/>
      <c r="F3710" s="74" t="s">
        <v>3</v>
      </c>
      <c r="G3710" s="72">
        <f>0.08+0.08*2</f>
        <v>0.24</v>
      </c>
    </row>
    <row r="3711" spans="1:8" x14ac:dyDescent="0.25">
      <c r="A3711" s="226"/>
      <c r="B3711" s="106"/>
      <c r="C3711" s="77" t="s">
        <v>1798</v>
      </c>
      <c r="D3711" s="73"/>
      <c r="E3711" s="73"/>
      <c r="F3711" s="74" t="s">
        <v>3</v>
      </c>
      <c r="G3711" s="72">
        <f>0.03*2+0.04*2</f>
        <v>0.14000000000000001</v>
      </c>
    </row>
    <row r="3712" spans="1:8" ht="15.75" thickBot="1" x14ac:dyDescent="0.3">
      <c r="A3712" s="227"/>
      <c r="B3712" s="86"/>
      <c r="C3712" s="68"/>
      <c r="D3712" s="68"/>
      <c r="E3712" s="68"/>
      <c r="F3712" s="82"/>
      <c r="G3712" s="83"/>
    </row>
    <row r="3713" spans="1:11" x14ac:dyDescent="0.25">
      <c r="F3713" s="9"/>
    </row>
    <row r="3714" spans="1:11" x14ac:dyDescent="0.25">
      <c r="B3714" s="30"/>
      <c r="C3714" s="3" t="s">
        <v>991</v>
      </c>
      <c r="F3714" s="152"/>
      <c r="K3714"/>
    </row>
    <row r="3715" spans="1:11" x14ac:dyDescent="0.25">
      <c r="B3715" s="13"/>
      <c r="D3715" t="s">
        <v>992</v>
      </c>
      <c r="F3715" s="152" t="s">
        <v>3</v>
      </c>
      <c r="G3715" s="28">
        <f>0.2*0.2*4*8*1.1</f>
        <v>1.4080000000000004</v>
      </c>
      <c r="H3715" t="s">
        <v>1006</v>
      </c>
      <c r="K3715"/>
    </row>
    <row r="3716" spans="1:11" ht="15.75" thickBot="1" x14ac:dyDescent="0.3">
      <c r="A3716" s="68"/>
      <c r="B3716" s="151"/>
      <c r="C3716" s="68"/>
      <c r="D3716" s="68"/>
      <c r="E3716" s="68"/>
      <c r="F3716" s="68"/>
      <c r="G3716" s="89"/>
      <c r="K3716"/>
    </row>
    <row r="3717" spans="1:11" ht="18.75" x14ac:dyDescent="0.25">
      <c r="B3717" s="13"/>
      <c r="E3717" s="238" t="s">
        <v>1805</v>
      </c>
      <c r="F3717" s="14" t="s">
        <v>1929</v>
      </c>
      <c r="G3717" s="176"/>
      <c r="K3717"/>
    </row>
    <row r="3718" spans="1:11" x14ac:dyDescent="0.25">
      <c r="B3718" s="13"/>
      <c r="F3718" s="9"/>
      <c r="G3718" s="72"/>
      <c r="K3718"/>
    </row>
    <row r="3719" spans="1:11" x14ac:dyDescent="0.25">
      <c r="A3719" s="217"/>
      <c r="B3719" s="13"/>
      <c r="F3719" s="9"/>
      <c r="G3719" s="72"/>
      <c r="K3719"/>
    </row>
    <row r="3720" spans="1:11" x14ac:dyDescent="0.25">
      <c r="B3720" s="96"/>
      <c r="C3720" s="75" t="s">
        <v>1873</v>
      </c>
      <c r="D3720" s="73"/>
      <c r="E3720" s="73"/>
      <c r="F3720" s="74"/>
      <c r="G3720" s="72"/>
      <c r="I3720" s="3" t="s">
        <v>1880</v>
      </c>
      <c r="K3720"/>
    </row>
    <row r="3721" spans="1:11" x14ac:dyDescent="0.25">
      <c r="B3721" s="96"/>
      <c r="C3721" s="73"/>
      <c r="D3721" s="75" t="s">
        <v>1874</v>
      </c>
      <c r="E3721" s="73"/>
      <c r="F3721" s="74"/>
      <c r="G3721" s="72"/>
      <c r="K3721"/>
    </row>
    <row r="3722" spans="1:11" x14ac:dyDescent="0.25">
      <c r="B3722" s="96"/>
      <c r="C3722" s="73"/>
      <c r="D3722" s="73" t="s">
        <v>1877</v>
      </c>
      <c r="E3722" s="73"/>
      <c r="F3722" s="74" t="s">
        <v>3</v>
      </c>
      <c r="G3722" s="72">
        <f>0.1*0.06*3*1.4*1.18</f>
        <v>2.9735999999999999E-2</v>
      </c>
      <c r="I3722" s="3" t="s">
        <v>1880</v>
      </c>
      <c r="K3722"/>
    </row>
    <row r="3723" spans="1:11" x14ac:dyDescent="0.25">
      <c r="B3723" s="96"/>
      <c r="C3723" s="73"/>
      <c r="D3723" s="75" t="s">
        <v>1875</v>
      </c>
      <c r="E3723" s="73"/>
      <c r="F3723" s="73"/>
      <c r="G3723" s="72"/>
      <c r="K3723"/>
    </row>
    <row r="3724" spans="1:11" x14ac:dyDescent="0.25">
      <c r="B3724" s="106"/>
      <c r="C3724" s="73"/>
      <c r="D3724" s="73" t="s">
        <v>1878</v>
      </c>
      <c r="E3724" s="73"/>
      <c r="F3724" s="74" t="s">
        <v>3</v>
      </c>
      <c r="G3724" s="72">
        <v>1.2999999999999999E-2</v>
      </c>
      <c r="I3724" s="3" t="s">
        <v>1880</v>
      </c>
    </row>
    <row r="3725" spans="1:11" x14ac:dyDescent="0.25">
      <c r="B3725" s="106"/>
      <c r="C3725" s="73"/>
      <c r="D3725" s="75" t="s">
        <v>1876</v>
      </c>
      <c r="E3725" s="73"/>
      <c r="F3725" s="74"/>
      <c r="G3725" s="72"/>
    </row>
    <row r="3726" spans="1:11" x14ac:dyDescent="0.25">
      <c r="B3726" s="106"/>
      <c r="C3726" s="73"/>
      <c r="D3726" s="73" t="s">
        <v>1879</v>
      </c>
      <c r="E3726" s="73"/>
      <c r="F3726" s="74" t="s">
        <v>3</v>
      </c>
      <c r="G3726" s="72">
        <v>2.5000000000000001E-2</v>
      </c>
      <c r="I3726" s="3" t="s">
        <v>1880</v>
      </c>
    </row>
    <row r="3727" spans="1:11" x14ac:dyDescent="0.25">
      <c r="B3727" s="106"/>
      <c r="C3727" s="73"/>
      <c r="D3727" s="73"/>
      <c r="E3727" s="73"/>
      <c r="F3727" s="74"/>
      <c r="G3727" s="72"/>
    </row>
    <row r="3728" spans="1:11" x14ac:dyDescent="0.25">
      <c r="A3728" s="217"/>
      <c r="B3728" s="106"/>
      <c r="C3728" s="75" t="s">
        <v>1881</v>
      </c>
      <c r="D3728" s="73"/>
      <c r="E3728" s="73"/>
      <c r="F3728" s="74"/>
      <c r="G3728" s="72"/>
      <c r="I3728" s="3" t="s">
        <v>1884</v>
      </c>
    </row>
    <row r="3729" spans="2:9" x14ac:dyDescent="0.25">
      <c r="B3729" s="106"/>
      <c r="C3729" s="73" t="s">
        <v>1883</v>
      </c>
      <c r="D3729" s="73"/>
      <c r="E3729" s="73"/>
      <c r="F3729" s="74" t="s">
        <v>195</v>
      </c>
      <c r="G3729" s="72">
        <v>0.56000000000000005</v>
      </c>
    </row>
    <row r="3730" spans="2:9" x14ac:dyDescent="0.25">
      <c r="B3730" s="106"/>
      <c r="C3730" s="73"/>
      <c r="D3730" s="75" t="s">
        <v>1885</v>
      </c>
      <c r="E3730" s="73"/>
      <c r="F3730" s="74"/>
      <c r="G3730" s="72"/>
    </row>
    <row r="3731" spans="2:9" x14ac:dyDescent="0.25">
      <c r="B3731" s="106"/>
      <c r="C3731" s="73"/>
      <c r="D3731" s="73" t="s">
        <v>140</v>
      </c>
      <c r="E3731" s="73"/>
      <c r="F3731" s="74" t="s">
        <v>3</v>
      </c>
      <c r="G3731" s="72">
        <f>0.025*3.14*2*0.08*1.1</f>
        <v>1.3816000000000004E-2</v>
      </c>
    </row>
    <row r="3732" spans="2:9" ht="17.25" x14ac:dyDescent="0.25">
      <c r="B3732" s="106"/>
      <c r="C3732" s="73"/>
      <c r="D3732" s="73" t="s">
        <v>23</v>
      </c>
      <c r="E3732" s="73"/>
      <c r="F3732" s="74" t="s">
        <v>596</v>
      </c>
      <c r="G3732" s="72">
        <f>G3731*1.5</f>
        <v>2.0724000000000006E-2</v>
      </c>
    </row>
    <row r="3733" spans="2:9" x14ac:dyDescent="0.25">
      <c r="B3733" s="106"/>
      <c r="C3733" s="73"/>
      <c r="D3733" s="73" t="s">
        <v>142</v>
      </c>
      <c r="E3733" s="73"/>
      <c r="F3733" s="74" t="s">
        <v>3</v>
      </c>
      <c r="G3733" s="72">
        <f>G3731/4</f>
        <v>3.4540000000000009E-3</v>
      </c>
    </row>
    <row r="3734" spans="2:9" x14ac:dyDescent="0.25">
      <c r="B3734" s="106"/>
      <c r="C3734" s="73"/>
      <c r="D3734" s="73" t="s">
        <v>1054</v>
      </c>
      <c r="E3734" s="73"/>
      <c r="F3734" s="74" t="s">
        <v>3</v>
      </c>
      <c r="G3734" s="72">
        <f>0.025*3.14*2*0.08*1.15</f>
        <v>1.4444E-2</v>
      </c>
    </row>
    <row r="3735" spans="2:9" ht="17.25" x14ac:dyDescent="0.25">
      <c r="B3735" s="106"/>
      <c r="C3735" s="73"/>
      <c r="D3735" s="73" t="s">
        <v>1055</v>
      </c>
      <c r="E3735" s="73"/>
      <c r="F3735" s="74" t="s">
        <v>596</v>
      </c>
      <c r="G3735" s="72">
        <f>G3734</f>
        <v>1.4444E-2</v>
      </c>
    </row>
    <row r="3736" spans="2:9" x14ac:dyDescent="0.25">
      <c r="B3736" s="106"/>
      <c r="C3736" s="73"/>
      <c r="D3736" s="77" t="s">
        <v>8</v>
      </c>
      <c r="E3736" s="73"/>
      <c r="F3736" s="74" t="s">
        <v>3</v>
      </c>
      <c r="G3736" s="72">
        <f>G3737</f>
        <v>1.1200000000000002E-2</v>
      </c>
    </row>
    <row r="3737" spans="2:9" x14ac:dyDescent="0.25">
      <c r="B3737" s="106"/>
      <c r="C3737" s="73"/>
      <c r="D3737" s="77" t="s">
        <v>325</v>
      </c>
      <c r="E3737" s="73"/>
      <c r="F3737" s="74" t="s">
        <v>3</v>
      </c>
      <c r="G3737" s="72">
        <f>0.28*0.02*2</f>
        <v>1.1200000000000002E-2</v>
      </c>
    </row>
    <row r="3738" spans="2:9" x14ac:dyDescent="0.25">
      <c r="B3738" s="106"/>
      <c r="C3738" s="73"/>
      <c r="D3738" s="77" t="s">
        <v>12</v>
      </c>
      <c r="E3738" s="73"/>
      <c r="F3738" s="74" t="s">
        <v>3</v>
      </c>
      <c r="G3738" s="72">
        <f>0.3*(G3737+G3736)</f>
        <v>6.7200000000000011E-3</v>
      </c>
    </row>
    <row r="3739" spans="2:9" x14ac:dyDescent="0.25">
      <c r="B3739" s="106"/>
      <c r="C3739" s="73"/>
      <c r="D3739" s="73"/>
      <c r="E3739" s="75" t="s">
        <v>1886</v>
      </c>
      <c r="F3739" s="74"/>
      <c r="G3739" s="72"/>
    </row>
    <row r="3740" spans="2:9" x14ac:dyDescent="0.25">
      <c r="B3740" s="106"/>
      <c r="C3740" s="73"/>
      <c r="D3740" s="73"/>
      <c r="E3740" s="73" t="s">
        <v>55</v>
      </c>
      <c r="F3740" s="74" t="s">
        <v>3</v>
      </c>
      <c r="G3740" s="72">
        <f>0.15*0.03*3*8*1.11</f>
        <v>0.11988</v>
      </c>
    </row>
    <row r="3741" spans="2:9" x14ac:dyDescent="0.25">
      <c r="B3741" s="106"/>
      <c r="C3741" s="73"/>
      <c r="D3741" s="73"/>
      <c r="E3741" s="75" t="s">
        <v>1887</v>
      </c>
      <c r="F3741" s="74"/>
      <c r="G3741" s="72"/>
    </row>
    <row r="3742" spans="2:9" x14ac:dyDescent="0.25">
      <c r="B3742" s="106"/>
      <c r="C3742" s="73"/>
      <c r="D3742" s="73"/>
      <c r="E3742" s="73" t="s">
        <v>557</v>
      </c>
      <c r="F3742" s="74" t="s">
        <v>3</v>
      </c>
      <c r="G3742" s="72">
        <v>0.375</v>
      </c>
      <c r="I3742" t="s">
        <v>1888</v>
      </c>
    </row>
    <row r="3743" spans="2:9" x14ac:dyDescent="0.25">
      <c r="B3743" s="106"/>
      <c r="C3743" s="73"/>
      <c r="D3743" s="75" t="s">
        <v>1889</v>
      </c>
      <c r="E3743" s="73"/>
      <c r="F3743" s="74"/>
      <c r="G3743" s="72"/>
    </row>
    <row r="3744" spans="2:9" x14ac:dyDescent="0.25">
      <c r="B3744" s="106"/>
      <c r="C3744" s="73"/>
      <c r="D3744" s="73" t="s">
        <v>140</v>
      </c>
      <c r="E3744" s="73"/>
      <c r="F3744" s="74" t="s">
        <v>3</v>
      </c>
      <c r="G3744" s="72">
        <f>0.025*3.14*2*0.08*1.1</f>
        <v>1.3816000000000004E-2</v>
      </c>
    </row>
    <row r="3745" spans="1:9" ht="17.25" x14ac:dyDescent="0.25">
      <c r="B3745" s="106"/>
      <c r="C3745" s="73"/>
      <c r="D3745" s="73" t="s">
        <v>23</v>
      </c>
      <c r="E3745" s="73"/>
      <c r="F3745" s="74" t="s">
        <v>596</v>
      </c>
      <c r="G3745" s="72">
        <f>G3744*1.5</f>
        <v>2.0724000000000006E-2</v>
      </c>
    </row>
    <row r="3746" spans="1:9" x14ac:dyDescent="0.25">
      <c r="B3746" s="106"/>
      <c r="C3746" s="73"/>
      <c r="D3746" s="73" t="s">
        <v>142</v>
      </c>
      <c r="E3746" s="73"/>
      <c r="F3746" s="74" t="s">
        <v>3</v>
      </c>
      <c r="G3746" s="72">
        <f>G3744/4</f>
        <v>3.4540000000000009E-3</v>
      </c>
    </row>
    <row r="3747" spans="1:9" x14ac:dyDescent="0.25">
      <c r="B3747" s="106"/>
      <c r="C3747" s="73"/>
      <c r="D3747" s="77" t="s">
        <v>8</v>
      </c>
      <c r="E3747" s="73"/>
      <c r="F3747" s="74" t="s">
        <v>3</v>
      </c>
      <c r="G3747" s="72">
        <f>G3748</f>
        <v>5.2000000000000006E-3</v>
      </c>
    </row>
    <row r="3748" spans="1:9" x14ac:dyDescent="0.25">
      <c r="B3748" s="106"/>
      <c r="C3748" s="73"/>
      <c r="D3748" s="77" t="s">
        <v>325</v>
      </c>
      <c r="E3748" s="73"/>
      <c r="F3748" s="74" t="s">
        <v>3</v>
      </c>
      <c r="G3748" s="72">
        <f>0.1*0.02*2*1.3</f>
        <v>5.2000000000000006E-3</v>
      </c>
    </row>
    <row r="3749" spans="1:9" x14ac:dyDescent="0.25">
      <c r="B3749" s="106"/>
      <c r="C3749" s="73"/>
      <c r="D3749" s="77" t="s">
        <v>12</v>
      </c>
      <c r="E3749" s="73"/>
      <c r="F3749" s="74" t="s">
        <v>3</v>
      </c>
      <c r="G3749" s="72">
        <f>0.3*(G3748+G3747)</f>
        <v>3.1200000000000004E-3</v>
      </c>
    </row>
    <row r="3750" spans="1:9" x14ac:dyDescent="0.25">
      <c r="B3750" s="106"/>
      <c r="C3750" s="73"/>
      <c r="D3750" s="73"/>
      <c r="E3750" s="75" t="s">
        <v>1890</v>
      </c>
      <c r="F3750" s="74"/>
      <c r="G3750" s="72"/>
    </row>
    <row r="3751" spans="1:9" x14ac:dyDescent="0.25">
      <c r="B3751" s="106"/>
      <c r="C3751" s="73"/>
      <c r="D3751" s="73"/>
      <c r="E3751" s="73" t="s">
        <v>1431</v>
      </c>
      <c r="F3751" s="74" t="s">
        <v>3</v>
      </c>
      <c r="G3751" s="72">
        <f>0.025*3.14*0.08*1.15</f>
        <v>7.2220000000000001E-3</v>
      </c>
    </row>
    <row r="3752" spans="1:9" ht="17.25" x14ac:dyDescent="0.25">
      <c r="B3752" s="106"/>
      <c r="C3752" s="73"/>
      <c r="D3752" s="73"/>
      <c r="E3752" s="73" t="s">
        <v>1055</v>
      </c>
      <c r="F3752" s="74" t="s">
        <v>596</v>
      </c>
      <c r="G3752" s="72">
        <f>G3751</f>
        <v>7.2220000000000001E-3</v>
      </c>
    </row>
    <row r="3753" spans="1:9" x14ac:dyDescent="0.25">
      <c r="B3753" s="106"/>
      <c r="C3753" s="73"/>
      <c r="D3753" s="73"/>
      <c r="E3753" s="78" t="s">
        <v>1891</v>
      </c>
      <c r="F3753" s="74"/>
      <c r="G3753" s="72"/>
    </row>
    <row r="3754" spans="1:9" x14ac:dyDescent="0.25">
      <c r="B3754" s="106"/>
      <c r="C3754" s="73"/>
      <c r="D3754" s="73"/>
      <c r="E3754" s="77" t="s">
        <v>1186</v>
      </c>
      <c r="F3754" s="74" t="s">
        <v>3</v>
      </c>
      <c r="G3754" s="72">
        <v>6.5000000000000002E-2</v>
      </c>
      <c r="I3754" t="s">
        <v>1893</v>
      </c>
    </row>
    <row r="3755" spans="1:9" x14ac:dyDescent="0.25">
      <c r="B3755" s="106"/>
      <c r="C3755" s="73"/>
      <c r="D3755" s="73"/>
      <c r="E3755" s="78" t="s">
        <v>1892</v>
      </c>
      <c r="F3755" s="74"/>
      <c r="G3755" s="72"/>
    </row>
    <row r="3756" spans="1:9" x14ac:dyDescent="0.25">
      <c r="B3756" s="106"/>
      <c r="C3756" s="73"/>
      <c r="D3756" s="73"/>
      <c r="E3756" s="77" t="s">
        <v>1186</v>
      </c>
      <c r="F3756" s="74" t="s">
        <v>3</v>
      </c>
      <c r="G3756" s="72">
        <v>0.03</v>
      </c>
      <c r="I3756" t="s">
        <v>1351</v>
      </c>
    </row>
    <row r="3757" spans="1:9" x14ac:dyDescent="0.25">
      <c r="B3757" s="106"/>
      <c r="C3757" s="73"/>
      <c r="D3757" s="73"/>
      <c r="E3757" s="73"/>
      <c r="F3757" s="74"/>
      <c r="G3757" s="72"/>
    </row>
    <row r="3758" spans="1:9" x14ac:dyDescent="0.25">
      <c r="A3758" s="217"/>
      <c r="B3758" s="106"/>
      <c r="C3758" s="75" t="s">
        <v>1894</v>
      </c>
      <c r="D3758" s="73"/>
      <c r="E3758" s="73"/>
      <c r="F3758" s="103" t="s">
        <v>1882</v>
      </c>
      <c r="G3758" s="72"/>
      <c r="I3758" s="249" t="s">
        <v>1899</v>
      </c>
    </row>
    <row r="3759" spans="1:9" x14ac:dyDescent="0.25">
      <c r="B3759" s="106"/>
      <c r="C3759" s="73"/>
      <c r="D3759" s="75" t="s">
        <v>1895</v>
      </c>
      <c r="E3759" s="73"/>
      <c r="F3759" s="74"/>
      <c r="G3759" s="72"/>
    </row>
    <row r="3760" spans="1:9" x14ac:dyDescent="0.25">
      <c r="B3760" s="106"/>
      <c r="C3760" s="73"/>
      <c r="D3760" s="73" t="s">
        <v>1898</v>
      </c>
      <c r="E3760" s="73"/>
      <c r="F3760" s="74" t="s">
        <v>3</v>
      </c>
      <c r="G3760" s="72">
        <f>0.16*0.16*3.5*1.4*1.195</f>
        <v>0.1499008</v>
      </c>
    </row>
    <row r="3761" spans="1:7" x14ac:dyDescent="0.25">
      <c r="B3761" s="106"/>
      <c r="C3761" s="73"/>
      <c r="D3761" s="75" t="s">
        <v>1896</v>
      </c>
      <c r="E3761" s="73"/>
      <c r="F3761" s="74"/>
      <c r="G3761" s="72"/>
    </row>
    <row r="3762" spans="1:7" x14ac:dyDescent="0.25">
      <c r="B3762" s="106"/>
      <c r="C3762" s="73"/>
      <c r="D3762" s="73" t="s">
        <v>1625</v>
      </c>
      <c r="E3762" s="73"/>
      <c r="F3762" s="74" t="s">
        <v>3</v>
      </c>
      <c r="G3762" s="72">
        <f>0.16*0.16*0.3*9*1.23</f>
        <v>8.5017599999999999E-2</v>
      </c>
    </row>
    <row r="3763" spans="1:7" x14ac:dyDescent="0.25">
      <c r="B3763" s="106"/>
      <c r="C3763" s="73"/>
      <c r="D3763" s="75" t="s">
        <v>1897</v>
      </c>
      <c r="E3763" s="73"/>
      <c r="F3763" s="74"/>
      <c r="G3763" s="72"/>
    </row>
    <row r="3764" spans="1:7" x14ac:dyDescent="0.25">
      <c r="B3764" s="106"/>
      <c r="C3764" s="73"/>
      <c r="D3764" s="73" t="s">
        <v>1625</v>
      </c>
      <c r="E3764" s="73"/>
      <c r="F3764" s="74" t="s">
        <v>3</v>
      </c>
      <c r="G3764" s="72">
        <f>0.16*0.16*0.3*9*1.23</f>
        <v>8.5017599999999999E-2</v>
      </c>
    </row>
    <row r="3765" spans="1:7" x14ac:dyDescent="0.25">
      <c r="B3765" s="106"/>
      <c r="C3765" s="73"/>
      <c r="D3765" s="73"/>
      <c r="E3765" s="73"/>
      <c r="F3765" s="74"/>
      <c r="G3765" s="72"/>
    </row>
    <row r="3766" spans="1:7" x14ac:dyDescent="0.25">
      <c r="A3766" s="217"/>
      <c r="B3766" s="106"/>
      <c r="C3766" s="75" t="s">
        <v>1900</v>
      </c>
      <c r="D3766" s="73"/>
      <c r="E3766" s="73"/>
      <c r="F3766" s="74"/>
      <c r="G3766" s="72"/>
    </row>
    <row r="3767" spans="1:7" x14ac:dyDescent="0.25">
      <c r="B3767" s="106"/>
      <c r="C3767" s="73" t="s">
        <v>1901</v>
      </c>
      <c r="D3767" s="73"/>
      <c r="E3767" s="73"/>
      <c r="F3767" s="74" t="s">
        <v>3</v>
      </c>
      <c r="G3767" s="72">
        <v>8.0000000000000002E-3</v>
      </c>
    </row>
    <row r="3768" spans="1:7" x14ac:dyDescent="0.25">
      <c r="B3768" s="106"/>
      <c r="C3768" s="73" t="s">
        <v>1902</v>
      </c>
      <c r="D3768" s="73"/>
      <c r="E3768" s="73"/>
      <c r="F3768" s="74" t="s">
        <v>3</v>
      </c>
      <c r="G3768" s="72">
        <f>0.002</f>
        <v>2E-3</v>
      </c>
    </row>
    <row r="3769" spans="1:7" x14ac:dyDescent="0.25">
      <c r="B3769" s="106"/>
      <c r="C3769" s="73"/>
      <c r="D3769" s="75" t="s">
        <v>1903</v>
      </c>
      <c r="E3769" s="73"/>
      <c r="F3769" s="74"/>
      <c r="G3769" s="72"/>
    </row>
    <row r="3770" spans="1:7" x14ac:dyDescent="0.25">
      <c r="B3770" s="106"/>
      <c r="C3770" s="73"/>
      <c r="D3770" s="73" t="s">
        <v>140</v>
      </c>
      <c r="E3770" s="73"/>
      <c r="F3770" s="74" t="s">
        <v>3</v>
      </c>
      <c r="G3770" s="72">
        <f>0.016*3.14*0.08*1.15</f>
        <v>4.6220799999999989E-3</v>
      </c>
    </row>
    <row r="3771" spans="1:7" ht="17.25" x14ac:dyDescent="0.25">
      <c r="B3771" s="106"/>
      <c r="C3771" s="73"/>
      <c r="D3771" s="73" t="s">
        <v>23</v>
      </c>
      <c r="E3771" s="73"/>
      <c r="F3771" s="74" t="s">
        <v>596</v>
      </c>
      <c r="G3771" s="72">
        <f>G3770*1.5</f>
        <v>6.9331199999999983E-3</v>
      </c>
    </row>
    <row r="3772" spans="1:7" x14ac:dyDescent="0.25">
      <c r="B3772" s="106"/>
      <c r="C3772" s="73"/>
      <c r="D3772" s="73" t="s">
        <v>142</v>
      </c>
      <c r="E3772" s="73"/>
      <c r="F3772" s="74" t="s">
        <v>3</v>
      </c>
      <c r="G3772" s="72">
        <f>G3770/4</f>
        <v>1.1555199999999997E-3</v>
      </c>
    </row>
    <row r="3773" spans="1:7" x14ac:dyDescent="0.25">
      <c r="B3773" s="106"/>
      <c r="C3773" s="73"/>
      <c r="D3773" s="73"/>
      <c r="E3773" s="73"/>
      <c r="F3773" s="74"/>
      <c r="G3773" s="72"/>
    </row>
    <row r="3774" spans="1:7" x14ac:dyDescent="0.25">
      <c r="A3774" s="217"/>
      <c r="B3774" s="106"/>
      <c r="C3774" s="75" t="s">
        <v>1904</v>
      </c>
      <c r="D3774" s="73"/>
      <c r="E3774" s="73"/>
      <c r="F3774" s="74"/>
      <c r="G3774" s="72"/>
    </row>
    <row r="3775" spans="1:7" x14ac:dyDescent="0.25">
      <c r="B3775" s="106"/>
      <c r="C3775" s="73" t="s">
        <v>1054</v>
      </c>
      <c r="D3775" s="73"/>
      <c r="E3775" s="73"/>
      <c r="F3775" s="74" t="s">
        <v>3</v>
      </c>
      <c r="G3775" s="72">
        <f>(0.05*3.14+0.025*3.14*2)*0.08*1.1</f>
        <v>2.7632000000000007E-2</v>
      </c>
    </row>
    <row r="3776" spans="1:7" ht="17.25" x14ac:dyDescent="0.25">
      <c r="B3776" s="106"/>
      <c r="C3776" s="73" t="s">
        <v>1055</v>
      </c>
      <c r="D3776" s="73"/>
      <c r="E3776" s="73"/>
      <c r="F3776" s="74" t="s">
        <v>596</v>
      </c>
      <c r="G3776" s="72">
        <f>G3775</f>
        <v>2.7632000000000007E-2</v>
      </c>
    </row>
    <row r="3777" spans="1:9" x14ac:dyDescent="0.25">
      <c r="B3777" s="106"/>
      <c r="C3777" s="77" t="s">
        <v>1021</v>
      </c>
      <c r="D3777" s="73"/>
      <c r="E3777" s="73"/>
      <c r="F3777" s="74" t="s">
        <v>3</v>
      </c>
      <c r="G3777" s="72">
        <v>0.02</v>
      </c>
    </row>
    <row r="3778" spans="1:9" x14ac:dyDescent="0.25">
      <c r="B3778" s="106"/>
      <c r="C3778" s="77" t="s">
        <v>661</v>
      </c>
      <c r="D3778" s="73"/>
      <c r="E3778" s="73"/>
      <c r="F3778" s="74" t="s">
        <v>3</v>
      </c>
      <c r="G3778" s="72">
        <f>0.3*G3777</f>
        <v>6.0000000000000001E-3</v>
      </c>
    </row>
    <row r="3779" spans="1:9" x14ac:dyDescent="0.25">
      <c r="B3779" s="106"/>
      <c r="C3779" s="73"/>
      <c r="D3779" s="73"/>
      <c r="E3779" s="73"/>
      <c r="F3779" s="74"/>
      <c r="G3779" s="72"/>
    </row>
    <row r="3780" spans="1:9" x14ac:dyDescent="0.25">
      <c r="A3780" s="217"/>
      <c r="B3780" s="106"/>
      <c r="C3780" s="75" t="s">
        <v>1905</v>
      </c>
      <c r="D3780" s="73"/>
      <c r="E3780" s="73"/>
      <c r="F3780" s="74"/>
      <c r="G3780" s="72"/>
    </row>
    <row r="3781" spans="1:9" x14ac:dyDescent="0.25">
      <c r="B3781" s="106"/>
      <c r="C3781" s="73" t="s">
        <v>1708</v>
      </c>
      <c r="D3781" s="73"/>
      <c r="E3781" s="73"/>
      <c r="F3781" s="74" t="s">
        <v>3</v>
      </c>
      <c r="G3781" s="72">
        <f>0.045*0.065*2*8*1.18</f>
        <v>5.5223999999999995E-2</v>
      </c>
    </row>
    <row r="3782" spans="1:9" x14ac:dyDescent="0.25">
      <c r="B3782" s="106"/>
      <c r="C3782" s="73"/>
      <c r="D3782" s="73"/>
      <c r="E3782" s="73"/>
      <c r="F3782" s="74"/>
      <c r="G3782" s="72"/>
    </row>
    <row r="3783" spans="1:9" x14ac:dyDescent="0.25">
      <c r="A3783" s="217"/>
      <c r="B3783" s="106"/>
      <c r="C3783" s="75" t="s">
        <v>1906</v>
      </c>
      <c r="D3783" s="73"/>
      <c r="E3783" s="73"/>
      <c r="F3783" s="74"/>
      <c r="G3783" s="72"/>
    </row>
    <row r="3784" spans="1:9" x14ac:dyDescent="0.25">
      <c r="B3784" s="106"/>
      <c r="C3784" s="73" t="s">
        <v>1907</v>
      </c>
      <c r="D3784" s="73"/>
      <c r="E3784" s="73"/>
      <c r="F3784" s="74" t="s">
        <v>3</v>
      </c>
      <c r="G3784" s="72">
        <f>0.016*0.016*1*8*1</f>
        <v>2.0479999999999999E-3</v>
      </c>
    </row>
    <row r="3785" spans="1:9" x14ac:dyDescent="0.25">
      <c r="B3785" s="106"/>
      <c r="C3785" s="73"/>
      <c r="D3785" s="73"/>
      <c r="E3785" s="73"/>
      <c r="F3785" s="74"/>
      <c r="G3785" s="72"/>
    </row>
    <row r="3786" spans="1:9" x14ac:dyDescent="0.25">
      <c r="A3786" s="217"/>
      <c r="B3786" s="106"/>
      <c r="C3786" s="75" t="s">
        <v>1908</v>
      </c>
      <c r="D3786" s="73"/>
      <c r="E3786" s="73"/>
      <c r="F3786" s="74"/>
      <c r="G3786" s="72"/>
      <c r="I3786" s="3" t="s">
        <v>1914</v>
      </c>
    </row>
    <row r="3787" spans="1:9" x14ac:dyDescent="0.25">
      <c r="B3787" s="106"/>
      <c r="C3787" s="73" t="s">
        <v>114</v>
      </c>
      <c r="D3787" s="73"/>
      <c r="E3787" s="73"/>
      <c r="F3787" s="74" t="s">
        <v>3</v>
      </c>
      <c r="G3787" s="72">
        <f>G3789*0.8</f>
        <v>1.4233599999999999E-2</v>
      </c>
    </row>
    <row r="3788" spans="1:9" x14ac:dyDescent="0.25">
      <c r="B3788" s="106"/>
      <c r="C3788" s="73" t="s">
        <v>164</v>
      </c>
      <c r="D3788" s="73"/>
      <c r="E3788" s="73"/>
      <c r="F3788" s="74" t="s">
        <v>3</v>
      </c>
      <c r="G3788" s="72">
        <f>0.3*G3787</f>
        <v>4.2700799999999999E-3</v>
      </c>
    </row>
    <row r="3789" spans="1:9" x14ac:dyDescent="0.25">
      <c r="B3789" s="106"/>
      <c r="C3789" s="73" t="s">
        <v>1909</v>
      </c>
      <c r="D3789" s="73"/>
      <c r="E3789" s="73"/>
      <c r="F3789" s="74" t="s">
        <v>3</v>
      </c>
      <c r="G3789" s="72">
        <f>0.32*0.02*2*1.39</f>
        <v>1.7791999999999999E-2</v>
      </c>
    </row>
    <row r="3790" spans="1:9" x14ac:dyDescent="0.25">
      <c r="B3790" s="106"/>
      <c r="C3790" s="73" t="s">
        <v>12</v>
      </c>
      <c r="D3790" s="73"/>
      <c r="E3790" s="73"/>
      <c r="F3790" s="74" t="s">
        <v>3</v>
      </c>
      <c r="G3790" s="72">
        <f>0.35*G3789</f>
        <v>6.2271999999999996E-3</v>
      </c>
    </row>
    <row r="3791" spans="1:9" x14ac:dyDescent="0.25">
      <c r="B3791" s="106"/>
      <c r="C3791" s="73"/>
      <c r="D3791" s="75" t="s">
        <v>1910</v>
      </c>
      <c r="E3791" s="73"/>
      <c r="F3791" s="74"/>
      <c r="G3791" s="72"/>
    </row>
    <row r="3792" spans="1:9" x14ac:dyDescent="0.25">
      <c r="B3792" s="106"/>
      <c r="C3792" s="73"/>
      <c r="D3792" s="73" t="s">
        <v>1911</v>
      </c>
      <c r="E3792" s="73"/>
      <c r="F3792" s="74" t="s">
        <v>3</v>
      </c>
      <c r="G3792" s="72">
        <f>0.272*0.035*2*8*1.15</f>
        <v>0.17516800000000002</v>
      </c>
    </row>
    <row r="3793" spans="1:11" x14ac:dyDescent="0.25">
      <c r="B3793" s="106"/>
      <c r="C3793" s="73"/>
      <c r="D3793" s="75" t="s">
        <v>1912</v>
      </c>
      <c r="E3793" s="73"/>
      <c r="F3793" s="74"/>
      <c r="G3793" s="224" t="s">
        <v>624</v>
      </c>
    </row>
    <row r="3794" spans="1:11" x14ac:dyDescent="0.25">
      <c r="B3794" s="106"/>
      <c r="C3794" s="73"/>
      <c r="D3794" s="73" t="s">
        <v>1913</v>
      </c>
      <c r="E3794" s="73"/>
      <c r="F3794" s="74" t="s">
        <v>3</v>
      </c>
      <c r="G3794" s="72">
        <v>3.7999999999999999E-2</v>
      </c>
    </row>
    <row r="3795" spans="1:11" x14ac:dyDescent="0.25">
      <c r="B3795" s="106"/>
      <c r="C3795" s="73"/>
      <c r="D3795" s="73"/>
      <c r="E3795" s="73"/>
      <c r="F3795" s="74"/>
      <c r="G3795" s="224" t="s">
        <v>1915</v>
      </c>
      <c r="K3795" s="237"/>
    </row>
    <row r="3796" spans="1:11" x14ac:dyDescent="0.25">
      <c r="B3796" s="106"/>
      <c r="C3796" s="73"/>
      <c r="D3796" s="77" t="s">
        <v>124</v>
      </c>
      <c r="E3796" s="73"/>
      <c r="F3796" s="74" t="s">
        <v>3</v>
      </c>
      <c r="G3796" s="72">
        <f>0.006*3.14*0.08*2</f>
        <v>3.0144000000000004E-3</v>
      </c>
    </row>
    <row r="3797" spans="1:11" x14ac:dyDescent="0.25">
      <c r="B3797" s="106"/>
      <c r="C3797" s="73"/>
      <c r="D3797" s="77" t="s">
        <v>121</v>
      </c>
      <c r="E3797" s="73"/>
      <c r="F3797" s="74" t="s">
        <v>3</v>
      </c>
      <c r="G3797" s="72">
        <f>1.1*G3796</f>
        <v>3.3158400000000009E-3</v>
      </c>
    </row>
    <row r="3798" spans="1:11" x14ac:dyDescent="0.25">
      <c r="B3798" s="106"/>
      <c r="C3798" s="73"/>
      <c r="D3798" s="73"/>
      <c r="E3798" s="73"/>
      <c r="F3798" s="74"/>
      <c r="G3798" s="72"/>
    </row>
    <row r="3799" spans="1:11" x14ac:dyDescent="0.25">
      <c r="A3799" s="217"/>
      <c r="B3799" s="106"/>
      <c r="C3799" s="75" t="s">
        <v>1916</v>
      </c>
      <c r="D3799" s="73"/>
      <c r="E3799" s="73"/>
      <c r="F3799" s="74"/>
      <c r="G3799" s="72"/>
      <c r="I3799" s="3" t="s">
        <v>1914</v>
      </c>
    </row>
    <row r="3800" spans="1:11" x14ac:dyDescent="0.25">
      <c r="B3800" s="106"/>
      <c r="C3800" s="73" t="s">
        <v>114</v>
      </c>
      <c r="D3800" s="73"/>
      <c r="E3800" s="73"/>
      <c r="F3800" s="74" t="s">
        <v>3</v>
      </c>
      <c r="G3800" s="72">
        <f>G3802*0.8</f>
        <v>1.4233599999999999E-2</v>
      </c>
    </row>
    <row r="3801" spans="1:11" x14ac:dyDescent="0.25">
      <c r="B3801" s="106"/>
      <c r="C3801" s="73" t="s">
        <v>164</v>
      </c>
      <c r="D3801" s="73"/>
      <c r="E3801" s="73"/>
      <c r="F3801" s="74" t="s">
        <v>3</v>
      </c>
      <c r="G3801" s="72">
        <f>0.3*G3800</f>
        <v>4.2700799999999999E-3</v>
      </c>
    </row>
    <row r="3802" spans="1:11" x14ac:dyDescent="0.25">
      <c r="B3802" s="106"/>
      <c r="C3802" s="73" t="s">
        <v>1909</v>
      </c>
      <c r="D3802" s="73"/>
      <c r="E3802" s="73"/>
      <c r="F3802" s="74" t="s">
        <v>3</v>
      </c>
      <c r="G3802" s="72">
        <f>0.32*0.02*2*1.39</f>
        <v>1.7791999999999999E-2</v>
      </c>
    </row>
    <row r="3803" spans="1:11" x14ac:dyDescent="0.25">
      <c r="B3803" s="106"/>
      <c r="C3803" s="73" t="s">
        <v>12</v>
      </c>
      <c r="D3803" s="73"/>
      <c r="E3803" s="73"/>
      <c r="F3803" s="74" t="s">
        <v>3</v>
      </c>
      <c r="G3803" s="72">
        <f>0.35*G3802</f>
        <v>6.2271999999999996E-3</v>
      </c>
    </row>
    <row r="3804" spans="1:11" x14ac:dyDescent="0.25">
      <c r="B3804" s="106"/>
      <c r="C3804" s="73"/>
      <c r="D3804" s="73"/>
      <c r="E3804" s="73"/>
      <c r="F3804" s="74"/>
      <c r="G3804" s="72"/>
    </row>
    <row r="3805" spans="1:11" x14ac:dyDescent="0.25">
      <c r="A3805" s="217"/>
      <c r="B3805" s="106"/>
      <c r="C3805" s="75" t="s">
        <v>1917</v>
      </c>
      <c r="D3805" s="73"/>
      <c r="E3805" s="73"/>
      <c r="F3805" s="74"/>
      <c r="G3805" s="72"/>
      <c r="I3805" s="117" t="s">
        <v>1922</v>
      </c>
    </row>
    <row r="3806" spans="1:11" x14ac:dyDescent="0.25">
      <c r="B3806" s="106"/>
      <c r="C3806" s="73" t="s">
        <v>671</v>
      </c>
      <c r="D3806" s="73"/>
      <c r="E3806" s="73"/>
      <c r="F3806" s="74" t="s">
        <v>3</v>
      </c>
      <c r="G3806" s="72">
        <f>0.015*3.14*0.07</f>
        <v>3.2970000000000005E-3</v>
      </c>
    </row>
    <row r="3807" spans="1:11" x14ac:dyDescent="0.25">
      <c r="B3807" s="106"/>
      <c r="C3807" s="73" t="s">
        <v>672</v>
      </c>
      <c r="D3807" s="73"/>
      <c r="E3807" s="73"/>
      <c r="F3807" s="74" t="s">
        <v>3</v>
      </c>
      <c r="G3807" s="72">
        <f>G3806*2.5</f>
        <v>8.2425000000000016E-3</v>
      </c>
    </row>
    <row r="3808" spans="1:11" x14ac:dyDescent="0.25">
      <c r="B3808" s="106"/>
      <c r="C3808" s="73"/>
      <c r="D3808" s="75" t="s">
        <v>1918</v>
      </c>
      <c r="E3808" s="73"/>
      <c r="F3808" s="74"/>
      <c r="G3808" s="72"/>
    </row>
    <row r="3809" spans="1:12" ht="17.25" x14ac:dyDescent="0.25">
      <c r="B3809" s="106"/>
      <c r="C3809" s="73"/>
      <c r="D3809" s="73" t="s">
        <v>1920</v>
      </c>
      <c r="E3809" s="73"/>
      <c r="F3809" s="74" t="s">
        <v>677</v>
      </c>
      <c r="G3809" s="148">
        <f>0.02*0.02</f>
        <v>4.0000000000000002E-4</v>
      </c>
    </row>
    <row r="3810" spans="1:12" x14ac:dyDescent="0.25">
      <c r="B3810" s="106"/>
      <c r="C3810" s="73"/>
      <c r="D3810" s="75" t="s">
        <v>1919</v>
      </c>
      <c r="E3810" s="73"/>
      <c r="F3810" s="74"/>
      <c r="G3810" s="72"/>
      <c r="K3810" s="240"/>
    </row>
    <row r="3811" spans="1:12" x14ac:dyDescent="0.25">
      <c r="B3811" s="106"/>
      <c r="C3811" s="73"/>
      <c r="D3811" s="73" t="s">
        <v>1921</v>
      </c>
      <c r="E3811" s="73"/>
      <c r="F3811" s="74" t="s">
        <v>3</v>
      </c>
      <c r="G3811" s="72">
        <f>0.025*0.025*0.18*8.5</f>
        <v>9.5625000000000018E-4</v>
      </c>
      <c r="K3811" s="240"/>
    </row>
    <row r="3812" spans="1:12" x14ac:dyDescent="0.25">
      <c r="B3812" s="106"/>
      <c r="C3812" s="73"/>
      <c r="D3812" s="73"/>
      <c r="E3812" s="73"/>
      <c r="F3812" s="74"/>
      <c r="G3812" s="72"/>
      <c r="K3812" s="240"/>
    </row>
    <row r="3813" spans="1:12" x14ac:dyDescent="0.25">
      <c r="A3813" s="217"/>
      <c r="B3813" s="106"/>
      <c r="C3813" s="75" t="s">
        <v>1923</v>
      </c>
      <c r="D3813" s="73"/>
      <c r="E3813" s="73"/>
      <c r="F3813" s="74"/>
      <c r="G3813" s="72"/>
      <c r="I3813" s="117" t="s">
        <v>1928</v>
      </c>
      <c r="K3813" s="240"/>
    </row>
    <row r="3814" spans="1:12" x14ac:dyDescent="0.25">
      <c r="B3814" s="106"/>
      <c r="C3814" s="73" t="s">
        <v>1924</v>
      </c>
      <c r="D3814" s="73"/>
      <c r="E3814" s="73"/>
      <c r="F3814" s="74" t="s">
        <v>195</v>
      </c>
      <c r="G3814" s="72">
        <v>0.6</v>
      </c>
      <c r="K3814" s="241"/>
    </row>
    <row r="3815" spans="1:12" x14ac:dyDescent="0.25">
      <c r="B3815" s="106"/>
      <c r="C3815" s="73"/>
      <c r="D3815" s="75" t="s">
        <v>1925</v>
      </c>
      <c r="E3815" s="73"/>
      <c r="F3815" s="74"/>
      <c r="G3815" s="72"/>
      <c r="K3815" s="240"/>
    </row>
    <row r="3816" spans="1:12" x14ac:dyDescent="0.25">
      <c r="B3816" s="106"/>
      <c r="C3816" s="73"/>
      <c r="D3816" s="73" t="s">
        <v>140</v>
      </c>
      <c r="E3816" s="73"/>
      <c r="F3816" s="74" t="s">
        <v>3</v>
      </c>
      <c r="G3816" s="72">
        <f>0.012*3.14*2*0.08*1.2</f>
        <v>7.234560000000001E-3</v>
      </c>
      <c r="K3816" s="242"/>
    </row>
    <row r="3817" spans="1:12" ht="17.25" x14ac:dyDescent="0.25">
      <c r="B3817" s="106"/>
      <c r="C3817" s="73"/>
      <c r="D3817" s="73" t="s">
        <v>23</v>
      </c>
      <c r="E3817" s="73"/>
      <c r="F3817" s="74" t="s">
        <v>596</v>
      </c>
      <c r="G3817" s="72">
        <f>G3816*1.5</f>
        <v>1.0851840000000001E-2</v>
      </c>
      <c r="K3817" s="240"/>
    </row>
    <row r="3818" spans="1:12" x14ac:dyDescent="0.25">
      <c r="B3818" s="106"/>
      <c r="C3818" s="73"/>
      <c r="D3818" s="73" t="s">
        <v>142</v>
      </c>
      <c r="E3818" s="73"/>
      <c r="F3818" s="74" t="s">
        <v>3</v>
      </c>
      <c r="G3818" s="72">
        <f>G3816/4</f>
        <v>1.8086400000000002E-3</v>
      </c>
      <c r="K3818" s="240"/>
    </row>
    <row r="3819" spans="1:12" x14ac:dyDescent="0.25">
      <c r="B3819" s="106"/>
      <c r="C3819" s="73"/>
      <c r="D3819" s="77" t="s">
        <v>143</v>
      </c>
      <c r="E3819" s="73"/>
      <c r="F3819" s="74" t="s">
        <v>3</v>
      </c>
      <c r="G3819" s="243">
        <f>G3820</f>
        <v>9.5039999999999986E-3</v>
      </c>
      <c r="K3819" s="240"/>
    </row>
    <row r="3820" spans="1:12" x14ac:dyDescent="0.25">
      <c r="B3820" s="106"/>
      <c r="C3820" s="73"/>
      <c r="D3820" s="77" t="s">
        <v>8</v>
      </c>
      <c r="E3820" s="73"/>
      <c r="F3820" s="74" t="s">
        <v>3</v>
      </c>
      <c r="G3820" s="72">
        <f>0.8*G3821</f>
        <v>9.5039999999999986E-3</v>
      </c>
      <c r="K3820" s="240"/>
    </row>
    <row r="3821" spans="1:12" x14ac:dyDescent="0.25">
      <c r="B3821" s="106"/>
      <c r="C3821" s="73"/>
      <c r="D3821" s="77" t="s">
        <v>148</v>
      </c>
      <c r="E3821" s="73"/>
      <c r="F3821" s="74" t="s">
        <v>3</v>
      </c>
      <c r="G3821" s="72">
        <f>0.45*0.011*2*1.2</f>
        <v>1.1879999999999998E-2</v>
      </c>
      <c r="K3821" s="240"/>
      <c r="L3821" s="244"/>
    </row>
    <row r="3822" spans="1:12" x14ac:dyDescent="0.25">
      <c r="B3822" s="106"/>
      <c r="C3822" s="73"/>
      <c r="D3822" s="77" t="s">
        <v>12</v>
      </c>
      <c r="E3822" s="73"/>
      <c r="F3822" s="74" t="s">
        <v>3</v>
      </c>
      <c r="G3822" s="72">
        <f>0.3*(G3821+G3820+G3819)</f>
        <v>9.2663999999999976E-3</v>
      </c>
      <c r="K3822" s="240"/>
    </row>
    <row r="3823" spans="1:12" x14ac:dyDescent="0.25">
      <c r="B3823" s="106"/>
      <c r="C3823" s="73"/>
      <c r="D3823" s="73"/>
      <c r="E3823" s="75" t="s">
        <v>1926</v>
      </c>
      <c r="F3823" s="74"/>
      <c r="G3823" s="72"/>
      <c r="K3823" s="240"/>
    </row>
    <row r="3824" spans="1:12" x14ac:dyDescent="0.25">
      <c r="B3824" s="106"/>
      <c r="C3824" s="73"/>
      <c r="D3824" s="73"/>
      <c r="E3824" s="73" t="s">
        <v>159</v>
      </c>
      <c r="F3824" s="74" t="s">
        <v>3</v>
      </c>
      <c r="G3824" s="72">
        <v>0.13500000000000001</v>
      </c>
      <c r="I3824" t="s">
        <v>1927</v>
      </c>
    </row>
    <row r="3825" spans="1:11" x14ac:dyDescent="0.25">
      <c r="A3825" s="73"/>
      <c r="B3825" s="106"/>
      <c r="C3825" s="73"/>
      <c r="D3825" s="73"/>
      <c r="E3825" s="73"/>
      <c r="F3825" s="74"/>
      <c r="G3825" s="72"/>
    </row>
    <row r="3826" spans="1:11" x14ac:dyDescent="0.25">
      <c r="A3826" s="14"/>
      <c r="B3826" s="106"/>
      <c r="C3826" s="75" t="s">
        <v>1930</v>
      </c>
      <c r="D3826" s="73"/>
      <c r="E3826" s="73"/>
      <c r="F3826" s="233"/>
      <c r="G3826" s="72"/>
      <c r="I3826" s="117" t="s">
        <v>1914</v>
      </c>
    </row>
    <row r="3827" spans="1:11" x14ac:dyDescent="0.25">
      <c r="A3827" s="18"/>
      <c r="B3827" s="106"/>
      <c r="C3827" s="73" t="s">
        <v>13</v>
      </c>
      <c r="D3827" s="73"/>
      <c r="E3827" s="73"/>
      <c r="F3827" s="74" t="s">
        <v>3</v>
      </c>
      <c r="G3827" s="72">
        <v>0.03</v>
      </c>
    </row>
    <row r="3828" spans="1:11" ht="15" customHeight="1" x14ac:dyDescent="0.25">
      <c r="A3828" s="18"/>
      <c r="B3828" s="106"/>
      <c r="C3828" s="77" t="s">
        <v>912</v>
      </c>
      <c r="D3828" s="73"/>
      <c r="E3828" s="73"/>
      <c r="F3828" s="74" t="s">
        <v>3</v>
      </c>
      <c r="G3828" s="72">
        <v>1.4E-2</v>
      </c>
    </row>
    <row r="3829" spans="1:11" ht="15" customHeight="1" x14ac:dyDescent="0.25">
      <c r="A3829" s="18"/>
      <c r="B3829" s="106"/>
      <c r="C3829" s="77" t="s">
        <v>1931</v>
      </c>
      <c r="D3829" s="73"/>
      <c r="E3829" s="73"/>
      <c r="F3829" s="74" t="s">
        <v>3</v>
      </c>
      <c r="G3829" s="72">
        <f>G3828/6</f>
        <v>2.3333333333333335E-3</v>
      </c>
    </row>
    <row r="3830" spans="1:11" x14ac:dyDescent="0.25">
      <c r="A3830" s="18"/>
      <c r="B3830" s="106"/>
      <c r="C3830" s="77" t="s">
        <v>313</v>
      </c>
      <c r="D3830" s="73"/>
      <c r="E3830" s="73"/>
      <c r="F3830" s="74" t="s">
        <v>3</v>
      </c>
      <c r="G3830" s="72">
        <f>0.3*G3828</f>
        <v>4.1999999999999997E-3</v>
      </c>
    </row>
    <row r="3831" spans="1:11" x14ac:dyDescent="0.25">
      <c r="A3831" s="18"/>
      <c r="B3831" s="106"/>
      <c r="C3831" s="73"/>
      <c r="D3831" s="75" t="s">
        <v>1932</v>
      </c>
      <c r="E3831" s="73"/>
      <c r="F3831" s="74"/>
      <c r="G3831" s="72"/>
    </row>
    <row r="3832" spans="1:11" x14ac:dyDescent="0.25">
      <c r="A3832" s="18"/>
      <c r="B3832" s="106"/>
      <c r="C3832" s="73"/>
      <c r="D3832" s="73" t="s">
        <v>177</v>
      </c>
      <c r="E3832" s="73"/>
      <c r="F3832" s="74" t="s">
        <v>3</v>
      </c>
      <c r="G3832" s="72">
        <f>(0.097*3.14+0.04)*0.03*1*8*1.15</f>
        <v>9.5104079999999994E-2</v>
      </c>
      <c r="H3832" s="239"/>
    </row>
    <row r="3833" spans="1:11" x14ac:dyDescent="0.25">
      <c r="A3833" s="18"/>
      <c r="B3833" s="106"/>
      <c r="C3833" s="73"/>
      <c r="D3833" s="75" t="s">
        <v>1933</v>
      </c>
      <c r="E3833" s="73"/>
      <c r="F3833" s="74"/>
      <c r="G3833" s="72"/>
      <c r="H3833" s="239"/>
    </row>
    <row r="3834" spans="1:11" x14ac:dyDescent="0.25">
      <c r="A3834" s="18"/>
      <c r="B3834" s="106"/>
      <c r="C3834" s="73"/>
      <c r="D3834" s="73" t="s">
        <v>415</v>
      </c>
      <c r="E3834" s="73"/>
      <c r="F3834" s="74" t="s">
        <v>3</v>
      </c>
      <c r="G3834" s="72">
        <f>0.03*0.018*1.5*8*1.12</f>
        <v>7.2575999999999995E-3</v>
      </c>
      <c r="H3834" s="239"/>
      <c r="I3834" s="239"/>
    </row>
    <row r="3835" spans="1:11" x14ac:dyDescent="0.25">
      <c r="A3835" s="18"/>
      <c r="B3835" s="106"/>
      <c r="C3835" s="73"/>
      <c r="D3835" s="73"/>
      <c r="E3835" s="73"/>
      <c r="F3835" s="74"/>
      <c r="G3835" s="72"/>
      <c r="H3835" s="239"/>
      <c r="I3835" s="239"/>
    </row>
    <row r="3836" spans="1:11" x14ac:dyDescent="0.25">
      <c r="A3836" s="14"/>
      <c r="B3836" s="106"/>
      <c r="C3836" s="75" t="s">
        <v>1935</v>
      </c>
      <c r="D3836" s="73"/>
      <c r="E3836" s="73"/>
      <c r="F3836" s="74"/>
      <c r="G3836" s="72"/>
      <c r="H3836" s="239"/>
      <c r="I3836" s="251" t="s">
        <v>1934</v>
      </c>
    </row>
    <row r="3837" spans="1:11" x14ac:dyDescent="0.25">
      <c r="A3837" s="18"/>
      <c r="B3837" s="106"/>
      <c r="C3837" s="73" t="s">
        <v>1936</v>
      </c>
      <c r="D3837" s="73"/>
      <c r="E3837" s="73"/>
      <c r="F3837" s="74" t="s">
        <v>3</v>
      </c>
      <c r="G3837" s="148">
        <v>2.0000000000000001E-4</v>
      </c>
      <c r="H3837" s="239"/>
      <c r="I3837" s="239"/>
      <c r="K3837" s="6"/>
    </row>
    <row r="3838" spans="1:11" x14ac:dyDescent="0.25">
      <c r="A3838" s="18"/>
      <c r="B3838" s="106"/>
      <c r="C3838" s="73"/>
      <c r="D3838" s="73"/>
      <c r="E3838" s="73"/>
      <c r="F3838" s="74"/>
      <c r="G3838" s="72"/>
    </row>
    <row r="3839" spans="1:11" x14ac:dyDescent="0.25">
      <c r="A3839" s="14"/>
      <c r="B3839" s="106"/>
      <c r="C3839" s="75" t="s">
        <v>1937</v>
      </c>
      <c r="D3839" s="73"/>
      <c r="E3839" s="73"/>
      <c r="F3839" s="74"/>
      <c r="G3839" s="72"/>
      <c r="I3839" s="252" t="s">
        <v>1939</v>
      </c>
    </row>
    <row r="3840" spans="1:11" x14ac:dyDescent="0.25">
      <c r="A3840" s="18"/>
      <c r="B3840" s="106"/>
      <c r="C3840" s="73" t="s">
        <v>1938</v>
      </c>
      <c r="D3840" s="73"/>
      <c r="E3840" s="73"/>
      <c r="F3840" s="74" t="s">
        <v>3</v>
      </c>
      <c r="G3840" s="72">
        <v>1E-3</v>
      </c>
      <c r="I3840" s="250"/>
    </row>
    <row r="3841" spans="1:9" x14ac:dyDescent="0.25">
      <c r="A3841" s="18"/>
      <c r="B3841" s="106"/>
      <c r="C3841" s="73" t="s">
        <v>671</v>
      </c>
      <c r="D3841" s="73"/>
      <c r="E3841" s="73"/>
      <c r="F3841" s="74" t="s">
        <v>3</v>
      </c>
      <c r="G3841" s="72">
        <v>7.0000000000000001E-3</v>
      </c>
    </row>
    <row r="3842" spans="1:9" x14ac:dyDescent="0.25">
      <c r="A3842" s="18"/>
      <c r="B3842" s="106"/>
      <c r="C3842" s="73" t="s">
        <v>672</v>
      </c>
      <c r="D3842" s="73"/>
      <c r="E3842" s="73"/>
      <c r="F3842" s="74" t="s">
        <v>3</v>
      </c>
      <c r="G3842" s="72">
        <f>2.5*G3841</f>
        <v>1.7500000000000002E-2</v>
      </c>
    </row>
    <row r="3843" spans="1:9" x14ac:dyDescent="0.25">
      <c r="A3843" s="18"/>
      <c r="B3843" s="106"/>
      <c r="C3843" s="73"/>
      <c r="D3843" s="75" t="s">
        <v>2444</v>
      </c>
      <c r="E3843" s="73"/>
      <c r="F3843" s="74"/>
      <c r="G3843" s="72"/>
    </row>
    <row r="3844" spans="1:9" x14ac:dyDescent="0.25">
      <c r="A3844" s="18"/>
      <c r="B3844" s="106"/>
      <c r="C3844" s="73"/>
      <c r="D3844" s="73" t="s">
        <v>294</v>
      </c>
      <c r="E3844" s="73"/>
      <c r="F3844" s="74" t="s">
        <v>195</v>
      </c>
      <c r="G3844" s="72">
        <v>2.1</v>
      </c>
    </row>
    <row r="3845" spans="1:9" x14ac:dyDescent="0.25">
      <c r="A3845" s="18"/>
      <c r="B3845" s="106"/>
      <c r="C3845" s="73"/>
      <c r="D3845" s="73"/>
      <c r="E3845" s="73"/>
      <c r="F3845" s="74"/>
      <c r="G3845" s="72"/>
    </row>
    <row r="3846" spans="1:9" x14ac:dyDescent="0.25">
      <c r="A3846" s="14"/>
      <c r="B3846" s="106"/>
      <c r="C3846" s="75" t="s">
        <v>1940</v>
      </c>
      <c r="D3846" s="73"/>
      <c r="E3846" s="73"/>
      <c r="F3846" s="74"/>
      <c r="G3846" s="72"/>
      <c r="I3846" s="117" t="s">
        <v>1946</v>
      </c>
    </row>
    <row r="3847" spans="1:9" x14ac:dyDescent="0.25">
      <c r="A3847" s="18"/>
      <c r="B3847" s="106"/>
      <c r="C3847" s="73" t="s">
        <v>1941</v>
      </c>
      <c r="D3847" s="73"/>
      <c r="E3847" s="73"/>
      <c r="F3847" s="74" t="s">
        <v>3</v>
      </c>
      <c r="G3847" s="72">
        <v>5.0000000000000001E-3</v>
      </c>
    </row>
    <row r="3848" spans="1:9" x14ac:dyDescent="0.25">
      <c r="A3848" s="18"/>
      <c r="B3848" s="106"/>
      <c r="C3848" s="73"/>
      <c r="D3848" s="75" t="s">
        <v>1942</v>
      </c>
      <c r="E3848" s="73"/>
      <c r="F3848" s="74"/>
      <c r="G3848" s="72"/>
    </row>
    <row r="3849" spans="1:9" x14ac:dyDescent="0.25">
      <c r="A3849" s="18"/>
      <c r="B3849" s="106"/>
      <c r="C3849" s="73"/>
      <c r="D3849" s="73" t="s">
        <v>1945</v>
      </c>
      <c r="E3849" s="73"/>
      <c r="F3849" s="74" t="s">
        <v>3</v>
      </c>
      <c r="G3849" s="72">
        <f>0.095*0.04*0.25*8.5*1.15</f>
        <v>9.2862499999999994E-3</v>
      </c>
    </row>
    <row r="3850" spans="1:9" x14ac:dyDescent="0.25">
      <c r="A3850" s="18"/>
      <c r="B3850" s="106"/>
      <c r="C3850" s="73"/>
      <c r="D3850" s="75" t="s">
        <v>1943</v>
      </c>
      <c r="E3850" s="73"/>
      <c r="F3850" s="74"/>
      <c r="G3850" s="72"/>
    </row>
    <row r="3851" spans="1:9" x14ac:dyDescent="0.25">
      <c r="A3851" s="18"/>
      <c r="B3851" s="106"/>
      <c r="C3851" s="73"/>
      <c r="D3851" s="73" t="s">
        <v>1944</v>
      </c>
      <c r="E3851" s="73"/>
      <c r="F3851" s="74" t="s">
        <v>195</v>
      </c>
      <c r="G3851" s="72">
        <v>0.03</v>
      </c>
      <c r="I3851" t="s">
        <v>1871</v>
      </c>
    </row>
    <row r="3852" spans="1:9" x14ac:dyDescent="0.25">
      <c r="A3852" s="18"/>
      <c r="B3852" s="106"/>
      <c r="C3852" s="73"/>
      <c r="D3852" s="73"/>
      <c r="E3852" s="73"/>
      <c r="F3852" s="74"/>
      <c r="G3852" s="72"/>
    </row>
    <row r="3853" spans="1:9" x14ac:dyDescent="0.25">
      <c r="A3853" s="14"/>
      <c r="B3853" s="106"/>
      <c r="C3853" s="75" t="s">
        <v>1947</v>
      </c>
      <c r="D3853" s="73"/>
      <c r="E3853" s="73"/>
      <c r="F3853" s="74"/>
      <c r="G3853" s="224" t="s">
        <v>624</v>
      </c>
    </row>
    <row r="3854" spans="1:9" x14ac:dyDescent="0.25">
      <c r="A3854" s="18"/>
      <c r="B3854" s="106"/>
      <c r="C3854" s="73" t="s">
        <v>1948</v>
      </c>
      <c r="D3854" s="73"/>
      <c r="E3854" s="73"/>
      <c r="F3854" s="74" t="s">
        <v>3</v>
      </c>
      <c r="G3854" s="72">
        <f>0.08*0.05*8*8*1.17</f>
        <v>0.29952000000000001</v>
      </c>
    </row>
    <row r="3855" spans="1:9" x14ac:dyDescent="0.25">
      <c r="A3855" s="18"/>
      <c r="B3855" s="106"/>
      <c r="C3855" s="73"/>
      <c r="D3855" s="73"/>
      <c r="E3855" s="73"/>
      <c r="F3855" s="74"/>
      <c r="G3855" s="72"/>
    </row>
    <row r="3856" spans="1:9" x14ac:dyDescent="0.25">
      <c r="A3856" s="14"/>
      <c r="B3856" s="106"/>
      <c r="C3856" s="75" t="s">
        <v>1949</v>
      </c>
      <c r="D3856" s="73"/>
      <c r="E3856" s="73"/>
      <c r="F3856" s="74"/>
      <c r="G3856" s="224" t="s">
        <v>624</v>
      </c>
    </row>
    <row r="3857" spans="1:9" x14ac:dyDescent="0.25">
      <c r="A3857" s="18"/>
      <c r="B3857" s="106"/>
      <c r="C3857" s="73" t="s">
        <v>1950</v>
      </c>
      <c r="D3857" s="73"/>
      <c r="E3857" s="73"/>
      <c r="F3857" s="74" t="s">
        <v>3</v>
      </c>
      <c r="G3857" s="72">
        <f>0.08*0.05*8*8*1.17</f>
        <v>0.29952000000000001</v>
      </c>
    </row>
    <row r="3858" spans="1:9" x14ac:dyDescent="0.25">
      <c r="A3858" s="18"/>
      <c r="B3858" s="106"/>
      <c r="C3858" s="73"/>
      <c r="D3858" s="73"/>
      <c r="E3858" s="73"/>
      <c r="F3858" s="74"/>
      <c r="G3858" s="72"/>
    </row>
    <row r="3859" spans="1:9" x14ac:dyDescent="0.25">
      <c r="A3859" s="14"/>
      <c r="B3859" s="106"/>
      <c r="C3859" s="75" t="s">
        <v>1951</v>
      </c>
      <c r="D3859" s="73"/>
      <c r="E3859" s="73"/>
      <c r="F3859" s="74"/>
      <c r="G3859" s="72"/>
    </row>
    <row r="3860" spans="1:9" x14ac:dyDescent="0.25">
      <c r="A3860" s="18"/>
      <c r="B3860" s="106"/>
      <c r="C3860" s="73" t="s">
        <v>140</v>
      </c>
      <c r="D3860" s="73"/>
      <c r="E3860" s="73"/>
      <c r="F3860" s="74" t="s">
        <v>3</v>
      </c>
      <c r="G3860" s="72">
        <f>0.01*3.14*2*0.08*1.2</f>
        <v>6.0288000000000008E-3</v>
      </c>
    </row>
    <row r="3861" spans="1:9" ht="17.25" x14ac:dyDescent="0.25">
      <c r="A3861" s="18"/>
      <c r="B3861" s="106"/>
      <c r="C3861" s="73" t="s">
        <v>23</v>
      </c>
      <c r="D3861" s="73"/>
      <c r="E3861" s="73"/>
      <c r="F3861" s="74" t="s">
        <v>596</v>
      </c>
      <c r="G3861" s="72">
        <f>G3860*1.5</f>
        <v>9.0432000000000012E-3</v>
      </c>
      <c r="I3861" s="117" t="s">
        <v>1955</v>
      </c>
    </row>
    <row r="3862" spans="1:9" x14ac:dyDescent="0.25">
      <c r="A3862" s="18"/>
      <c r="B3862" s="106"/>
      <c r="C3862" s="73" t="s">
        <v>142</v>
      </c>
      <c r="D3862" s="73"/>
      <c r="E3862" s="73"/>
      <c r="F3862" s="74" t="s">
        <v>3</v>
      </c>
      <c r="G3862" s="72">
        <f>G3860/4</f>
        <v>1.5072000000000002E-3</v>
      </c>
    </row>
    <row r="3863" spans="1:9" x14ac:dyDescent="0.25">
      <c r="A3863" s="18"/>
      <c r="B3863" s="106"/>
      <c r="C3863" s="77" t="s">
        <v>143</v>
      </c>
      <c r="D3863" s="73"/>
      <c r="E3863" s="73"/>
      <c r="F3863" s="74" t="s">
        <v>3</v>
      </c>
      <c r="G3863" s="72">
        <f>G3864</f>
        <v>3.0800000000000003E-3</v>
      </c>
    </row>
    <row r="3864" spans="1:9" x14ac:dyDescent="0.25">
      <c r="A3864" s="18"/>
      <c r="B3864" s="106"/>
      <c r="C3864" s="77" t="s">
        <v>8</v>
      </c>
      <c r="D3864" s="73"/>
      <c r="E3864" s="73"/>
      <c r="F3864" s="74" t="s">
        <v>3</v>
      </c>
      <c r="G3864" s="72">
        <f>G3865</f>
        <v>3.0800000000000003E-3</v>
      </c>
    </row>
    <row r="3865" spans="1:9" x14ac:dyDescent="0.25">
      <c r="A3865" s="18"/>
      <c r="B3865" s="106"/>
      <c r="C3865" s="77" t="s">
        <v>1952</v>
      </c>
      <c r="D3865" s="73"/>
      <c r="E3865" s="73"/>
      <c r="F3865" s="74" t="s">
        <v>3</v>
      </c>
      <c r="G3865" s="72">
        <f>0.07*0.011*2*2</f>
        <v>3.0800000000000003E-3</v>
      </c>
    </row>
    <row r="3866" spans="1:9" x14ac:dyDescent="0.25">
      <c r="A3866" s="18"/>
      <c r="B3866" s="106"/>
      <c r="C3866" s="77" t="s">
        <v>12</v>
      </c>
      <c r="D3866" s="73"/>
      <c r="E3866" s="73"/>
      <c r="F3866" s="74" t="s">
        <v>3</v>
      </c>
      <c r="G3866" s="72">
        <f>0.3*(G3865+G3864+G3863)</f>
        <v>2.7720000000000006E-3</v>
      </c>
    </row>
    <row r="3867" spans="1:9" x14ac:dyDescent="0.25">
      <c r="A3867" s="18"/>
      <c r="B3867" s="106"/>
      <c r="C3867" s="73"/>
      <c r="D3867" s="75" t="s">
        <v>1953</v>
      </c>
      <c r="E3867" s="73"/>
      <c r="F3867" s="74"/>
      <c r="G3867" s="72"/>
    </row>
    <row r="3868" spans="1:9" x14ac:dyDescent="0.25">
      <c r="A3868" s="18"/>
      <c r="B3868" s="106"/>
      <c r="C3868" s="73"/>
      <c r="D3868" s="73" t="s">
        <v>928</v>
      </c>
      <c r="E3868" s="73"/>
      <c r="F3868" s="74" t="s">
        <v>3</v>
      </c>
      <c r="G3868" s="72">
        <v>0.02</v>
      </c>
      <c r="I3868" t="s">
        <v>1954</v>
      </c>
    </row>
    <row r="3869" spans="1:9" x14ac:dyDescent="0.25">
      <c r="A3869" s="18"/>
      <c r="B3869" s="106"/>
      <c r="C3869" s="73"/>
      <c r="D3869" s="73"/>
      <c r="E3869" s="73"/>
      <c r="F3869" s="74"/>
      <c r="G3869" s="72"/>
    </row>
    <row r="3870" spans="1:9" x14ac:dyDescent="0.25">
      <c r="A3870" s="14"/>
      <c r="B3870" s="106"/>
      <c r="C3870" s="75" t="s">
        <v>1956</v>
      </c>
      <c r="D3870" s="73"/>
      <c r="E3870" s="73"/>
      <c r="F3870" s="74"/>
      <c r="G3870" s="72"/>
      <c r="I3870" s="253" t="s">
        <v>1960</v>
      </c>
    </row>
    <row r="3871" spans="1:9" x14ac:dyDescent="0.25">
      <c r="A3871" s="18"/>
      <c r="B3871" s="106"/>
      <c r="C3871" s="73"/>
      <c r="D3871" s="75" t="s">
        <v>1957</v>
      </c>
      <c r="E3871" s="73"/>
      <c r="F3871" s="74"/>
      <c r="G3871" s="72"/>
    </row>
    <row r="3872" spans="1:9" ht="17.25" x14ac:dyDescent="0.25">
      <c r="A3872" s="18"/>
      <c r="B3872" s="106"/>
      <c r="C3872" s="73"/>
      <c r="D3872" s="73" t="s">
        <v>1961</v>
      </c>
      <c r="E3872" s="73"/>
      <c r="F3872" s="74" t="s">
        <v>677</v>
      </c>
      <c r="G3872" s="72">
        <f>0.66*0.33*1.1</f>
        <v>0.23958000000000004</v>
      </c>
    </row>
    <row r="3873" spans="1:11" x14ac:dyDescent="0.25">
      <c r="A3873" s="18"/>
      <c r="B3873" s="106"/>
      <c r="C3873" s="73"/>
      <c r="D3873" s="75" t="s">
        <v>1958</v>
      </c>
      <c r="E3873" s="73"/>
      <c r="F3873" s="74"/>
      <c r="G3873" s="72"/>
    </row>
    <row r="3874" spans="1:11" ht="17.25" x14ac:dyDescent="0.25">
      <c r="A3874" s="18"/>
      <c r="B3874" s="106"/>
      <c r="C3874" s="73"/>
      <c r="D3874" s="73" t="s">
        <v>1961</v>
      </c>
      <c r="E3874" s="73"/>
      <c r="F3874" s="74" t="s">
        <v>677</v>
      </c>
      <c r="G3874" s="72">
        <f>0.57*0.24*1.1</f>
        <v>0.15047999999999997</v>
      </c>
    </row>
    <row r="3875" spans="1:11" x14ac:dyDescent="0.25">
      <c r="A3875" s="18"/>
      <c r="B3875" s="106"/>
      <c r="C3875" s="73"/>
      <c r="D3875" s="75" t="s">
        <v>1959</v>
      </c>
      <c r="E3875" s="73"/>
      <c r="F3875" s="74"/>
      <c r="G3875" s="72"/>
    </row>
    <row r="3876" spans="1:11" x14ac:dyDescent="0.25">
      <c r="A3876" s="18"/>
      <c r="B3876" s="106"/>
      <c r="C3876" s="73"/>
      <c r="D3876" s="256" t="s">
        <v>1962</v>
      </c>
      <c r="E3876" s="73"/>
      <c r="F3876" s="74"/>
      <c r="G3876" s="72" t="s">
        <v>1963</v>
      </c>
    </row>
    <row r="3877" spans="1:11" x14ac:dyDescent="0.25">
      <c r="A3877" s="18"/>
      <c r="B3877" s="106"/>
      <c r="C3877" s="73"/>
      <c r="D3877" s="73"/>
      <c r="E3877" s="73"/>
      <c r="F3877" s="74"/>
      <c r="G3877" s="72"/>
    </row>
    <row r="3878" spans="1:11" x14ac:dyDescent="0.25">
      <c r="A3878" s="14"/>
      <c r="B3878" s="106"/>
      <c r="C3878" s="75" t="s">
        <v>1964</v>
      </c>
      <c r="D3878" s="73"/>
      <c r="E3878" s="73"/>
      <c r="F3878" s="74"/>
      <c r="G3878" s="72"/>
      <c r="I3878" s="253" t="s">
        <v>1946</v>
      </c>
    </row>
    <row r="3879" spans="1:11" x14ac:dyDescent="0.25">
      <c r="A3879" s="18"/>
      <c r="B3879" s="106"/>
      <c r="C3879" s="73" t="s">
        <v>1965</v>
      </c>
      <c r="D3879" s="73"/>
      <c r="E3879" s="73"/>
      <c r="F3879" s="74" t="s">
        <v>1516</v>
      </c>
      <c r="G3879" s="72">
        <v>1</v>
      </c>
    </row>
    <row r="3880" spans="1:11" x14ac:dyDescent="0.25">
      <c r="A3880" s="18"/>
      <c r="B3880" s="106"/>
      <c r="C3880" s="73"/>
      <c r="D3880" s="75" t="s">
        <v>1966</v>
      </c>
      <c r="E3880" s="73"/>
      <c r="F3880" s="74"/>
      <c r="G3880" s="72"/>
      <c r="I3880">
        <f>0.57*0.24*2*1.2</f>
        <v>0.32831999999999995</v>
      </c>
    </row>
    <row r="3881" spans="1:11" x14ac:dyDescent="0.25">
      <c r="A3881" s="18"/>
      <c r="B3881" s="106"/>
      <c r="C3881" s="73"/>
      <c r="D3881" s="73" t="s">
        <v>1054</v>
      </c>
      <c r="E3881" s="73"/>
      <c r="F3881" s="74" t="s">
        <v>3</v>
      </c>
      <c r="G3881" s="72">
        <f>0.012*3.14*0.08*1.2</f>
        <v>3.6172800000000005E-3</v>
      </c>
    </row>
    <row r="3882" spans="1:11" ht="17.25" x14ac:dyDescent="0.25">
      <c r="A3882" s="18"/>
      <c r="B3882" s="106"/>
      <c r="C3882" s="73"/>
      <c r="D3882" s="73" t="s">
        <v>1055</v>
      </c>
      <c r="E3882" s="73"/>
      <c r="F3882" s="74" t="s">
        <v>596</v>
      </c>
      <c r="G3882" s="72">
        <f>G3881</f>
        <v>3.6172800000000005E-3</v>
      </c>
    </row>
    <row r="3883" spans="1:11" x14ac:dyDescent="0.25">
      <c r="A3883" s="18"/>
      <c r="B3883" s="106"/>
      <c r="C3883" s="73"/>
      <c r="D3883" s="73"/>
      <c r="E3883" s="75" t="s">
        <v>1967</v>
      </c>
      <c r="F3883" s="74"/>
      <c r="G3883" s="72"/>
      <c r="K3883" s="254"/>
    </row>
    <row r="3884" spans="1:11" x14ac:dyDescent="0.25">
      <c r="A3884" s="18"/>
      <c r="B3884" s="106"/>
      <c r="C3884" s="73"/>
      <c r="D3884" s="73"/>
      <c r="E3884" s="73" t="s">
        <v>150</v>
      </c>
      <c r="F3884" s="74" t="s">
        <v>3</v>
      </c>
      <c r="G3884" s="72">
        <f>0.1*0.1*2*8*1.125</f>
        <v>0.18000000000000005</v>
      </c>
      <c r="K3884" s="254"/>
    </row>
    <row r="3885" spans="1:11" x14ac:dyDescent="0.25">
      <c r="A3885" s="18"/>
      <c r="B3885" s="106"/>
      <c r="C3885" s="73"/>
      <c r="D3885" s="75" t="s">
        <v>793</v>
      </c>
      <c r="E3885" s="73"/>
      <c r="F3885" s="73"/>
      <c r="G3885" s="72"/>
    </row>
    <row r="3886" spans="1:11" x14ac:dyDescent="0.25">
      <c r="A3886" s="18"/>
      <c r="B3886" s="106"/>
      <c r="C3886" s="73"/>
      <c r="D3886" s="73" t="s">
        <v>794</v>
      </c>
      <c r="E3886" s="73"/>
      <c r="F3886" s="74" t="s">
        <v>3</v>
      </c>
      <c r="G3886" s="72">
        <f>0.06*0.03*0.75*8*1.15</f>
        <v>1.242E-2</v>
      </c>
    </row>
    <row r="3887" spans="1:11" x14ac:dyDescent="0.25">
      <c r="A3887" s="18"/>
      <c r="B3887" s="106"/>
      <c r="C3887" s="73"/>
      <c r="D3887" s="73"/>
      <c r="E3887" s="73"/>
      <c r="F3887" s="74"/>
      <c r="G3887" s="72"/>
    </row>
    <row r="3888" spans="1:11" x14ac:dyDescent="0.25">
      <c r="A3888" s="14"/>
      <c r="B3888" s="106"/>
      <c r="C3888" s="75" t="s">
        <v>1968</v>
      </c>
      <c r="D3888" s="73"/>
      <c r="E3888" s="73"/>
      <c r="F3888" s="74"/>
      <c r="G3888" s="72"/>
      <c r="I3888" s="252" t="s">
        <v>1974</v>
      </c>
    </row>
    <row r="3889" spans="1:9" x14ac:dyDescent="0.25">
      <c r="A3889" s="18"/>
      <c r="B3889" s="106"/>
      <c r="C3889" s="73" t="s">
        <v>1054</v>
      </c>
      <c r="D3889" s="73"/>
      <c r="E3889" s="73"/>
      <c r="F3889" s="74" t="s">
        <v>3</v>
      </c>
      <c r="G3889" s="72">
        <f>0.064*0.08*1.2</f>
        <v>6.1440000000000002E-3</v>
      </c>
    </row>
    <row r="3890" spans="1:9" ht="17.25" x14ac:dyDescent="0.25">
      <c r="A3890" s="18"/>
      <c r="B3890" s="106"/>
      <c r="C3890" s="73" t="s">
        <v>1055</v>
      </c>
      <c r="D3890" s="73"/>
      <c r="E3890" s="73"/>
      <c r="F3890" s="74" t="s">
        <v>596</v>
      </c>
      <c r="G3890" s="72">
        <f>G3889</f>
        <v>6.1440000000000002E-3</v>
      </c>
    </row>
    <row r="3891" spans="1:9" x14ac:dyDescent="0.25">
      <c r="A3891" s="18"/>
      <c r="B3891" s="106"/>
      <c r="C3891" s="73"/>
      <c r="D3891" s="75" t="s">
        <v>1969</v>
      </c>
      <c r="E3891" s="73"/>
      <c r="F3891" s="74"/>
      <c r="G3891" s="72"/>
    </row>
    <row r="3892" spans="1:9" x14ac:dyDescent="0.25">
      <c r="A3892" s="18"/>
      <c r="B3892" s="106"/>
      <c r="C3892" s="73"/>
      <c r="D3892" s="73" t="s">
        <v>1970</v>
      </c>
      <c r="E3892" s="73"/>
      <c r="F3892" s="74" t="s">
        <v>3</v>
      </c>
      <c r="G3892" s="72">
        <f>0.165*0.05*3*8*1.16</f>
        <v>0.22968</v>
      </c>
    </row>
    <row r="3893" spans="1:9" x14ac:dyDescent="0.25">
      <c r="A3893" s="18"/>
      <c r="B3893" s="106"/>
      <c r="C3893" s="73"/>
      <c r="D3893" s="73"/>
      <c r="E3893" s="73"/>
      <c r="F3893" s="74"/>
      <c r="G3893" s="72"/>
    </row>
    <row r="3894" spans="1:9" x14ac:dyDescent="0.25">
      <c r="A3894" s="14"/>
      <c r="B3894" s="106"/>
      <c r="C3894" s="75" t="s">
        <v>1971</v>
      </c>
      <c r="D3894" s="73"/>
      <c r="E3894" s="73"/>
      <c r="F3894" s="74"/>
      <c r="G3894" s="72"/>
      <c r="I3894" s="117" t="s">
        <v>1973</v>
      </c>
    </row>
    <row r="3895" spans="1:9" x14ac:dyDescent="0.25">
      <c r="A3895" s="18"/>
      <c r="B3895" s="106"/>
      <c r="C3895" s="73" t="s">
        <v>1972</v>
      </c>
      <c r="D3895" s="73"/>
      <c r="E3895" s="73"/>
      <c r="F3895" s="74" t="s">
        <v>3</v>
      </c>
      <c r="G3895" s="72">
        <v>1E-3</v>
      </c>
    </row>
    <row r="3896" spans="1:9" x14ac:dyDescent="0.25">
      <c r="A3896" s="18"/>
      <c r="B3896" s="106"/>
      <c r="C3896" s="73"/>
      <c r="D3896" s="75" t="s">
        <v>1975</v>
      </c>
      <c r="E3896" s="73"/>
      <c r="F3896" s="74"/>
      <c r="G3896" s="72"/>
      <c r="I3896" s="117" t="s">
        <v>1973</v>
      </c>
    </row>
    <row r="3897" spans="1:9" x14ac:dyDescent="0.25">
      <c r="A3897" s="18"/>
      <c r="B3897" s="106"/>
      <c r="C3897" s="73"/>
      <c r="D3897" s="73" t="s">
        <v>671</v>
      </c>
      <c r="E3897" s="73"/>
      <c r="F3897" s="74" t="s">
        <v>3</v>
      </c>
      <c r="G3897" s="72">
        <f>0.009</f>
        <v>8.9999999999999993E-3</v>
      </c>
    </row>
    <row r="3898" spans="1:9" x14ac:dyDescent="0.25">
      <c r="A3898" s="18"/>
      <c r="B3898" s="106"/>
      <c r="C3898" s="73"/>
      <c r="D3898" s="73" t="s">
        <v>672</v>
      </c>
      <c r="E3898" s="73"/>
      <c r="F3898" s="74" t="s">
        <v>3</v>
      </c>
      <c r="G3898" s="72">
        <f>2.5*G3897</f>
        <v>2.2499999999999999E-2</v>
      </c>
    </row>
    <row r="3899" spans="1:9" x14ac:dyDescent="0.25">
      <c r="A3899" s="18"/>
      <c r="B3899" s="106"/>
      <c r="C3899" s="73"/>
      <c r="D3899" s="73"/>
      <c r="E3899" s="75" t="s">
        <v>1976</v>
      </c>
      <c r="F3899" s="74"/>
      <c r="G3899" s="72"/>
    </row>
    <row r="3900" spans="1:9" x14ac:dyDescent="0.25">
      <c r="A3900" s="18"/>
      <c r="B3900" s="106"/>
      <c r="C3900" s="73"/>
      <c r="D3900" s="73"/>
      <c r="E3900" s="73" t="s">
        <v>1977</v>
      </c>
      <c r="F3900" s="74" t="s">
        <v>3</v>
      </c>
      <c r="G3900" s="72">
        <v>7.0000000000000007E-2</v>
      </c>
    </row>
    <row r="3901" spans="1:9" x14ac:dyDescent="0.25">
      <c r="A3901" s="18"/>
      <c r="B3901" s="106"/>
      <c r="C3901" s="73"/>
      <c r="D3901" s="73"/>
      <c r="E3901" s="73"/>
      <c r="F3901" s="74"/>
      <c r="G3901" s="72"/>
    </row>
    <row r="3902" spans="1:9" x14ac:dyDescent="0.25">
      <c r="A3902" s="14"/>
      <c r="B3902" s="106"/>
      <c r="C3902" s="75" t="s">
        <v>1978</v>
      </c>
      <c r="D3902" s="73"/>
      <c r="E3902" s="73"/>
      <c r="F3902" s="74"/>
      <c r="G3902" s="72"/>
      <c r="I3902" s="117" t="s">
        <v>1973</v>
      </c>
    </row>
    <row r="3903" spans="1:9" x14ac:dyDescent="0.25">
      <c r="A3903" s="18"/>
      <c r="B3903" s="106"/>
      <c r="C3903" s="73" t="s">
        <v>140</v>
      </c>
      <c r="D3903" s="73"/>
      <c r="E3903" s="73"/>
      <c r="F3903" s="74" t="s">
        <v>3</v>
      </c>
      <c r="G3903" s="72">
        <f>0.015*3.14*0.08*1.2</f>
        <v>4.5216000000000006E-3</v>
      </c>
    </row>
    <row r="3904" spans="1:9" ht="17.25" x14ac:dyDescent="0.25">
      <c r="A3904" s="18"/>
      <c r="B3904" s="106"/>
      <c r="C3904" s="73" t="s">
        <v>23</v>
      </c>
      <c r="D3904" s="73"/>
      <c r="E3904" s="73"/>
      <c r="F3904" s="74" t="s">
        <v>596</v>
      </c>
      <c r="G3904" s="72">
        <f>G3903*1.5</f>
        <v>6.7824000000000009E-3</v>
      </c>
    </row>
    <row r="3905" spans="1:9" x14ac:dyDescent="0.25">
      <c r="A3905" s="18"/>
      <c r="B3905" s="106"/>
      <c r="C3905" s="73" t="s">
        <v>142</v>
      </c>
      <c r="D3905" s="73"/>
      <c r="E3905" s="73"/>
      <c r="F3905" s="74" t="s">
        <v>3</v>
      </c>
      <c r="G3905" s="72">
        <f>G3903/4</f>
        <v>1.1304000000000002E-3</v>
      </c>
    </row>
    <row r="3906" spans="1:9" x14ac:dyDescent="0.25">
      <c r="A3906" s="18"/>
      <c r="B3906" s="106"/>
      <c r="C3906" s="77" t="s">
        <v>143</v>
      </c>
      <c r="D3906" s="73"/>
      <c r="E3906" s="73"/>
      <c r="F3906" s="74" t="s">
        <v>3</v>
      </c>
      <c r="G3906" s="72">
        <f>G3907</f>
        <v>3.2999999999999995E-3</v>
      </c>
    </row>
    <row r="3907" spans="1:9" x14ac:dyDescent="0.25">
      <c r="A3907" s="18"/>
      <c r="B3907" s="106"/>
      <c r="C3907" s="77" t="s">
        <v>8</v>
      </c>
      <c r="D3907" s="73"/>
      <c r="E3907" s="73"/>
      <c r="F3907" s="74" t="s">
        <v>3</v>
      </c>
      <c r="G3907" s="72">
        <f>G3908</f>
        <v>3.2999999999999995E-3</v>
      </c>
    </row>
    <row r="3908" spans="1:9" x14ac:dyDescent="0.25">
      <c r="A3908" s="18"/>
      <c r="B3908" s="106"/>
      <c r="C3908" s="77" t="s">
        <v>1783</v>
      </c>
      <c r="D3908" s="73"/>
      <c r="E3908" s="73"/>
      <c r="F3908" s="74" t="s">
        <v>3</v>
      </c>
      <c r="G3908" s="72">
        <f>0.075*0.011*2*2</f>
        <v>3.2999999999999995E-3</v>
      </c>
    </row>
    <row r="3909" spans="1:9" x14ac:dyDescent="0.25">
      <c r="A3909" s="18"/>
      <c r="B3909" s="106"/>
      <c r="C3909" s="77" t="s">
        <v>12</v>
      </c>
      <c r="D3909" s="73"/>
      <c r="E3909" s="73"/>
      <c r="F3909" s="74" t="s">
        <v>3</v>
      </c>
      <c r="G3909" s="72">
        <f>0.3*(G3908+G3907+G3906)</f>
        <v>2.9699999999999996E-3</v>
      </c>
    </row>
    <row r="3910" spans="1:9" x14ac:dyDescent="0.25">
      <c r="A3910" s="18"/>
      <c r="B3910" s="106"/>
      <c r="C3910" s="73"/>
      <c r="D3910" s="75" t="s">
        <v>1979</v>
      </c>
      <c r="E3910" s="73"/>
      <c r="F3910" s="74"/>
      <c r="G3910" s="72"/>
    </row>
    <row r="3911" spans="1:9" x14ac:dyDescent="0.25">
      <c r="A3911" s="18"/>
      <c r="B3911" s="106"/>
      <c r="C3911" s="73"/>
      <c r="D3911" s="73" t="s">
        <v>832</v>
      </c>
      <c r="E3911" s="73"/>
      <c r="F3911" s="74" t="s">
        <v>3</v>
      </c>
      <c r="G3911" s="72">
        <v>0.02</v>
      </c>
      <c r="I3911" t="s">
        <v>1980</v>
      </c>
    </row>
    <row r="3912" spans="1:9" x14ac:dyDescent="0.25">
      <c r="A3912" s="18"/>
      <c r="B3912" s="106"/>
      <c r="C3912" s="73"/>
      <c r="D3912" s="73"/>
      <c r="E3912" s="73"/>
      <c r="F3912" s="74"/>
      <c r="G3912" s="72"/>
    </row>
    <row r="3913" spans="1:9" x14ac:dyDescent="0.25">
      <c r="A3913" s="14"/>
      <c r="B3913" s="106"/>
      <c r="C3913" s="75" t="s">
        <v>2274</v>
      </c>
      <c r="D3913" s="73"/>
      <c r="E3913" s="73"/>
      <c r="F3913" s="74"/>
      <c r="G3913" s="72"/>
      <c r="I3913" s="117" t="s">
        <v>1973</v>
      </c>
    </row>
    <row r="3914" spans="1:9" x14ac:dyDescent="0.25">
      <c r="A3914" s="18"/>
      <c r="B3914" s="106"/>
      <c r="C3914" s="73" t="s">
        <v>140</v>
      </c>
      <c r="D3914" s="73"/>
      <c r="E3914" s="73"/>
      <c r="F3914" s="74" t="s">
        <v>3</v>
      </c>
      <c r="G3914" s="72">
        <f>0.008*3.14*2*0.08*1.2</f>
        <v>4.8230399999999998E-3</v>
      </c>
    </row>
    <row r="3915" spans="1:9" ht="17.25" x14ac:dyDescent="0.25">
      <c r="A3915" s="18"/>
      <c r="B3915" s="106"/>
      <c r="C3915" s="73" t="s">
        <v>23</v>
      </c>
      <c r="D3915" s="73"/>
      <c r="E3915" s="73"/>
      <c r="F3915" s="74" t="s">
        <v>596</v>
      </c>
      <c r="G3915" s="72">
        <f>G3914*1.5</f>
        <v>7.2345599999999993E-3</v>
      </c>
    </row>
    <row r="3916" spans="1:9" x14ac:dyDescent="0.25">
      <c r="A3916" s="18"/>
      <c r="B3916" s="106"/>
      <c r="C3916" s="73" t="s">
        <v>142</v>
      </c>
      <c r="D3916" s="73"/>
      <c r="E3916" s="73"/>
      <c r="F3916" s="74" t="s">
        <v>3</v>
      </c>
      <c r="G3916" s="72">
        <f>G3914/4</f>
        <v>1.2057599999999999E-3</v>
      </c>
    </row>
    <row r="3917" spans="1:9" x14ac:dyDescent="0.25">
      <c r="A3917" s="18"/>
      <c r="B3917" s="106"/>
      <c r="C3917" s="77" t="s">
        <v>143</v>
      </c>
      <c r="D3917" s="73"/>
      <c r="E3917" s="73"/>
      <c r="F3917" s="74" t="s">
        <v>3</v>
      </c>
      <c r="G3917" s="72">
        <f>G3918</f>
        <v>6.8639999999999994E-3</v>
      </c>
    </row>
    <row r="3918" spans="1:9" x14ac:dyDescent="0.25">
      <c r="A3918" s="18"/>
      <c r="B3918" s="106"/>
      <c r="C3918" s="77" t="s">
        <v>8</v>
      </c>
      <c r="D3918" s="73"/>
      <c r="E3918" s="73"/>
      <c r="F3918" s="74" t="s">
        <v>3</v>
      </c>
      <c r="G3918" s="72">
        <f>G3919*0.8</f>
        <v>6.8639999999999994E-3</v>
      </c>
    </row>
    <row r="3919" spans="1:9" x14ac:dyDescent="0.25">
      <c r="A3919" s="18"/>
      <c r="B3919" s="106"/>
      <c r="C3919" s="77" t="s">
        <v>1783</v>
      </c>
      <c r="D3919" s="73"/>
      <c r="E3919" s="73"/>
      <c r="F3919" s="74" t="s">
        <v>3</v>
      </c>
      <c r="G3919" s="72">
        <f>0.3*0.011*2*1.3</f>
        <v>8.5799999999999991E-3</v>
      </c>
    </row>
    <row r="3920" spans="1:9" x14ac:dyDescent="0.25">
      <c r="A3920" s="18"/>
      <c r="B3920" s="106"/>
      <c r="C3920" s="77" t="s">
        <v>12</v>
      </c>
      <c r="D3920" s="73"/>
      <c r="E3920" s="73"/>
      <c r="F3920" s="74" t="s">
        <v>3</v>
      </c>
      <c r="G3920" s="72">
        <f>0.3*(G3919+G3918+G3917)</f>
        <v>6.6923999999999994E-3</v>
      </c>
    </row>
    <row r="3921" spans="1:9" x14ac:dyDescent="0.25">
      <c r="A3921" s="18"/>
      <c r="B3921" s="106"/>
      <c r="C3921" s="73"/>
      <c r="D3921" s="75" t="s">
        <v>1981</v>
      </c>
      <c r="E3921" s="73"/>
      <c r="F3921" s="74"/>
      <c r="G3921" s="72"/>
    </row>
    <row r="3922" spans="1:9" x14ac:dyDescent="0.25">
      <c r="A3922" s="18"/>
      <c r="B3922" s="106"/>
      <c r="C3922" s="73"/>
      <c r="D3922" s="73" t="s">
        <v>480</v>
      </c>
      <c r="E3922" s="73"/>
      <c r="F3922" s="74" t="s">
        <v>3</v>
      </c>
      <c r="G3922" s="72">
        <v>0.05</v>
      </c>
      <c r="I3922" t="s">
        <v>1982</v>
      </c>
    </row>
    <row r="3923" spans="1:9" x14ac:dyDescent="0.25">
      <c r="A3923" s="18"/>
      <c r="B3923" s="106"/>
      <c r="C3923" s="73"/>
      <c r="D3923" s="73"/>
      <c r="E3923" s="73"/>
      <c r="F3923" s="74"/>
      <c r="G3923" s="72"/>
    </row>
    <row r="3924" spans="1:9" x14ac:dyDescent="0.25">
      <c r="A3924" s="14"/>
      <c r="B3924" s="106"/>
      <c r="C3924" s="75" t="s">
        <v>1983</v>
      </c>
      <c r="D3924" s="73"/>
      <c r="E3924" s="73"/>
      <c r="F3924" s="74"/>
      <c r="G3924" s="72"/>
      <c r="I3924" s="117" t="s">
        <v>1973</v>
      </c>
    </row>
    <row r="3925" spans="1:9" x14ac:dyDescent="0.25">
      <c r="A3925" s="18"/>
      <c r="B3925" s="106"/>
      <c r="C3925" s="73" t="s">
        <v>497</v>
      </c>
      <c r="D3925" s="73"/>
      <c r="E3925" s="73"/>
      <c r="F3925" s="74" t="s">
        <v>3</v>
      </c>
      <c r="G3925" s="72">
        <f>0.01*3.14*0.08*1.2</f>
        <v>3.0144000000000004E-3</v>
      </c>
    </row>
    <row r="3926" spans="1:9" ht="18" x14ac:dyDescent="0.25">
      <c r="A3926" s="18"/>
      <c r="B3926" s="106"/>
      <c r="C3926" s="73" t="s">
        <v>168</v>
      </c>
      <c r="D3926" s="73"/>
      <c r="E3926" s="73"/>
      <c r="F3926" s="74" t="s">
        <v>1984</v>
      </c>
      <c r="G3926" s="72">
        <f>G3925*1.1</f>
        <v>3.3158400000000009E-3</v>
      </c>
    </row>
    <row r="3927" spans="1:9" x14ac:dyDescent="0.25">
      <c r="A3927" s="18"/>
      <c r="B3927" s="106"/>
      <c r="C3927" s="77" t="s">
        <v>114</v>
      </c>
      <c r="D3927" s="73"/>
      <c r="E3927" s="73"/>
      <c r="F3927" s="74" t="s">
        <v>3</v>
      </c>
      <c r="G3927" s="72">
        <f>G3929*0.8</f>
        <v>1.1616E-2</v>
      </c>
    </row>
    <row r="3928" spans="1:9" x14ac:dyDescent="0.25">
      <c r="A3928" s="18"/>
      <c r="B3928" s="106"/>
      <c r="C3928" s="77" t="s">
        <v>164</v>
      </c>
      <c r="D3928" s="73"/>
      <c r="E3928" s="73"/>
      <c r="F3928" s="74" t="s">
        <v>3</v>
      </c>
      <c r="G3928" s="72">
        <f>0.3*G3927</f>
        <v>3.4847999999999997E-3</v>
      </c>
    </row>
    <row r="3929" spans="1:9" x14ac:dyDescent="0.25">
      <c r="A3929" s="18"/>
      <c r="B3929" s="106"/>
      <c r="C3929" s="77" t="s">
        <v>115</v>
      </c>
      <c r="D3929" s="73"/>
      <c r="E3929" s="73"/>
      <c r="F3929" s="74" t="s">
        <v>3</v>
      </c>
      <c r="G3929" s="72">
        <f>0.55*0.011*2*1.2</f>
        <v>1.4519999999999998E-2</v>
      </c>
    </row>
    <row r="3930" spans="1:9" x14ac:dyDescent="0.25">
      <c r="A3930" s="18"/>
      <c r="B3930" s="106"/>
      <c r="C3930" s="77" t="s">
        <v>12</v>
      </c>
      <c r="D3930" s="73"/>
      <c r="E3930" s="73"/>
      <c r="F3930" s="74" t="s">
        <v>3</v>
      </c>
      <c r="G3930" s="72">
        <f>0.3*G3929</f>
        <v>4.3559999999999996E-3</v>
      </c>
    </row>
    <row r="3931" spans="1:9" x14ac:dyDescent="0.25">
      <c r="A3931" s="18"/>
      <c r="B3931" s="106"/>
      <c r="C3931" s="73"/>
      <c r="D3931" s="75" t="s">
        <v>1985</v>
      </c>
      <c r="E3931" s="73"/>
      <c r="F3931" s="74"/>
      <c r="G3931" s="72"/>
    </row>
    <row r="3932" spans="1:9" x14ac:dyDescent="0.25">
      <c r="A3932" s="18"/>
      <c r="B3932" s="106"/>
      <c r="C3932" s="73"/>
      <c r="D3932" s="73" t="s">
        <v>1222</v>
      </c>
      <c r="E3932" s="73"/>
      <c r="F3932" s="74" t="s">
        <v>3</v>
      </c>
      <c r="G3932" s="72">
        <v>0.13</v>
      </c>
      <c r="I3932" t="s">
        <v>1986</v>
      </c>
    </row>
    <row r="3933" spans="1:9" x14ac:dyDescent="0.25">
      <c r="F3933" s="9"/>
      <c r="G3933" s="72"/>
    </row>
    <row r="3934" spans="1:9" x14ac:dyDescent="0.25">
      <c r="A3934" s="14"/>
      <c r="B3934" s="106"/>
      <c r="C3934" s="75" t="s">
        <v>1988</v>
      </c>
      <c r="D3934" s="73"/>
      <c r="E3934" s="73"/>
      <c r="F3934" s="74"/>
      <c r="G3934" s="72"/>
      <c r="I3934" s="117" t="s">
        <v>1973</v>
      </c>
    </row>
    <row r="3935" spans="1:9" x14ac:dyDescent="0.25">
      <c r="A3935" s="18"/>
      <c r="B3935" s="106"/>
      <c r="C3935" s="73" t="s">
        <v>140</v>
      </c>
      <c r="D3935" s="73"/>
      <c r="E3935" s="73"/>
      <c r="F3935" s="74" t="s">
        <v>3</v>
      </c>
      <c r="G3935" s="72">
        <f>0.006*3.14*2*0.08*1.2</f>
        <v>3.6172800000000005E-3</v>
      </c>
    </row>
    <row r="3936" spans="1:9" ht="17.25" x14ac:dyDescent="0.25">
      <c r="A3936" s="18"/>
      <c r="B3936" s="106"/>
      <c r="C3936" s="73" t="s">
        <v>23</v>
      </c>
      <c r="D3936" s="73"/>
      <c r="E3936" s="73"/>
      <c r="F3936" s="74" t="s">
        <v>596</v>
      </c>
      <c r="G3936" s="72">
        <f>G3935*1.5</f>
        <v>5.4259200000000007E-3</v>
      </c>
    </row>
    <row r="3937" spans="1:9" x14ac:dyDescent="0.25">
      <c r="A3937" s="18"/>
      <c r="B3937" s="106"/>
      <c r="C3937" s="73" t="s">
        <v>142</v>
      </c>
      <c r="D3937" s="73"/>
      <c r="E3937" s="73"/>
      <c r="F3937" s="74" t="s">
        <v>3</v>
      </c>
      <c r="G3937" s="72">
        <f>G3935/4</f>
        <v>9.0432000000000012E-4</v>
      </c>
    </row>
    <row r="3938" spans="1:9" x14ac:dyDescent="0.25">
      <c r="A3938" s="18"/>
      <c r="B3938" s="106"/>
      <c r="C3938" s="77" t="s">
        <v>143</v>
      </c>
      <c r="D3938" s="73"/>
      <c r="E3938" s="73"/>
      <c r="F3938" s="74" t="s">
        <v>3</v>
      </c>
      <c r="G3938" s="72">
        <f>G3939</f>
        <v>7.7440000000000009E-3</v>
      </c>
    </row>
    <row r="3939" spans="1:9" x14ac:dyDescent="0.25">
      <c r="A3939" s="18"/>
      <c r="B3939" s="106"/>
      <c r="C3939" s="77" t="s">
        <v>8</v>
      </c>
      <c r="D3939" s="73"/>
      <c r="E3939" s="73"/>
      <c r="F3939" s="74" t="s">
        <v>3</v>
      </c>
      <c r="G3939" s="72">
        <f>G3940*0.8</f>
        <v>7.7440000000000009E-3</v>
      </c>
    </row>
    <row r="3940" spans="1:9" x14ac:dyDescent="0.25">
      <c r="A3940" s="18"/>
      <c r="B3940" s="106"/>
      <c r="C3940" s="77" t="s">
        <v>152</v>
      </c>
      <c r="D3940" s="73"/>
      <c r="E3940" s="73"/>
      <c r="F3940" s="74" t="s">
        <v>3</v>
      </c>
      <c r="G3940" s="72">
        <f>0.4*0.011*2*1.1</f>
        <v>9.6800000000000011E-3</v>
      </c>
    </row>
    <row r="3941" spans="1:9" x14ac:dyDescent="0.25">
      <c r="A3941" s="18"/>
      <c r="B3941" s="106"/>
      <c r="C3941" s="77" t="s">
        <v>12</v>
      </c>
      <c r="D3941" s="73"/>
      <c r="E3941" s="73"/>
      <c r="F3941" s="74" t="s">
        <v>3</v>
      </c>
      <c r="G3941" s="72">
        <f>0.3*(G3940+G3939+G3938)</f>
        <v>7.5504000000000005E-3</v>
      </c>
    </row>
    <row r="3942" spans="1:9" x14ac:dyDescent="0.25">
      <c r="A3942" s="18"/>
      <c r="B3942" s="106"/>
      <c r="C3942" s="73"/>
      <c r="D3942" s="75" t="s">
        <v>1989</v>
      </c>
      <c r="E3942" s="73"/>
      <c r="F3942" s="74"/>
      <c r="G3942" s="72"/>
    </row>
    <row r="3943" spans="1:9" x14ac:dyDescent="0.25">
      <c r="A3943" s="18"/>
      <c r="B3943" s="106"/>
      <c r="C3943" s="73"/>
      <c r="D3943" s="73" t="s">
        <v>154</v>
      </c>
      <c r="E3943" s="73"/>
      <c r="F3943" s="74" t="s">
        <v>3</v>
      </c>
      <c r="G3943" s="72">
        <v>5.8000000000000003E-2</v>
      </c>
      <c r="I3943" t="s">
        <v>1990</v>
      </c>
    </row>
    <row r="3944" spans="1:9" x14ac:dyDescent="0.25">
      <c r="A3944" s="18"/>
      <c r="B3944" s="106"/>
      <c r="C3944" s="73"/>
      <c r="D3944" s="73"/>
      <c r="E3944" s="73"/>
      <c r="F3944" s="74"/>
      <c r="G3944" s="72"/>
    </row>
    <row r="3945" spans="1:9" x14ac:dyDescent="0.25">
      <c r="A3945" s="14"/>
      <c r="B3945" s="106"/>
      <c r="C3945" s="75" t="s">
        <v>1991</v>
      </c>
      <c r="D3945" s="73"/>
      <c r="E3945" s="73"/>
      <c r="F3945" s="74"/>
      <c r="G3945" s="72"/>
      <c r="I3945" s="117" t="s">
        <v>1973</v>
      </c>
    </row>
    <row r="3946" spans="1:9" x14ac:dyDescent="0.25">
      <c r="A3946" s="18"/>
      <c r="B3946" s="106"/>
      <c r="C3946" s="73" t="s">
        <v>1992</v>
      </c>
      <c r="D3946" s="73"/>
      <c r="E3946" s="73"/>
      <c r="F3946" s="74" t="s">
        <v>3</v>
      </c>
      <c r="G3946" s="72">
        <f>0.006*3.14*2*0.08*1.2</f>
        <v>3.6172800000000005E-3</v>
      </c>
    </row>
    <row r="3947" spans="1:9" x14ac:dyDescent="0.25">
      <c r="A3947" s="18"/>
      <c r="B3947" s="106"/>
      <c r="C3947" s="73" t="s">
        <v>1993</v>
      </c>
      <c r="D3947" s="73"/>
      <c r="E3947" s="73"/>
      <c r="F3947" s="74" t="s">
        <v>3</v>
      </c>
      <c r="G3947" s="72">
        <f>G3946/2</f>
        <v>1.8086400000000002E-3</v>
      </c>
    </row>
    <row r="3948" spans="1:9" x14ac:dyDescent="0.25">
      <c r="A3948" s="18"/>
      <c r="B3948" s="106"/>
      <c r="C3948" s="73" t="s">
        <v>1994</v>
      </c>
      <c r="D3948" s="73"/>
      <c r="E3948" s="73"/>
      <c r="F3948" s="74" t="s">
        <v>3</v>
      </c>
      <c r="G3948" s="72">
        <f>G3946/4</f>
        <v>9.0432000000000012E-4</v>
      </c>
    </row>
    <row r="3949" spans="1:9" x14ac:dyDescent="0.25">
      <c r="A3949" s="18"/>
      <c r="B3949" s="106"/>
      <c r="C3949" s="73" t="s">
        <v>114</v>
      </c>
      <c r="D3949" s="73"/>
      <c r="E3949" s="73"/>
      <c r="F3949" s="74" t="s">
        <v>3</v>
      </c>
      <c r="G3949" s="72">
        <f>G3951*0.8</f>
        <v>1.2143999999999999E-2</v>
      </c>
    </row>
    <row r="3950" spans="1:9" x14ac:dyDescent="0.25">
      <c r="A3950" s="18"/>
      <c r="B3950" s="106"/>
      <c r="C3950" s="73" t="s">
        <v>164</v>
      </c>
      <c r="D3950" s="73"/>
      <c r="E3950" s="73"/>
      <c r="F3950" s="74" t="s">
        <v>3</v>
      </c>
      <c r="G3950" s="72">
        <f>0.3*G3949</f>
        <v>3.6431999999999992E-3</v>
      </c>
    </row>
    <row r="3951" spans="1:9" x14ac:dyDescent="0.25">
      <c r="A3951" s="18"/>
      <c r="B3951" s="106"/>
      <c r="C3951" s="73" t="s">
        <v>152</v>
      </c>
      <c r="D3951" s="73"/>
      <c r="E3951" s="73"/>
      <c r="F3951" s="74" t="s">
        <v>3</v>
      </c>
      <c r="G3951" s="72">
        <f>0.6*0.011*2*1.15</f>
        <v>1.5179999999999997E-2</v>
      </c>
    </row>
    <row r="3952" spans="1:9" x14ac:dyDescent="0.25">
      <c r="A3952" s="18"/>
      <c r="B3952" s="106"/>
      <c r="C3952" s="73" t="s">
        <v>12</v>
      </c>
      <c r="D3952" s="73"/>
      <c r="E3952" s="73"/>
      <c r="F3952" s="74" t="s">
        <v>3</v>
      </c>
      <c r="G3952" s="72">
        <f>0.3*G3951</f>
        <v>4.553999999999999E-3</v>
      </c>
    </row>
    <row r="3953" spans="1:9" x14ac:dyDescent="0.25">
      <c r="A3953" s="18"/>
      <c r="B3953" s="106"/>
      <c r="C3953" s="73"/>
      <c r="D3953" s="75" t="s">
        <v>1995</v>
      </c>
      <c r="E3953" s="73"/>
      <c r="F3953" s="74"/>
      <c r="G3953" s="72"/>
    </row>
    <row r="3954" spans="1:9" x14ac:dyDescent="0.25">
      <c r="A3954" s="18"/>
      <c r="B3954" s="106"/>
      <c r="C3954" s="73"/>
      <c r="D3954" s="73" t="s">
        <v>1997</v>
      </c>
      <c r="E3954" s="73"/>
      <c r="F3954" s="74" t="s">
        <v>3</v>
      </c>
      <c r="G3954" s="72">
        <v>0.12</v>
      </c>
      <c r="I3954" t="s">
        <v>1996</v>
      </c>
    </row>
    <row r="3955" spans="1:9" x14ac:dyDescent="0.25">
      <c r="A3955" s="18"/>
      <c r="B3955" s="106"/>
      <c r="C3955" s="73"/>
      <c r="D3955" s="73"/>
      <c r="E3955" s="73"/>
      <c r="F3955" s="74"/>
      <c r="G3955" s="72"/>
    </row>
    <row r="3956" spans="1:9" x14ac:dyDescent="0.25">
      <c r="A3956" s="14"/>
      <c r="B3956" s="106"/>
      <c r="C3956" s="75" t="s">
        <v>1998</v>
      </c>
      <c r="D3956" s="73"/>
      <c r="E3956" s="73"/>
      <c r="F3956" s="74"/>
      <c r="G3956" s="72"/>
    </row>
    <row r="3957" spans="1:9" x14ac:dyDescent="0.25">
      <c r="A3957" s="18"/>
      <c r="B3957" s="106"/>
      <c r="C3957" s="73" t="s">
        <v>140</v>
      </c>
      <c r="D3957" s="73"/>
      <c r="E3957" s="73"/>
      <c r="F3957" s="74" t="s">
        <v>3</v>
      </c>
      <c r="G3957" s="72">
        <f>0.012*3.14*4*0.08*1.25</f>
        <v>1.5072000000000002E-2</v>
      </c>
      <c r="I3957" s="117" t="s">
        <v>1973</v>
      </c>
    </row>
    <row r="3958" spans="1:9" ht="17.25" x14ac:dyDescent="0.25">
      <c r="A3958" s="18"/>
      <c r="B3958" s="106"/>
      <c r="C3958" s="73" t="s">
        <v>23</v>
      </c>
      <c r="D3958" s="73"/>
      <c r="E3958" s="73"/>
      <c r="F3958" s="74" t="s">
        <v>596</v>
      </c>
      <c r="G3958" s="72">
        <f>G3957*1.5</f>
        <v>2.2608000000000003E-2</v>
      </c>
    </row>
    <row r="3959" spans="1:9" x14ac:dyDescent="0.25">
      <c r="A3959" s="18"/>
      <c r="B3959" s="106"/>
      <c r="C3959" s="73" t="s">
        <v>142</v>
      </c>
      <c r="D3959" s="73"/>
      <c r="E3959" s="73"/>
      <c r="F3959" s="74" t="s">
        <v>3</v>
      </c>
      <c r="G3959" s="72">
        <f>G3957/4</f>
        <v>3.7680000000000005E-3</v>
      </c>
    </row>
    <row r="3960" spans="1:9" x14ac:dyDescent="0.25">
      <c r="A3960" s="18"/>
      <c r="B3960" s="106"/>
      <c r="C3960" s="77" t="s">
        <v>143</v>
      </c>
      <c r="D3960" s="73"/>
      <c r="E3960" s="73"/>
      <c r="F3960" s="74" t="s">
        <v>3</v>
      </c>
      <c r="G3960" s="72">
        <f>G3961</f>
        <v>6.3888E-2</v>
      </c>
    </row>
    <row r="3961" spans="1:9" x14ac:dyDescent="0.25">
      <c r="A3961" s="18"/>
      <c r="B3961" s="106"/>
      <c r="C3961" s="77" t="s">
        <v>8</v>
      </c>
      <c r="D3961" s="73"/>
      <c r="E3961" s="73"/>
      <c r="F3961" s="74" t="s">
        <v>3</v>
      </c>
      <c r="G3961" s="72">
        <f>G3962*0.8</f>
        <v>6.3888E-2</v>
      </c>
    </row>
    <row r="3962" spans="1:9" x14ac:dyDescent="0.25">
      <c r="A3962" s="18"/>
      <c r="B3962" s="106"/>
      <c r="C3962" s="77" t="s">
        <v>152</v>
      </c>
      <c r="D3962" s="73"/>
      <c r="E3962" s="73"/>
      <c r="F3962" s="74" t="s">
        <v>3</v>
      </c>
      <c r="G3962" s="72">
        <f>3*0.011*2*1.21</f>
        <v>7.986E-2</v>
      </c>
    </row>
    <row r="3963" spans="1:9" x14ac:dyDescent="0.25">
      <c r="A3963" s="18"/>
      <c r="B3963" s="106"/>
      <c r="C3963" s="77" t="s">
        <v>12</v>
      </c>
      <c r="D3963" s="73"/>
      <c r="E3963" s="73"/>
      <c r="F3963" s="74" t="s">
        <v>3</v>
      </c>
      <c r="G3963" s="72">
        <f>0.3*(G3962+G3961+G3960)</f>
        <v>6.2290799999999993E-2</v>
      </c>
    </row>
    <row r="3964" spans="1:9" x14ac:dyDescent="0.25">
      <c r="A3964" s="18"/>
      <c r="B3964" s="106"/>
      <c r="C3964" s="73"/>
      <c r="D3964" s="75" t="s">
        <v>2000</v>
      </c>
      <c r="E3964" s="73"/>
      <c r="F3964" s="74"/>
      <c r="G3964" s="72"/>
    </row>
    <row r="3965" spans="1:9" x14ac:dyDescent="0.25">
      <c r="A3965" s="18"/>
      <c r="B3965" s="106"/>
      <c r="C3965" s="73"/>
      <c r="D3965" s="73" t="s">
        <v>159</v>
      </c>
      <c r="E3965" s="73"/>
      <c r="F3965" s="74" t="s">
        <v>3</v>
      </c>
      <c r="G3965" s="72">
        <v>0.83499999999999996</v>
      </c>
      <c r="I3965" t="s">
        <v>1999</v>
      </c>
    </row>
    <row r="3966" spans="1:9" x14ac:dyDescent="0.25">
      <c r="A3966" s="18"/>
      <c r="B3966" s="106"/>
      <c r="C3966" s="73"/>
      <c r="D3966" s="73"/>
      <c r="E3966" s="73"/>
      <c r="F3966" s="74"/>
      <c r="G3966" s="72"/>
    </row>
    <row r="3967" spans="1:9" x14ac:dyDescent="0.25">
      <c r="A3967" s="14"/>
      <c r="B3967" s="106"/>
      <c r="C3967" s="75" t="s">
        <v>2001</v>
      </c>
      <c r="D3967" s="73"/>
      <c r="E3967" s="73"/>
      <c r="F3967" s="74"/>
      <c r="G3967" s="72"/>
      <c r="I3967" s="117" t="s">
        <v>1973</v>
      </c>
    </row>
    <row r="3968" spans="1:9" x14ac:dyDescent="0.25">
      <c r="A3968" s="18"/>
      <c r="B3968" s="106"/>
      <c r="C3968" s="73" t="s">
        <v>140</v>
      </c>
      <c r="D3968" s="73"/>
      <c r="E3968" s="73"/>
      <c r="F3968" s="74" t="s">
        <v>3</v>
      </c>
      <c r="G3968" s="72">
        <f>0.008*3.14*2*0.08*1.25</f>
        <v>5.0239999999999998E-3</v>
      </c>
    </row>
    <row r="3969" spans="1:9" ht="17.25" x14ac:dyDescent="0.25">
      <c r="A3969" s="18"/>
      <c r="B3969" s="106"/>
      <c r="C3969" s="73" t="s">
        <v>23</v>
      </c>
      <c r="D3969" s="73"/>
      <c r="E3969" s="73"/>
      <c r="F3969" s="74" t="s">
        <v>596</v>
      </c>
      <c r="G3969" s="72">
        <f>G3968*1.5</f>
        <v>7.5359999999999993E-3</v>
      </c>
    </row>
    <row r="3970" spans="1:9" x14ac:dyDescent="0.25">
      <c r="A3970" s="18"/>
      <c r="B3970" s="106"/>
      <c r="C3970" s="73" t="s">
        <v>142</v>
      </c>
      <c r="D3970" s="73"/>
      <c r="E3970" s="73"/>
      <c r="F3970" s="74" t="s">
        <v>3</v>
      </c>
      <c r="G3970" s="72">
        <f>G3968/4</f>
        <v>1.256E-3</v>
      </c>
    </row>
    <row r="3971" spans="1:9" x14ac:dyDescent="0.25">
      <c r="A3971" s="18"/>
      <c r="B3971" s="106"/>
      <c r="C3971" s="77" t="s">
        <v>143</v>
      </c>
      <c r="D3971" s="73"/>
      <c r="E3971" s="73"/>
      <c r="F3971" s="74" t="s">
        <v>3</v>
      </c>
      <c r="G3971" s="72">
        <f>G3972</f>
        <v>6.7583999999999995E-3</v>
      </c>
    </row>
    <row r="3972" spans="1:9" x14ac:dyDescent="0.25">
      <c r="A3972" s="18"/>
      <c r="B3972" s="106"/>
      <c r="C3972" s="77" t="s">
        <v>8</v>
      </c>
      <c r="D3972" s="73"/>
      <c r="E3972" s="73"/>
      <c r="F3972" s="74" t="s">
        <v>3</v>
      </c>
      <c r="G3972" s="72">
        <f>G3973*0.8</f>
        <v>6.7583999999999995E-3</v>
      </c>
    </row>
    <row r="3973" spans="1:9" x14ac:dyDescent="0.25">
      <c r="A3973" s="18"/>
      <c r="B3973" s="106"/>
      <c r="C3973" s="77" t="s">
        <v>152</v>
      </c>
      <c r="D3973" s="73"/>
      <c r="E3973" s="73"/>
      <c r="F3973" s="74" t="s">
        <v>3</v>
      </c>
      <c r="G3973" s="72">
        <f>0.32*0.011*2*1.2</f>
        <v>8.4479999999999989E-3</v>
      </c>
    </row>
    <row r="3974" spans="1:9" x14ac:dyDescent="0.25">
      <c r="A3974" s="18"/>
      <c r="B3974" s="106"/>
      <c r="C3974" s="77" t="s">
        <v>12</v>
      </c>
      <c r="D3974" s="73"/>
      <c r="E3974" s="73"/>
      <c r="F3974" s="74" t="s">
        <v>3</v>
      </c>
      <c r="G3974" s="72">
        <f>0.3*(G3973+G3972+G3971)</f>
        <v>6.5894399999999994E-3</v>
      </c>
    </row>
    <row r="3975" spans="1:9" x14ac:dyDescent="0.25">
      <c r="A3975" s="18"/>
      <c r="B3975" s="106"/>
      <c r="C3975" s="73"/>
      <c r="D3975" s="75" t="s">
        <v>2002</v>
      </c>
      <c r="E3975" s="73"/>
      <c r="F3975" s="74"/>
      <c r="G3975" s="72"/>
    </row>
    <row r="3976" spans="1:9" x14ac:dyDescent="0.25">
      <c r="A3976" s="18"/>
      <c r="B3976" s="106"/>
      <c r="C3976" s="73"/>
      <c r="D3976" s="73" t="s">
        <v>480</v>
      </c>
      <c r="E3976" s="73"/>
      <c r="F3976" s="74" t="s">
        <v>3</v>
      </c>
      <c r="G3976" s="72">
        <v>0.06</v>
      </c>
      <c r="I3976" t="s">
        <v>2003</v>
      </c>
    </row>
    <row r="3977" spans="1:9" x14ac:dyDescent="0.25">
      <c r="A3977" s="18"/>
      <c r="B3977" s="106"/>
      <c r="C3977" s="73"/>
      <c r="D3977" s="73"/>
      <c r="E3977" s="73"/>
      <c r="F3977" s="74"/>
      <c r="G3977" s="72"/>
    </row>
    <row r="3978" spans="1:9" x14ac:dyDescent="0.25">
      <c r="A3978" s="14"/>
      <c r="B3978" s="106"/>
      <c r="C3978" s="75" t="s">
        <v>2004</v>
      </c>
      <c r="D3978" s="73"/>
      <c r="E3978" s="73"/>
      <c r="F3978" s="74"/>
      <c r="G3978" s="72"/>
      <c r="I3978" s="117" t="s">
        <v>1973</v>
      </c>
    </row>
    <row r="3979" spans="1:9" x14ac:dyDescent="0.25">
      <c r="A3979" s="18"/>
      <c r="B3979" s="106"/>
      <c r="C3979" s="73" t="s">
        <v>140</v>
      </c>
      <c r="D3979" s="73"/>
      <c r="E3979" s="73"/>
      <c r="F3979" s="74" t="s">
        <v>3</v>
      </c>
      <c r="G3979" s="72">
        <f>0.006*3.14*2*0.08*1.25</f>
        <v>3.7680000000000005E-3</v>
      </c>
    </row>
    <row r="3980" spans="1:9" ht="17.25" x14ac:dyDescent="0.25">
      <c r="A3980" s="18"/>
      <c r="B3980" s="106"/>
      <c r="C3980" s="73" t="s">
        <v>23</v>
      </c>
      <c r="D3980" s="73"/>
      <c r="E3980" s="73"/>
      <c r="F3980" s="74" t="s">
        <v>596</v>
      </c>
      <c r="G3980" s="72">
        <f>G3979*1.5</f>
        <v>5.6520000000000008E-3</v>
      </c>
    </row>
    <row r="3981" spans="1:9" x14ac:dyDescent="0.25">
      <c r="A3981" s="18"/>
      <c r="B3981" s="106"/>
      <c r="C3981" s="73" t="s">
        <v>142</v>
      </c>
      <c r="D3981" s="73"/>
      <c r="E3981" s="73"/>
      <c r="F3981" s="74" t="s">
        <v>3</v>
      </c>
      <c r="G3981" s="72">
        <f>G3979/4</f>
        <v>9.4200000000000013E-4</v>
      </c>
    </row>
    <row r="3982" spans="1:9" x14ac:dyDescent="0.25">
      <c r="A3982" s="18"/>
      <c r="B3982" s="106"/>
      <c r="C3982" s="73" t="s">
        <v>671</v>
      </c>
      <c r="D3982" s="73"/>
      <c r="E3982" s="73"/>
      <c r="F3982" s="74" t="s">
        <v>3</v>
      </c>
      <c r="G3982" s="72">
        <v>7.0000000000000001E-3</v>
      </c>
    </row>
    <row r="3983" spans="1:9" x14ac:dyDescent="0.25">
      <c r="A3983" s="18"/>
      <c r="B3983" s="106"/>
      <c r="C3983" s="73" t="s">
        <v>672</v>
      </c>
      <c r="D3983" s="73"/>
      <c r="E3983" s="73"/>
      <c r="F3983" s="74" t="s">
        <v>3</v>
      </c>
      <c r="G3983" s="72">
        <f>2.8*G3982</f>
        <v>1.9599999999999999E-2</v>
      </c>
    </row>
    <row r="3984" spans="1:9" x14ac:dyDescent="0.25">
      <c r="A3984" s="18"/>
      <c r="B3984" s="106"/>
      <c r="C3984" s="77" t="s">
        <v>379</v>
      </c>
      <c r="D3984" s="73"/>
      <c r="E3984" s="73"/>
      <c r="F3984" s="74" t="s">
        <v>195</v>
      </c>
      <c r="G3984" s="72">
        <f>0.22</f>
        <v>0.22</v>
      </c>
      <c r="I3984" t="s">
        <v>2005</v>
      </c>
    </row>
    <row r="3985" spans="1:9" x14ac:dyDescent="0.25">
      <c r="A3985" s="18"/>
      <c r="B3985" s="106"/>
      <c r="C3985" s="77" t="s">
        <v>2006</v>
      </c>
      <c r="D3985" s="73"/>
      <c r="E3985" s="73"/>
      <c r="F3985" s="74" t="s">
        <v>3</v>
      </c>
      <c r="G3985" s="72">
        <f>0.001</f>
        <v>1E-3</v>
      </c>
    </row>
    <row r="3986" spans="1:9" x14ac:dyDescent="0.25">
      <c r="A3986" s="18"/>
      <c r="B3986" s="106"/>
      <c r="C3986" s="77" t="s">
        <v>143</v>
      </c>
      <c r="D3986" s="73"/>
      <c r="E3986" s="73"/>
      <c r="F3986" s="74" t="s">
        <v>3</v>
      </c>
      <c r="G3986" s="72">
        <f>0.72*G3988</f>
        <v>2.0037599999999996E-2</v>
      </c>
    </row>
    <row r="3987" spans="1:9" x14ac:dyDescent="0.25">
      <c r="A3987" s="18"/>
      <c r="B3987" s="106"/>
      <c r="C3987" s="77" t="s">
        <v>8</v>
      </c>
      <c r="D3987" s="73"/>
      <c r="E3987" s="73"/>
      <c r="F3987" s="74" t="s">
        <v>3</v>
      </c>
      <c r="G3987" s="72">
        <f>0.72*G3988</f>
        <v>2.0037599999999996E-2</v>
      </c>
    </row>
    <row r="3988" spans="1:9" x14ac:dyDescent="0.25">
      <c r="A3988" s="18"/>
      <c r="B3988" s="106"/>
      <c r="C3988" s="77" t="s">
        <v>152</v>
      </c>
      <c r="D3988" s="73"/>
      <c r="E3988" s="73"/>
      <c r="F3988" s="74" t="s">
        <v>3</v>
      </c>
      <c r="G3988" s="72">
        <f>1.1*0.011*2*1.15</f>
        <v>2.7829999999999997E-2</v>
      </c>
    </row>
    <row r="3989" spans="1:9" x14ac:dyDescent="0.25">
      <c r="A3989" s="18"/>
      <c r="B3989" s="106"/>
      <c r="C3989" s="77" t="s">
        <v>12</v>
      </c>
      <c r="D3989" s="73"/>
      <c r="E3989" s="73"/>
      <c r="F3989" s="74" t="s">
        <v>3</v>
      </c>
      <c r="G3989" s="72">
        <f>0.3*SUM(G3986:G3988)</f>
        <v>2.0371559999999993E-2</v>
      </c>
    </row>
    <row r="3990" spans="1:9" x14ac:dyDescent="0.25">
      <c r="A3990" s="18"/>
      <c r="B3990" s="106"/>
      <c r="C3990" s="73"/>
      <c r="D3990" s="75" t="s">
        <v>2007</v>
      </c>
      <c r="E3990" s="73"/>
      <c r="F3990" s="74"/>
      <c r="G3990" s="72"/>
    </row>
    <row r="3991" spans="1:9" x14ac:dyDescent="0.25">
      <c r="A3991" s="18"/>
      <c r="B3991" s="106"/>
      <c r="C3991" s="73"/>
      <c r="D3991" s="73" t="s">
        <v>1054</v>
      </c>
      <c r="E3991" s="73"/>
      <c r="F3991" s="74" t="s">
        <v>3</v>
      </c>
      <c r="G3991" s="72">
        <f>0.018*3.14*0.08*1.1</f>
        <v>4.9737599999999998E-3</v>
      </c>
    </row>
    <row r="3992" spans="1:9" ht="17.25" x14ac:dyDescent="0.25">
      <c r="A3992" s="18"/>
      <c r="B3992" s="106"/>
      <c r="C3992" s="73"/>
      <c r="D3992" s="73" t="s">
        <v>1055</v>
      </c>
      <c r="E3992" s="73"/>
      <c r="F3992" s="74" t="s">
        <v>596</v>
      </c>
      <c r="G3992" s="72">
        <f>G3991</f>
        <v>4.9737599999999998E-3</v>
      </c>
    </row>
    <row r="3993" spans="1:9" x14ac:dyDescent="0.25">
      <c r="A3993" s="18"/>
      <c r="B3993" s="106"/>
      <c r="C3993" s="73"/>
      <c r="D3993" s="73"/>
      <c r="E3993" s="75" t="s">
        <v>2008</v>
      </c>
      <c r="F3993" s="74"/>
      <c r="G3993" s="224" t="s">
        <v>624</v>
      </c>
    </row>
    <row r="3994" spans="1:9" x14ac:dyDescent="0.25">
      <c r="A3994" s="18"/>
      <c r="B3994" s="106"/>
      <c r="C3994" s="73"/>
      <c r="D3994" s="73"/>
      <c r="E3994" s="263" t="s">
        <v>1950</v>
      </c>
      <c r="F3994" s="74" t="s">
        <v>3</v>
      </c>
      <c r="G3994" s="72">
        <f>0.075*0.05*8*8</f>
        <v>0.24</v>
      </c>
    </row>
    <row r="3995" spans="1:9" x14ac:dyDescent="0.25">
      <c r="A3995" s="18"/>
      <c r="B3995" s="106"/>
      <c r="C3995" s="73"/>
      <c r="D3995" s="75" t="s">
        <v>2009</v>
      </c>
      <c r="E3995" s="73"/>
      <c r="F3995" s="74"/>
      <c r="G3995" s="72"/>
    </row>
    <row r="3996" spans="1:9" x14ac:dyDescent="0.25">
      <c r="A3996" s="18"/>
      <c r="B3996" s="106"/>
      <c r="C3996" s="73"/>
      <c r="D3996" s="73" t="s">
        <v>154</v>
      </c>
      <c r="E3996" s="73"/>
      <c r="F3996" s="74" t="s">
        <v>3</v>
      </c>
      <c r="G3996" s="72">
        <v>0.13200000000000001</v>
      </c>
      <c r="I3996" t="s">
        <v>2010</v>
      </c>
    </row>
    <row r="3997" spans="1:9" x14ac:dyDescent="0.25">
      <c r="A3997" s="18"/>
      <c r="B3997" s="106"/>
      <c r="C3997" s="73"/>
      <c r="D3997" s="73"/>
      <c r="E3997" s="73"/>
      <c r="F3997" s="74"/>
      <c r="G3997" s="72"/>
    </row>
    <row r="3998" spans="1:9" x14ac:dyDescent="0.25">
      <c r="A3998" s="14"/>
      <c r="B3998" s="106"/>
      <c r="C3998" s="75" t="s">
        <v>2012</v>
      </c>
      <c r="D3998" s="73"/>
      <c r="E3998" s="73"/>
      <c r="F3998" s="74"/>
      <c r="G3998" s="72"/>
    </row>
    <row r="3999" spans="1:9" x14ac:dyDescent="0.25">
      <c r="A3999" s="18"/>
      <c r="B3999" s="106"/>
      <c r="C3999" s="73" t="s">
        <v>140</v>
      </c>
      <c r="D3999" s="73"/>
      <c r="E3999" s="73"/>
      <c r="F3999" s="74" t="s">
        <v>3</v>
      </c>
      <c r="G3999" s="72">
        <f>(0.012*3.14*2+0.017*3.14)*0.08*1.15</f>
        <v>1.184408E-2</v>
      </c>
    </row>
    <row r="4000" spans="1:9" ht="17.25" x14ac:dyDescent="0.25">
      <c r="A4000" s="18"/>
      <c r="B4000" s="106"/>
      <c r="C4000" s="73" t="s">
        <v>23</v>
      </c>
      <c r="D4000" s="73"/>
      <c r="E4000" s="73"/>
      <c r="F4000" s="74" t="s">
        <v>596</v>
      </c>
      <c r="G4000" s="72">
        <f>G3999*1.5</f>
        <v>1.776612E-2</v>
      </c>
      <c r="H4000" s="10"/>
    </row>
    <row r="4001" spans="1:9" x14ac:dyDescent="0.25">
      <c r="A4001" s="18"/>
      <c r="B4001" s="106"/>
      <c r="C4001" s="73" t="s">
        <v>142</v>
      </c>
      <c r="D4001" s="73"/>
      <c r="E4001" s="73"/>
      <c r="F4001" s="74" t="s">
        <v>3</v>
      </c>
      <c r="G4001" s="72">
        <f>G3999/4</f>
        <v>2.96102E-3</v>
      </c>
      <c r="H4001" s="10"/>
    </row>
    <row r="4002" spans="1:9" x14ac:dyDescent="0.25">
      <c r="A4002" s="18"/>
      <c r="B4002" s="106"/>
      <c r="C4002" s="77" t="s">
        <v>143</v>
      </c>
      <c r="D4002" s="73"/>
      <c r="E4002" s="73"/>
      <c r="F4002" s="74" t="s">
        <v>3</v>
      </c>
      <c r="G4002" s="72">
        <f>G4004</f>
        <v>1.1879999999999998E-2</v>
      </c>
      <c r="H4002" s="10"/>
    </row>
    <row r="4003" spans="1:9" x14ac:dyDescent="0.25">
      <c r="A4003" s="18"/>
      <c r="B4003" s="106"/>
      <c r="C4003" s="77" t="s">
        <v>8</v>
      </c>
      <c r="D4003" s="73"/>
      <c r="E4003" s="73"/>
      <c r="F4003" s="74" t="s">
        <v>3</v>
      </c>
      <c r="G4003" s="72">
        <f>0.3*G4002</f>
        <v>3.5639999999999995E-3</v>
      </c>
    </row>
    <row r="4004" spans="1:9" x14ac:dyDescent="0.25">
      <c r="A4004" s="18"/>
      <c r="B4004" s="106"/>
      <c r="C4004" s="77" t="s">
        <v>148</v>
      </c>
      <c r="D4004" s="73"/>
      <c r="E4004" s="73"/>
      <c r="F4004" s="74" t="s">
        <v>3</v>
      </c>
      <c r="G4004" s="72">
        <f>0.9*0.011*1.2</f>
        <v>1.1879999999999998E-2</v>
      </c>
    </row>
    <row r="4005" spans="1:9" x14ac:dyDescent="0.25">
      <c r="B4005" s="106"/>
      <c r="C4005" s="77" t="s">
        <v>12</v>
      </c>
      <c r="D4005" s="73"/>
      <c r="E4005" s="73"/>
      <c r="F4005" s="74" t="s">
        <v>3</v>
      </c>
      <c r="G4005" s="72">
        <f>0.3*G4004</f>
        <v>3.5639999999999995E-3</v>
      </c>
    </row>
    <row r="4006" spans="1:9" x14ac:dyDescent="0.25">
      <c r="B4006" s="106"/>
      <c r="C4006" s="73"/>
      <c r="D4006" s="75" t="s">
        <v>2013</v>
      </c>
      <c r="E4006" s="73"/>
      <c r="F4006" s="74"/>
      <c r="G4006" s="72"/>
    </row>
    <row r="4007" spans="1:9" x14ac:dyDescent="0.25">
      <c r="B4007" s="106"/>
      <c r="C4007" s="73"/>
      <c r="D4007" s="73" t="s">
        <v>2014</v>
      </c>
      <c r="E4007" s="73"/>
      <c r="F4007" s="74" t="s">
        <v>3</v>
      </c>
      <c r="G4007" s="72">
        <v>0.26500000000000001</v>
      </c>
      <c r="I4007" t="s">
        <v>2015</v>
      </c>
    </row>
    <row r="4008" spans="1:9" x14ac:dyDescent="0.25">
      <c r="B4008" s="106"/>
      <c r="C4008" s="73"/>
      <c r="D4008" s="73"/>
      <c r="E4008" s="73"/>
      <c r="F4008" s="74"/>
      <c r="G4008" s="72"/>
    </row>
    <row r="4009" spans="1:9" x14ac:dyDescent="0.25">
      <c r="A4009" s="217"/>
      <c r="B4009" s="106"/>
      <c r="C4009" s="75" t="s">
        <v>2016</v>
      </c>
      <c r="D4009" s="73"/>
      <c r="E4009" s="73"/>
      <c r="F4009" s="74"/>
      <c r="G4009" s="224" t="s">
        <v>99</v>
      </c>
      <c r="H4009" s="73"/>
      <c r="I4009" s="117" t="s">
        <v>1955</v>
      </c>
    </row>
    <row r="4010" spans="1:9" x14ac:dyDescent="0.25">
      <c r="B4010" s="106"/>
      <c r="C4010" s="73" t="s">
        <v>1054</v>
      </c>
      <c r="D4010" s="73"/>
      <c r="E4010" s="73"/>
      <c r="F4010" s="74" t="s">
        <v>3</v>
      </c>
      <c r="G4010" s="72">
        <f>0.04*0.08*1.3</f>
        <v>4.1600000000000005E-3</v>
      </c>
    </row>
    <row r="4011" spans="1:9" ht="17.25" x14ac:dyDescent="0.25">
      <c r="B4011" s="106"/>
      <c r="C4011" s="73" t="s">
        <v>1055</v>
      </c>
      <c r="D4011" s="73"/>
      <c r="E4011" s="73"/>
      <c r="F4011" s="74" t="s">
        <v>596</v>
      </c>
      <c r="G4011" s="72">
        <f>G4010</f>
        <v>4.1600000000000005E-3</v>
      </c>
    </row>
    <row r="4012" spans="1:9" x14ac:dyDescent="0.25">
      <c r="B4012" s="106"/>
      <c r="C4012" s="73"/>
      <c r="D4012" s="73"/>
      <c r="E4012" s="73"/>
      <c r="F4012" s="74"/>
      <c r="G4012" s="224" t="s">
        <v>1915</v>
      </c>
    </row>
    <row r="4013" spans="1:9" x14ac:dyDescent="0.25">
      <c r="B4013" s="106"/>
      <c r="C4013" s="73" t="s">
        <v>8</v>
      </c>
      <c r="D4013" s="73"/>
      <c r="E4013" s="73"/>
      <c r="F4013" s="74" t="s">
        <v>3</v>
      </c>
      <c r="G4013" s="72">
        <f>G4014*0.75</f>
        <v>1.1934000000000002E-2</v>
      </c>
    </row>
    <row r="4014" spans="1:9" x14ac:dyDescent="0.25">
      <c r="B4014" s="106"/>
      <c r="C4014" s="73" t="s">
        <v>325</v>
      </c>
      <c r="D4014" s="73"/>
      <c r="E4014" s="73"/>
      <c r="F4014" s="74" t="s">
        <v>3</v>
      </c>
      <c r="G4014" s="72">
        <f>0.17*0.1*2*0.18*2*1.3</f>
        <v>1.5912000000000003E-2</v>
      </c>
    </row>
    <row r="4015" spans="1:9" x14ac:dyDescent="0.25">
      <c r="B4015" s="106"/>
      <c r="C4015" s="73" t="s">
        <v>12</v>
      </c>
      <c r="D4015" s="73"/>
      <c r="E4015" s="73"/>
      <c r="F4015" s="74" t="s">
        <v>3</v>
      </c>
      <c r="G4015" s="72">
        <f>0.3*(G4014+G4013)</f>
        <v>8.3537999999999998E-3</v>
      </c>
    </row>
    <row r="4016" spans="1:9" x14ac:dyDescent="0.25">
      <c r="B4016" s="106"/>
      <c r="C4016" s="73"/>
      <c r="D4016" s="75" t="s">
        <v>2017</v>
      </c>
      <c r="E4016" s="73"/>
      <c r="F4016" s="74"/>
      <c r="G4016" s="224" t="s">
        <v>624</v>
      </c>
    </row>
    <row r="4017" spans="1:9" x14ac:dyDescent="0.25">
      <c r="B4017" s="106"/>
      <c r="C4017" s="73"/>
      <c r="D4017" s="73" t="s">
        <v>2018</v>
      </c>
      <c r="E4017" s="73"/>
      <c r="F4017" s="74" t="s">
        <v>3</v>
      </c>
      <c r="G4017" s="72">
        <v>1.8</v>
      </c>
    </row>
    <row r="4018" spans="1:9" x14ac:dyDescent="0.25">
      <c r="B4018" s="106"/>
      <c r="C4018" s="73"/>
      <c r="D4018" s="73"/>
      <c r="E4018" s="73"/>
      <c r="F4018" s="74"/>
      <c r="G4018" s="72"/>
    </row>
    <row r="4019" spans="1:9" x14ac:dyDescent="0.25">
      <c r="A4019" s="217"/>
      <c r="B4019" s="106"/>
      <c r="C4019" s="75" t="s">
        <v>2019</v>
      </c>
      <c r="D4019" s="73"/>
      <c r="E4019" s="73"/>
      <c r="F4019" s="74"/>
      <c r="G4019" s="72"/>
      <c r="I4019" s="117" t="s">
        <v>1914</v>
      </c>
    </row>
    <row r="4020" spans="1:9" x14ac:dyDescent="0.25">
      <c r="B4020" s="106"/>
      <c r="C4020" s="73" t="s">
        <v>1054</v>
      </c>
      <c r="D4020" s="73"/>
      <c r="E4020" s="73"/>
      <c r="F4020" s="74" t="s">
        <v>3</v>
      </c>
      <c r="G4020" s="72">
        <f>0.02*0.08*1.3</f>
        <v>2.0800000000000003E-3</v>
      </c>
    </row>
    <row r="4021" spans="1:9" ht="17.25" x14ac:dyDescent="0.25">
      <c r="B4021" s="106"/>
      <c r="C4021" s="73" t="s">
        <v>1055</v>
      </c>
      <c r="D4021" s="73"/>
      <c r="E4021" s="73"/>
      <c r="F4021" s="74" t="s">
        <v>596</v>
      </c>
      <c r="G4021" s="72">
        <f>G4020</f>
        <v>2.0800000000000003E-3</v>
      </c>
    </row>
    <row r="4022" spans="1:9" x14ac:dyDescent="0.25">
      <c r="B4022" s="106"/>
      <c r="C4022" s="73"/>
      <c r="D4022" s="75" t="s">
        <v>2020</v>
      </c>
      <c r="E4022" s="73"/>
      <c r="F4022" s="74"/>
      <c r="G4022" s="72"/>
    </row>
    <row r="4023" spans="1:9" x14ac:dyDescent="0.25">
      <c r="B4023" s="106"/>
      <c r="C4023" s="73"/>
      <c r="D4023" s="73" t="s">
        <v>55</v>
      </c>
      <c r="E4023" s="73"/>
      <c r="F4023" s="74" t="s">
        <v>3</v>
      </c>
      <c r="G4023" s="72">
        <f>0.05*0.02*3*8*1.25</f>
        <v>0.03</v>
      </c>
    </row>
    <row r="4024" spans="1:9" x14ac:dyDescent="0.25">
      <c r="B4024" s="106"/>
      <c r="C4024" s="73"/>
      <c r="D4024" s="73"/>
      <c r="E4024" s="73"/>
      <c r="F4024" s="74"/>
      <c r="G4024" s="72"/>
    </row>
    <row r="4025" spans="1:9" x14ac:dyDescent="0.25">
      <c r="A4025" s="217"/>
      <c r="B4025" s="106"/>
      <c r="C4025" s="75" t="s">
        <v>2021</v>
      </c>
      <c r="D4025" s="73"/>
      <c r="E4025" s="73"/>
      <c r="F4025" s="74"/>
      <c r="G4025" s="72"/>
      <c r="I4025" s="117" t="s">
        <v>1914</v>
      </c>
    </row>
    <row r="4026" spans="1:9" x14ac:dyDescent="0.25">
      <c r="B4026" s="106"/>
      <c r="C4026" s="73"/>
      <c r="D4026" s="75" t="s">
        <v>2022</v>
      </c>
      <c r="E4026" s="73"/>
      <c r="F4026" s="74"/>
      <c r="G4026" s="72"/>
    </row>
    <row r="4027" spans="1:9" x14ac:dyDescent="0.25">
      <c r="B4027" s="106"/>
      <c r="C4027" s="73"/>
      <c r="D4027" s="73" t="s">
        <v>177</v>
      </c>
      <c r="E4027" s="73"/>
      <c r="F4027" s="74" t="s">
        <v>3</v>
      </c>
      <c r="G4027" s="72">
        <f>0.19*0.016*1*8*1.15</f>
        <v>2.7968E-2</v>
      </c>
    </row>
    <row r="4028" spans="1:9" x14ac:dyDescent="0.25">
      <c r="B4028" s="106"/>
      <c r="C4028" s="73"/>
      <c r="D4028" s="75" t="s">
        <v>2023</v>
      </c>
      <c r="E4028" s="73"/>
      <c r="F4028" s="74"/>
      <c r="G4028" s="72"/>
    </row>
    <row r="4029" spans="1:9" x14ac:dyDescent="0.25">
      <c r="B4029" s="106"/>
      <c r="C4029" s="73"/>
      <c r="D4029" s="73" t="s">
        <v>177</v>
      </c>
      <c r="E4029" s="73"/>
      <c r="F4029" s="74" t="s">
        <v>3</v>
      </c>
      <c r="G4029" s="72">
        <f>0.04*0.03*1*8*1.2</f>
        <v>1.1519999999999999E-2</v>
      </c>
    </row>
    <row r="4030" spans="1:9" x14ac:dyDescent="0.25">
      <c r="B4030" s="106"/>
      <c r="C4030" s="73"/>
      <c r="D4030" s="73"/>
      <c r="E4030" s="73"/>
      <c r="F4030" s="74"/>
      <c r="G4030" s="72"/>
    </row>
    <row r="4031" spans="1:9" x14ac:dyDescent="0.25">
      <c r="A4031" s="217"/>
      <c r="B4031" s="106"/>
      <c r="C4031" s="75" t="s">
        <v>2024</v>
      </c>
      <c r="D4031" s="73"/>
      <c r="E4031" s="73"/>
      <c r="F4031" s="74"/>
      <c r="G4031" s="72"/>
      <c r="I4031" s="117" t="s">
        <v>1914</v>
      </c>
    </row>
    <row r="4032" spans="1:9" x14ac:dyDescent="0.25">
      <c r="B4032" s="106"/>
      <c r="C4032" s="73"/>
      <c r="D4032" s="75" t="s">
        <v>2025</v>
      </c>
      <c r="E4032" s="73"/>
      <c r="F4032" s="74"/>
      <c r="G4032" s="72"/>
    </row>
    <row r="4033" spans="1:9" x14ac:dyDescent="0.25">
      <c r="B4033" s="106"/>
      <c r="C4033" s="73"/>
      <c r="D4033" s="73" t="s">
        <v>275</v>
      </c>
      <c r="E4033" s="73"/>
      <c r="F4033" s="74" t="s">
        <v>3</v>
      </c>
      <c r="G4033" s="72">
        <f>0.15*0.055*1.5*8*1.128</f>
        <v>0.11167199999999999</v>
      </c>
    </row>
    <row r="4034" spans="1:9" x14ac:dyDescent="0.25">
      <c r="B4034" s="106"/>
      <c r="C4034" s="73"/>
      <c r="D4034" s="75" t="s">
        <v>2026</v>
      </c>
      <c r="E4034" s="73"/>
      <c r="F4034" s="74"/>
      <c r="G4034" s="72"/>
    </row>
    <row r="4035" spans="1:9" x14ac:dyDescent="0.25">
      <c r="B4035" s="106"/>
      <c r="C4035" s="73"/>
      <c r="D4035" s="73" t="s">
        <v>177</v>
      </c>
      <c r="E4035" s="73"/>
      <c r="F4035" s="74" t="s">
        <v>3</v>
      </c>
      <c r="G4035" s="72">
        <f>0.05*0.03*1*8*1.125</f>
        <v>1.35E-2</v>
      </c>
    </row>
    <row r="4036" spans="1:9" x14ac:dyDescent="0.25">
      <c r="B4036" s="106"/>
      <c r="C4036" s="73"/>
      <c r="D4036" s="73"/>
      <c r="E4036" s="73"/>
      <c r="F4036" s="74"/>
      <c r="G4036" s="72"/>
    </row>
    <row r="4037" spans="1:9" x14ac:dyDescent="0.25">
      <c r="A4037" s="217"/>
      <c r="B4037" s="106"/>
      <c r="C4037" s="75" t="s">
        <v>2027</v>
      </c>
      <c r="D4037" s="73"/>
      <c r="E4037" s="73"/>
      <c r="F4037" s="74"/>
      <c r="G4037" s="72"/>
      <c r="I4037" s="117" t="s">
        <v>2029</v>
      </c>
    </row>
    <row r="4038" spans="1:9" x14ac:dyDescent="0.25">
      <c r="B4038" s="106"/>
      <c r="C4038" s="73"/>
      <c r="D4038" s="75" t="s">
        <v>2028</v>
      </c>
      <c r="E4038" s="73"/>
      <c r="F4038" s="74"/>
      <c r="G4038" s="72"/>
    </row>
    <row r="4039" spans="1:9" x14ac:dyDescent="0.25">
      <c r="B4039" s="106"/>
      <c r="C4039" s="73"/>
      <c r="D4039" s="73" t="s">
        <v>140</v>
      </c>
      <c r="E4039" s="73"/>
      <c r="F4039" s="74" t="s">
        <v>3</v>
      </c>
      <c r="G4039" s="72">
        <f>0.01*3.14*2.5*0.08*1.2</f>
        <v>7.536000000000001E-3</v>
      </c>
    </row>
    <row r="4040" spans="1:9" ht="17.25" x14ac:dyDescent="0.25">
      <c r="B4040" s="106"/>
      <c r="C4040" s="73"/>
      <c r="D4040" s="73" t="s">
        <v>23</v>
      </c>
      <c r="E4040" s="73"/>
      <c r="F4040" s="74" t="s">
        <v>596</v>
      </c>
      <c r="G4040" s="72">
        <f>G4039*1.5</f>
        <v>1.1304000000000002E-2</v>
      </c>
    </row>
    <row r="4041" spans="1:9" x14ac:dyDescent="0.25">
      <c r="B4041" s="106"/>
      <c r="C4041" s="73"/>
      <c r="D4041" s="73" t="s">
        <v>142</v>
      </c>
      <c r="E4041" s="73"/>
      <c r="F4041" s="74" t="s">
        <v>3</v>
      </c>
      <c r="G4041" s="72">
        <f>G4039/4</f>
        <v>1.8840000000000003E-3</v>
      </c>
    </row>
    <row r="4042" spans="1:9" x14ac:dyDescent="0.25">
      <c r="B4042" s="106"/>
      <c r="C4042" s="73"/>
      <c r="D4042" s="77" t="s">
        <v>143</v>
      </c>
      <c r="E4042" s="73"/>
      <c r="F4042" s="74" t="s">
        <v>3</v>
      </c>
      <c r="G4042" s="72">
        <v>5.0000000000000001E-3</v>
      </c>
    </row>
    <row r="4043" spans="1:9" x14ac:dyDescent="0.25">
      <c r="B4043" s="106"/>
      <c r="C4043" s="73"/>
      <c r="D4043" s="77" t="s">
        <v>8</v>
      </c>
      <c r="E4043" s="73"/>
      <c r="F4043" s="74" t="s">
        <v>3</v>
      </c>
      <c r="G4043" s="72">
        <v>5.0000000000000001E-3</v>
      </c>
    </row>
    <row r="4044" spans="1:9" x14ac:dyDescent="0.25">
      <c r="B4044" s="106"/>
      <c r="C4044" s="73"/>
      <c r="D4044" s="77" t="s">
        <v>115</v>
      </c>
      <c r="E4044" s="73"/>
      <c r="F4044" s="74" t="s">
        <v>3</v>
      </c>
      <c r="G4044" s="72">
        <v>5.0000000000000001E-3</v>
      </c>
    </row>
    <row r="4045" spans="1:9" x14ac:dyDescent="0.25">
      <c r="B4045" s="106"/>
      <c r="C4045" s="73"/>
      <c r="D4045" s="77" t="s">
        <v>1355</v>
      </c>
      <c r="E4045" s="73"/>
      <c r="F4045" s="74" t="s">
        <v>3</v>
      </c>
      <c r="G4045" s="72">
        <f>0.3*(G4044+G4043+G4042)</f>
        <v>4.4999999999999997E-3</v>
      </c>
    </row>
    <row r="4046" spans="1:9" x14ac:dyDescent="0.25">
      <c r="B4046" s="106"/>
      <c r="C4046" s="73"/>
      <c r="D4046" s="73"/>
      <c r="E4046" s="73"/>
      <c r="F4046" s="74"/>
      <c r="G4046" s="72"/>
    </row>
    <row r="4047" spans="1:9" x14ac:dyDescent="0.25">
      <c r="A4047" s="217"/>
      <c r="B4047" s="106"/>
      <c r="C4047" s="75" t="s">
        <v>2045</v>
      </c>
      <c r="D4047" s="73"/>
      <c r="E4047" s="73"/>
      <c r="F4047" s="74"/>
      <c r="G4047" s="72"/>
      <c r="I4047" s="117" t="s">
        <v>1884</v>
      </c>
    </row>
    <row r="4048" spans="1:9" x14ac:dyDescent="0.25">
      <c r="B4048" s="106"/>
      <c r="C4048" s="73" t="s">
        <v>167</v>
      </c>
      <c r="D4048" s="73"/>
      <c r="E4048" s="73"/>
      <c r="F4048" s="74" t="s">
        <v>3</v>
      </c>
      <c r="G4048" s="72">
        <v>0.11</v>
      </c>
    </row>
    <row r="4049" spans="2:11" x14ac:dyDescent="0.25">
      <c r="B4049" s="106"/>
      <c r="C4049" s="73" t="s">
        <v>168</v>
      </c>
      <c r="D4049" s="73"/>
      <c r="E4049" s="73"/>
      <c r="F4049" s="74" t="s">
        <v>3</v>
      </c>
      <c r="G4049" s="72">
        <f>1.1*G4048</f>
        <v>0.12100000000000001</v>
      </c>
    </row>
    <row r="4050" spans="2:11" x14ac:dyDescent="0.25">
      <c r="B4050" s="106"/>
      <c r="C4050" s="73"/>
      <c r="D4050" s="75" t="s">
        <v>2047</v>
      </c>
      <c r="E4050" s="73"/>
      <c r="F4050" s="74"/>
      <c r="G4050" s="72"/>
    </row>
    <row r="4051" spans="2:11" x14ac:dyDescent="0.25">
      <c r="B4051" s="106"/>
      <c r="C4051" s="73"/>
      <c r="D4051" s="100" t="s">
        <v>855</v>
      </c>
      <c r="E4051" s="73"/>
      <c r="F4051" s="74" t="s">
        <v>3</v>
      </c>
      <c r="G4051" s="72">
        <f>0.23*0.4*1.5*2.7*1.18</f>
        <v>0.439668</v>
      </c>
      <c r="K4051" s="258"/>
    </row>
    <row r="4052" spans="2:11" x14ac:dyDescent="0.25">
      <c r="B4052" s="106"/>
      <c r="C4052" s="73"/>
      <c r="D4052" s="75" t="s">
        <v>2048</v>
      </c>
      <c r="E4052" s="73"/>
      <c r="F4052" s="74"/>
      <c r="G4052" s="72"/>
    </row>
    <row r="4053" spans="2:11" x14ac:dyDescent="0.25">
      <c r="B4053" s="106"/>
      <c r="C4053" s="73"/>
      <c r="D4053" s="100" t="s">
        <v>855</v>
      </c>
      <c r="E4053" s="73"/>
      <c r="F4053" s="74" t="s">
        <v>3</v>
      </c>
      <c r="G4053" s="72">
        <f>0.206*0.085*1.5*2.7*1.2</f>
        <v>8.5098600000000024E-2</v>
      </c>
      <c r="K4053" s="258"/>
    </row>
    <row r="4054" spans="2:11" x14ac:dyDescent="0.25">
      <c r="B4054" s="106"/>
      <c r="C4054" s="73"/>
      <c r="D4054" s="75" t="s">
        <v>2049</v>
      </c>
      <c r="E4054" s="73"/>
      <c r="F4054" s="74"/>
      <c r="G4054" s="72"/>
    </row>
    <row r="4055" spans="2:11" x14ac:dyDescent="0.25">
      <c r="B4055" s="106"/>
      <c r="C4055" s="73"/>
      <c r="D4055" s="100" t="s">
        <v>855</v>
      </c>
      <c r="E4055" s="73"/>
      <c r="F4055" s="74" t="s">
        <v>3</v>
      </c>
      <c r="G4055" s="72">
        <f>0.235*0.42*1.5*2.7*1.175</f>
        <v>0.46968862500000003</v>
      </c>
      <c r="K4055" s="258"/>
    </row>
    <row r="4056" spans="2:11" x14ac:dyDescent="0.25">
      <c r="B4056" s="106"/>
      <c r="C4056" s="73"/>
      <c r="D4056" s="75" t="s">
        <v>2050</v>
      </c>
      <c r="E4056" s="73"/>
      <c r="F4056" s="74"/>
      <c r="G4056" s="72"/>
    </row>
    <row r="4057" spans="2:11" x14ac:dyDescent="0.25">
      <c r="B4057" s="106"/>
      <c r="C4057" s="73"/>
      <c r="D4057" s="100" t="s">
        <v>855</v>
      </c>
      <c r="E4057" s="73"/>
      <c r="F4057" s="74" t="s">
        <v>3</v>
      </c>
      <c r="G4057" s="72">
        <f>0.14*0.17*1.5*2.7*1.19</f>
        <v>0.11470410000000003</v>
      </c>
      <c r="K4057" s="258"/>
    </row>
    <row r="4058" spans="2:11" x14ac:dyDescent="0.25">
      <c r="B4058" s="106"/>
      <c r="C4058" s="73"/>
      <c r="D4058" s="75" t="s">
        <v>2051</v>
      </c>
      <c r="E4058" s="73"/>
      <c r="F4058" s="74"/>
      <c r="G4058" s="72"/>
    </row>
    <row r="4059" spans="2:11" x14ac:dyDescent="0.25">
      <c r="B4059" s="106"/>
      <c r="C4059" s="73"/>
      <c r="D4059" s="73" t="s">
        <v>213</v>
      </c>
      <c r="E4059" s="73"/>
      <c r="F4059" s="74" t="s">
        <v>3</v>
      </c>
      <c r="G4059" s="72">
        <f>0.25*0.125*3*2.7*1.145</f>
        <v>0.28982812500000005</v>
      </c>
      <c r="K4059" s="258"/>
    </row>
    <row r="4060" spans="2:11" x14ac:dyDescent="0.25">
      <c r="B4060" s="106"/>
      <c r="C4060" s="73"/>
      <c r="D4060" s="75" t="s">
        <v>2052</v>
      </c>
      <c r="E4060" s="73"/>
      <c r="F4060" s="74"/>
      <c r="G4060" s="72"/>
    </row>
    <row r="4061" spans="2:11" x14ac:dyDescent="0.25">
      <c r="B4061" s="106"/>
      <c r="C4061" s="73"/>
      <c r="D4061" s="100" t="s">
        <v>855</v>
      </c>
      <c r="E4061" s="73"/>
      <c r="F4061" s="74" t="s">
        <v>3</v>
      </c>
      <c r="G4061" s="72">
        <f>0.16*0.165*1.5*2.7*1.22</f>
        <v>0.13044240000000001</v>
      </c>
      <c r="K4061" s="258"/>
    </row>
    <row r="4062" spans="2:11" x14ac:dyDescent="0.25">
      <c r="B4062" s="106"/>
      <c r="C4062" s="73"/>
      <c r="D4062" s="75" t="s">
        <v>2053</v>
      </c>
      <c r="E4062" s="73"/>
      <c r="F4062" s="74"/>
      <c r="G4062" s="72"/>
    </row>
    <row r="4063" spans="2:11" x14ac:dyDescent="0.25">
      <c r="B4063" s="106"/>
      <c r="C4063" s="73"/>
      <c r="D4063" s="100" t="s">
        <v>855</v>
      </c>
      <c r="E4063" s="73"/>
      <c r="F4063" s="74" t="s">
        <v>3</v>
      </c>
      <c r="G4063" s="72">
        <f>0.08*0.125*1.5*2.7*1.24</f>
        <v>5.0220000000000001E-2</v>
      </c>
      <c r="K4063" s="258"/>
    </row>
    <row r="4064" spans="2:11" x14ac:dyDescent="0.25">
      <c r="B4064" s="106"/>
      <c r="C4064" s="73"/>
      <c r="D4064" s="75" t="s">
        <v>2046</v>
      </c>
      <c r="E4064" s="73"/>
      <c r="F4064" s="74"/>
      <c r="G4064" s="72"/>
    </row>
    <row r="4065" spans="1:11" x14ac:dyDescent="0.25">
      <c r="B4065" s="106"/>
      <c r="C4065" s="73"/>
      <c r="D4065" s="100" t="s">
        <v>2054</v>
      </c>
      <c r="E4065" s="73"/>
      <c r="F4065" s="74" t="s">
        <v>3</v>
      </c>
      <c r="G4065" s="72">
        <f>0.003</f>
        <v>3.0000000000000001E-3</v>
      </c>
    </row>
    <row r="4066" spans="1:11" x14ac:dyDescent="0.25">
      <c r="B4066" s="106"/>
      <c r="C4066" s="73"/>
      <c r="D4066" s="73"/>
      <c r="E4066" s="73"/>
      <c r="F4066" s="74"/>
      <c r="G4066" s="72"/>
    </row>
    <row r="4067" spans="1:11" x14ac:dyDescent="0.25">
      <c r="A4067" s="217"/>
      <c r="B4067" s="106"/>
      <c r="C4067" s="75" t="s">
        <v>2060</v>
      </c>
      <c r="D4067" s="73"/>
      <c r="E4067" s="73"/>
      <c r="F4067" s="74"/>
      <c r="G4067" s="72"/>
      <c r="I4067" s="117" t="s">
        <v>2029</v>
      </c>
    </row>
    <row r="4068" spans="1:11" x14ac:dyDescent="0.25">
      <c r="B4068" s="106"/>
      <c r="C4068" s="73" t="s">
        <v>1054</v>
      </c>
      <c r="D4068" s="73"/>
      <c r="E4068" s="73"/>
      <c r="F4068" s="74" t="s">
        <v>3</v>
      </c>
      <c r="G4068" s="72">
        <f>0.05*0.08*1.2</f>
        <v>4.7999999999999996E-3</v>
      </c>
      <c r="I4068" s="25"/>
    </row>
    <row r="4069" spans="1:11" ht="17.25" x14ac:dyDescent="0.25">
      <c r="B4069" s="106"/>
      <c r="C4069" s="73" t="s">
        <v>1055</v>
      </c>
      <c r="D4069" s="73"/>
      <c r="E4069" s="73"/>
      <c r="F4069" s="74" t="s">
        <v>596</v>
      </c>
      <c r="G4069" s="72">
        <f>G4068</f>
        <v>4.7999999999999996E-3</v>
      </c>
    </row>
    <row r="4070" spans="1:11" x14ac:dyDescent="0.25">
      <c r="B4070" s="106"/>
      <c r="C4070" s="73"/>
      <c r="D4070" s="75" t="s">
        <v>2061</v>
      </c>
      <c r="E4070" s="73"/>
      <c r="F4070" s="74"/>
      <c r="G4070" s="72"/>
    </row>
    <row r="4071" spans="1:11" x14ac:dyDescent="0.25">
      <c r="B4071" s="106"/>
      <c r="C4071" s="73"/>
      <c r="D4071" s="73" t="s">
        <v>2062</v>
      </c>
      <c r="E4071" s="73"/>
      <c r="F4071" s="74" t="s">
        <v>3</v>
      </c>
      <c r="G4071" s="72">
        <f>0.058*0.047*4*8*1.09</f>
        <v>9.5082880000000009E-2</v>
      </c>
    </row>
    <row r="4072" spans="1:11" x14ac:dyDescent="0.25">
      <c r="B4072" s="106"/>
      <c r="C4072" s="73"/>
      <c r="D4072" s="73"/>
      <c r="E4072" s="73"/>
      <c r="F4072" s="74"/>
      <c r="G4072" s="72"/>
    </row>
    <row r="4073" spans="1:11" x14ac:dyDescent="0.25">
      <c r="A4073" s="217"/>
      <c r="B4073" s="106"/>
      <c r="C4073" s="75" t="s">
        <v>2063</v>
      </c>
      <c r="D4073" s="73"/>
      <c r="E4073" s="73"/>
      <c r="F4073" s="74"/>
      <c r="G4073" s="72"/>
      <c r="H4073" s="73"/>
      <c r="I4073" s="117" t="s">
        <v>1914</v>
      </c>
      <c r="K4073" s="258"/>
    </row>
    <row r="4074" spans="1:11" x14ac:dyDescent="0.25">
      <c r="B4074" s="106"/>
      <c r="C4074" s="73" t="s">
        <v>140</v>
      </c>
      <c r="D4074" s="73"/>
      <c r="E4074" s="73"/>
      <c r="F4074" s="74" t="s">
        <v>3</v>
      </c>
      <c r="G4074" s="72">
        <f>0.038*3.14*0.08*1.05</f>
        <v>1.002288E-2</v>
      </c>
      <c r="K4074" s="258"/>
    </row>
    <row r="4075" spans="1:11" ht="17.25" x14ac:dyDescent="0.25">
      <c r="B4075" s="106"/>
      <c r="C4075" s="73" t="s">
        <v>23</v>
      </c>
      <c r="D4075" s="73"/>
      <c r="E4075" s="73"/>
      <c r="F4075" s="74" t="s">
        <v>596</v>
      </c>
      <c r="G4075" s="72">
        <f>G4074*1.5</f>
        <v>1.503432E-2</v>
      </c>
      <c r="K4075" s="258"/>
    </row>
    <row r="4076" spans="1:11" x14ac:dyDescent="0.25">
      <c r="B4076" s="106"/>
      <c r="C4076" s="73" t="s">
        <v>142</v>
      </c>
      <c r="D4076" s="73"/>
      <c r="E4076" s="73"/>
      <c r="F4076" s="74" t="s">
        <v>3</v>
      </c>
      <c r="G4076" s="72">
        <f>G4074/4</f>
        <v>2.5057199999999999E-3</v>
      </c>
      <c r="K4076" s="258"/>
    </row>
    <row r="4077" spans="1:11" x14ac:dyDescent="0.25">
      <c r="B4077" s="106"/>
      <c r="C4077" s="77" t="s">
        <v>143</v>
      </c>
      <c r="D4077" s="73"/>
      <c r="E4077" s="73"/>
      <c r="F4077" s="74" t="s">
        <v>3</v>
      </c>
      <c r="G4077" s="72">
        <f>G4078</f>
        <v>1.9792499999999998E-2</v>
      </c>
      <c r="K4077" s="258"/>
    </row>
    <row r="4078" spans="1:11" x14ac:dyDescent="0.25">
      <c r="B4078" s="106"/>
      <c r="C4078" s="77" t="s">
        <v>8</v>
      </c>
      <c r="D4078" s="73"/>
      <c r="E4078" s="73"/>
      <c r="F4078" s="74" t="s">
        <v>3</v>
      </c>
      <c r="G4078" s="72">
        <f>G4079*0.65</f>
        <v>1.9792499999999998E-2</v>
      </c>
      <c r="K4078" s="258"/>
    </row>
    <row r="4079" spans="1:11" x14ac:dyDescent="0.25">
      <c r="B4079" s="106"/>
      <c r="C4079" s="77" t="s">
        <v>115</v>
      </c>
      <c r="D4079" s="73"/>
      <c r="E4079" s="73"/>
      <c r="F4079" s="74" t="s">
        <v>3</v>
      </c>
      <c r="G4079" s="72">
        <f>0.35*0.03*2*1.45</f>
        <v>3.0449999999999994E-2</v>
      </c>
      <c r="K4079" s="258"/>
    </row>
    <row r="4080" spans="1:11" x14ac:dyDescent="0.25">
      <c r="B4080" s="106"/>
      <c r="C4080" s="77" t="s">
        <v>12</v>
      </c>
      <c r="D4080" s="73"/>
      <c r="E4080" s="73"/>
      <c r="F4080" s="74" t="s">
        <v>3</v>
      </c>
      <c r="G4080" s="72">
        <f>0.3*(G4079+G4078+G4077)</f>
        <v>2.1010499999999994E-2</v>
      </c>
      <c r="K4080" s="258"/>
    </row>
    <row r="4081" spans="1:11" x14ac:dyDescent="0.25">
      <c r="B4081" s="106"/>
      <c r="C4081" s="73"/>
      <c r="D4081" s="75" t="s">
        <v>2064</v>
      </c>
      <c r="E4081" s="73"/>
      <c r="F4081" s="74"/>
      <c r="G4081" s="72"/>
      <c r="K4081" s="258"/>
    </row>
    <row r="4082" spans="1:11" x14ac:dyDescent="0.25">
      <c r="B4082" s="106"/>
      <c r="C4082" s="73"/>
      <c r="D4082" s="73" t="s">
        <v>1460</v>
      </c>
      <c r="E4082" s="73"/>
      <c r="F4082" s="74" t="s">
        <v>3</v>
      </c>
      <c r="G4082" s="72">
        <v>0.34</v>
      </c>
      <c r="I4082" t="s">
        <v>1256</v>
      </c>
      <c r="K4082" s="258"/>
    </row>
    <row r="4083" spans="1:11" x14ac:dyDescent="0.25">
      <c r="B4083" s="106"/>
      <c r="C4083" s="73"/>
      <c r="D4083" s="73"/>
      <c r="E4083" s="73"/>
      <c r="F4083" s="74"/>
      <c r="G4083" s="72"/>
      <c r="K4083" s="258"/>
    </row>
    <row r="4084" spans="1:11" x14ac:dyDescent="0.25">
      <c r="A4084" s="217"/>
      <c r="B4084" s="106"/>
      <c r="C4084" s="75" t="s">
        <v>2065</v>
      </c>
      <c r="D4084" s="73"/>
      <c r="E4084" s="73"/>
      <c r="F4084" s="74"/>
      <c r="G4084" s="72"/>
      <c r="I4084" s="117" t="s">
        <v>1973</v>
      </c>
      <c r="K4084" s="258"/>
    </row>
    <row r="4085" spans="1:11" x14ac:dyDescent="0.25">
      <c r="B4085" s="106"/>
      <c r="C4085" s="100" t="s">
        <v>2067</v>
      </c>
      <c r="D4085" s="73"/>
      <c r="E4085" s="73"/>
      <c r="F4085" s="74" t="s">
        <v>195</v>
      </c>
      <c r="G4085" s="72">
        <v>0.42</v>
      </c>
      <c r="K4085" s="258"/>
    </row>
    <row r="4086" spans="1:11" x14ac:dyDescent="0.25">
      <c r="B4086" s="106"/>
      <c r="C4086" s="73" t="s">
        <v>140</v>
      </c>
      <c r="D4086" s="73"/>
      <c r="E4086" s="73"/>
      <c r="F4086" s="74" t="s">
        <v>3</v>
      </c>
      <c r="G4086" s="72">
        <f>0.014*3.14*2*0.08</f>
        <v>7.033600000000001E-3</v>
      </c>
      <c r="K4086" s="258"/>
    </row>
    <row r="4087" spans="1:11" ht="17.25" x14ac:dyDescent="0.25">
      <c r="B4087" s="106"/>
      <c r="C4087" s="73" t="s">
        <v>23</v>
      </c>
      <c r="D4087" s="73"/>
      <c r="E4087" s="73"/>
      <c r="F4087" s="74" t="s">
        <v>596</v>
      </c>
      <c r="G4087" s="72">
        <f>G4086*1.5</f>
        <v>1.0550400000000001E-2</v>
      </c>
      <c r="K4087" s="258"/>
    </row>
    <row r="4088" spans="1:11" x14ac:dyDescent="0.25">
      <c r="B4088" s="106"/>
      <c r="C4088" s="73" t="s">
        <v>142</v>
      </c>
      <c r="D4088" s="73"/>
      <c r="E4088" s="73"/>
      <c r="F4088" s="74" t="s">
        <v>3</v>
      </c>
      <c r="G4088" s="72">
        <f>G4086/4</f>
        <v>1.7584000000000002E-3</v>
      </c>
      <c r="K4088" s="258"/>
    </row>
    <row r="4089" spans="1:11" x14ac:dyDescent="0.25">
      <c r="B4089" s="106"/>
      <c r="C4089" s="73" t="s">
        <v>143</v>
      </c>
      <c r="D4089" s="73"/>
      <c r="E4089" s="73"/>
      <c r="F4089" s="74" t="s">
        <v>3</v>
      </c>
      <c r="G4089" s="72">
        <f>G4090</f>
        <v>1.1616E-2</v>
      </c>
      <c r="K4089" s="258"/>
    </row>
    <row r="4090" spans="1:11" x14ac:dyDescent="0.25">
      <c r="B4090" s="106"/>
      <c r="C4090" s="73" t="s">
        <v>8</v>
      </c>
      <c r="D4090" s="73"/>
      <c r="E4090" s="73"/>
      <c r="F4090" s="74" t="s">
        <v>3</v>
      </c>
      <c r="G4090" s="72">
        <f>G4091*0.8</f>
        <v>1.1616E-2</v>
      </c>
      <c r="K4090" s="258"/>
    </row>
    <row r="4091" spans="1:11" x14ac:dyDescent="0.25">
      <c r="B4091" s="106"/>
      <c r="C4091" s="73" t="s">
        <v>152</v>
      </c>
      <c r="D4091" s="73"/>
      <c r="E4091" s="73"/>
      <c r="F4091" s="74" t="s">
        <v>3</v>
      </c>
      <c r="G4091" s="72">
        <f>0.55*0.011*2*1.2</f>
        <v>1.4519999999999998E-2</v>
      </c>
      <c r="K4091" s="258"/>
    </row>
    <row r="4092" spans="1:11" x14ac:dyDescent="0.25">
      <c r="B4092" s="106"/>
      <c r="C4092" s="73" t="s">
        <v>12</v>
      </c>
      <c r="D4092" s="73"/>
      <c r="E4092" s="73"/>
      <c r="F4092" s="74" t="s">
        <v>3</v>
      </c>
      <c r="G4092" s="72">
        <f>0.3*(G4091+G4090+G4089)</f>
        <v>1.13256E-2</v>
      </c>
      <c r="K4092" s="258"/>
    </row>
    <row r="4093" spans="1:11" x14ac:dyDescent="0.25">
      <c r="B4093" s="106"/>
      <c r="C4093" s="73"/>
      <c r="D4093" s="75" t="s">
        <v>2066</v>
      </c>
      <c r="E4093" s="73"/>
      <c r="F4093" s="74"/>
      <c r="G4093" s="72"/>
    </row>
    <row r="4094" spans="1:11" x14ac:dyDescent="0.25">
      <c r="B4094" s="106"/>
      <c r="C4094" s="73"/>
      <c r="D4094" s="73" t="s">
        <v>1530</v>
      </c>
      <c r="E4094" s="73"/>
      <c r="F4094" s="74" t="s">
        <v>3</v>
      </c>
      <c r="G4094" s="72">
        <v>0.192</v>
      </c>
      <c r="I4094" t="s">
        <v>2068</v>
      </c>
    </row>
    <row r="4095" spans="1:11" ht="15.75" thickBot="1" x14ac:dyDescent="0.3">
      <c r="A4095" s="245"/>
      <c r="B4095" s="245"/>
      <c r="C4095" s="246"/>
      <c r="D4095" s="246"/>
      <c r="E4095" s="246"/>
      <c r="F4095" s="247"/>
      <c r="G4095" s="248"/>
    </row>
    <row r="4096" spans="1:11" x14ac:dyDescent="0.25">
      <c r="A4096" s="18"/>
      <c r="E4096" s="119" t="s">
        <v>1987</v>
      </c>
      <c r="F4096" s="9"/>
      <c r="G4096" s="257"/>
      <c r="K4096" s="258"/>
    </row>
    <row r="4097" spans="1:11" x14ac:dyDescent="0.25">
      <c r="F4097" s="258"/>
      <c r="H4097" s="163"/>
      <c r="K4097" s="258"/>
    </row>
    <row r="4098" spans="1:11" x14ac:dyDescent="0.25">
      <c r="C4098" s="3" t="s">
        <v>2069</v>
      </c>
      <c r="F4098" s="258"/>
      <c r="G4098" s="265" t="s">
        <v>624</v>
      </c>
      <c r="K4098" s="258"/>
    </row>
    <row r="4099" spans="1:11" x14ac:dyDescent="0.25">
      <c r="C4099" s="73" t="s">
        <v>2070</v>
      </c>
      <c r="D4099" s="73"/>
      <c r="E4099" s="73"/>
      <c r="F4099" s="74" t="s">
        <v>3</v>
      </c>
      <c r="G4099" s="72">
        <v>0.35</v>
      </c>
      <c r="K4099" s="258"/>
    </row>
    <row r="4100" spans="1:11" x14ac:dyDescent="0.25">
      <c r="C4100" s="73"/>
      <c r="D4100" s="73"/>
      <c r="E4100" s="73"/>
      <c r="F4100" s="74"/>
      <c r="G4100" s="72"/>
      <c r="K4100" s="258"/>
    </row>
    <row r="4101" spans="1:11" x14ac:dyDescent="0.25">
      <c r="C4101" s="78" t="s">
        <v>2071</v>
      </c>
      <c r="F4101" s="259"/>
      <c r="G4101" s="72"/>
      <c r="K4101" s="258"/>
    </row>
    <row r="4102" spans="1:11" x14ac:dyDescent="0.25">
      <c r="C4102" s="77"/>
      <c r="F4102" s="259"/>
      <c r="G4102" s="72"/>
      <c r="K4102" s="259"/>
    </row>
    <row r="4103" spans="1:11" x14ac:dyDescent="0.25">
      <c r="C4103" s="77"/>
      <c r="F4103" s="259"/>
      <c r="G4103" s="72"/>
      <c r="K4103" s="259"/>
    </row>
    <row r="4104" spans="1:11" ht="18.75" x14ac:dyDescent="0.3">
      <c r="E4104" s="266" t="s">
        <v>2072</v>
      </c>
      <c r="F4104" s="259"/>
      <c r="G4104" s="72"/>
      <c r="K4104" s="259"/>
    </row>
    <row r="4105" spans="1:11" x14ac:dyDescent="0.25">
      <c r="F4105" s="259"/>
      <c r="G4105" s="72"/>
      <c r="K4105" s="259"/>
    </row>
    <row r="4106" spans="1:11" x14ac:dyDescent="0.25">
      <c r="A4106" s="217">
        <v>1</v>
      </c>
      <c r="C4106" s="3" t="s">
        <v>421</v>
      </c>
      <c r="F4106" s="259"/>
      <c r="G4106" s="72"/>
      <c r="K4106" s="259"/>
    </row>
    <row r="4107" spans="1:11" x14ac:dyDescent="0.25">
      <c r="C4107" t="s">
        <v>13</v>
      </c>
      <c r="F4107" s="259" t="s">
        <v>3</v>
      </c>
      <c r="G4107" s="72">
        <v>0.02</v>
      </c>
      <c r="K4107" s="259"/>
    </row>
    <row r="4108" spans="1:11" x14ac:dyDescent="0.25">
      <c r="C4108" t="s">
        <v>8</v>
      </c>
      <c r="F4108" s="259" t="s">
        <v>3</v>
      </c>
      <c r="G4108" s="72">
        <v>1.4999999999999999E-2</v>
      </c>
      <c r="K4108" s="259"/>
    </row>
    <row r="4109" spans="1:11" x14ac:dyDescent="0.25">
      <c r="C4109" t="s">
        <v>115</v>
      </c>
      <c r="F4109" s="259" t="s">
        <v>3</v>
      </c>
      <c r="G4109" s="72">
        <v>2.3E-2</v>
      </c>
      <c r="K4109" s="259"/>
    </row>
    <row r="4110" spans="1:11" x14ac:dyDescent="0.25">
      <c r="C4110" t="s">
        <v>12</v>
      </c>
      <c r="F4110" s="259" t="s">
        <v>3</v>
      </c>
      <c r="G4110" s="72">
        <f>0.3*(G4109+G4108)</f>
        <v>1.1399999999999999E-2</v>
      </c>
      <c r="K4110" s="259"/>
    </row>
    <row r="4111" spans="1:11" x14ac:dyDescent="0.25">
      <c r="F4111" s="259"/>
      <c r="G4111" s="72"/>
      <c r="K4111" s="259"/>
    </row>
    <row r="4112" spans="1:11" x14ac:dyDescent="0.25">
      <c r="A4112" s="217">
        <v>3</v>
      </c>
      <c r="C4112" s="3" t="s">
        <v>2073</v>
      </c>
      <c r="F4112" s="259"/>
      <c r="G4112" s="72"/>
      <c r="H4112" s="267" t="s">
        <v>2084</v>
      </c>
      <c r="I4112" t="s">
        <v>2085</v>
      </c>
      <c r="K4112" s="259"/>
    </row>
    <row r="4113" spans="1:11" x14ac:dyDescent="0.25">
      <c r="F4113" s="259"/>
      <c r="G4113" s="72"/>
      <c r="K4113" s="259"/>
    </row>
    <row r="4114" spans="1:11" x14ac:dyDescent="0.25">
      <c r="A4114" s="217">
        <v>4</v>
      </c>
      <c r="C4114" s="3" t="s">
        <v>2074</v>
      </c>
      <c r="F4114" s="259"/>
      <c r="G4114" s="224" t="s">
        <v>1915</v>
      </c>
      <c r="H4114" s="38" t="s">
        <v>2086</v>
      </c>
      <c r="I4114" t="s">
        <v>2087</v>
      </c>
      <c r="K4114" s="259"/>
    </row>
    <row r="4115" spans="1:11" x14ac:dyDescent="0.25">
      <c r="C4115" s="73" t="s">
        <v>1054</v>
      </c>
      <c r="D4115" s="73"/>
      <c r="E4115" s="73"/>
      <c r="F4115" s="74" t="s">
        <v>3</v>
      </c>
      <c r="G4115" s="72">
        <v>8.0000000000000002E-3</v>
      </c>
      <c r="K4115" s="259"/>
    </row>
    <row r="4116" spans="1:11" ht="17.25" x14ac:dyDescent="0.25">
      <c r="C4116" s="73" t="s">
        <v>1055</v>
      </c>
      <c r="D4116" s="73"/>
      <c r="E4116" s="73"/>
      <c r="F4116" s="74" t="s">
        <v>596</v>
      </c>
      <c r="G4116" s="72">
        <f>G4115</f>
        <v>8.0000000000000002E-3</v>
      </c>
      <c r="K4116" s="259"/>
    </row>
    <row r="4117" spans="1:11" x14ac:dyDescent="0.25">
      <c r="C4117" s="25" t="s">
        <v>13</v>
      </c>
      <c r="F4117" s="259" t="s">
        <v>3</v>
      </c>
      <c r="G4117" s="80">
        <v>7.0000000000000007E-2</v>
      </c>
      <c r="K4117" s="259"/>
    </row>
    <row r="4118" spans="1:11" x14ac:dyDescent="0.25">
      <c r="C4118" s="25" t="s">
        <v>1021</v>
      </c>
      <c r="F4118" s="259" t="s">
        <v>3</v>
      </c>
      <c r="G4118" s="80">
        <f>0.05</f>
        <v>0.05</v>
      </c>
      <c r="K4118" s="259"/>
    </row>
    <row r="4119" spans="1:11" x14ac:dyDescent="0.25">
      <c r="C4119" s="25" t="s">
        <v>661</v>
      </c>
      <c r="F4119" s="259" t="s">
        <v>3</v>
      </c>
      <c r="G4119" s="80">
        <v>2.5000000000000001E-2</v>
      </c>
      <c r="K4119" s="259"/>
    </row>
    <row r="4120" spans="1:11" x14ac:dyDescent="0.25">
      <c r="C4120" s="25" t="s">
        <v>671</v>
      </c>
      <c r="F4120" s="259" t="s">
        <v>3</v>
      </c>
      <c r="G4120" s="80">
        <f>0.015</f>
        <v>1.4999999999999999E-2</v>
      </c>
      <c r="K4120" s="259"/>
    </row>
    <row r="4121" spans="1:11" x14ac:dyDescent="0.25">
      <c r="C4121" s="25" t="s">
        <v>672</v>
      </c>
      <c r="F4121" s="259" t="s">
        <v>3</v>
      </c>
      <c r="G4121" s="80">
        <f>2.5*G4120</f>
        <v>3.7499999999999999E-2</v>
      </c>
      <c r="K4121" s="259"/>
    </row>
    <row r="4122" spans="1:11" x14ac:dyDescent="0.25">
      <c r="C4122" s="25" t="s">
        <v>2096</v>
      </c>
      <c r="F4122" s="259" t="s">
        <v>3</v>
      </c>
      <c r="G4122" s="80">
        <v>5.0000000000000001E-3</v>
      </c>
      <c r="K4122" s="259"/>
    </row>
    <row r="4123" spans="1:11" ht="17.25" x14ac:dyDescent="0.25">
      <c r="C4123" s="25" t="s">
        <v>2097</v>
      </c>
      <c r="F4123" s="259" t="s">
        <v>677</v>
      </c>
      <c r="G4123" s="80">
        <v>2E-3</v>
      </c>
      <c r="K4123" s="259"/>
    </row>
    <row r="4124" spans="1:11" ht="17.25" x14ac:dyDescent="0.25">
      <c r="C4124" t="s">
        <v>2098</v>
      </c>
      <c r="F4124" s="259" t="s">
        <v>677</v>
      </c>
      <c r="G4124" s="80">
        <v>2.5999999999999999E-2</v>
      </c>
      <c r="K4124" s="259"/>
    </row>
    <row r="4125" spans="1:11" ht="17.25" x14ac:dyDescent="0.25">
      <c r="C4125" t="s">
        <v>2099</v>
      </c>
      <c r="F4125" s="259" t="s">
        <v>677</v>
      </c>
      <c r="G4125" s="80">
        <f>0.012</f>
        <v>1.2E-2</v>
      </c>
      <c r="K4125" s="259"/>
    </row>
    <row r="4126" spans="1:11" x14ac:dyDescent="0.25">
      <c r="C4126" s="25" t="s">
        <v>2100</v>
      </c>
      <c r="F4126" s="259" t="s">
        <v>3</v>
      </c>
      <c r="G4126" s="80">
        <v>5.5E-2</v>
      </c>
      <c r="K4126" s="259"/>
    </row>
    <row r="4127" spans="1:11" x14ac:dyDescent="0.25">
      <c r="C4127" s="25" t="s">
        <v>2101</v>
      </c>
      <c r="F4127" s="259" t="s">
        <v>3</v>
      </c>
      <c r="G4127" s="80">
        <v>0.06</v>
      </c>
      <c r="K4127" s="259"/>
    </row>
    <row r="4128" spans="1:11" x14ac:dyDescent="0.25">
      <c r="C4128" s="3"/>
      <c r="F4128" s="259"/>
      <c r="G4128" s="271" t="s">
        <v>625</v>
      </c>
      <c r="K4128" s="259"/>
    </row>
    <row r="4129" spans="1:11" x14ac:dyDescent="0.25">
      <c r="C4129" t="s">
        <v>2093</v>
      </c>
      <c r="F4129" s="259" t="s">
        <v>3</v>
      </c>
      <c r="G4129" s="72">
        <v>0.04</v>
      </c>
      <c r="K4129" s="259"/>
    </row>
    <row r="4130" spans="1:11" x14ac:dyDescent="0.25">
      <c r="C4130" t="s">
        <v>2094</v>
      </c>
      <c r="F4130" s="259" t="s">
        <v>3</v>
      </c>
      <c r="G4130" s="72">
        <v>1.0999999999999999E-2</v>
      </c>
      <c r="K4130" s="258"/>
    </row>
    <row r="4131" spans="1:11" x14ac:dyDescent="0.25">
      <c r="C4131" t="s">
        <v>2095</v>
      </c>
      <c r="F4131" s="259" t="s">
        <v>3</v>
      </c>
      <c r="G4131" s="72">
        <v>2.8000000000000001E-2</v>
      </c>
      <c r="K4131" s="258"/>
    </row>
    <row r="4132" spans="1:11" x14ac:dyDescent="0.25">
      <c r="F4132" s="258"/>
      <c r="G4132" s="72"/>
      <c r="K4132" s="258"/>
    </row>
    <row r="4133" spans="1:11" x14ac:dyDescent="0.25">
      <c r="A4133" s="217">
        <v>5</v>
      </c>
      <c r="C4133" s="3" t="s">
        <v>2075</v>
      </c>
      <c r="F4133" s="258"/>
      <c r="G4133" s="72"/>
      <c r="I4133" s="268" t="s">
        <v>2088</v>
      </c>
      <c r="J4133" s="13" t="s">
        <v>2087</v>
      </c>
      <c r="K4133" s="217" t="s">
        <v>2089</v>
      </c>
    </row>
    <row r="4134" spans="1:11" x14ac:dyDescent="0.25">
      <c r="C4134" t="s">
        <v>723</v>
      </c>
      <c r="F4134" s="264" t="s">
        <v>3</v>
      </c>
      <c r="G4134" s="72">
        <v>0.01</v>
      </c>
    </row>
    <row r="4135" spans="1:11" x14ac:dyDescent="0.25">
      <c r="C4135" t="s">
        <v>2006</v>
      </c>
      <c r="F4135" s="264" t="s">
        <v>3</v>
      </c>
      <c r="G4135" s="72">
        <v>0.02</v>
      </c>
      <c r="K4135" s="264"/>
    </row>
    <row r="4136" spans="1:11" x14ac:dyDescent="0.25">
      <c r="C4136" s="73" t="s">
        <v>1054</v>
      </c>
      <c r="D4136" s="73"/>
      <c r="E4136" s="73"/>
      <c r="F4136" s="74" t="s">
        <v>3</v>
      </c>
      <c r="G4136" s="72">
        <v>0.1</v>
      </c>
      <c r="K4136" s="264"/>
    </row>
    <row r="4137" spans="1:11" ht="17.25" x14ac:dyDescent="0.25">
      <c r="C4137" s="73" t="s">
        <v>1055</v>
      </c>
      <c r="D4137" s="73"/>
      <c r="E4137" s="73"/>
      <c r="F4137" s="74" t="s">
        <v>596</v>
      </c>
      <c r="G4137" s="72">
        <f>G4136</f>
        <v>0.1</v>
      </c>
      <c r="K4137" s="264"/>
    </row>
    <row r="4138" spans="1:11" x14ac:dyDescent="0.25">
      <c r="C4138" s="77" t="s">
        <v>1021</v>
      </c>
      <c r="F4138" s="264" t="s">
        <v>3</v>
      </c>
      <c r="G4138" s="72">
        <v>0.61</v>
      </c>
      <c r="K4138" s="264"/>
    </row>
    <row r="4139" spans="1:11" x14ac:dyDescent="0.25">
      <c r="C4139" s="77" t="s">
        <v>661</v>
      </c>
      <c r="F4139" s="264" t="s">
        <v>3</v>
      </c>
      <c r="G4139" s="72">
        <f>0.3*G4138</f>
        <v>0.183</v>
      </c>
      <c r="K4139" s="264"/>
    </row>
    <row r="4140" spans="1:11" x14ac:dyDescent="0.25">
      <c r="C4140" s="77" t="s">
        <v>13</v>
      </c>
      <c r="F4140" s="264" t="s">
        <v>3</v>
      </c>
      <c r="G4140" s="72">
        <v>0.5</v>
      </c>
      <c r="K4140" s="264"/>
    </row>
    <row r="4141" spans="1:11" x14ac:dyDescent="0.25">
      <c r="C4141" s="77" t="s">
        <v>1307</v>
      </c>
      <c r="F4141" s="264" t="s">
        <v>3</v>
      </c>
      <c r="G4141" s="72">
        <v>0.06</v>
      </c>
      <c r="K4141" s="264"/>
    </row>
    <row r="4142" spans="1:11" x14ac:dyDescent="0.25">
      <c r="C4142" s="77" t="s">
        <v>2116</v>
      </c>
      <c r="F4142" s="264" t="s">
        <v>195</v>
      </c>
      <c r="G4142" s="72">
        <v>0.2</v>
      </c>
      <c r="K4142" s="264"/>
    </row>
    <row r="4143" spans="1:11" x14ac:dyDescent="0.25">
      <c r="C4143" s="77" t="s">
        <v>671</v>
      </c>
      <c r="F4143" s="264" t="s">
        <v>3</v>
      </c>
      <c r="G4143" s="72">
        <v>0.82</v>
      </c>
      <c r="K4143" s="264"/>
    </row>
    <row r="4144" spans="1:11" x14ac:dyDescent="0.25">
      <c r="C4144" s="77" t="s">
        <v>672</v>
      </c>
      <c r="F4144" s="264" t="s">
        <v>3</v>
      </c>
      <c r="G4144" s="72">
        <f>2.5*G4143</f>
        <v>2.0499999999999998</v>
      </c>
      <c r="K4144" s="264"/>
    </row>
    <row r="4145" spans="1:11" x14ac:dyDescent="0.25">
      <c r="C4145" s="77" t="s">
        <v>2108</v>
      </c>
      <c r="F4145" s="264" t="s">
        <v>3</v>
      </c>
      <c r="G4145" s="72">
        <v>0.06</v>
      </c>
      <c r="K4145" s="264"/>
    </row>
    <row r="4146" spans="1:11" x14ac:dyDescent="0.25">
      <c r="C4146" s="73" t="s">
        <v>140</v>
      </c>
      <c r="D4146" s="73"/>
      <c r="E4146" s="73"/>
      <c r="F4146" s="74" t="s">
        <v>3</v>
      </c>
      <c r="G4146" s="72">
        <v>0.2</v>
      </c>
      <c r="K4146" s="264"/>
    </row>
    <row r="4147" spans="1:11" ht="17.25" x14ac:dyDescent="0.25">
      <c r="C4147" s="73" t="s">
        <v>23</v>
      </c>
      <c r="D4147" s="73"/>
      <c r="E4147" s="73"/>
      <c r="F4147" s="74" t="s">
        <v>596</v>
      </c>
      <c r="G4147" s="72">
        <f>G4146*1.5</f>
        <v>0.30000000000000004</v>
      </c>
      <c r="K4147" s="264"/>
    </row>
    <row r="4148" spans="1:11" x14ac:dyDescent="0.25">
      <c r="C4148" s="73" t="s">
        <v>142</v>
      </c>
      <c r="D4148" s="73"/>
      <c r="E4148" s="73"/>
      <c r="F4148" s="74" t="s">
        <v>3</v>
      </c>
      <c r="G4148" s="72">
        <f>G4146/4</f>
        <v>0.05</v>
      </c>
      <c r="K4148" s="264"/>
    </row>
    <row r="4149" spans="1:11" x14ac:dyDescent="0.25">
      <c r="C4149" s="77" t="s">
        <v>731</v>
      </c>
      <c r="D4149" s="73"/>
      <c r="E4149" s="73"/>
      <c r="F4149" s="74" t="s">
        <v>3</v>
      </c>
      <c r="G4149" s="72">
        <v>0.01</v>
      </c>
      <c r="I4149">
        <f>0.1*3.14*0.15*2*0.17*2*1</f>
        <v>3.2028000000000008E-2</v>
      </c>
      <c r="K4149" s="264"/>
    </row>
    <row r="4150" spans="1:11" x14ac:dyDescent="0.25">
      <c r="C4150" s="77" t="s">
        <v>2112</v>
      </c>
      <c r="D4150" s="73"/>
      <c r="E4150" s="73"/>
      <c r="F4150" s="74" t="s">
        <v>3</v>
      </c>
      <c r="G4150" s="72">
        <v>5.0000000000000001E-3</v>
      </c>
      <c r="K4150" s="264"/>
    </row>
    <row r="4151" spans="1:11" ht="17.25" x14ac:dyDescent="0.25">
      <c r="C4151" s="77" t="s">
        <v>2113</v>
      </c>
      <c r="D4151" s="73"/>
      <c r="E4151" s="73"/>
      <c r="F4151" s="74" t="s">
        <v>677</v>
      </c>
      <c r="G4151" s="72">
        <v>0.9</v>
      </c>
      <c r="K4151" s="264"/>
    </row>
    <row r="4152" spans="1:11" ht="17.25" x14ac:dyDescent="0.25">
      <c r="C4152" s="77" t="s">
        <v>2114</v>
      </c>
      <c r="D4152" s="73"/>
      <c r="E4152" s="73"/>
      <c r="F4152" s="74" t="s">
        <v>677</v>
      </c>
      <c r="G4152" s="72">
        <v>0.9</v>
      </c>
      <c r="K4152" s="264"/>
    </row>
    <row r="4153" spans="1:11" x14ac:dyDescent="0.25">
      <c r="C4153" s="77" t="s">
        <v>2115</v>
      </c>
      <c r="D4153" s="73"/>
      <c r="E4153" s="73"/>
      <c r="F4153" s="74" t="s">
        <v>3</v>
      </c>
      <c r="G4153" s="72">
        <v>5.4450000000000003</v>
      </c>
      <c r="K4153" s="264"/>
    </row>
    <row r="4154" spans="1:11" x14ac:dyDescent="0.25">
      <c r="C4154" s="73"/>
      <c r="D4154" s="73"/>
      <c r="E4154" s="73"/>
      <c r="F4154" s="74"/>
      <c r="G4154" s="72"/>
      <c r="K4154" s="264"/>
    </row>
    <row r="4155" spans="1:11" x14ac:dyDescent="0.25">
      <c r="C4155" s="73"/>
      <c r="D4155" s="73"/>
      <c r="E4155" s="73"/>
      <c r="F4155" s="74"/>
      <c r="G4155" s="271" t="s">
        <v>625</v>
      </c>
      <c r="K4155" s="264"/>
    </row>
    <row r="4156" spans="1:11" x14ac:dyDescent="0.25">
      <c r="C4156" s="77" t="s">
        <v>2109</v>
      </c>
      <c r="F4156" s="264" t="s">
        <v>3</v>
      </c>
      <c r="G4156" s="72">
        <v>6.0000000000000001E-3</v>
      </c>
      <c r="K4156" s="264"/>
    </row>
    <row r="4157" spans="1:11" x14ac:dyDescent="0.25">
      <c r="C4157" t="s">
        <v>2110</v>
      </c>
      <c r="F4157" s="264" t="s">
        <v>3</v>
      </c>
      <c r="G4157" s="72">
        <v>0.02</v>
      </c>
      <c r="K4157" s="264"/>
    </row>
    <row r="4158" spans="1:11" x14ac:dyDescent="0.25">
      <c r="C4158" t="s">
        <v>2111</v>
      </c>
      <c r="F4158" s="264" t="s">
        <v>3</v>
      </c>
      <c r="G4158" s="72">
        <v>5.0000000000000001E-3</v>
      </c>
      <c r="K4158" s="264"/>
    </row>
    <row r="4159" spans="1:11" x14ac:dyDescent="0.25">
      <c r="F4159" s="264"/>
      <c r="G4159" s="72"/>
      <c r="K4159" s="264"/>
    </row>
    <row r="4160" spans="1:11" x14ac:dyDescent="0.25">
      <c r="A4160" s="217">
        <v>6</v>
      </c>
      <c r="C4160" s="3" t="s">
        <v>2076</v>
      </c>
      <c r="F4160" s="259"/>
      <c r="G4160" s="224" t="s">
        <v>1915</v>
      </c>
      <c r="H4160" s="38" t="s">
        <v>2090</v>
      </c>
      <c r="I4160" t="s">
        <v>2087</v>
      </c>
      <c r="K4160" s="259"/>
    </row>
    <row r="4161" spans="1:11" x14ac:dyDescent="0.25">
      <c r="C4161" t="s">
        <v>8</v>
      </c>
      <c r="F4161" s="259" t="s">
        <v>3</v>
      </c>
      <c r="G4161" s="72">
        <v>6.8000000000000005E-2</v>
      </c>
      <c r="K4161" s="259"/>
    </row>
    <row r="4162" spans="1:11" x14ac:dyDescent="0.25">
      <c r="C4162" t="s">
        <v>12</v>
      </c>
      <c r="F4162" s="259" t="s">
        <v>3</v>
      </c>
      <c r="G4162" s="72">
        <f>0.3*G4161</f>
        <v>2.0400000000000001E-2</v>
      </c>
      <c r="K4162" s="259"/>
    </row>
    <row r="4163" spans="1:11" x14ac:dyDescent="0.25">
      <c r="C4163" t="s">
        <v>72</v>
      </c>
      <c r="F4163" s="259" t="s">
        <v>3</v>
      </c>
      <c r="G4163" s="72">
        <v>6.8000000000000005E-2</v>
      </c>
      <c r="K4163" s="259"/>
    </row>
    <row r="4164" spans="1:11" x14ac:dyDescent="0.25">
      <c r="C4164" t="s">
        <v>11</v>
      </c>
      <c r="F4164" s="259" t="s">
        <v>3</v>
      </c>
      <c r="G4164" s="72">
        <f>0.3*G4163</f>
        <v>2.0400000000000001E-2</v>
      </c>
      <c r="K4164" s="259"/>
    </row>
    <row r="4165" spans="1:11" x14ac:dyDescent="0.25">
      <c r="C4165" t="s">
        <v>13</v>
      </c>
      <c r="F4165" s="259" t="s">
        <v>3</v>
      </c>
      <c r="G4165" s="72">
        <v>0.02</v>
      </c>
      <c r="K4165" s="259"/>
    </row>
    <row r="4166" spans="1:11" x14ac:dyDescent="0.25">
      <c r="C4166" t="s">
        <v>731</v>
      </c>
      <c r="F4166" s="259" t="s">
        <v>3</v>
      </c>
      <c r="G4166" s="72">
        <f>0.5*0.1*0.2*1.5</f>
        <v>1.5000000000000003E-2</v>
      </c>
      <c r="K4166" s="259"/>
    </row>
    <row r="4167" spans="1:11" x14ac:dyDescent="0.25">
      <c r="F4167" s="259"/>
      <c r="G4167" s="271" t="s">
        <v>625</v>
      </c>
      <c r="K4167" s="259"/>
    </row>
    <row r="4168" spans="1:11" x14ac:dyDescent="0.25">
      <c r="C4168" t="s">
        <v>2102</v>
      </c>
      <c r="F4168" s="259" t="s">
        <v>3</v>
      </c>
      <c r="G4168" s="72">
        <v>0.19800000000000001</v>
      </c>
      <c r="K4168" s="259"/>
    </row>
    <row r="4169" spans="1:11" x14ac:dyDescent="0.25">
      <c r="F4169" s="259"/>
      <c r="G4169" s="72"/>
      <c r="K4169" s="259"/>
    </row>
    <row r="4170" spans="1:11" x14ac:dyDescent="0.25">
      <c r="A4170" s="217">
        <v>7</v>
      </c>
      <c r="C4170" s="3" t="s">
        <v>2077</v>
      </c>
      <c r="F4170" s="259"/>
      <c r="G4170" s="224" t="s">
        <v>1915</v>
      </c>
      <c r="H4170" s="38" t="s">
        <v>2090</v>
      </c>
      <c r="I4170" t="s">
        <v>2087</v>
      </c>
      <c r="K4170" s="259"/>
    </row>
    <row r="4171" spans="1:11" x14ac:dyDescent="0.25">
      <c r="C4171" t="s">
        <v>8</v>
      </c>
      <c r="F4171" s="259" t="s">
        <v>3</v>
      </c>
      <c r="G4171" s="72">
        <v>0.06</v>
      </c>
      <c r="K4171" s="259"/>
    </row>
    <row r="4172" spans="1:11" x14ac:dyDescent="0.25">
      <c r="C4172" t="s">
        <v>12</v>
      </c>
      <c r="F4172" s="259" t="s">
        <v>3</v>
      </c>
      <c r="G4172" s="72">
        <f>0.3*G4171</f>
        <v>1.7999999999999999E-2</v>
      </c>
      <c r="K4172" s="259"/>
    </row>
    <row r="4173" spans="1:11" x14ac:dyDescent="0.25">
      <c r="C4173" t="s">
        <v>72</v>
      </c>
      <c r="F4173" s="259" t="s">
        <v>3</v>
      </c>
      <c r="G4173" s="72">
        <v>0.06</v>
      </c>
      <c r="K4173" s="259"/>
    </row>
    <row r="4174" spans="1:11" x14ac:dyDescent="0.25">
      <c r="C4174" t="s">
        <v>11</v>
      </c>
      <c r="F4174" s="259" t="s">
        <v>3</v>
      </c>
      <c r="G4174" s="72">
        <f>0.3*G4173</f>
        <v>1.7999999999999999E-2</v>
      </c>
      <c r="K4174" s="259"/>
    </row>
    <row r="4175" spans="1:11" x14ac:dyDescent="0.25">
      <c r="C4175" t="s">
        <v>13</v>
      </c>
      <c r="F4175" s="259" t="s">
        <v>3</v>
      </c>
      <c r="G4175" s="72">
        <v>0.02</v>
      </c>
      <c r="K4175" s="259"/>
    </row>
    <row r="4176" spans="1:11" x14ac:dyDescent="0.25">
      <c r="C4176" t="s">
        <v>731</v>
      </c>
      <c r="F4176" s="259" t="s">
        <v>3</v>
      </c>
      <c r="G4176" s="72">
        <f>0.47*0.08*0.2*1.3</f>
        <v>9.7760000000000017E-3</v>
      </c>
      <c r="K4176" s="259"/>
    </row>
    <row r="4177" spans="1:11" x14ac:dyDescent="0.25">
      <c r="F4177" s="259"/>
      <c r="G4177" s="271" t="s">
        <v>625</v>
      </c>
      <c r="K4177" s="259"/>
    </row>
    <row r="4178" spans="1:11" x14ac:dyDescent="0.25">
      <c r="C4178" t="s">
        <v>2102</v>
      </c>
      <c r="F4178" s="259" t="s">
        <v>3</v>
      </c>
      <c r="G4178" s="72">
        <v>0.16</v>
      </c>
      <c r="K4178" s="259"/>
    </row>
    <row r="4179" spans="1:11" x14ac:dyDescent="0.25">
      <c r="F4179" s="259"/>
      <c r="G4179" s="72"/>
      <c r="K4179" s="259"/>
    </row>
    <row r="4180" spans="1:11" x14ac:dyDescent="0.25">
      <c r="A4180" s="217">
        <v>8</v>
      </c>
      <c r="C4180" s="3" t="s">
        <v>2078</v>
      </c>
      <c r="F4180" s="259"/>
      <c r="G4180" s="72"/>
      <c r="H4180" s="10" t="s">
        <v>2091</v>
      </c>
      <c r="I4180" t="s">
        <v>2087</v>
      </c>
      <c r="K4180" s="259"/>
    </row>
    <row r="4181" spans="1:11" x14ac:dyDescent="0.25">
      <c r="C4181" t="s">
        <v>723</v>
      </c>
      <c r="F4181" s="264" t="s">
        <v>3</v>
      </c>
      <c r="G4181" s="72">
        <v>0.02</v>
      </c>
      <c r="K4181" s="264"/>
    </row>
    <row r="4182" spans="1:11" x14ac:dyDescent="0.25">
      <c r="C4182" s="25" t="s">
        <v>13</v>
      </c>
      <c r="F4182" s="264" t="s">
        <v>3</v>
      </c>
      <c r="G4182" s="72">
        <v>0.25</v>
      </c>
      <c r="K4182" s="264"/>
    </row>
    <row r="4183" spans="1:11" x14ac:dyDescent="0.25">
      <c r="C4183" s="25" t="s">
        <v>114</v>
      </c>
      <c r="F4183" s="264" t="s">
        <v>3</v>
      </c>
      <c r="G4183" s="72">
        <v>0.13</v>
      </c>
      <c r="K4183" s="264"/>
    </row>
    <row r="4184" spans="1:11" x14ac:dyDescent="0.25">
      <c r="C4184" t="s">
        <v>163</v>
      </c>
      <c r="F4184" s="264" t="s">
        <v>3</v>
      </c>
      <c r="G4184" s="72">
        <v>0.13</v>
      </c>
      <c r="K4184" s="264"/>
    </row>
    <row r="4185" spans="1:11" x14ac:dyDescent="0.25">
      <c r="C4185" s="25" t="s">
        <v>164</v>
      </c>
      <c r="F4185" s="264" t="s">
        <v>3</v>
      </c>
      <c r="G4185" s="72">
        <f>0.3*(G4183+G4184)</f>
        <v>7.8E-2</v>
      </c>
      <c r="K4185" s="264"/>
    </row>
    <row r="4186" spans="1:11" x14ac:dyDescent="0.25">
      <c r="C4186" s="25" t="s">
        <v>72</v>
      </c>
      <c r="F4186" s="264" t="s">
        <v>3</v>
      </c>
      <c r="G4186" s="72">
        <v>0.26</v>
      </c>
      <c r="K4186" s="264"/>
    </row>
    <row r="4187" spans="1:11" x14ac:dyDescent="0.25">
      <c r="C4187" s="25" t="s">
        <v>11</v>
      </c>
      <c r="F4187" s="264" t="s">
        <v>3</v>
      </c>
      <c r="G4187" s="72">
        <f>0.3*G4186</f>
        <v>7.8E-2</v>
      </c>
      <c r="K4187" s="264"/>
    </row>
    <row r="4188" spans="1:11" x14ac:dyDescent="0.25">
      <c r="C4188" s="73" t="s">
        <v>2107</v>
      </c>
      <c r="D4188" s="73"/>
      <c r="E4188" s="73"/>
      <c r="F4188" s="74" t="s">
        <v>3</v>
      </c>
      <c r="G4188" s="72">
        <v>0.05</v>
      </c>
      <c r="K4188" s="264"/>
    </row>
    <row r="4189" spans="1:11" ht="17.25" x14ac:dyDescent="0.25">
      <c r="C4189" s="73" t="s">
        <v>168</v>
      </c>
      <c r="D4189" s="73"/>
      <c r="E4189" s="73"/>
      <c r="F4189" s="74" t="s">
        <v>596</v>
      </c>
      <c r="G4189" s="72">
        <f>G4188*1.1</f>
        <v>5.5000000000000007E-2</v>
      </c>
      <c r="K4189" s="264"/>
    </row>
    <row r="4190" spans="1:11" x14ac:dyDescent="0.25">
      <c r="C4190" s="77"/>
      <c r="D4190" s="73"/>
      <c r="E4190" s="73"/>
      <c r="F4190" s="74"/>
      <c r="G4190" s="224" t="s">
        <v>625</v>
      </c>
      <c r="K4190" s="264"/>
    </row>
    <row r="4191" spans="1:11" x14ac:dyDescent="0.25">
      <c r="C4191" s="77" t="s">
        <v>2106</v>
      </c>
      <c r="D4191" s="73"/>
      <c r="E4191" s="73"/>
      <c r="F4191" s="74" t="s">
        <v>3</v>
      </c>
      <c r="G4191" s="72">
        <v>0.01</v>
      </c>
      <c r="K4191" s="264"/>
    </row>
    <row r="4192" spans="1:11" x14ac:dyDescent="0.25">
      <c r="F4192" s="259"/>
      <c r="G4192" s="72"/>
      <c r="K4192" s="259"/>
    </row>
    <row r="4193" spans="1:11" x14ac:dyDescent="0.25">
      <c r="A4193" s="217">
        <v>9</v>
      </c>
      <c r="C4193" s="3" t="s">
        <v>2079</v>
      </c>
      <c r="F4193" s="259"/>
      <c r="G4193" s="72"/>
      <c r="K4193" s="259"/>
    </row>
    <row r="4194" spans="1:11" x14ac:dyDescent="0.25">
      <c r="C4194" t="s">
        <v>723</v>
      </c>
      <c r="F4194" s="264" t="s">
        <v>3</v>
      </c>
      <c r="G4194" s="72">
        <v>5.0000000000000001E-3</v>
      </c>
      <c r="K4194" s="264"/>
    </row>
    <row r="4195" spans="1:11" x14ac:dyDescent="0.25">
      <c r="C4195" s="25" t="s">
        <v>13</v>
      </c>
      <c r="F4195" s="264" t="s">
        <v>3</v>
      </c>
      <c r="G4195" s="72">
        <v>0.2</v>
      </c>
      <c r="K4195" s="264"/>
    </row>
    <row r="4196" spans="1:11" x14ac:dyDescent="0.25">
      <c r="C4196" s="25" t="s">
        <v>114</v>
      </c>
      <c r="F4196" s="264" t="s">
        <v>3</v>
      </c>
      <c r="G4196" s="72">
        <v>0.17499999999999999</v>
      </c>
      <c r="K4196" s="264"/>
    </row>
    <row r="4197" spans="1:11" x14ac:dyDescent="0.25">
      <c r="C4197" t="s">
        <v>163</v>
      </c>
      <c r="F4197" s="264" t="s">
        <v>3</v>
      </c>
      <c r="G4197" s="72">
        <v>0.17499999999999999</v>
      </c>
      <c r="K4197" s="264"/>
    </row>
    <row r="4198" spans="1:11" x14ac:dyDescent="0.25">
      <c r="C4198" s="25" t="s">
        <v>164</v>
      </c>
      <c r="F4198" s="264" t="s">
        <v>3</v>
      </c>
      <c r="G4198" s="72">
        <f>0.3*(G4196+G4197)</f>
        <v>0.105</v>
      </c>
      <c r="K4198" s="264"/>
    </row>
    <row r="4199" spans="1:11" x14ac:dyDescent="0.25">
      <c r="C4199" s="25" t="s">
        <v>72</v>
      </c>
      <c r="F4199" s="264" t="s">
        <v>3</v>
      </c>
      <c r="G4199" s="72">
        <v>0.35</v>
      </c>
      <c r="K4199" s="264"/>
    </row>
    <row r="4200" spans="1:11" x14ac:dyDescent="0.25">
      <c r="C4200" s="25" t="s">
        <v>11</v>
      </c>
      <c r="F4200" s="264" t="s">
        <v>3</v>
      </c>
      <c r="G4200" s="72">
        <f>0.3*G4199</f>
        <v>0.105</v>
      </c>
      <c r="K4200" s="264"/>
    </row>
    <row r="4201" spans="1:11" x14ac:dyDescent="0.25">
      <c r="C4201" s="73" t="s">
        <v>2107</v>
      </c>
      <c r="D4201" s="73"/>
      <c r="E4201" s="73"/>
      <c r="F4201" s="74" t="s">
        <v>3</v>
      </c>
      <c r="G4201" s="72">
        <v>0.05</v>
      </c>
      <c r="K4201" s="264"/>
    </row>
    <row r="4202" spans="1:11" ht="17.25" x14ac:dyDescent="0.25">
      <c r="C4202" s="73" t="s">
        <v>168</v>
      </c>
      <c r="D4202" s="73"/>
      <c r="E4202" s="73"/>
      <c r="F4202" s="74" t="s">
        <v>596</v>
      </c>
      <c r="G4202" s="72">
        <f>G4201*1.1</f>
        <v>5.5000000000000007E-2</v>
      </c>
      <c r="K4202" s="264"/>
    </row>
    <row r="4203" spans="1:11" x14ac:dyDescent="0.25">
      <c r="C4203" s="77"/>
      <c r="D4203" s="73"/>
      <c r="E4203" s="73"/>
      <c r="F4203" s="74"/>
      <c r="G4203" s="224" t="s">
        <v>625</v>
      </c>
      <c r="K4203" s="264"/>
    </row>
    <row r="4204" spans="1:11" x14ac:dyDescent="0.25">
      <c r="C4204" s="77" t="s">
        <v>2106</v>
      </c>
      <c r="D4204" s="73"/>
      <c r="E4204" s="73"/>
      <c r="F4204" s="74" t="s">
        <v>3</v>
      </c>
      <c r="G4204" s="72">
        <v>0.02</v>
      </c>
      <c r="K4204" s="264"/>
    </row>
    <row r="4205" spans="1:11" x14ac:dyDescent="0.25">
      <c r="F4205" s="259"/>
      <c r="G4205" s="72"/>
      <c r="K4205" s="259"/>
    </row>
    <row r="4206" spans="1:11" x14ac:dyDescent="0.25">
      <c r="A4206" s="217">
        <v>10</v>
      </c>
      <c r="C4206" s="3" t="s">
        <v>2080</v>
      </c>
      <c r="F4206" s="259"/>
      <c r="G4206" s="72"/>
      <c r="K4206" s="259"/>
    </row>
    <row r="4207" spans="1:11" x14ac:dyDescent="0.25">
      <c r="C4207" t="s">
        <v>723</v>
      </c>
      <c r="F4207" s="264" t="s">
        <v>3</v>
      </c>
      <c r="G4207" s="72">
        <v>5.0000000000000001E-3</v>
      </c>
      <c r="K4207" s="264"/>
    </row>
    <row r="4208" spans="1:11" x14ac:dyDescent="0.25">
      <c r="C4208" s="25" t="s">
        <v>13</v>
      </c>
      <c r="F4208" s="264" t="s">
        <v>3</v>
      </c>
      <c r="G4208" s="72">
        <v>0.25</v>
      </c>
      <c r="K4208" s="264"/>
    </row>
    <row r="4209" spans="1:11" x14ac:dyDescent="0.25">
      <c r="C4209" s="25" t="s">
        <v>114</v>
      </c>
      <c r="F4209" s="264" t="s">
        <v>3</v>
      </c>
      <c r="G4209" s="72">
        <v>0.22</v>
      </c>
      <c r="K4209" s="264"/>
    </row>
    <row r="4210" spans="1:11" x14ac:dyDescent="0.25">
      <c r="C4210" t="s">
        <v>163</v>
      </c>
      <c r="F4210" s="264" t="s">
        <v>3</v>
      </c>
      <c r="G4210" s="72">
        <v>0.22</v>
      </c>
      <c r="K4210" s="264"/>
    </row>
    <row r="4211" spans="1:11" x14ac:dyDescent="0.25">
      <c r="C4211" s="25" t="s">
        <v>164</v>
      </c>
      <c r="F4211" s="264" t="s">
        <v>3</v>
      </c>
      <c r="G4211" s="72">
        <f>0.3*(G4209+G4210)</f>
        <v>0.13200000000000001</v>
      </c>
      <c r="K4211" s="264"/>
    </row>
    <row r="4212" spans="1:11" x14ac:dyDescent="0.25">
      <c r="C4212" s="25" t="s">
        <v>72</v>
      </c>
      <c r="F4212" s="264" t="s">
        <v>3</v>
      </c>
      <c r="G4212" s="72">
        <v>0.44</v>
      </c>
      <c r="K4212" s="264"/>
    </row>
    <row r="4213" spans="1:11" x14ac:dyDescent="0.25">
      <c r="C4213" s="25" t="s">
        <v>11</v>
      </c>
      <c r="F4213" s="264" t="s">
        <v>3</v>
      </c>
      <c r="G4213" s="72">
        <f>0.3*G4212</f>
        <v>0.13200000000000001</v>
      </c>
      <c r="K4213" s="264"/>
    </row>
    <row r="4214" spans="1:11" x14ac:dyDescent="0.25">
      <c r="C4214" s="73" t="s">
        <v>2107</v>
      </c>
      <c r="D4214" s="73"/>
      <c r="E4214" s="73"/>
      <c r="F4214" s="74" t="s">
        <v>3</v>
      </c>
      <c r="G4214" s="72">
        <v>7.0000000000000007E-2</v>
      </c>
      <c r="K4214" s="264"/>
    </row>
    <row r="4215" spans="1:11" ht="17.25" x14ac:dyDescent="0.25">
      <c r="C4215" s="73" t="s">
        <v>168</v>
      </c>
      <c r="D4215" s="73"/>
      <c r="E4215" s="73"/>
      <c r="F4215" s="74" t="s">
        <v>596</v>
      </c>
      <c r="G4215" s="72">
        <f>G4214*1.1</f>
        <v>7.7000000000000013E-2</v>
      </c>
      <c r="K4215" s="264"/>
    </row>
    <row r="4216" spans="1:11" x14ac:dyDescent="0.25">
      <c r="C4216" s="77"/>
      <c r="D4216" s="73"/>
      <c r="E4216" s="73"/>
      <c r="F4216" s="74"/>
      <c r="G4216" s="224" t="s">
        <v>625</v>
      </c>
      <c r="K4216" s="264"/>
    </row>
    <row r="4217" spans="1:11" x14ac:dyDescent="0.25">
      <c r="C4217" s="77" t="s">
        <v>2106</v>
      </c>
      <c r="D4217" s="73"/>
      <c r="E4217" s="73"/>
      <c r="F4217" s="74" t="s">
        <v>3</v>
      </c>
      <c r="G4217" s="72">
        <v>0.02</v>
      </c>
      <c r="K4217" s="264"/>
    </row>
    <row r="4218" spans="1:11" x14ac:dyDescent="0.25">
      <c r="C4218" s="3"/>
      <c r="F4218" s="259"/>
      <c r="G4218" s="72"/>
      <c r="K4218" s="259"/>
    </row>
    <row r="4219" spans="1:11" x14ac:dyDescent="0.25">
      <c r="A4219" s="217">
        <v>11</v>
      </c>
      <c r="C4219" s="3" t="s">
        <v>2081</v>
      </c>
      <c r="F4219" s="259"/>
      <c r="G4219" s="224" t="s">
        <v>1915</v>
      </c>
      <c r="K4219" s="259"/>
    </row>
    <row r="4220" spans="1:11" x14ac:dyDescent="0.25">
      <c r="C4220" t="s">
        <v>723</v>
      </c>
      <c r="F4220" s="264" t="s">
        <v>3</v>
      </c>
      <c r="G4220" s="72">
        <v>5.0000000000000001E-3</v>
      </c>
      <c r="K4220" s="264"/>
    </row>
    <row r="4221" spans="1:11" x14ac:dyDescent="0.25">
      <c r="C4221" s="25" t="s">
        <v>13</v>
      </c>
      <c r="F4221" s="264" t="s">
        <v>3</v>
      </c>
      <c r="G4221" s="72">
        <v>0.2</v>
      </c>
      <c r="K4221" s="264"/>
    </row>
    <row r="4222" spans="1:11" x14ac:dyDescent="0.25">
      <c r="C4222" s="25" t="s">
        <v>114</v>
      </c>
      <c r="F4222" s="264" t="s">
        <v>3</v>
      </c>
      <c r="G4222" s="72">
        <v>0.22</v>
      </c>
      <c r="K4222" s="264"/>
    </row>
    <row r="4223" spans="1:11" x14ac:dyDescent="0.25">
      <c r="C4223" t="s">
        <v>163</v>
      </c>
      <c r="F4223" s="264" t="s">
        <v>3</v>
      </c>
      <c r="G4223" s="72">
        <v>0.22</v>
      </c>
      <c r="K4223" s="264"/>
    </row>
    <row r="4224" spans="1:11" x14ac:dyDescent="0.25">
      <c r="C4224" s="25" t="s">
        <v>164</v>
      </c>
      <c r="F4224" s="264" t="s">
        <v>3</v>
      </c>
      <c r="G4224" s="72">
        <f>0.3*(G4222+G4223)</f>
        <v>0.13200000000000001</v>
      </c>
      <c r="K4224" s="264"/>
    </row>
    <row r="4225" spans="1:11" x14ac:dyDescent="0.25">
      <c r="C4225" s="25" t="s">
        <v>72</v>
      </c>
      <c r="F4225" s="264" t="s">
        <v>3</v>
      </c>
      <c r="G4225" s="72">
        <v>0.41</v>
      </c>
      <c r="K4225" s="264"/>
    </row>
    <row r="4226" spans="1:11" x14ac:dyDescent="0.25">
      <c r="C4226" s="25" t="s">
        <v>11</v>
      </c>
      <c r="F4226" s="264" t="s">
        <v>3</v>
      </c>
      <c r="G4226" s="72">
        <f>0.3*G4225</f>
        <v>0.12299999999999998</v>
      </c>
      <c r="K4226" s="264"/>
    </row>
    <row r="4227" spans="1:11" x14ac:dyDescent="0.25">
      <c r="C4227" s="73" t="s">
        <v>2107</v>
      </c>
      <c r="D4227" s="73"/>
      <c r="E4227" s="73"/>
      <c r="F4227" s="74" t="s">
        <v>3</v>
      </c>
      <c r="G4227" s="72">
        <v>7.0000000000000007E-2</v>
      </c>
      <c r="K4227" s="264"/>
    </row>
    <row r="4228" spans="1:11" ht="17.25" x14ac:dyDescent="0.25">
      <c r="C4228" s="73" t="s">
        <v>168</v>
      </c>
      <c r="D4228" s="73"/>
      <c r="E4228" s="73"/>
      <c r="F4228" s="74" t="s">
        <v>596</v>
      </c>
      <c r="G4228" s="72">
        <f>G4227*1.1</f>
        <v>7.7000000000000013E-2</v>
      </c>
      <c r="K4228" s="264"/>
    </row>
    <row r="4229" spans="1:11" x14ac:dyDescent="0.25">
      <c r="C4229" s="77"/>
      <c r="D4229" s="73"/>
      <c r="E4229" s="73"/>
      <c r="F4229" s="74"/>
      <c r="G4229" s="224" t="s">
        <v>625</v>
      </c>
      <c r="K4229" s="264"/>
    </row>
    <row r="4230" spans="1:11" x14ac:dyDescent="0.25">
      <c r="C4230" s="77" t="s">
        <v>2106</v>
      </c>
      <c r="D4230" s="73"/>
      <c r="E4230" s="73"/>
      <c r="F4230" s="74" t="s">
        <v>3</v>
      </c>
      <c r="G4230" s="72">
        <v>0.02</v>
      </c>
      <c r="K4230" s="264"/>
    </row>
    <row r="4231" spans="1:11" x14ac:dyDescent="0.25">
      <c r="C4231" s="3"/>
      <c r="F4231" s="264"/>
      <c r="G4231" s="72"/>
      <c r="K4231" s="264"/>
    </row>
    <row r="4232" spans="1:11" x14ac:dyDescent="0.25">
      <c r="A4232" s="217">
        <v>12</v>
      </c>
      <c r="C4232" s="3" t="s">
        <v>2105</v>
      </c>
      <c r="F4232" s="259"/>
      <c r="G4232" s="224" t="s">
        <v>1915</v>
      </c>
      <c r="K4232" s="259"/>
    </row>
    <row r="4233" spans="1:11" x14ac:dyDescent="0.25">
      <c r="C4233" t="s">
        <v>723</v>
      </c>
      <c r="F4233" s="264" t="s">
        <v>3</v>
      </c>
      <c r="G4233" s="72">
        <v>5.0000000000000001E-3</v>
      </c>
      <c r="K4233" s="264"/>
    </row>
    <row r="4234" spans="1:11" x14ac:dyDescent="0.25">
      <c r="C4234" s="25" t="s">
        <v>13</v>
      </c>
      <c r="F4234" s="264" t="s">
        <v>3</v>
      </c>
      <c r="G4234" s="72">
        <f>0.3</f>
        <v>0.3</v>
      </c>
      <c r="K4234" s="264"/>
    </row>
    <row r="4235" spans="1:11" x14ac:dyDescent="0.25">
      <c r="C4235" s="25" t="s">
        <v>114</v>
      </c>
      <c r="F4235" s="264" t="s">
        <v>3</v>
      </c>
      <c r="G4235" s="72">
        <v>0.2</v>
      </c>
      <c r="K4235" s="264"/>
    </row>
    <row r="4236" spans="1:11" x14ac:dyDescent="0.25">
      <c r="C4236" t="s">
        <v>163</v>
      </c>
      <c r="F4236" s="264" t="s">
        <v>3</v>
      </c>
      <c r="G4236" s="72">
        <v>0.2</v>
      </c>
      <c r="K4236" s="264"/>
    </row>
    <row r="4237" spans="1:11" x14ac:dyDescent="0.25">
      <c r="C4237" s="25" t="s">
        <v>164</v>
      </c>
      <c r="F4237" s="264" t="s">
        <v>3</v>
      </c>
      <c r="G4237" s="72">
        <f>0.3*(G4235+G4236)</f>
        <v>0.12</v>
      </c>
      <c r="K4237" s="264"/>
    </row>
    <row r="4238" spans="1:11" x14ac:dyDescent="0.25">
      <c r="C4238" s="25" t="s">
        <v>72</v>
      </c>
      <c r="F4238" s="264" t="s">
        <v>3</v>
      </c>
      <c r="G4238" s="72">
        <v>0.39</v>
      </c>
      <c r="K4238" s="264"/>
    </row>
    <row r="4239" spans="1:11" x14ac:dyDescent="0.25">
      <c r="C4239" s="25" t="s">
        <v>11</v>
      </c>
      <c r="F4239" s="264" t="s">
        <v>3</v>
      </c>
      <c r="G4239" s="72">
        <f>0.3*G4238</f>
        <v>0.11699999999999999</v>
      </c>
      <c r="K4239" s="264"/>
    </row>
    <row r="4240" spans="1:11" x14ac:dyDescent="0.25">
      <c r="C4240" s="73" t="s">
        <v>2107</v>
      </c>
      <c r="D4240" s="73"/>
      <c r="E4240" s="73"/>
      <c r="F4240" s="74" t="s">
        <v>3</v>
      </c>
      <c r="G4240" s="72">
        <v>7.0000000000000007E-2</v>
      </c>
      <c r="K4240" s="264"/>
    </row>
    <row r="4241" spans="1:12" ht="17.25" x14ac:dyDescent="0.25">
      <c r="C4241" s="73" t="s">
        <v>168</v>
      </c>
      <c r="D4241" s="73"/>
      <c r="E4241" s="73"/>
      <c r="F4241" s="74" t="s">
        <v>596</v>
      </c>
      <c r="G4241" s="72">
        <f>G4240*1.1</f>
        <v>7.7000000000000013E-2</v>
      </c>
      <c r="K4241" s="264"/>
    </row>
    <row r="4242" spans="1:12" x14ac:dyDescent="0.25">
      <c r="C4242" s="77"/>
      <c r="D4242" s="73"/>
      <c r="E4242" s="73"/>
      <c r="F4242" s="74"/>
      <c r="G4242" s="224" t="s">
        <v>625</v>
      </c>
      <c r="K4242" s="264"/>
    </row>
    <row r="4243" spans="1:12" x14ac:dyDescent="0.25">
      <c r="C4243" s="77" t="s">
        <v>2106</v>
      </c>
      <c r="D4243" s="73"/>
      <c r="E4243" s="73"/>
      <c r="F4243" s="74" t="s">
        <v>3</v>
      </c>
      <c r="G4243" s="72">
        <v>0.02</v>
      </c>
      <c r="K4243" s="264"/>
    </row>
    <row r="4244" spans="1:12" x14ac:dyDescent="0.25">
      <c r="F4244" s="259"/>
      <c r="G4244" s="72"/>
      <c r="K4244" s="259"/>
    </row>
    <row r="4245" spans="1:12" x14ac:dyDescent="0.25">
      <c r="A4245" s="217">
        <v>13</v>
      </c>
      <c r="C4245" s="3" t="s">
        <v>2082</v>
      </c>
      <c r="F4245" s="259"/>
      <c r="G4245" s="224" t="s">
        <v>1915</v>
      </c>
      <c r="K4245" s="259"/>
    </row>
    <row r="4246" spans="1:12" x14ac:dyDescent="0.25">
      <c r="C4246" t="s">
        <v>723</v>
      </c>
      <c r="F4246" s="259" t="s">
        <v>3</v>
      </c>
      <c r="G4246" s="72">
        <v>5.0000000000000001E-3</v>
      </c>
      <c r="K4246" s="259">
        <v>1000</v>
      </c>
      <c r="L4246">
        <v>8.8699999999999992</v>
      </c>
    </row>
    <row r="4247" spans="1:12" x14ac:dyDescent="0.25">
      <c r="C4247" t="s">
        <v>13</v>
      </c>
      <c r="F4247" s="259" t="s">
        <v>3</v>
      </c>
      <c r="G4247" s="72">
        <v>0.2</v>
      </c>
      <c r="K4247" s="259">
        <v>100</v>
      </c>
      <c r="L4247">
        <f>L4246/10</f>
        <v>0.8869999999999999</v>
      </c>
    </row>
    <row r="4248" spans="1:12" hidden="1" x14ac:dyDescent="0.25">
      <c r="C4248" s="25" t="s">
        <v>114</v>
      </c>
      <c r="F4248" s="264" t="s">
        <v>3</v>
      </c>
      <c r="G4248" s="72">
        <v>0.22500000000000001</v>
      </c>
      <c r="K4248" s="259">
        <v>10</v>
      </c>
      <c r="L4248">
        <f>L4247/10</f>
        <v>8.8699999999999987E-2</v>
      </c>
    </row>
    <row r="4249" spans="1:12" x14ac:dyDescent="0.25">
      <c r="C4249" t="s">
        <v>163</v>
      </c>
      <c r="F4249" s="264" t="s">
        <v>3</v>
      </c>
      <c r="G4249" s="72">
        <v>0.22500000000000001</v>
      </c>
      <c r="K4249" s="264"/>
    </row>
    <row r="4250" spans="1:12" x14ac:dyDescent="0.25">
      <c r="C4250" s="25" t="s">
        <v>164</v>
      </c>
      <c r="F4250" s="264" t="s">
        <v>3</v>
      </c>
      <c r="G4250" s="72">
        <f>0.3*(G4248+G4249)</f>
        <v>0.13500000000000001</v>
      </c>
      <c r="K4250" s="259">
        <v>1</v>
      </c>
      <c r="L4250">
        <f>L4248/10</f>
        <v>8.8699999999999994E-3</v>
      </c>
    </row>
    <row r="4251" spans="1:12" x14ac:dyDescent="0.25">
      <c r="C4251" t="s">
        <v>72</v>
      </c>
      <c r="F4251" s="259" t="s">
        <v>3</v>
      </c>
      <c r="G4251" s="72">
        <v>0.45</v>
      </c>
      <c r="K4251" s="259">
        <v>0.1</v>
      </c>
      <c r="L4251">
        <f>L4250/10</f>
        <v>8.8699999999999998E-4</v>
      </c>
    </row>
    <row r="4252" spans="1:12" x14ac:dyDescent="0.25">
      <c r="C4252" t="s">
        <v>11</v>
      </c>
      <c r="F4252" s="259" t="s">
        <v>3</v>
      </c>
      <c r="G4252" s="72">
        <f>0.3*G4251</f>
        <v>0.13500000000000001</v>
      </c>
      <c r="K4252" s="264">
        <v>0.01</v>
      </c>
      <c r="L4252">
        <f>L4251*4</f>
        <v>3.5479999999999999E-3</v>
      </c>
    </row>
    <row r="4253" spans="1:12" x14ac:dyDescent="0.25">
      <c r="C4253" s="73" t="s">
        <v>2107</v>
      </c>
      <c r="D4253" s="73"/>
      <c r="E4253" s="73"/>
      <c r="F4253" s="74" t="s">
        <v>3</v>
      </c>
      <c r="G4253" s="72">
        <v>7.0000000000000007E-2</v>
      </c>
      <c r="K4253" s="259"/>
    </row>
    <row r="4254" spans="1:12" ht="17.25" x14ac:dyDescent="0.25">
      <c r="C4254" s="73" t="s">
        <v>168</v>
      </c>
      <c r="D4254" s="73"/>
      <c r="E4254" s="73"/>
      <c r="F4254" s="74" t="s">
        <v>596</v>
      </c>
      <c r="G4254" s="72">
        <f>G4253*1.1</f>
        <v>7.7000000000000013E-2</v>
      </c>
      <c r="K4254" s="259"/>
    </row>
    <row r="4255" spans="1:12" x14ac:dyDescent="0.25">
      <c r="F4255" s="259"/>
      <c r="G4255" s="224" t="s">
        <v>625</v>
      </c>
      <c r="K4255" s="259"/>
    </row>
    <row r="4256" spans="1:12" x14ac:dyDescent="0.25">
      <c r="C4256" t="s">
        <v>2103</v>
      </c>
      <c r="F4256" s="259" t="s">
        <v>3</v>
      </c>
      <c r="G4256" s="72">
        <v>0.06</v>
      </c>
      <c r="K4256" s="259"/>
    </row>
    <row r="4257" spans="1:11" x14ac:dyDescent="0.25">
      <c r="C4257" t="s">
        <v>2104</v>
      </c>
      <c r="F4257" s="259" t="s">
        <v>3</v>
      </c>
      <c r="G4257" s="72">
        <v>0.01</v>
      </c>
      <c r="K4257" s="259"/>
    </row>
    <row r="4258" spans="1:11" x14ac:dyDescent="0.25">
      <c r="F4258" s="259"/>
      <c r="G4258" s="72"/>
      <c r="K4258" s="259"/>
    </row>
    <row r="4259" spans="1:11" x14ac:dyDescent="0.25">
      <c r="A4259" s="217">
        <v>14</v>
      </c>
      <c r="C4259" s="3" t="s">
        <v>2083</v>
      </c>
      <c r="F4259" s="9"/>
      <c r="G4259" s="72"/>
      <c r="H4259" s="10" t="s">
        <v>2092</v>
      </c>
      <c r="I4259" t="s">
        <v>2087</v>
      </c>
    </row>
    <row r="4260" spans="1:11" x14ac:dyDescent="0.25">
      <c r="C4260" t="s">
        <v>8</v>
      </c>
      <c r="F4260" s="259" t="s">
        <v>3</v>
      </c>
      <c r="G4260" s="72">
        <v>5.6000000000000001E-2</v>
      </c>
      <c r="K4260" s="259"/>
    </row>
    <row r="4261" spans="1:11" x14ac:dyDescent="0.25">
      <c r="C4261" t="s">
        <v>12</v>
      </c>
      <c r="F4261" s="259" t="s">
        <v>3</v>
      </c>
      <c r="G4261" s="72">
        <f>0.3*G4260</f>
        <v>1.6799999999999999E-2</v>
      </c>
      <c r="K4261" s="259"/>
    </row>
    <row r="4262" spans="1:11" x14ac:dyDescent="0.25">
      <c r="C4262" t="s">
        <v>72</v>
      </c>
      <c r="F4262" s="259" t="s">
        <v>3</v>
      </c>
      <c r="G4262" s="72">
        <v>5.6000000000000001E-2</v>
      </c>
      <c r="K4262" s="259"/>
    </row>
    <row r="4263" spans="1:11" x14ac:dyDescent="0.25">
      <c r="C4263" t="s">
        <v>11</v>
      </c>
      <c r="F4263" s="259" t="s">
        <v>3</v>
      </c>
      <c r="G4263" s="72">
        <f>0.3*G4262</f>
        <v>1.6799999999999999E-2</v>
      </c>
      <c r="K4263" s="259"/>
    </row>
    <row r="4264" spans="1:11" x14ac:dyDescent="0.25">
      <c r="C4264" t="s">
        <v>13</v>
      </c>
      <c r="F4264" s="259" t="s">
        <v>3</v>
      </c>
      <c r="G4264" s="72">
        <v>0.02</v>
      </c>
      <c r="K4264" s="259"/>
    </row>
    <row r="4265" spans="1:11" x14ac:dyDescent="0.25">
      <c r="C4265" t="s">
        <v>731</v>
      </c>
      <c r="F4265" s="259" t="s">
        <v>3</v>
      </c>
      <c r="G4265" s="72">
        <f>0.33*0.105*0.2*1.3</f>
        <v>9.0090000000000014E-3</v>
      </c>
      <c r="K4265" s="259"/>
    </row>
    <row r="4266" spans="1:11" x14ac:dyDescent="0.25">
      <c r="F4266" s="259"/>
      <c r="G4266" s="271" t="s">
        <v>625</v>
      </c>
      <c r="K4266" s="259"/>
    </row>
    <row r="4267" spans="1:11" x14ac:dyDescent="0.25">
      <c r="C4267" t="s">
        <v>2102</v>
      </c>
      <c r="F4267" s="259" t="s">
        <v>3</v>
      </c>
      <c r="G4267" s="72">
        <v>0.15</v>
      </c>
      <c r="K4267" s="259"/>
    </row>
    <row r="4268" spans="1:11" x14ac:dyDescent="0.25">
      <c r="C4268" s="3"/>
      <c r="F4268" s="259"/>
      <c r="G4268" s="72"/>
      <c r="K4268" s="259"/>
    </row>
    <row r="4269" spans="1:11" x14ac:dyDescent="0.25">
      <c r="C4269" s="3" t="s">
        <v>2011</v>
      </c>
      <c r="F4269" s="9"/>
      <c r="G4269" s="72"/>
      <c r="H4269" s="73"/>
      <c r="I4269" t="s">
        <v>2121</v>
      </c>
    </row>
    <row r="4270" spans="1:11" x14ac:dyDescent="0.25">
      <c r="C4270" t="s">
        <v>8</v>
      </c>
      <c r="F4270" s="255" t="s">
        <v>3</v>
      </c>
      <c r="G4270" s="72">
        <v>0.2</v>
      </c>
    </row>
    <row r="4271" spans="1:11" x14ac:dyDescent="0.25">
      <c r="C4271" t="s">
        <v>12</v>
      </c>
      <c r="F4271" s="255" t="s">
        <v>3</v>
      </c>
      <c r="G4271" s="72">
        <f>0.3*G4270</f>
        <v>0.06</v>
      </c>
    </row>
    <row r="4272" spans="1:11" x14ac:dyDescent="0.25">
      <c r="C4272" t="s">
        <v>72</v>
      </c>
      <c r="F4272" s="255" t="s">
        <v>3</v>
      </c>
      <c r="G4272" s="72">
        <v>0.4</v>
      </c>
    </row>
    <row r="4273" spans="1:11" ht="15.75" thickBot="1" x14ac:dyDescent="0.3">
      <c r="A4273" s="68"/>
      <c r="B4273" s="86"/>
      <c r="C4273" s="68" t="s">
        <v>444</v>
      </c>
      <c r="D4273" s="68"/>
      <c r="E4273" s="68"/>
      <c r="F4273" s="82" t="s">
        <v>3</v>
      </c>
      <c r="G4273" s="83">
        <f>0.3*G4272</f>
        <v>0.12</v>
      </c>
    </row>
    <row r="4274" spans="1:11" x14ac:dyDescent="0.25">
      <c r="A4274" s="73"/>
      <c r="B4274" s="106"/>
      <c r="C4274" s="73"/>
      <c r="D4274" s="73"/>
      <c r="E4274" s="73"/>
      <c r="F4274" s="74"/>
      <c r="G4274" s="153"/>
      <c r="K4274" s="270"/>
    </row>
    <row r="4275" spans="1:11" x14ac:dyDescent="0.25">
      <c r="C4275" s="3" t="s">
        <v>2127</v>
      </c>
      <c r="F4275" s="9"/>
      <c r="G4275" s="10" t="s">
        <v>549</v>
      </c>
      <c r="H4275" s="5" t="s">
        <v>2128</v>
      </c>
    </row>
    <row r="4276" spans="1:11" x14ac:dyDescent="0.25">
      <c r="E4276" t="s">
        <v>2163</v>
      </c>
      <c r="F4276" s="9"/>
      <c r="G4276">
        <f>2*0.675*36*8*1.106</f>
        <v>430.01280000000003</v>
      </c>
    </row>
    <row r="4277" spans="1:11" ht="15.75" thickBot="1" x14ac:dyDescent="0.3">
      <c r="E4277" t="s">
        <v>2164</v>
      </c>
      <c r="F4277" s="9"/>
      <c r="G4277" s="10">
        <f>0.63*0.25*17*8*1.12</f>
        <v>23.990400000000005</v>
      </c>
      <c r="H4277">
        <f>G4277*2</f>
        <v>47.980800000000009</v>
      </c>
      <c r="I4277">
        <f>2.1*0.7*36*8*1</f>
        <v>423.36</v>
      </c>
    </row>
    <row r="4278" spans="1:11" x14ac:dyDescent="0.25">
      <c r="A4278" s="159"/>
      <c r="B4278" s="181"/>
      <c r="C4278" s="93"/>
      <c r="D4278" s="93"/>
      <c r="E4278" s="93"/>
      <c r="F4278" s="175" t="s">
        <v>2264</v>
      </c>
      <c r="G4278" s="90"/>
      <c r="K4278" s="273"/>
    </row>
    <row r="4279" spans="1:11" ht="18.75" x14ac:dyDescent="0.25">
      <c r="A4279" s="163"/>
      <c r="B4279" s="106"/>
      <c r="C4279" s="73"/>
      <c r="D4279" s="73"/>
      <c r="E4279" s="331" t="s">
        <v>2125</v>
      </c>
      <c r="F4279" s="74"/>
      <c r="G4279" s="72"/>
      <c r="K4279" s="270"/>
    </row>
    <row r="4280" spans="1:11" x14ac:dyDescent="0.25">
      <c r="A4280" s="163"/>
      <c r="B4280" s="106"/>
      <c r="C4280" s="73"/>
      <c r="D4280" s="73"/>
      <c r="E4280" s="73"/>
      <c r="F4280" s="74"/>
      <c r="G4280" s="72"/>
      <c r="H4280" s="73"/>
    </row>
    <row r="4281" spans="1:11" x14ac:dyDescent="0.25">
      <c r="A4281" s="163"/>
      <c r="B4281" s="106"/>
      <c r="C4281" s="75" t="s">
        <v>2122</v>
      </c>
      <c r="D4281" s="73"/>
      <c r="E4281" s="73"/>
      <c r="F4281" s="74"/>
      <c r="G4281" s="72"/>
    </row>
    <row r="4282" spans="1:11" x14ac:dyDescent="0.25">
      <c r="A4282" s="163"/>
      <c r="B4282" s="106"/>
      <c r="C4282" s="73" t="s">
        <v>722</v>
      </c>
      <c r="D4282" s="73"/>
      <c r="E4282" s="73"/>
      <c r="F4282" s="74" t="s">
        <v>3</v>
      </c>
      <c r="G4282" s="72">
        <f>0.045*0.03*1.5*8</f>
        <v>1.6199999999999999E-2</v>
      </c>
    </row>
    <row r="4283" spans="1:11" x14ac:dyDescent="0.25">
      <c r="A4283" s="163"/>
      <c r="B4283" s="106"/>
      <c r="C4283" s="73"/>
      <c r="D4283" s="73"/>
      <c r="E4283" s="73"/>
      <c r="F4283" s="74"/>
      <c r="G4283" s="72"/>
    </row>
    <row r="4284" spans="1:11" x14ac:dyDescent="0.25">
      <c r="A4284" s="163"/>
      <c r="B4284" s="106"/>
      <c r="C4284" s="75" t="s">
        <v>2123</v>
      </c>
      <c r="D4284" s="73"/>
      <c r="E4284" s="73"/>
      <c r="F4284" s="74"/>
      <c r="G4284" s="72"/>
    </row>
    <row r="4285" spans="1:11" x14ac:dyDescent="0.25">
      <c r="A4285" s="163"/>
      <c r="B4285" s="106"/>
      <c r="C4285" s="73" t="s">
        <v>2124</v>
      </c>
      <c r="D4285" s="73"/>
      <c r="E4285" s="73"/>
      <c r="F4285" s="74" t="s">
        <v>3</v>
      </c>
      <c r="G4285" s="72">
        <f>0.045*0.03*0.3*8</f>
        <v>3.2399999999999994E-3</v>
      </c>
    </row>
    <row r="4286" spans="1:11" x14ac:dyDescent="0.25">
      <c r="A4286" s="163"/>
      <c r="B4286" s="106"/>
      <c r="C4286" s="73"/>
      <c r="D4286" s="73"/>
      <c r="E4286" s="73"/>
      <c r="F4286" s="74"/>
      <c r="G4286" s="72"/>
    </row>
    <row r="4287" spans="1:11" x14ac:dyDescent="0.25">
      <c r="A4287" s="163"/>
      <c r="B4287" s="106"/>
      <c r="C4287" s="75" t="s">
        <v>2126</v>
      </c>
      <c r="D4287" s="73"/>
      <c r="E4287" s="73"/>
      <c r="F4287" s="74"/>
      <c r="G4287" s="72"/>
    </row>
    <row r="4288" spans="1:11" x14ac:dyDescent="0.25">
      <c r="A4288" s="163"/>
      <c r="B4288" s="106"/>
      <c r="C4288" s="73" t="s">
        <v>1643</v>
      </c>
      <c r="D4288" s="73"/>
      <c r="E4288" s="73"/>
      <c r="F4288" s="74" t="s">
        <v>3</v>
      </c>
      <c r="G4288" s="80">
        <f>0.13*0.06*3*8.5*1.03</f>
        <v>0.20486699999999997</v>
      </c>
    </row>
    <row r="4289" spans="1:11" x14ac:dyDescent="0.25">
      <c r="A4289" s="163"/>
      <c r="B4289" s="106"/>
      <c r="C4289" s="73"/>
      <c r="D4289" s="73"/>
      <c r="E4289" s="73"/>
      <c r="F4289" s="74"/>
      <c r="G4289" s="72"/>
      <c r="K4289" s="273"/>
    </row>
    <row r="4290" spans="1:11" x14ac:dyDescent="0.25">
      <c r="A4290" s="163"/>
      <c r="B4290" s="106"/>
      <c r="C4290" s="75" t="s">
        <v>2129</v>
      </c>
      <c r="D4290" s="73"/>
      <c r="E4290" s="73"/>
      <c r="F4290" s="74"/>
      <c r="G4290" s="72"/>
    </row>
    <row r="4291" spans="1:11" x14ac:dyDescent="0.25">
      <c r="A4291" s="163"/>
      <c r="B4291" s="106"/>
      <c r="C4291" s="73" t="s">
        <v>415</v>
      </c>
      <c r="D4291" s="73"/>
      <c r="E4291" s="73"/>
      <c r="F4291" s="74" t="s">
        <v>3</v>
      </c>
      <c r="G4291" s="72">
        <f>(0.033*3.14+0.1)*0.02*1.5*8*1.12</f>
        <v>5.4733056000000009E-2</v>
      </c>
    </row>
    <row r="4292" spans="1:11" x14ac:dyDescent="0.25">
      <c r="A4292" s="163"/>
      <c r="B4292" s="106"/>
      <c r="C4292" s="73"/>
      <c r="D4292" s="73"/>
      <c r="E4292" s="73"/>
      <c r="F4292" s="74"/>
      <c r="G4292" s="72"/>
      <c r="K4292" s="273"/>
    </row>
    <row r="4293" spans="1:11" x14ac:dyDescent="0.25">
      <c r="A4293" s="163"/>
      <c r="B4293" s="106"/>
      <c r="C4293" s="75" t="s">
        <v>2130</v>
      </c>
      <c r="D4293" s="73"/>
      <c r="E4293" s="73"/>
      <c r="F4293" s="74"/>
      <c r="G4293" s="72"/>
      <c r="K4293" s="272"/>
    </row>
    <row r="4294" spans="1:11" x14ac:dyDescent="0.25">
      <c r="A4294" s="163"/>
      <c r="B4294" s="106"/>
      <c r="C4294" s="73" t="s">
        <v>984</v>
      </c>
      <c r="D4294" s="73"/>
      <c r="E4294" s="73"/>
      <c r="F4294" s="74" t="s">
        <v>3</v>
      </c>
      <c r="G4294" s="72">
        <f>0.037*1.14</f>
        <v>4.2179999999999995E-2</v>
      </c>
      <c r="K4294" s="272"/>
    </row>
    <row r="4295" spans="1:11" x14ac:dyDescent="0.25">
      <c r="A4295" s="163"/>
      <c r="B4295" s="106"/>
      <c r="C4295" s="73"/>
      <c r="D4295" s="73"/>
      <c r="E4295" s="73"/>
      <c r="F4295" s="74"/>
      <c r="G4295" s="72"/>
      <c r="K4295" s="273"/>
    </row>
    <row r="4296" spans="1:11" x14ac:dyDescent="0.25">
      <c r="A4296" s="163"/>
      <c r="B4296" s="106"/>
      <c r="C4296" s="75" t="s">
        <v>2131</v>
      </c>
      <c r="D4296" s="73"/>
      <c r="E4296" s="73"/>
      <c r="F4296" s="74"/>
      <c r="G4296" s="72"/>
      <c r="K4296" s="272"/>
    </row>
    <row r="4297" spans="1:11" x14ac:dyDescent="0.25">
      <c r="A4297" s="163"/>
      <c r="B4297" s="106"/>
      <c r="C4297" s="73" t="s">
        <v>415</v>
      </c>
      <c r="D4297" s="73"/>
      <c r="E4297" s="73"/>
      <c r="F4297" s="74" t="s">
        <v>3</v>
      </c>
      <c r="G4297" s="72">
        <f>0.03*1.15</f>
        <v>3.4499999999999996E-2</v>
      </c>
      <c r="K4297" s="272"/>
    </row>
    <row r="4298" spans="1:11" x14ac:dyDescent="0.25">
      <c r="A4298" s="163"/>
      <c r="B4298" s="106"/>
      <c r="C4298" s="73"/>
      <c r="D4298" s="73"/>
      <c r="E4298" s="73"/>
      <c r="F4298" s="74"/>
      <c r="G4298" s="72"/>
      <c r="K4298" s="273"/>
    </row>
    <row r="4299" spans="1:11" x14ac:dyDescent="0.25">
      <c r="A4299" s="163"/>
      <c r="B4299" s="106"/>
      <c r="C4299" s="75" t="s">
        <v>2132</v>
      </c>
      <c r="D4299" s="73"/>
      <c r="E4299" s="73"/>
      <c r="F4299" s="74"/>
      <c r="G4299" s="72"/>
    </row>
    <row r="4300" spans="1:11" x14ac:dyDescent="0.25">
      <c r="A4300" s="163"/>
      <c r="B4300" s="106"/>
      <c r="C4300" s="73" t="s">
        <v>1143</v>
      </c>
      <c r="D4300" s="73"/>
      <c r="E4300" s="73"/>
      <c r="F4300" s="74" t="s">
        <v>3</v>
      </c>
      <c r="G4300" s="72">
        <f>0.055*0.057*3*8*1.12</f>
        <v>8.4268800000000005E-2</v>
      </c>
    </row>
    <row r="4301" spans="1:11" x14ac:dyDescent="0.25">
      <c r="A4301" s="163"/>
      <c r="B4301" s="106"/>
      <c r="C4301" s="73"/>
      <c r="D4301" s="73"/>
      <c r="E4301" s="73"/>
      <c r="F4301" s="74"/>
      <c r="G4301" s="72"/>
      <c r="K4301" s="273"/>
    </row>
    <row r="4302" spans="1:11" x14ac:dyDescent="0.25">
      <c r="A4302" s="163"/>
      <c r="B4302" s="106"/>
      <c r="C4302" s="75" t="s">
        <v>2133</v>
      </c>
      <c r="D4302" s="73"/>
      <c r="E4302" s="73"/>
      <c r="F4302" s="74"/>
      <c r="G4302" s="72"/>
      <c r="K4302" s="272"/>
    </row>
    <row r="4303" spans="1:11" x14ac:dyDescent="0.25">
      <c r="A4303" s="163"/>
      <c r="B4303" s="106"/>
      <c r="C4303" s="77" t="s">
        <v>1054</v>
      </c>
      <c r="D4303" s="73"/>
      <c r="E4303" s="73"/>
      <c r="F4303" s="152" t="s">
        <v>3</v>
      </c>
      <c r="G4303" s="72">
        <f>(0.018*3.14*6+0.012*3.14*2)*0.07*1.2</f>
        <v>3.4816319999999998E-2</v>
      </c>
      <c r="K4303" s="272"/>
    </row>
    <row r="4304" spans="1:11" ht="17.25" x14ac:dyDescent="0.25">
      <c r="A4304" s="163"/>
      <c r="B4304" s="106"/>
      <c r="C4304" s="73" t="s">
        <v>1055</v>
      </c>
      <c r="D4304" s="73"/>
      <c r="E4304" s="73"/>
      <c r="F4304" s="152" t="s">
        <v>596</v>
      </c>
      <c r="G4304" s="72">
        <f>G4303*1.1</f>
        <v>3.8297952000000003E-2</v>
      </c>
      <c r="K4304" s="272"/>
    </row>
    <row r="4305" spans="1:11" x14ac:dyDescent="0.25">
      <c r="A4305" s="163"/>
      <c r="B4305" s="106"/>
      <c r="C4305" s="77" t="s">
        <v>8</v>
      </c>
      <c r="D4305" s="73"/>
      <c r="E4305" s="73"/>
      <c r="F4305" s="74" t="s">
        <v>3</v>
      </c>
      <c r="G4305" s="72">
        <f>G4306*0.8</f>
        <v>1.2096000000000003E-2</v>
      </c>
      <c r="K4305" s="272"/>
    </row>
    <row r="4306" spans="1:11" x14ac:dyDescent="0.25">
      <c r="A4306" s="163"/>
      <c r="B4306" s="106"/>
      <c r="C4306" s="77" t="s">
        <v>879</v>
      </c>
      <c r="D4306" s="73"/>
      <c r="E4306" s="73"/>
      <c r="F4306" s="74" t="s">
        <v>3</v>
      </c>
      <c r="G4306" s="72">
        <f>0.35*0.1*0.16*2*1.35</f>
        <v>1.5120000000000001E-2</v>
      </c>
      <c r="K4306" s="272"/>
    </row>
    <row r="4307" spans="1:11" x14ac:dyDescent="0.25">
      <c r="A4307" s="163"/>
      <c r="B4307" s="106"/>
      <c r="C4307" s="77" t="s">
        <v>12</v>
      </c>
      <c r="D4307" s="73"/>
      <c r="E4307" s="73"/>
      <c r="F4307" s="74" t="s">
        <v>3</v>
      </c>
      <c r="G4307" s="72">
        <f>0.3*(G4306+G4305)</f>
        <v>8.1648000000000016E-3</v>
      </c>
      <c r="K4307" s="272"/>
    </row>
    <row r="4308" spans="1:11" x14ac:dyDescent="0.25">
      <c r="A4308" s="163"/>
      <c r="B4308" s="106"/>
      <c r="C4308" s="73"/>
      <c r="D4308" s="73"/>
      <c r="E4308" s="73"/>
      <c r="F4308" s="74"/>
      <c r="G4308" s="72"/>
      <c r="K4308" s="273"/>
    </row>
    <row r="4309" spans="1:11" x14ac:dyDescent="0.25">
      <c r="A4309" s="163"/>
      <c r="B4309" s="106"/>
      <c r="C4309" s="75" t="s">
        <v>2134</v>
      </c>
      <c r="D4309" s="73"/>
      <c r="E4309" s="73"/>
      <c r="F4309" s="74"/>
      <c r="G4309" s="72"/>
      <c r="K4309" s="272"/>
    </row>
    <row r="4310" spans="1:11" x14ac:dyDescent="0.25">
      <c r="A4310" s="163"/>
      <c r="B4310" s="106"/>
      <c r="C4310" s="100" t="s">
        <v>731</v>
      </c>
      <c r="D4310" s="73"/>
      <c r="E4310" s="73"/>
      <c r="F4310" s="74" t="s">
        <v>3</v>
      </c>
      <c r="G4310" s="72">
        <f>0.06*0.04*0.2*2*8*1.29</f>
        <v>9.9071999999999997E-3</v>
      </c>
      <c r="K4310" s="272"/>
    </row>
    <row r="4311" spans="1:11" x14ac:dyDescent="0.25">
      <c r="A4311" s="163"/>
      <c r="B4311" s="106"/>
      <c r="C4311" s="100" t="s">
        <v>163</v>
      </c>
      <c r="D4311" s="73"/>
      <c r="E4311" s="73"/>
      <c r="F4311" s="74" t="s">
        <v>3</v>
      </c>
      <c r="G4311" s="72">
        <f>0.42*0.57*2*0.15*1.39</f>
        <v>9.9829799999999982E-2</v>
      </c>
      <c r="K4311" s="272"/>
    </row>
    <row r="4312" spans="1:11" x14ac:dyDescent="0.25">
      <c r="A4312" s="163"/>
      <c r="B4312" s="106"/>
      <c r="C4312" s="73" t="s">
        <v>164</v>
      </c>
      <c r="D4312" s="73"/>
      <c r="E4312" s="73"/>
      <c r="F4312" s="74" t="s">
        <v>3</v>
      </c>
      <c r="G4312" s="72">
        <f>0.3*G4311</f>
        <v>2.9948939999999993E-2</v>
      </c>
      <c r="K4312" s="272"/>
    </row>
    <row r="4313" spans="1:11" x14ac:dyDescent="0.25">
      <c r="A4313" s="163"/>
      <c r="B4313" s="106"/>
      <c r="C4313" s="100" t="s">
        <v>115</v>
      </c>
      <c r="D4313" s="73"/>
      <c r="E4313" s="73"/>
      <c r="F4313" s="74" t="s">
        <v>3</v>
      </c>
      <c r="G4313" s="72">
        <f>0.42*0.57*2*0.15*2*1.15</f>
        <v>0.16518599999999997</v>
      </c>
      <c r="K4313" s="272"/>
    </row>
    <row r="4314" spans="1:11" x14ac:dyDescent="0.25">
      <c r="A4314" s="163"/>
      <c r="B4314" s="106"/>
      <c r="C4314" s="100" t="s">
        <v>12</v>
      </c>
      <c r="D4314" s="73"/>
      <c r="E4314" s="73"/>
      <c r="F4314" s="74" t="s">
        <v>3</v>
      </c>
      <c r="G4314" s="72">
        <f>0.3*G4313</f>
        <v>4.955579999999999E-2</v>
      </c>
      <c r="K4314" s="272"/>
    </row>
    <row r="4315" spans="1:11" x14ac:dyDescent="0.25">
      <c r="A4315" s="163"/>
      <c r="B4315" s="106"/>
      <c r="C4315" s="75"/>
      <c r="D4315" s="75" t="s">
        <v>2136</v>
      </c>
      <c r="E4315" s="73"/>
      <c r="F4315" s="74"/>
      <c r="G4315" s="72"/>
      <c r="K4315" s="272"/>
    </row>
    <row r="4316" spans="1:11" x14ac:dyDescent="0.25">
      <c r="A4316" s="163"/>
      <c r="B4316" s="106"/>
      <c r="C4316" s="75"/>
      <c r="D4316" s="73" t="s">
        <v>598</v>
      </c>
      <c r="E4316" s="73"/>
      <c r="F4316" s="74" t="s">
        <v>3</v>
      </c>
      <c r="G4316" s="72">
        <f>0.425*0.58*2.5*2.7*1.124</f>
        <v>1.8701955000000001</v>
      </c>
      <c r="K4316" s="272"/>
    </row>
    <row r="4317" spans="1:11" x14ac:dyDescent="0.25">
      <c r="A4317" s="163"/>
      <c r="B4317" s="106"/>
      <c r="C4317" s="73"/>
      <c r="D4317" s="75" t="s">
        <v>2135</v>
      </c>
      <c r="E4317" s="73"/>
      <c r="F4317" s="74"/>
      <c r="G4317" s="224" t="s">
        <v>625</v>
      </c>
      <c r="K4317" s="272"/>
    </row>
    <row r="4318" spans="1:11" x14ac:dyDescent="0.25">
      <c r="A4318" s="163"/>
      <c r="B4318" s="106"/>
      <c r="C4318" s="73"/>
      <c r="D4318" s="73" t="s">
        <v>2141</v>
      </c>
      <c r="E4318" s="73"/>
      <c r="F4318" s="74" t="s">
        <v>3</v>
      </c>
      <c r="G4318" s="72">
        <f>0.0145*1.15</f>
        <v>1.6674999999999999E-2</v>
      </c>
      <c r="K4318" s="272"/>
    </row>
    <row r="4319" spans="1:11" x14ac:dyDescent="0.25">
      <c r="A4319" s="163"/>
      <c r="B4319" s="106"/>
      <c r="C4319" s="73"/>
      <c r="D4319" s="73"/>
      <c r="E4319" s="73"/>
      <c r="F4319" s="74"/>
      <c r="G4319" s="72"/>
      <c r="K4319" s="273"/>
    </row>
    <row r="4320" spans="1:11" x14ac:dyDescent="0.25">
      <c r="A4320" s="163"/>
      <c r="B4320" s="106"/>
      <c r="C4320" s="75" t="s">
        <v>2137</v>
      </c>
      <c r="D4320" s="75"/>
      <c r="E4320" s="73"/>
      <c r="F4320" s="74"/>
      <c r="G4320" s="72"/>
      <c r="K4320" s="272"/>
    </row>
    <row r="4321" spans="1:11" x14ac:dyDescent="0.25">
      <c r="A4321" s="163"/>
      <c r="B4321" s="106"/>
      <c r="C4321" s="77" t="s">
        <v>8</v>
      </c>
      <c r="D4321" s="73"/>
      <c r="E4321" s="73"/>
      <c r="F4321" s="74" t="s">
        <v>3</v>
      </c>
      <c r="G4321" s="72">
        <f>G4322*0.8</f>
        <v>2.8022399999999999E-2</v>
      </c>
      <c r="K4321" s="272"/>
    </row>
    <row r="4322" spans="1:11" x14ac:dyDescent="0.25">
      <c r="A4322" s="163"/>
      <c r="B4322" s="106"/>
      <c r="C4322" s="77" t="s">
        <v>879</v>
      </c>
      <c r="D4322" s="73"/>
      <c r="E4322" s="73"/>
      <c r="F4322" s="74" t="s">
        <v>3</v>
      </c>
      <c r="G4322" s="72">
        <f>0.28*0.3*0.15*2*1.39</f>
        <v>3.5027999999999997E-2</v>
      </c>
      <c r="K4322" s="272"/>
    </row>
    <row r="4323" spans="1:11" x14ac:dyDescent="0.25">
      <c r="A4323" s="163"/>
      <c r="B4323" s="106"/>
      <c r="C4323" s="77" t="s">
        <v>12</v>
      </c>
      <c r="D4323" s="73"/>
      <c r="E4323" s="73"/>
      <c r="F4323" s="74" t="s">
        <v>3</v>
      </c>
      <c r="G4323" s="72">
        <f>0.3*(G4322+G4321)</f>
        <v>1.8915119999999997E-2</v>
      </c>
      <c r="K4323" s="272"/>
    </row>
    <row r="4324" spans="1:11" x14ac:dyDescent="0.25">
      <c r="A4324" s="163"/>
      <c r="B4324" s="106"/>
      <c r="C4324" s="73" t="s">
        <v>37</v>
      </c>
      <c r="D4324" s="75"/>
      <c r="E4324" s="73"/>
      <c r="F4324" s="74" t="s">
        <v>3</v>
      </c>
      <c r="G4324" s="72">
        <f>0.225*0.25*0.2*1.3</f>
        <v>1.4625000000000003E-2</v>
      </c>
      <c r="K4324" s="272"/>
    </row>
    <row r="4325" spans="1:11" x14ac:dyDescent="0.25">
      <c r="A4325" s="163"/>
      <c r="B4325" s="106"/>
      <c r="C4325" s="73"/>
      <c r="D4325" s="75" t="s">
        <v>2140</v>
      </c>
      <c r="E4325" s="73"/>
      <c r="F4325" s="74"/>
      <c r="G4325" s="72"/>
      <c r="K4325" s="272"/>
    </row>
    <row r="4326" spans="1:11" x14ac:dyDescent="0.25">
      <c r="A4326" s="163"/>
      <c r="B4326" s="106"/>
      <c r="C4326" s="73"/>
      <c r="D4326" s="100" t="s">
        <v>213</v>
      </c>
      <c r="E4326" s="73"/>
      <c r="F4326" s="74" t="s">
        <v>3</v>
      </c>
      <c r="G4326" s="72">
        <f>0.28*0.385*3*2.7*1.122</f>
        <v>0.97970796000000016</v>
      </c>
      <c r="K4326" s="272"/>
    </row>
    <row r="4327" spans="1:11" x14ac:dyDescent="0.25">
      <c r="A4327" s="163"/>
      <c r="B4327" s="106"/>
      <c r="C4327" s="73"/>
      <c r="D4327" s="75" t="s">
        <v>611</v>
      </c>
      <c r="E4327" s="73"/>
      <c r="F4327" s="74"/>
      <c r="G4327" s="224" t="s">
        <v>625</v>
      </c>
      <c r="K4327" s="272"/>
    </row>
    <row r="4328" spans="1:11" x14ac:dyDescent="0.25">
      <c r="A4328" s="163"/>
      <c r="B4328" s="106"/>
      <c r="C4328" s="73"/>
      <c r="D4328" s="73" t="s">
        <v>2142</v>
      </c>
      <c r="E4328" s="73"/>
      <c r="F4328" s="74" t="s">
        <v>3</v>
      </c>
      <c r="G4328" s="72">
        <f>0.04*0.04*6*1.8*1.05</f>
        <v>1.8144000000000004E-2</v>
      </c>
      <c r="K4328" s="272"/>
    </row>
    <row r="4329" spans="1:11" x14ac:dyDescent="0.25">
      <c r="A4329" s="163"/>
      <c r="B4329" s="106"/>
      <c r="C4329" s="73"/>
      <c r="D4329" s="75" t="s">
        <v>623</v>
      </c>
      <c r="E4329" s="73"/>
      <c r="F4329" s="74"/>
      <c r="G4329" s="224" t="s">
        <v>625</v>
      </c>
      <c r="K4329" s="272"/>
    </row>
    <row r="4330" spans="1:11" x14ac:dyDescent="0.25">
      <c r="A4330" s="163"/>
      <c r="B4330" s="106"/>
      <c r="C4330" s="73"/>
      <c r="D4330" s="100" t="s">
        <v>2143</v>
      </c>
      <c r="E4330" s="73"/>
      <c r="F4330" s="74" t="s">
        <v>3</v>
      </c>
      <c r="G4330" s="72">
        <f>0.255*0.25*5*1.8*1.045</f>
        <v>0.59956874999999998</v>
      </c>
      <c r="K4330" s="272"/>
    </row>
    <row r="4331" spans="1:11" x14ac:dyDescent="0.25">
      <c r="A4331" s="163"/>
      <c r="B4331" s="106"/>
      <c r="C4331" s="73"/>
      <c r="D4331" s="73"/>
      <c r="E4331" s="73"/>
      <c r="F4331" s="74"/>
      <c r="G4331" s="72"/>
      <c r="K4331" s="273"/>
    </row>
    <row r="4332" spans="1:11" x14ac:dyDescent="0.25">
      <c r="A4332" s="163"/>
      <c r="B4332" s="106"/>
      <c r="C4332" s="75" t="s">
        <v>2144</v>
      </c>
      <c r="D4332" s="75"/>
      <c r="E4332" s="73"/>
      <c r="F4332" s="74"/>
      <c r="G4332" s="72"/>
      <c r="K4332" s="272"/>
    </row>
    <row r="4333" spans="1:11" x14ac:dyDescent="0.25">
      <c r="A4333" s="163"/>
      <c r="B4333" s="106"/>
      <c r="C4333" s="73" t="s">
        <v>984</v>
      </c>
      <c r="D4333" s="75"/>
      <c r="E4333" s="73"/>
      <c r="F4333" s="74" t="s">
        <v>3</v>
      </c>
      <c r="G4333" s="72">
        <f>0.085*1.12</f>
        <v>9.5200000000000021E-2</v>
      </c>
      <c r="K4333" s="272"/>
    </row>
    <row r="4334" spans="1:11" x14ac:dyDescent="0.25">
      <c r="A4334" s="163"/>
      <c r="B4334" s="106"/>
      <c r="C4334" s="73"/>
      <c r="D4334" s="73"/>
      <c r="E4334" s="73"/>
      <c r="F4334" s="74"/>
      <c r="G4334" s="72"/>
      <c r="K4334" s="273"/>
    </row>
    <row r="4335" spans="1:11" x14ac:dyDescent="0.25">
      <c r="A4335" s="163"/>
      <c r="B4335" s="106"/>
      <c r="C4335" s="75" t="s">
        <v>2145</v>
      </c>
      <c r="D4335" s="75"/>
      <c r="E4335" s="73"/>
      <c r="F4335" s="74"/>
      <c r="G4335" s="72"/>
      <c r="K4335" s="272"/>
    </row>
    <row r="4336" spans="1:11" x14ac:dyDescent="0.25">
      <c r="A4336" s="163"/>
      <c r="B4336" s="106"/>
      <c r="C4336" s="73" t="s">
        <v>2146</v>
      </c>
      <c r="D4336" s="75"/>
      <c r="E4336" s="73"/>
      <c r="F4336" s="74" t="s">
        <v>3</v>
      </c>
      <c r="G4336" s="72">
        <f>0.2*0.02*0.8*8*1.18</f>
        <v>3.0207999999999999E-2</v>
      </c>
      <c r="K4336" s="272"/>
    </row>
    <row r="4337" spans="1:11" x14ac:dyDescent="0.25">
      <c r="A4337" s="163"/>
      <c r="B4337" s="106"/>
      <c r="C4337" s="73"/>
      <c r="D4337" s="75"/>
      <c r="E4337" s="73"/>
      <c r="F4337" s="74"/>
      <c r="G4337" s="72"/>
      <c r="K4337" s="272"/>
    </row>
    <row r="4338" spans="1:11" x14ac:dyDescent="0.25">
      <c r="A4338" s="163"/>
      <c r="B4338" s="106"/>
      <c r="C4338" s="75" t="s">
        <v>2147</v>
      </c>
      <c r="D4338" s="75"/>
      <c r="E4338" s="73"/>
      <c r="F4338" s="74"/>
      <c r="G4338" s="72"/>
      <c r="K4338" s="272"/>
    </row>
    <row r="4339" spans="1:11" x14ac:dyDescent="0.25">
      <c r="A4339" s="163"/>
      <c r="B4339" s="106"/>
      <c r="C4339" s="73" t="s">
        <v>412</v>
      </c>
      <c r="D4339" s="75"/>
      <c r="E4339" s="73"/>
      <c r="F4339" s="74" t="s">
        <v>3</v>
      </c>
      <c r="G4339" s="72">
        <f>0.055*0.055*2*8*1.03</f>
        <v>4.9852E-2</v>
      </c>
      <c r="K4339" s="272"/>
    </row>
    <row r="4340" spans="1:11" x14ac:dyDescent="0.25">
      <c r="A4340" s="163"/>
      <c r="B4340" s="106"/>
      <c r="C4340" s="73"/>
      <c r="D4340" s="75"/>
      <c r="E4340" s="73"/>
      <c r="F4340" s="74"/>
      <c r="G4340" s="72"/>
      <c r="K4340" s="272"/>
    </row>
    <row r="4341" spans="1:11" x14ac:dyDescent="0.25">
      <c r="A4341" s="163"/>
      <c r="B4341" s="106"/>
      <c r="C4341" s="75" t="s">
        <v>2148</v>
      </c>
      <c r="D4341" s="75"/>
      <c r="E4341" s="73"/>
      <c r="F4341" s="74"/>
      <c r="G4341" s="72"/>
      <c r="K4341" s="272"/>
    </row>
    <row r="4342" spans="1:11" x14ac:dyDescent="0.25">
      <c r="A4342" s="163"/>
      <c r="B4342" s="106"/>
      <c r="C4342" s="73" t="s">
        <v>55</v>
      </c>
      <c r="D4342" s="75"/>
      <c r="E4342" s="73"/>
      <c r="F4342" s="74" t="s">
        <v>3</v>
      </c>
      <c r="G4342" s="72">
        <f>0.055*0.055*3*8*1.1</f>
        <v>7.986E-2</v>
      </c>
      <c r="K4342" s="272"/>
    </row>
    <row r="4343" spans="1:11" x14ac:dyDescent="0.25">
      <c r="A4343" s="163"/>
      <c r="B4343" s="106"/>
      <c r="C4343" s="73"/>
      <c r="D4343" s="75"/>
      <c r="E4343" s="73"/>
      <c r="F4343" s="74"/>
      <c r="G4343" s="72"/>
      <c r="K4343" s="272"/>
    </row>
    <row r="4344" spans="1:11" x14ac:dyDescent="0.25">
      <c r="A4344" s="163"/>
      <c r="B4344" s="106"/>
      <c r="C4344" s="75" t="s">
        <v>2154</v>
      </c>
      <c r="D4344" s="75"/>
      <c r="E4344" s="73"/>
      <c r="F4344" s="74"/>
      <c r="G4344" s="72"/>
      <c r="K4344" s="273"/>
    </row>
    <row r="4345" spans="1:11" x14ac:dyDescent="0.25">
      <c r="A4345" s="163"/>
      <c r="B4345" s="106"/>
      <c r="C4345" s="73" t="s">
        <v>2156</v>
      </c>
      <c r="D4345" s="75"/>
      <c r="E4345" s="73"/>
      <c r="F4345" s="74" t="s">
        <v>3</v>
      </c>
      <c r="G4345" s="72">
        <f>0.055*0.055*4*8*1.08</f>
        <v>0.104544</v>
      </c>
      <c r="K4345" s="273"/>
    </row>
    <row r="4346" spans="1:11" x14ac:dyDescent="0.25">
      <c r="A4346" s="163"/>
      <c r="B4346" s="106"/>
      <c r="C4346" s="73"/>
      <c r="D4346" s="73"/>
      <c r="E4346" s="73"/>
      <c r="F4346" s="74"/>
      <c r="G4346" s="72"/>
      <c r="K4346" s="273"/>
    </row>
    <row r="4347" spans="1:11" x14ac:dyDescent="0.25">
      <c r="A4347" s="163"/>
      <c r="B4347" s="106"/>
      <c r="C4347" s="75" t="s">
        <v>2157</v>
      </c>
      <c r="D4347" s="75"/>
      <c r="E4347" s="73"/>
      <c r="F4347" s="74"/>
      <c r="G4347" s="72"/>
      <c r="K4347" s="273"/>
    </row>
    <row r="4348" spans="1:11" x14ac:dyDescent="0.25">
      <c r="A4348" s="163"/>
      <c r="B4348" s="106"/>
      <c r="C4348" s="73" t="s">
        <v>2155</v>
      </c>
      <c r="D4348" s="75"/>
      <c r="E4348" s="73"/>
      <c r="F4348" s="74" t="s">
        <v>3</v>
      </c>
      <c r="G4348" s="72">
        <f>0.055*0.055*5*8*1.115</f>
        <v>0.13491500000000001</v>
      </c>
      <c r="K4348" s="273"/>
    </row>
    <row r="4349" spans="1:11" x14ac:dyDescent="0.25">
      <c r="A4349" s="163"/>
      <c r="B4349" s="106"/>
      <c r="C4349" s="73"/>
      <c r="D4349" s="75"/>
      <c r="E4349" s="73"/>
      <c r="F4349" s="74"/>
      <c r="G4349" s="72"/>
      <c r="K4349" s="273"/>
    </row>
    <row r="4350" spans="1:11" x14ac:dyDescent="0.25">
      <c r="A4350" s="163"/>
      <c r="B4350" s="106"/>
      <c r="C4350" s="75" t="s">
        <v>2149</v>
      </c>
      <c r="D4350" s="75"/>
      <c r="E4350" s="73"/>
      <c r="F4350" s="74"/>
      <c r="G4350" s="72"/>
      <c r="K4350" s="272"/>
    </row>
    <row r="4351" spans="1:11" x14ac:dyDescent="0.25">
      <c r="A4351" s="163"/>
      <c r="B4351" s="106"/>
      <c r="C4351" s="77" t="s">
        <v>1054</v>
      </c>
      <c r="D4351" s="73"/>
      <c r="E4351" s="73"/>
      <c r="F4351" s="152" t="s">
        <v>3</v>
      </c>
      <c r="G4351" s="72">
        <f>0.012*3.14*2*0.08*1.2</f>
        <v>7.234560000000001E-3</v>
      </c>
      <c r="K4351" s="272"/>
    </row>
    <row r="4352" spans="1:11" ht="17.25" x14ac:dyDescent="0.25">
      <c r="A4352" s="163"/>
      <c r="B4352" s="106"/>
      <c r="C4352" s="73" t="s">
        <v>1055</v>
      </c>
      <c r="D4352" s="73"/>
      <c r="E4352" s="73"/>
      <c r="F4352" s="152" t="s">
        <v>596</v>
      </c>
      <c r="G4352" s="72">
        <f>G4351*1.1</f>
        <v>7.9580160000000018E-3</v>
      </c>
      <c r="K4352" s="272"/>
    </row>
    <row r="4353" spans="1:11" x14ac:dyDescent="0.25">
      <c r="A4353" s="163"/>
      <c r="B4353" s="106"/>
      <c r="C4353" s="73"/>
      <c r="D4353" s="75" t="s">
        <v>2150</v>
      </c>
      <c r="E4353" s="73"/>
      <c r="F4353" s="74"/>
      <c r="G4353" s="72"/>
    </row>
    <row r="4354" spans="1:11" x14ac:dyDescent="0.25">
      <c r="A4354" s="163"/>
      <c r="B4354" s="106"/>
      <c r="C4354" s="73"/>
      <c r="D4354" s="73" t="s">
        <v>426</v>
      </c>
      <c r="E4354" s="73"/>
      <c r="F4354" s="74" t="s">
        <v>3</v>
      </c>
      <c r="G4354" s="72">
        <v>3.5000000000000003E-2</v>
      </c>
      <c r="I4354" t="s">
        <v>2152</v>
      </c>
      <c r="K4354" s="273"/>
    </row>
    <row r="4355" spans="1:11" x14ac:dyDescent="0.25">
      <c r="A4355" s="163"/>
      <c r="B4355" s="106"/>
      <c r="C4355" s="73"/>
      <c r="D4355" s="75" t="s">
        <v>2151</v>
      </c>
      <c r="E4355" s="73"/>
      <c r="F4355" s="74"/>
      <c r="G4355" s="72"/>
      <c r="K4355" s="273"/>
    </row>
    <row r="4356" spans="1:11" x14ac:dyDescent="0.25">
      <c r="A4356" s="163"/>
      <c r="B4356" s="106"/>
      <c r="C4356" s="73"/>
      <c r="D4356" s="73" t="s">
        <v>426</v>
      </c>
      <c r="E4356" s="73"/>
      <c r="F4356" s="74" t="s">
        <v>3</v>
      </c>
      <c r="G4356" s="72">
        <v>0.105</v>
      </c>
      <c r="I4356" t="s">
        <v>2153</v>
      </c>
      <c r="K4356" s="273"/>
    </row>
    <row r="4357" spans="1:11" x14ac:dyDescent="0.25">
      <c r="A4357" s="163"/>
      <c r="B4357" s="106"/>
      <c r="C4357" s="73"/>
      <c r="D4357" s="73"/>
      <c r="E4357" s="73"/>
      <c r="F4357" s="74"/>
      <c r="G4357" s="72"/>
      <c r="K4357" s="273"/>
    </row>
    <row r="4358" spans="1:11" x14ac:dyDescent="0.25">
      <c r="A4358" s="163"/>
      <c r="B4358" s="106"/>
      <c r="C4358" s="75" t="s">
        <v>2158</v>
      </c>
      <c r="D4358" s="73"/>
      <c r="E4358" s="73"/>
      <c r="F4358" s="74"/>
      <c r="G4358" s="72"/>
      <c r="K4358" s="273"/>
    </row>
    <row r="4359" spans="1:11" x14ac:dyDescent="0.25">
      <c r="A4359" s="163"/>
      <c r="B4359" s="106"/>
      <c r="C4359" s="100" t="s">
        <v>1730</v>
      </c>
      <c r="D4359" s="73"/>
      <c r="E4359" s="73"/>
      <c r="F4359" s="74" t="s">
        <v>3</v>
      </c>
      <c r="G4359" s="148">
        <f>0.013*0.013*1*8*1.12</f>
        <v>1.51424E-3</v>
      </c>
      <c r="K4359" s="273"/>
    </row>
    <row r="4360" spans="1:11" x14ac:dyDescent="0.25">
      <c r="A4360" s="163"/>
      <c r="B4360" s="106"/>
      <c r="C4360" s="73"/>
      <c r="D4360" s="73"/>
      <c r="E4360" s="73"/>
      <c r="F4360" s="74"/>
      <c r="G4360" s="148"/>
      <c r="K4360" s="273"/>
    </row>
    <row r="4361" spans="1:11" x14ac:dyDescent="0.25">
      <c r="A4361" s="163"/>
      <c r="B4361" s="106"/>
      <c r="C4361" s="75" t="s">
        <v>2159</v>
      </c>
      <c r="D4361" s="73"/>
      <c r="E4361" s="73"/>
      <c r="F4361" s="74"/>
      <c r="G4361" s="72"/>
      <c r="K4361" s="273"/>
    </row>
    <row r="4362" spans="1:11" x14ac:dyDescent="0.25">
      <c r="A4362" s="163"/>
      <c r="B4362" s="106"/>
      <c r="C4362" s="73" t="s">
        <v>2160</v>
      </c>
      <c r="D4362" s="73"/>
      <c r="E4362" s="73"/>
      <c r="F4362" s="74" t="s">
        <v>3</v>
      </c>
      <c r="G4362" s="72">
        <v>0.02</v>
      </c>
      <c r="I4362" t="s">
        <v>2161</v>
      </c>
      <c r="K4362" s="273"/>
    </row>
    <row r="4363" spans="1:11" x14ac:dyDescent="0.25">
      <c r="A4363" s="163"/>
      <c r="B4363" s="106"/>
      <c r="C4363" s="73"/>
      <c r="D4363" s="73"/>
      <c r="E4363" s="73"/>
      <c r="F4363" s="74"/>
      <c r="G4363" s="72"/>
      <c r="K4363" s="273"/>
    </row>
    <row r="4364" spans="1:11" x14ac:dyDescent="0.25">
      <c r="A4364" s="163"/>
      <c r="B4364" s="106"/>
      <c r="C4364" s="75" t="s">
        <v>2162</v>
      </c>
      <c r="D4364" s="73"/>
      <c r="E4364" s="73"/>
      <c r="F4364" s="74"/>
      <c r="G4364" s="72"/>
      <c r="K4364" s="273"/>
    </row>
    <row r="4365" spans="1:11" x14ac:dyDescent="0.25">
      <c r="A4365" s="163"/>
      <c r="B4365" s="106"/>
      <c r="C4365" s="73" t="s">
        <v>2160</v>
      </c>
      <c r="D4365" s="73"/>
      <c r="E4365" s="73"/>
      <c r="F4365" s="74" t="s">
        <v>3</v>
      </c>
      <c r="G4365" s="72">
        <v>0.02</v>
      </c>
      <c r="I4365" t="s">
        <v>2161</v>
      </c>
      <c r="K4365" s="273"/>
    </row>
    <row r="4366" spans="1:11" x14ac:dyDescent="0.25">
      <c r="A4366" s="163"/>
      <c r="B4366" s="106"/>
      <c r="C4366" s="73"/>
      <c r="D4366" s="73"/>
      <c r="E4366" s="73"/>
      <c r="F4366" s="74"/>
      <c r="G4366" s="72"/>
      <c r="K4366" s="273"/>
    </row>
    <row r="4367" spans="1:11" ht="15.75" thickBot="1" x14ac:dyDescent="0.3">
      <c r="A4367" s="67"/>
      <c r="B4367" s="86"/>
      <c r="C4367" s="235"/>
      <c r="D4367" s="68"/>
      <c r="E4367" s="68"/>
      <c r="F4367" s="82"/>
      <c r="G4367" s="83"/>
      <c r="K4367" s="273"/>
    </row>
    <row r="4368" spans="1:11" x14ac:dyDescent="0.25">
      <c r="C4368" s="3"/>
      <c r="F4368" s="285" t="s">
        <v>2325</v>
      </c>
      <c r="G4368" s="284"/>
      <c r="K4368" s="273"/>
    </row>
    <row r="4369" spans="1:12" ht="18.75" x14ac:dyDescent="0.25">
      <c r="A4369" s="163"/>
      <c r="B4369" s="106"/>
      <c r="C4369" s="75"/>
      <c r="D4369" s="73"/>
      <c r="E4369" s="331" t="s">
        <v>2326</v>
      </c>
      <c r="F4369" s="74"/>
      <c r="G4369" s="72"/>
      <c r="K4369" s="273"/>
    </row>
    <row r="4370" spans="1:12" x14ac:dyDescent="0.25">
      <c r="A4370" s="163"/>
      <c r="B4370" s="106"/>
      <c r="C4370" s="75"/>
      <c r="D4370" s="73"/>
      <c r="E4370" s="73"/>
      <c r="F4370" s="74"/>
      <c r="G4370" s="72"/>
      <c r="K4370" s="273"/>
    </row>
    <row r="4371" spans="1:12" x14ac:dyDescent="0.25">
      <c r="A4371" s="163"/>
      <c r="B4371" s="106"/>
      <c r="C4371" s="75" t="s">
        <v>2168</v>
      </c>
      <c r="D4371" s="73"/>
      <c r="E4371" s="73"/>
      <c r="F4371" s="74"/>
      <c r="G4371" s="72"/>
    </row>
    <row r="4372" spans="1:12" x14ac:dyDescent="0.25">
      <c r="A4372" s="163"/>
      <c r="B4372" s="106"/>
      <c r="C4372" s="73" t="s">
        <v>2169</v>
      </c>
      <c r="D4372" s="73"/>
      <c r="E4372" s="73"/>
      <c r="F4372" s="74" t="s">
        <v>3</v>
      </c>
      <c r="G4372" s="72">
        <v>0.58499999999999996</v>
      </c>
      <c r="I4372" t="s">
        <v>2170</v>
      </c>
    </row>
    <row r="4373" spans="1:12" x14ac:dyDescent="0.25">
      <c r="A4373" s="163"/>
      <c r="B4373" s="106"/>
      <c r="C4373" s="73" t="s">
        <v>8</v>
      </c>
      <c r="D4373" s="73"/>
      <c r="E4373" s="73"/>
      <c r="F4373" s="74" t="s">
        <v>3</v>
      </c>
      <c r="G4373" s="72">
        <f>G4375*0.85</f>
        <v>1.8377000000000001E-2</v>
      </c>
    </row>
    <row r="4374" spans="1:12" x14ac:dyDescent="0.25">
      <c r="A4374" s="163"/>
      <c r="B4374" s="106"/>
      <c r="C4374" s="73" t="s">
        <v>12</v>
      </c>
      <c r="D4374" s="73"/>
      <c r="E4374" s="73"/>
      <c r="F4374" s="74" t="s">
        <v>3</v>
      </c>
      <c r="G4374" s="72">
        <f>0.3*G4373</f>
        <v>5.5130999999999999E-3</v>
      </c>
    </row>
    <row r="4375" spans="1:12" x14ac:dyDescent="0.25">
      <c r="A4375" s="163"/>
      <c r="B4375" s="106"/>
      <c r="C4375" s="73" t="s">
        <v>72</v>
      </c>
      <c r="D4375" s="73"/>
      <c r="E4375" s="73"/>
      <c r="F4375" s="74" t="s">
        <v>3</v>
      </c>
      <c r="G4375" s="72">
        <f>0.47*0.02*2*1.15</f>
        <v>2.162E-2</v>
      </c>
    </row>
    <row r="4376" spans="1:12" x14ac:dyDescent="0.25">
      <c r="A4376" s="163"/>
      <c r="B4376" s="106"/>
      <c r="C4376" s="73" t="s">
        <v>11</v>
      </c>
      <c r="D4376" s="73"/>
      <c r="E4376" s="73"/>
      <c r="F4376" s="74" t="s">
        <v>3</v>
      </c>
      <c r="G4376" s="72">
        <f>0.3*G4375</f>
        <v>6.4859999999999996E-3</v>
      </c>
      <c r="K4376"/>
      <c r="L4376" s="139"/>
    </row>
    <row r="4377" spans="1:12" x14ac:dyDescent="0.25">
      <c r="A4377" s="163"/>
      <c r="B4377" s="106"/>
      <c r="C4377" s="73"/>
      <c r="D4377" s="73"/>
      <c r="E4377" s="73"/>
      <c r="F4377" s="74"/>
      <c r="G4377" s="72"/>
      <c r="K4377"/>
      <c r="L4377" s="6"/>
    </row>
    <row r="4378" spans="1:12" x14ac:dyDescent="0.25">
      <c r="A4378" s="163"/>
      <c r="B4378" s="106"/>
      <c r="C4378" s="75" t="s">
        <v>2171</v>
      </c>
      <c r="D4378" s="73"/>
      <c r="E4378" s="73"/>
      <c r="F4378" s="74"/>
      <c r="G4378" s="72"/>
    </row>
    <row r="4379" spans="1:12" x14ac:dyDescent="0.25">
      <c r="A4379" s="163"/>
      <c r="B4379" s="106"/>
      <c r="C4379" s="73" t="s">
        <v>2169</v>
      </c>
      <c r="D4379" s="73"/>
      <c r="E4379" s="73"/>
      <c r="F4379" s="74" t="s">
        <v>3</v>
      </c>
      <c r="G4379" s="72">
        <v>0.41</v>
      </c>
      <c r="I4379" t="s">
        <v>2172</v>
      </c>
    </row>
    <row r="4380" spans="1:12" x14ac:dyDescent="0.25">
      <c r="A4380" s="163"/>
      <c r="B4380" s="106"/>
      <c r="C4380" s="73" t="s">
        <v>8</v>
      </c>
      <c r="D4380" s="73"/>
      <c r="E4380" s="73"/>
      <c r="F4380" s="74" t="s">
        <v>3</v>
      </c>
      <c r="G4380" s="72">
        <f>G4382*0.85</f>
        <v>1.2903E-2</v>
      </c>
    </row>
    <row r="4381" spans="1:12" x14ac:dyDescent="0.25">
      <c r="A4381" s="163"/>
      <c r="B4381" s="106"/>
      <c r="C4381" s="73" t="s">
        <v>12</v>
      </c>
      <c r="D4381" s="73"/>
      <c r="E4381" s="73"/>
      <c r="F4381" s="74" t="s">
        <v>3</v>
      </c>
      <c r="G4381" s="72">
        <f>0.3*G4380</f>
        <v>3.8708999999999996E-3</v>
      </c>
    </row>
    <row r="4382" spans="1:12" x14ac:dyDescent="0.25">
      <c r="A4382" s="163"/>
      <c r="B4382" s="106"/>
      <c r="C4382" s="73" t="s">
        <v>72</v>
      </c>
      <c r="D4382" s="73"/>
      <c r="E4382" s="73"/>
      <c r="F4382" s="74" t="s">
        <v>3</v>
      </c>
      <c r="G4382" s="72">
        <f>0.33*0.02*2*1.15</f>
        <v>1.5180000000000001E-2</v>
      </c>
    </row>
    <row r="4383" spans="1:12" x14ac:dyDescent="0.25">
      <c r="A4383" s="163"/>
      <c r="B4383" s="106"/>
      <c r="C4383" s="73" t="s">
        <v>11</v>
      </c>
      <c r="D4383" s="73"/>
      <c r="E4383" s="73"/>
      <c r="F4383" s="74" t="s">
        <v>3</v>
      </c>
      <c r="G4383" s="72">
        <f>0.3*G4382</f>
        <v>4.5539999999999999E-3</v>
      </c>
    </row>
    <row r="4384" spans="1:12" x14ac:dyDescent="0.25">
      <c r="A4384" s="163"/>
      <c r="B4384" s="106"/>
      <c r="C4384" s="73"/>
      <c r="D4384" s="73"/>
      <c r="E4384" s="73"/>
      <c r="F4384" s="74"/>
      <c r="G4384" s="72"/>
    </row>
    <row r="4385" spans="1:7" x14ac:dyDescent="0.25">
      <c r="A4385" s="163"/>
      <c r="B4385" s="106"/>
      <c r="C4385" s="75" t="s">
        <v>2173</v>
      </c>
      <c r="D4385" s="73"/>
      <c r="E4385" s="73"/>
      <c r="F4385" s="74"/>
      <c r="G4385" s="72"/>
    </row>
    <row r="4386" spans="1:7" x14ac:dyDescent="0.25">
      <c r="A4386" s="163"/>
      <c r="B4386" s="106"/>
      <c r="C4386" s="73" t="s">
        <v>2175</v>
      </c>
      <c r="D4386" s="73"/>
      <c r="E4386" s="73"/>
      <c r="F4386" s="74" t="s">
        <v>3</v>
      </c>
      <c r="G4386" s="72">
        <f>0.06*0.025*3*8.5*1.12</f>
        <v>4.284000000000001E-2</v>
      </c>
    </row>
    <row r="4387" spans="1:7" x14ac:dyDescent="0.25">
      <c r="A4387" s="163"/>
      <c r="B4387" s="106"/>
      <c r="C4387" s="73"/>
      <c r="D4387" s="73"/>
      <c r="E4387" s="73"/>
      <c r="F4387" s="74"/>
      <c r="G4387" s="72"/>
    </row>
    <row r="4388" spans="1:7" x14ac:dyDescent="0.25">
      <c r="A4388" s="163"/>
      <c r="B4388" s="106"/>
      <c r="C4388" s="75" t="s">
        <v>2174</v>
      </c>
      <c r="D4388" s="73"/>
      <c r="E4388" s="73"/>
      <c r="F4388" s="74"/>
      <c r="G4388" s="72"/>
    </row>
    <row r="4389" spans="1:7" x14ac:dyDescent="0.25">
      <c r="A4389" s="163"/>
      <c r="B4389" s="106"/>
      <c r="C4389" s="73" t="s">
        <v>2176</v>
      </c>
      <c r="D4389" s="73"/>
      <c r="E4389" s="73"/>
      <c r="F4389" s="74" t="s">
        <v>3</v>
      </c>
      <c r="G4389" s="72">
        <f>0.05*0.02*0.5*8</f>
        <v>4.0000000000000001E-3</v>
      </c>
    </row>
    <row r="4390" spans="1:7" x14ac:dyDescent="0.25">
      <c r="A4390" s="163"/>
      <c r="B4390" s="106"/>
      <c r="C4390" s="73"/>
      <c r="D4390" s="73"/>
      <c r="E4390" s="73"/>
      <c r="F4390" s="74"/>
      <c r="G4390" s="72"/>
    </row>
    <row r="4391" spans="1:7" x14ac:dyDescent="0.25">
      <c r="A4391" s="163"/>
      <c r="B4391" s="106"/>
      <c r="C4391" s="75" t="s">
        <v>2177</v>
      </c>
      <c r="D4391" s="73"/>
      <c r="E4391" s="73"/>
      <c r="F4391" s="74"/>
      <c r="G4391" s="72"/>
    </row>
    <row r="4392" spans="1:7" x14ac:dyDescent="0.25">
      <c r="A4392" s="163"/>
      <c r="B4392" s="106"/>
      <c r="C4392" s="73" t="s">
        <v>300</v>
      </c>
      <c r="D4392" s="73"/>
      <c r="E4392" s="73"/>
      <c r="F4392" s="74" t="s">
        <v>3</v>
      </c>
      <c r="G4392" s="72">
        <f>0.052*0.035*3*8*1.15</f>
        <v>5.0231999999999992E-2</v>
      </c>
    </row>
    <row r="4393" spans="1:7" x14ac:dyDescent="0.25">
      <c r="A4393" s="163"/>
      <c r="B4393" s="106"/>
      <c r="C4393" s="73"/>
      <c r="D4393" s="73"/>
      <c r="E4393" s="73"/>
      <c r="F4393" s="74"/>
      <c r="G4393" s="72"/>
    </row>
    <row r="4394" spans="1:7" x14ac:dyDescent="0.25">
      <c r="A4394" s="163"/>
      <c r="B4394" s="106"/>
      <c r="C4394" s="75" t="s">
        <v>2178</v>
      </c>
      <c r="D4394" s="73"/>
      <c r="E4394" s="73"/>
      <c r="F4394" s="74"/>
      <c r="G4394" s="72"/>
    </row>
    <row r="4395" spans="1:7" x14ac:dyDescent="0.25">
      <c r="A4395" s="163"/>
      <c r="B4395" s="106"/>
      <c r="C4395" s="73" t="s">
        <v>300</v>
      </c>
      <c r="D4395" s="73"/>
      <c r="E4395" s="73"/>
      <c r="F4395" s="74" t="s">
        <v>3</v>
      </c>
      <c r="G4395" s="72">
        <f>0.04*0.04*3*8</f>
        <v>3.8400000000000004E-2</v>
      </c>
    </row>
    <row r="4396" spans="1:7" x14ac:dyDescent="0.25">
      <c r="A4396" s="163"/>
      <c r="B4396" s="106"/>
      <c r="C4396" s="73"/>
      <c r="D4396" s="73"/>
      <c r="E4396" s="73"/>
      <c r="F4396" s="74"/>
      <c r="G4396" s="72"/>
    </row>
    <row r="4397" spans="1:7" x14ac:dyDescent="0.25">
      <c r="A4397" s="163"/>
      <c r="B4397" s="106"/>
      <c r="C4397" s="75" t="s">
        <v>2179</v>
      </c>
      <c r="D4397" s="73"/>
      <c r="E4397" s="73"/>
      <c r="F4397" s="74"/>
      <c r="G4397" s="72"/>
    </row>
    <row r="4398" spans="1:7" x14ac:dyDescent="0.25">
      <c r="A4398" s="163"/>
      <c r="B4398" s="106"/>
      <c r="C4398" s="73" t="s">
        <v>300</v>
      </c>
      <c r="D4398" s="73"/>
      <c r="E4398" s="73"/>
      <c r="F4398" s="74" t="s">
        <v>3</v>
      </c>
      <c r="G4398" s="72">
        <f>0.044*1.18</f>
        <v>5.1919999999999994E-2</v>
      </c>
    </row>
    <row r="4399" spans="1:7" x14ac:dyDescent="0.25">
      <c r="A4399" s="163"/>
      <c r="B4399" s="106"/>
      <c r="C4399" s="73"/>
      <c r="D4399" s="73"/>
      <c r="E4399" s="73"/>
      <c r="F4399" s="74"/>
      <c r="G4399" s="72"/>
    </row>
    <row r="4400" spans="1:7" x14ac:dyDescent="0.25">
      <c r="A4400" s="163"/>
      <c r="B4400" s="106"/>
      <c r="C4400" s="78" t="s">
        <v>2181</v>
      </c>
      <c r="D4400" s="77"/>
      <c r="E4400" s="77"/>
      <c r="F4400" s="74"/>
      <c r="G4400" s="224" t="s">
        <v>625</v>
      </c>
    </row>
    <row r="4401" spans="1:9" x14ac:dyDescent="0.25">
      <c r="A4401" s="163"/>
      <c r="B4401" s="106"/>
      <c r="C4401" s="73" t="s">
        <v>2205</v>
      </c>
      <c r="D4401" s="73"/>
      <c r="E4401" s="73"/>
      <c r="F4401" s="74" t="s">
        <v>3</v>
      </c>
      <c r="G4401" s="72">
        <f>0.3*0.3*0.5*0.7</f>
        <v>3.15E-2</v>
      </c>
    </row>
    <row r="4402" spans="1:9" x14ac:dyDescent="0.25">
      <c r="A4402" s="163"/>
      <c r="B4402" s="106"/>
      <c r="C4402" s="73"/>
      <c r="D4402" s="73"/>
      <c r="E4402" s="73"/>
      <c r="F4402" s="74"/>
      <c r="G4402" s="72"/>
    </row>
    <row r="4403" spans="1:9" x14ac:dyDescent="0.25">
      <c r="A4403" s="163"/>
      <c r="B4403" s="106"/>
      <c r="C4403" s="75" t="s">
        <v>2182</v>
      </c>
      <c r="D4403" s="73"/>
      <c r="E4403" s="73"/>
      <c r="F4403" s="74"/>
      <c r="G4403" s="72"/>
    </row>
    <row r="4404" spans="1:9" x14ac:dyDescent="0.25">
      <c r="A4404" s="163"/>
      <c r="B4404" s="106"/>
      <c r="C4404" s="73" t="s">
        <v>415</v>
      </c>
      <c r="D4404" s="73"/>
      <c r="E4404" s="73"/>
      <c r="F4404" s="74" t="s">
        <v>3</v>
      </c>
      <c r="G4404" s="72">
        <f>0.032*1.15</f>
        <v>3.6799999999999999E-2</v>
      </c>
    </row>
    <row r="4405" spans="1:9" x14ac:dyDescent="0.25">
      <c r="A4405" s="163"/>
      <c r="B4405" s="106"/>
      <c r="C4405" s="73"/>
      <c r="D4405" s="73"/>
      <c r="E4405" s="73"/>
      <c r="F4405" s="74"/>
      <c r="G4405" s="72"/>
    </row>
    <row r="4406" spans="1:9" x14ac:dyDescent="0.25">
      <c r="A4406" s="163"/>
      <c r="B4406" s="106"/>
      <c r="C4406" s="75" t="s">
        <v>2183</v>
      </c>
      <c r="D4406" s="73"/>
      <c r="E4406" s="73"/>
      <c r="F4406" s="74"/>
      <c r="G4406" s="72"/>
    </row>
    <row r="4407" spans="1:9" x14ac:dyDescent="0.25">
      <c r="A4407" s="163"/>
      <c r="B4407" s="106"/>
      <c r="C4407" s="73" t="s">
        <v>140</v>
      </c>
      <c r="D4407" s="73"/>
      <c r="E4407" s="73"/>
      <c r="F4407" s="74" t="s">
        <v>3</v>
      </c>
      <c r="G4407" s="72">
        <f>0.008*3.14*2*0.08*1.05</f>
        <v>4.2201599999999997E-3</v>
      </c>
    </row>
    <row r="4408" spans="1:9" ht="17.25" x14ac:dyDescent="0.25">
      <c r="A4408" s="163"/>
      <c r="B4408" s="106"/>
      <c r="C4408" s="73" t="s">
        <v>23</v>
      </c>
      <c r="D4408" s="73"/>
      <c r="E4408" s="73"/>
      <c r="F4408" s="74" t="s">
        <v>596</v>
      </c>
      <c r="G4408" s="72">
        <f>G4407*1.5</f>
        <v>6.3302399999999991E-3</v>
      </c>
    </row>
    <row r="4409" spans="1:9" x14ac:dyDescent="0.25">
      <c r="A4409" s="163"/>
      <c r="B4409" s="106"/>
      <c r="C4409" s="73" t="s">
        <v>142</v>
      </c>
      <c r="D4409" s="73"/>
      <c r="E4409" s="73"/>
      <c r="F4409" s="74" t="s">
        <v>3</v>
      </c>
      <c r="G4409" s="72">
        <f>G4407/4</f>
        <v>1.0550399999999999E-3</v>
      </c>
    </row>
    <row r="4410" spans="1:9" x14ac:dyDescent="0.25">
      <c r="A4410" s="163"/>
      <c r="B4410" s="106"/>
      <c r="C4410" s="77" t="s">
        <v>143</v>
      </c>
      <c r="D4410" s="73"/>
      <c r="E4410" s="73"/>
      <c r="F4410" s="74" t="s">
        <v>3</v>
      </c>
      <c r="G4410" s="72">
        <f>G4411</f>
        <v>2.2307999999999998E-2</v>
      </c>
    </row>
    <row r="4411" spans="1:9" x14ac:dyDescent="0.25">
      <c r="A4411" s="163"/>
      <c r="B4411" s="106"/>
      <c r="C4411" s="77" t="s">
        <v>8</v>
      </c>
      <c r="D4411" s="73"/>
      <c r="E4411" s="73"/>
      <c r="F4411" s="74" t="s">
        <v>3</v>
      </c>
      <c r="G4411" s="72">
        <f>G4412*0.65</f>
        <v>2.2307999999999998E-2</v>
      </c>
    </row>
    <row r="4412" spans="1:9" x14ac:dyDescent="0.25">
      <c r="A4412" s="163"/>
      <c r="B4412" s="106"/>
      <c r="C4412" s="77" t="s">
        <v>148</v>
      </c>
      <c r="D4412" s="73"/>
      <c r="E4412" s="73"/>
      <c r="F4412" s="74" t="s">
        <v>3</v>
      </c>
      <c r="G4412" s="72">
        <f>1.3*0.011*2*1.2</f>
        <v>3.4319999999999996E-2</v>
      </c>
    </row>
    <row r="4413" spans="1:9" x14ac:dyDescent="0.25">
      <c r="A4413" s="163"/>
      <c r="B4413" s="106"/>
      <c r="C4413" s="77" t="s">
        <v>12</v>
      </c>
      <c r="D4413" s="73"/>
      <c r="E4413" s="73"/>
      <c r="F4413" s="74" t="s">
        <v>3</v>
      </c>
      <c r="G4413" s="72">
        <f>0.3*(G4412+G4411+G4410)</f>
        <v>2.3680799999999998E-2</v>
      </c>
    </row>
    <row r="4414" spans="1:9" x14ac:dyDescent="0.25">
      <c r="A4414" s="163"/>
      <c r="B4414" s="106"/>
      <c r="C4414" s="73"/>
      <c r="D4414" s="75" t="s">
        <v>2185</v>
      </c>
      <c r="E4414" s="73"/>
      <c r="F4414" s="74"/>
      <c r="G4414" s="72"/>
    </row>
    <row r="4415" spans="1:9" x14ac:dyDescent="0.25">
      <c r="A4415" s="163"/>
      <c r="B4415" s="106"/>
      <c r="C4415" s="73"/>
      <c r="D4415" s="73" t="s">
        <v>480</v>
      </c>
      <c r="E4415" s="73"/>
      <c r="F4415" s="74" t="s">
        <v>3</v>
      </c>
      <c r="G4415" s="72">
        <v>0.23499999999999999</v>
      </c>
      <c r="I4415" t="s">
        <v>2184</v>
      </c>
    </row>
    <row r="4416" spans="1:9" x14ac:dyDescent="0.25">
      <c r="A4416" s="163"/>
      <c r="B4416" s="106"/>
      <c r="C4416" s="73"/>
      <c r="D4416" s="73"/>
      <c r="E4416" s="73"/>
      <c r="F4416" s="74"/>
      <c r="G4416" s="72"/>
    </row>
    <row r="4417" spans="1:7" x14ac:dyDescent="0.25">
      <c r="A4417" s="163"/>
      <c r="B4417" s="106"/>
      <c r="C4417" s="75" t="s">
        <v>2186</v>
      </c>
      <c r="D4417" s="73"/>
      <c r="E4417" s="73"/>
      <c r="F4417" s="74"/>
      <c r="G4417" s="72"/>
    </row>
    <row r="4418" spans="1:7" x14ac:dyDescent="0.25">
      <c r="A4418" s="163"/>
      <c r="B4418" s="106"/>
      <c r="C4418" s="77" t="s">
        <v>1054</v>
      </c>
      <c r="D4418" s="73"/>
      <c r="E4418" s="73"/>
      <c r="F4418" s="152" t="s">
        <v>3</v>
      </c>
      <c r="G4418" s="72">
        <f>0.04*0.08*1.2</f>
        <v>3.8400000000000001E-3</v>
      </c>
    </row>
    <row r="4419" spans="1:7" ht="17.25" x14ac:dyDescent="0.25">
      <c r="A4419" s="163"/>
      <c r="B4419" s="106"/>
      <c r="C4419" s="73" t="s">
        <v>1055</v>
      </c>
      <c r="D4419" s="73"/>
      <c r="E4419" s="73"/>
      <c r="F4419" s="152" t="s">
        <v>596</v>
      </c>
      <c r="G4419" s="72">
        <f>G4418*1.1</f>
        <v>4.2240000000000003E-3</v>
      </c>
    </row>
    <row r="4420" spans="1:7" x14ac:dyDescent="0.25">
      <c r="A4420" s="163"/>
      <c r="B4420" s="106"/>
      <c r="C4420" s="73"/>
      <c r="D4420" s="75" t="s">
        <v>2187</v>
      </c>
      <c r="E4420" s="73"/>
      <c r="F4420" s="74"/>
      <c r="G4420" s="72"/>
    </row>
    <row r="4421" spans="1:7" x14ac:dyDescent="0.25">
      <c r="A4421" s="163"/>
      <c r="B4421" s="106"/>
      <c r="C4421" s="73"/>
      <c r="D4421" s="73" t="s">
        <v>722</v>
      </c>
      <c r="E4421" s="73"/>
      <c r="F4421" s="74" t="s">
        <v>3</v>
      </c>
      <c r="G4421" s="72">
        <f>(0.062*3.14+0.04)*0.042*1.5*8*1.14</f>
        <v>0.13483774080000002</v>
      </c>
    </row>
    <row r="4422" spans="1:7" x14ac:dyDescent="0.25">
      <c r="A4422" s="163"/>
      <c r="B4422" s="106"/>
      <c r="C4422" s="73"/>
      <c r="D4422" s="75" t="s">
        <v>2188</v>
      </c>
      <c r="E4422" s="73"/>
      <c r="F4422" s="74"/>
      <c r="G4422" s="72"/>
    </row>
    <row r="4423" spans="1:7" x14ac:dyDescent="0.25">
      <c r="A4423" s="163"/>
      <c r="B4423" s="106"/>
      <c r="C4423" s="73"/>
      <c r="D4423" s="73" t="s">
        <v>150</v>
      </c>
      <c r="E4423" s="73"/>
      <c r="F4423" s="74" t="s">
        <v>3</v>
      </c>
      <c r="G4423" s="72">
        <f>0.065*0.06*2*8*1.12</f>
        <v>6.9888000000000006E-2</v>
      </c>
    </row>
    <row r="4424" spans="1:7" x14ac:dyDescent="0.25">
      <c r="A4424" s="163"/>
      <c r="B4424" s="106"/>
      <c r="C4424" s="73"/>
      <c r="D4424" s="73"/>
      <c r="E4424" s="73"/>
      <c r="F4424" s="74"/>
      <c r="G4424" s="72"/>
    </row>
    <row r="4425" spans="1:7" x14ac:dyDescent="0.25">
      <c r="A4425" s="163"/>
      <c r="B4425" s="106"/>
      <c r="C4425" s="75" t="s">
        <v>2166</v>
      </c>
      <c r="D4425" s="73"/>
      <c r="E4425" s="73"/>
      <c r="F4425" s="74"/>
      <c r="G4425" s="72"/>
    </row>
    <row r="4426" spans="1:7" x14ac:dyDescent="0.25">
      <c r="A4426" s="163"/>
      <c r="B4426" s="106"/>
      <c r="C4426" s="73" t="s">
        <v>8</v>
      </c>
      <c r="D4426" s="73"/>
      <c r="E4426" s="73"/>
      <c r="F4426" s="74" t="s">
        <v>3</v>
      </c>
      <c r="G4426" s="72">
        <f>G4427</f>
        <v>5.7200000000000003E-3</v>
      </c>
    </row>
    <row r="4427" spans="1:7" x14ac:dyDescent="0.25">
      <c r="A4427" s="163"/>
      <c r="B4427" s="106"/>
      <c r="C4427" s="73" t="s">
        <v>36</v>
      </c>
      <c r="D4427" s="73"/>
      <c r="E4427" s="73"/>
      <c r="F4427" s="74" t="s">
        <v>3</v>
      </c>
      <c r="G4427" s="72">
        <f>0.11*0.02*2*1.3</f>
        <v>5.7200000000000003E-3</v>
      </c>
    </row>
    <row r="4428" spans="1:7" x14ac:dyDescent="0.25">
      <c r="A4428" s="163"/>
      <c r="B4428" s="106"/>
      <c r="C4428" s="73" t="s">
        <v>12</v>
      </c>
      <c r="D4428" s="73"/>
      <c r="E4428" s="73"/>
      <c r="F4428" s="74" t="s">
        <v>3</v>
      </c>
      <c r="G4428" s="72">
        <f>0.3*(G4427+G4426)</f>
        <v>3.4320000000000002E-3</v>
      </c>
    </row>
    <row r="4429" spans="1:7" x14ac:dyDescent="0.25">
      <c r="A4429" s="163"/>
      <c r="B4429" s="106"/>
      <c r="C4429" s="73"/>
      <c r="D4429" s="75" t="s">
        <v>2189</v>
      </c>
      <c r="E4429" s="73"/>
      <c r="F4429" s="74"/>
      <c r="G4429" s="72"/>
    </row>
    <row r="4430" spans="1:7" x14ac:dyDescent="0.25">
      <c r="A4430" s="163"/>
      <c r="B4430" s="106"/>
      <c r="C4430" s="73"/>
      <c r="D4430" s="73" t="s">
        <v>275</v>
      </c>
      <c r="E4430" s="73"/>
      <c r="F4430" s="74" t="s">
        <v>3</v>
      </c>
      <c r="G4430" s="72">
        <f>0.23*0.032*1.5*8*1.13</f>
        <v>9.9801600000000004E-2</v>
      </c>
    </row>
    <row r="4431" spans="1:7" x14ac:dyDescent="0.25">
      <c r="A4431" s="163"/>
      <c r="B4431" s="106"/>
      <c r="C4431" s="73"/>
      <c r="D4431" s="73"/>
      <c r="E4431" s="73"/>
      <c r="F4431" s="74"/>
      <c r="G4431" s="72"/>
    </row>
    <row r="4432" spans="1:7" x14ac:dyDescent="0.25">
      <c r="A4432" s="163"/>
      <c r="B4432" s="106"/>
      <c r="C4432" s="75" t="s">
        <v>2190</v>
      </c>
      <c r="D4432" s="73"/>
      <c r="E4432" s="73"/>
      <c r="F4432" s="74"/>
      <c r="G4432" s="72"/>
    </row>
    <row r="4433" spans="1:11" x14ac:dyDescent="0.25">
      <c r="A4433" s="163"/>
      <c r="B4433" s="106"/>
      <c r="C4433" s="73" t="s">
        <v>8</v>
      </c>
      <c r="D4433" s="73"/>
      <c r="E4433" s="73"/>
      <c r="F4433" s="74" t="s">
        <v>3</v>
      </c>
      <c r="G4433" s="72">
        <f>G4434</f>
        <v>9.8799999999999999E-3</v>
      </c>
    </row>
    <row r="4434" spans="1:11" x14ac:dyDescent="0.25">
      <c r="A4434" s="163"/>
      <c r="B4434" s="106"/>
      <c r="C4434" s="73" t="s">
        <v>36</v>
      </c>
      <c r="D4434" s="73"/>
      <c r="E4434" s="73"/>
      <c r="F4434" s="74" t="s">
        <v>3</v>
      </c>
      <c r="G4434" s="72">
        <f>0.19*0.02*2*1.3</f>
        <v>9.8799999999999999E-3</v>
      </c>
    </row>
    <row r="4435" spans="1:11" x14ac:dyDescent="0.25">
      <c r="A4435" s="163"/>
      <c r="B4435" s="106"/>
      <c r="C4435" s="73" t="s">
        <v>12</v>
      </c>
      <c r="D4435" s="73"/>
      <c r="E4435" s="73"/>
      <c r="F4435" s="74" t="s">
        <v>3</v>
      </c>
      <c r="G4435" s="72">
        <f>0.3*(G4434+G4433)</f>
        <v>5.9280000000000001E-3</v>
      </c>
    </row>
    <row r="4436" spans="1:11" x14ac:dyDescent="0.25">
      <c r="A4436" s="163"/>
      <c r="B4436" s="106"/>
      <c r="C4436" s="73"/>
      <c r="D4436" s="75" t="s">
        <v>2191</v>
      </c>
      <c r="E4436" s="73"/>
      <c r="F4436" s="74"/>
      <c r="G4436" s="72"/>
    </row>
    <row r="4437" spans="1:11" x14ac:dyDescent="0.25">
      <c r="A4437" s="163"/>
      <c r="B4437" s="106"/>
      <c r="C4437" s="73"/>
      <c r="D4437" s="73" t="s">
        <v>275</v>
      </c>
      <c r="E4437" s="73"/>
      <c r="F4437" s="74" t="s">
        <v>3</v>
      </c>
      <c r="G4437" s="72">
        <f>0.31*0.032*1.5*8*1.13</f>
        <v>0.1345152</v>
      </c>
    </row>
    <row r="4438" spans="1:11" x14ac:dyDescent="0.25">
      <c r="A4438" s="163"/>
      <c r="B4438" s="106"/>
      <c r="C4438" s="73"/>
      <c r="D4438" s="73"/>
      <c r="E4438" s="73"/>
      <c r="F4438" s="74"/>
      <c r="G4438" s="72"/>
    </row>
    <row r="4439" spans="1:11" x14ac:dyDescent="0.25">
      <c r="A4439" s="163"/>
      <c r="B4439" s="106"/>
      <c r="C4439" s="75" t="s">
        <v>2192</v>
      </c>
      <c r="D4439" s="73"/>
      <c r="E4439" s="73"/>
      <c r="F4439" s="74"/>
      <c r="G4439" s="72"/>
    </row>
    <row r="4440" spans="1:11" x14ac:dyDescent="0.25">
      <c r="A4440" s="163"/>
      <c r="B4440" s="106"/>
      <c r="C4440" s="73" t="s">
        <v>140</v>
      </c>
      <c r="D4440" s="73"/>
      <c r="E4440" s="73"/>
      <c r="F4440" s="74" t="s">
        <v>3</v>
      </c>
      <c r="G4440" s="72">
        <f>0.035*0.08*1.1</f>
        <v>3.0800000000000007E-3</v>
      </c>
    </row>
    <row r="4441" spans="1:11" ht="17.25" x14ac:dyDescent="0.25">
      <c r="A4441" s="163"/>
      <c r="B4441" s="106"/>
      <c r="C4441" s="73" t="s">
        <v>23</v>
      </c>
      <c r="D4441" s="73"/>
      <c r="E4441" s="73"/>
      <c r="F4441" s="74" t="s">
        <v>596</v>
      </c>
      <c r="G4441" s="72">
        <f>G4440*1.5</f>
        <v>4.6200000000000008E-3</v>
      </c>
    </row>
    <row r="4442" spans="1:11" x14ac:dyDescent="0.25">
      <c r="A4442" s="163"/>
      <c r="B4442" s="106"/>
      <c r="C4442" s="73" t="s">
        <v>142</v>
      </c>
      <c r="D4442" s="73"/>
      <c r="E4442" s="73"/>
      <c r="F4442" s="74" t="s">
        <v>3</v>
      </c>
      <c r="G4442" s="72">
        <f>G4440/4</f>
        <v>7.7000000000000018E-4</v>
      </c>
    </row>
    <row r="4443" spans="1:11" x14ac:dyDescent="0.25">
      <c r="A4443" s="163"/>
      <c r="B4443" s="106"/>
      <c r="C4443" s="77" t="s">
        <v>114</v>
      </c>
      <c r="D4443" s="73"/>
      <c r="E4443" s="73"/>
      <c r="F4443" s="74" t="s">
        <v>3</v>
      </c>
      <c r="G4443" s="72">
        <f>G4445</f>
        <v>2.8600000000000001E-3</v>
      </c>
    </row>
    <row r="4444" spans="1:11" x14ac:dyDescent="0.25">
      <c r="A4444" s="163"/>
      <c r="B4444" s="106"/>
      <c r="C4444" s="77" t="s">
        <v>164</v>
      </c>
      <c r="D4444" s="73"/>
      <c r="E4444" s="73"/>
      <c r="F4444" s="74" t="s">
        <v>3</v>
      </c>
      <c r="G4444" s="72">
        <f>0.3*G4443</f>
        <v>8.5800000000000004E-4</v>
      </c>
    </row>
    <row r="4445" spans="1:11" x14ac:dyDescent="0.25">
      <c r="A4445" s="163"/>
      <c r="B4445" s="106"/>
      <c r="C4445" s="77" t="s">
        <v>649</v>
      </c>
      <c r="D4445" s="73"/>
      <c r="E4445" s="73"/>
      <c r="F4445" s="74" t="s">
        <v>3</v>
      </c>
      <c r="G4445" s="72">
        <f>0.1*0.011*2*1.3</f>
        <v>2.8600000000000001E-3</v>
      </c>
    </row>
    <row r="4446" spans="1:11" x14ac:dyDescent="0.25">
      <c r="A4446" s="163"/>
      <c r="B4446" s="106"/>
      <c r="C4446" s="77" t="s">
        <v>36</v>
      </c>
      <c r="D4446" s="73"/>
      <c r="E4446" s="73"/>
      <c r="F4446" s="74" t="s">
        <v>3</v>
      </c>
      <c r="G4446" s="72">
        <f>0.1*0.011*2*1.3</f>
        <v>2.8600000000000001E-3</v>
      </c>
      <c r="K4446" s="273"/>
    </row>
    <row r="4447" spans="1:11" x14ac:dyDescent="0.25">
      <c r="A4447" s="163"/>
      <c r="B4447" s="106"/>
      <c r="C4447" s="77" t="s">
        <v>12</v>
      </c>
      <c r="D4447" s="73"/>
      <c r="E4447" s="73"/>
      <c r="F4447" s="74" t="s">
        <v>3</v>
      </c>
      <c r="G4447" s="72">
        <f>0.3*(G4445+G4446)</f>
        <v>1.7160000000000001E-3</v>
      </c>
    </row>
    <row r="4448" spans="1:11" x14ac:dyDescent="0.25">
      <c r="A4448" s="163"/>
      <c r="B4448" s="106"/>
      <c r="C4448" s="73"/>
      <c r="D4448" s="73"/>
      <c r="E4448" s="73"/>
      <c r="F4448" s="74"/>
      <c r="G4448" s="72"/>
    </row>
    <row r="4449" spans="1:11" x14ac:dyDescent="0.25">
      <c r="A4449" s="163"/>
      <c r="B4449" s="106"/>
      <c r="C4449" s="75" t="s">
        <v>2193</v>
      </c>
      <c r="D4449" s="73"/>
      <c r="E4449" s="73"/>
      <c r="F4449" s="74"/>
      <c r="G4449" s="72"/>
    </row>
    <row r="4450" spans="1:11" x14ac:dyDescent="0.25">
      <c r="A4450" s="163"/>
      <c r="B4450" s="106"/>
      <c r="C4450" s="73" t="s">
        <v>497</v>
      </c>
      <c r="D4450" s="73"/>
      <c r="E4450" s="73"/>
      <c r="F4450" s="74" t="s">
        <v>3</v>
      </c>
      <c r="G4450" s="72">
        <f>0.008*3.14*3*0.08*1.2</f>
        <v>7.2345599999999993E-3</v>
      </c>
    </row>
    <row r="4451" spans="1:11" x14ac:dyDescent="0.25">
      <c r="A4451" s="163"/>
      <c r="B4451" s="106"/>
      <c r="C4451" s="73" t="s">
        <v>168</v>
      </c>
      <c r="D4451" s="73"/>
      <c r="E4451" s="73"/>
      <c r="F4451" s="220" t="s">
        <v>1752</v>
      </c>
      <c r="G4451" s="72">
        <f>G4450*1.1</f>
        <v>7.958016E-3</v>
      </c>
    </row>
    <row r="4452" spans="1:11" x14ac:dyDescent="0.25">
      <c r="A4452" s="163"/>
      <c r="B4452" s="106"/>
      <c r="C4452" s="77" t="s">
        <v>114</v>
      </c>
      <c r="D4452" s="73"/>
      <c r="E4452" s="73"/>
      <c r="F4452" s="74" t="s">
        <v>3</v>
      </c>
      <c r="G4452" s="72">
        <v>4.0000000000000001E-3</v>
      </c>
    </row>
    <row r="4453" spans="1:11" x14ac:dyDescent="0.25">
      <c r="A4453" s="163"/>
      <c r="B4453" s="106"/>
      <c r="C4453" s="77" t="s">
        <v>163</v>
      </c>
      <c r="D4453" s="73"/>
      <c r="E4453" s="73"/>
      <c r="F4453" s="74" t="s">
        <v>3</v>
      </c>
      <c r="G4453" s="72">
        <v>4.0000000000000001E-3</v>
      </c>
    </row>
    <row r="4454" spans="1:11" x14ac:dyDescent="0.25">
      <c r="A4454" s="163"/>
      <c r="B4454" s="106"/>
      <c r="C4454" s="77" t="s">
        <v>164</v>
      </c>
      <c r="D4454" s="73"/>
      <c r="E4454" s="73"/>
      <c r="F4454" s="74" t="s">
        <v>3</v>
      </c>
      <c r="G4454" s="72">
        <f>0.3*(G4453+G4452)</f>
        <v>2.3999999999999998E-3</v>
      </c>
    </row>
    <row r="4455" spans="1:11" x14ac:dyDescent="0.25">
      <c r="A4455" s="163"/>
      <c r="B4455" s="106"/>
      <c r="C4455" s="77" t="s">
        <v>72</v>
      </c>
      <c r="D4455" s="73"/>
      <c r="E4455" s="73"/>
      <c r="F4455" s="74" t="s">
        <v>3</v>
      </c>
      <c r="G4455" s="72">
        <f>0.15*0.011*2*1.3</f>
        <v>4.2899999999999995E-3</v>
      </c>
    </row>
    <row r="4456" spans="1:11" x14ac:dyDescent="0.25">
      <c r="A4456" s="163"/>
      <c r="B4456" s="106"/>
      <c r="C4456" s="77" t="s">
        <v>11</v>
      </c>
      <c r="D4456" s="73"/>
      <c r="E4456" s="73"/>
      <c r="F4456" s="74" t="s">
        <v>3</v>
      </c>
      <c r="G4456" s="72">
        <f>0.3*G4455</f>
        <v>1.2869999999999997E-3</v>
      </c>
    </row>
    <row r="4457" spans="1:11" x14ac:dyDescent="0.25">
      <c r="A4457" s="163"/>
      <c r="B4457" s="106"/>
      <c r="C4457" s="77"/>
      <c r="D4457" s="75" t="s">
        <v>2199</v>
      </c>
      <c r="E4457" s="73"/>
      <c r="F4457" s="74"/>
      <c r="G4457" s="72"/>
      <c r="K4457" s="273"/>
    </row>
    <row r="4458" spans="1:11" x14ac:dyDescent="0.25">
      <c r="A4458" s="163"/>
      <c r="B4458" s="106"/>
      <c r="C4458" s="73"/>
      <c r="D4458" s="73" t="s">
        <v>497</v>
      </c>
      <c r="E4458" s="73"/>
      <c r="F4458" s="74" t="s">
        <v>3</v>
      </c>
      <c r="G4458" s="72">
        <f>0.012*3.14*0.08*1.2</f>
        <v>3.6172800000000005E-3</v>
      </c>
      <c r="K4458" s="273"/>
    </row>
    <row r="4459" spans="1:11" x14ac:dyDescent="0.25">
      <c r="A4459" s="163"/>
      <c r="B4459" s="106"/>
      <c r="C4459" s="73"/>
      <c r="D4459" s="73" t="s">
        <v>168</v>
      </c>
      <c r="E4459" s="73"/>
      <c r="F4459" s="220" t="s">
        <v>1752</v>
      </c>
      <c r="G4459" s="72">
        <f>G4458*1.1</f>
        <v>3.9790080000000009E-3</v>
      </c>
      <c r="K4459" s="273"/>
    </row>
    <row r="4460" spans="1:11" x14ac:dyDescent="0.25">
      <c r="A4460" s="163"/>
      <c r="B4460" s="106"/>
      <c r="C4460" s="73"/>
      <c r="D4460" s="73"/>
      <c r="E4460" s="75" t="s">
        <v>2200</v>
      </c>
      <c r="F4460" s="220"/>
      <c r="G4460" s="72"/>
      <c r="K4460" s="273"/>
    </row>
    <row r="4461" spans="1:11" x14ac:dyDescent="0.25">
      <c r="A4461" s="163"/>
      <c r="B4461" s="106"/>
      <c r="C4461" s="73"/>
      <c r="D4461" s="73"/>
      <c r="E4461" s="73" t="s">
        <v>2201</v>
      </c>
      <c r="F4461" s="74" t="s">
        <v>3</v>
      </c>
      <c r="G4461" s="72">
        <v>0.04</v>
      </c>
      <c r="I4461" t="s">
        <v>2202</v>
      </c>
      <c r="K4461" s="273"/>
    </row>
    <row r="4462" spans="1:11" x14ac:dyDescent="0.25">
      <c r="A4462" s="163"/>
      <c r="B4462" s="106"/>
      <c r="C4462" s="73"/>
      <c r="D4462" s="73"/>
      <c r="E4462" s="75" t="s">
        <v>2203</v>
      </c>
      <c r="F4462" s="74"/>
      <c r="G4462" s="224" t="s">
        <v>99</v>
      </c>
      <c r="K4462" s="273"/>
    </row>
    <row r="4463" spans="1:11" x14ac:dyDescent="0.25">
      <c r="A4463" s="163"/>
      <c r="B4463" s="106"/>
      <c r="C4463" s="73"/>
      <c r="D4463" s="73"/>
      <c r="E4463" s="77" t="s">
        <v>2204</v>
      </c>
      <c r="F4463" s="74" t="s">
        <v>3</v>
      </c>
      <c r="G4463" s="72">
        <v>2.7E-2</v>
      </c>
      <c r="K4463" s="273"/>
    </row>
    <row r="4464" spans="1:11" x14ac:dyDescent="0.25">
      <c r="A4464" s="163"/>
      <c r="B4464" s="106"/>
      <c r="C4464" s="73"/>
      <c r="D4464" s="75" t="s">
        <v>2194</v>
      </c>
      <c r="E4464" s="73"/>
      <c r="F4464" s="74"/>
      <c r="G4464" s="72"/>
    </row>
    <row r="4465" spans="1:9" x14ac:dyDescent="0.25">
      <c r="A4465" s="163"/>
      <c r="B4465" s="106"/>
      <c r="C4465" s="73"/>
      <c r="D4465" s="73" t="s">
        <v>2195</v>
      </c>
      <c r="E4465" s="73"/>
      <c r="F4465" s="74" t="s">
        <v>3</v>
      </c>
      <c r="G4465" s="72">
        <v>0.03</v>
      </c>
      <c r="I4465" t="s">
        <v>2196</v>
      </c>
    </row>
    <row r="4466" spans="1:9" x14ac:dyDescent="0.25">
      <c r="A4466" s="163"/>
      <c r="B4466" s="106"/>
      <c r="C4466" s="73"/>
      <c r="D4466" s="75" t="s">
        <v>2197</v>
      </c>
      <c r="E4466" s="73"/>
      <c r="F4466" s="74"/>
      <c r="G4466" s="72"/>
    </row>
    <row r="4467" spans="1:9" x14ac:dyDescent="0.25">
      <c r="A4467" s="163"/>
      <c r="B4467" s="106"/>
      <c r="C4467" s="73"/>
      <c r="D4467" s="73" t="s">
        <v>2198</v>
      </c>
      <c r="E4467" s="73"/>
      <c r="F4467" s="74" t="s">
        <v>3</v>
      </c>
      <c r="G4467" s="72">
        <f>0.025*0.035*1*8*1.15</f>
        <v>8.0499999999999999E-3</v>
      </c>
    </row>
    <row r="4468" spans="1:9" x14ac:dyDescent="0.25">
      <c r="A4468" s="163"/>
      <c r="B4468" s="106"/>
      <c r="C4468" s="73"/>
      <c r="D4468" s="73"/>
      <c r="E4468" s="73"/>
      <c r="F4468" s="74"/>
      <c r="G4468" s="72"/>
    </row>
    <row r="4469" spans="1:9" x14ac:dyDescent="0.25">
      <c r="A4469" s="163"/>
      <c r="B4469" s="106"/>
      <c r="C4469" s="75" t="s">
        <v>2206</v>
      </c>
      <c r="D4469" s="73"/>
      <c r="E4469" s="73"/>
      <c r="F4469" s="74"/>
      <c r="G4469" s="72"/>
    </row>
    <row r="4470" spans="1:9" x14ac:dyDescent="0.25">
      <c r="A4470" s="163"/>
      <c r="B4470" s="106"/>
      <c r="C4470" s="73" t="s">
        <v>140</v>
      </c>
      <c r="D4470" s="73"/>
      <c r="E4470" s="73"/>
      <c r="F4470" s="74" t="s">
        <v>3</v>
      </c>
      <c r="G4470" s="72">
        <f>0.008*3.14*2*0.07*3.5</f>
        <v>1.2308800000000002E-2</v>
      </c>
    </row>
    <row r="4471" spans="1:9" ht="17.25" x14ac:dyDescent="0.25">
      <c r="A4471" s="163"/>
      <c r="B4471" s="106"/>
      <c r="C4471" s="73" t="s">
        <v>23</v>
      </c>
      <c r="D4471" s="73"/>
      <c r="E4471" s="73"/>
      <c r="F4471" s="74" t="s">
        <v>596</v>
      </c>
      <c r="G4471" s="72">
        <f>G4470*1.5</f>
        <v>1.8463200000000003E-2</v>
      </c>
    </row>
    <row r="4472" spans="1:9" x14ac:dyDescent="0.25">
      <c r="A4472" s="163"/>
      <c r="B4472" s="106"/>
      <c r="C4472" s="73" t="s">
        <v>142</v>
      </c>
      <c r="D4472" s="73"/>
      <c r="E4472" s="73"/>
      <c r="F4472" s="74" t="s">
        <v>3</v>
      </c>
      <c r="G4472" s="72">
        <f>G4470/4</f>
        <v>3.0772000000000004E-3</v>
      </c>
    </row>
    <row r="4473" spans="1:9" x14ac:dyDescent="0.25">
      <c r="A4473" s="163"/>
      <c r="B4473" s="106"/>
      <c r="C4473" s="77" t="s">
        <v>114</v>
      </c>
      <c r="D4473" s="73"/>
      <c r="E4473" s="73"/>
      <c r="F4473" s="74" t="s">
        <v>3</v>
      </c>
      <c r="G4473" s="72">
        <f>G4475</f>
        <v>4.8246000000000001E-3</v>
      </c>
    </row>
    <row r="4474" spans="1:9" x14ac:dyDescent="0.25">
      <c r="A4474" s="163"/>
      <c r="B4474" s="106"/>
      <c r="C4474" s="77" t="s">
        <v>164</v>
      </c>
      <c r="D4474" s="73"/>
      <c r="E4474" s="73"/>
      <c r="F4474" s="74" t="s">
        <v>3</v>
      </c>
      <c r="G4474" s="72">
        <f>0.3*G4473</f>
        <v>1.4473800000000001E-3</v>
      </c>
    </row>
    <row r="4475" spans="1:9" x14ac:dyDescent="0.25">
      <c r="A4475" s="163"/>
      <c r="B4475" s="106"/>
      <c r="C4475" s="77" t="s">
        <v>72</v>
      </c>
      <c r="D4475" s="73"/>
      <c r="E4475" s="73"/>
      <c r="F4475" s="74" t="s">
        <v>3</v>
      </c>
      <c r="G4475" s="72">
        <f>0.17*0.011*2*1.29</f>
        <v>4.8246000000000001E-3</v>
      </c>
    </row>
    <row r="4476" spans="1:9" x14ac:dyDescent="0.25">
      <c r="A4476" s="163"/>
      <c r="B4476" s="106"/>
      <c r="C4476" s="77" t="s">
        <v>11</v>
      </c>
      <c r="D4476" s="73"/>
      <c r="E4476" s="73"/>
      <c r="F4476" s="74" t="s">
        <v>3</v>
      </c>
      <c r="G4476" s="72">
        <f>0.3*G4475</f>
        <v>1.4473800000000001E-3</v>
      </c>
    </row>
    <row r="4477" spans="1:9" x14ac:dyDescent="0.25">
      <c r="A4477" s="163"/>
      <c r="B4477" s="106"/>
      <c r="C4477" s="73"/>
      <c r="D4477" s="75" t="s">
        <v>2207</v>
      </c>
      <c r="E4477" s="73"/>
      <c r="F4477" s="74"/>
      <c r="G4477" s="72"/>
    </row>
    <row r="4478" spans="1:9" x14ac:dyDescent="0.25">
      <c r="A4478" s="163"/>
      <c r="B4478" s="106"/>
      <c r="C4478" s="73"/>
      <c r="D4478" s="73" t="s">
        <v>2208</v>
      </c>
      <c r="E4478" s="73"/>
      <c r="F4478" s="74" t="s">
        <v>3</v>
      </c>
      <c r="G4478" s="72">
        <v>3.5000000000000003E-2</v>
      </c>
      <c r="I4478" t="s">
        <v>2209</v>
      </c>
    </row>
    <row r="4479" spans="1:9" x14ac:dyDescent="0.25">
      <c r="A4479" s="163"/>
      <c r="B4479" s="106"/>
      <c r="C4479" s="73"/>
      <c r="D4479" s="73"/>
      <c r="E4479" s="73"/>
      <c r="F4479" s="74"/>
      <c r="G4479" s="72"/>
    </row>
    <row r="4480" spans="1:9" x14ac:dyDescent="0.25">
      <c r="A4480" s="163"/>
      <c r="B4480" s="106"/>
      <c r="C4480" s="75" t="s">
        <v>2210</v>
      </c>
      <c r="D4480" s="73"/>
      <c r="E4480" s="73"/>
      <c r="F4480" s="74"/>
      <c r="G4480" s="72"/>
    </row>
    <row r="4481" spans="1:11" x14ac:dyDescent="0.25">
      <c r="A4481" s="163"/>
      <c r="B4481" s="106"/>
      <c r="C4481" s="73" t="s">
        <v>140</v>
      </c>
      <c r="D4481" s="73"/>
      <c r="E4481" s="73"/>
      <c r="F4481" s="74" t="s">
        <v>3</v>
      </c>
      <c r="G4481" s="72">
        <f>0.007*3.14*8*0.08*1.2</f>
        <v>1.6880640000000002E-2</v>
      </c>
    </row>
    <row r="4482" spans="1:11" ht="17.25" x14ac:dyDescent="0.25">
      <c r="A4482" s="163"/>
      <c r="B4482" s="106"/>
      <c r="C4482" s="73" t="s">
        <v>23</v>
      </c>
      <c r="D4482" s="73"/>
      <c r="E4482" s="73"/>
      <c r="F4482" s="74" t="s">
        <v>596</v>
      </c>
      <c r="G4482" s="72">
        <f>G4481*1.5</f>
        <v>2.5320960000000003E-2</v>
      </c>
    </row>
    <row r="4483" spans="1:11" x14ac:dyDescent="0.25">
      <c r="A4483" s="163"/>
      <c r="B4483" s="106"/>
      <c r="C4483" s="73" t="s">
        <v>142</v>
      </c>
      <c r="D4483" s="73"/>
      <c r="E4483" s="73"/>
      <c r="F4483" s="74" t="s">
        <v>3</v>
      </c>
      <c r="G4483" s="72">
        <f>G4481/4</f>
        <v>4.2201600000000006E-3</v>
      </c>
    </row>
    <row r="4484" spans="1:11" x14ac:dyDescent="0.25">
      <c r="A4484" s="163"/>
      <c r="B4484" s="106"/>
      <c r="C4484" s="77" t="s">
        <v>114</v>
      </c>
      <c r="D4484" s="77"/>
      <c r="E4484" s="77"/>
      <c r="F4484" s="74" t="s">
        <v>3</v>
      </c>
      <c r="G4484" s="72">
        <f>G4486*0.75</f>
        <v>2.9700000000000004E-2</v>
      </c>
    </row>
    <row r="4485" spans="1:11" x14ac:dyDescent="0.25">
      <c r="A4485" s="163"/>
      <c r="B4485" s="106"/>
      <c r="C4485" s="77" t="s">
        <v>164</v>
      </c>
      <c r="D4485" s="77"/>
      <c r="E4485" s="77"/>
      <c r="F4485" s="74" t="s">
        <v>3</v>
      </c>
      <c r="G4485" s="72">
        <f>0.3*G4484</f>
        <v>8.9100000000000013E-3</v>
      </c>
      <c r="K4485" s="277"/>
    </row>
    <row r="4486" spans="1:11" x14ac:dyDescent="0.25">
      <c r="A4486" s="163"/>
      <c r="B4486" s="106"/>
      <c r="C4486" s="77" t="s">
        <v>152</v>
      </c>
      <c r="D4486" s="77"/>
      <c r="E4486" s="77"/>
      <c r="F4486" s="74" t="s">
        <v>3</v>
      </c>
      <c r="G4486" s="72">
        <f>1.5*0.011*2*1.2</f>
        <v>3.9600000000000003E-2</v>
      </c>
      <c r="K4486" s="277"/>
    </row>
    <row r="4487" spans="1:11" x14ac:dyDescent="0.25">
      <c r="A4487" s="163"/>
      <c r="B4487" s="106"/>
      <c r="C4487" s="77" t="s">
        <v>12</v>
      </c>
      <c r="D4487" s="77"/>
      <c r="E4487" s="77"/>
      <c r="F4487" s="74" t="s">
        <v>3</v>
      </c>
      <c r="G4487" s="72">
        <f>0.3*G4486</f>
        <v>1.188E-2</v>
      </c>
      <c r="K4487" s="277"/>
    </row>
    <row r="4488" spans="1:11" x14ac:dyDescent="0.25">
      <c r="A4488" s="163"/>
      <c r="B4488" s="106"/>
      <c r="C4488" s="73"/>
      <c r="D4488" s="75" t="s">
        <v>2211</v>
      </c>
      <c r="E4488" s="73"/>
      <c r="F4488" s="74"/>
      <c r="G4488" s="224" t="s">
        <v>99</v>
      </c>
    </row>
    <row r="4489" spans="1:11" x14ac:dyDescent="0.25">
      <c r="A4489" s="163"/>
      <c r="B4489" s="106"/>
      <c r="C4489" s="73"/>
      <c r="D4489" s="73" t="s">
        <v>2216</v>
      </c>
      <c r="E4489" s="73"/>
      <c r="F4489" s="74" t="s">
        <v>3</v>
      </c>
      <c r="G4489" s="72">
        <v>5.0999999999999997E-2</v>
      </c>
      <c r="I4489" t="s">
        <v>2217</v>
      </c>
    </row>
    <row r="4490" spans="1:11" x14ac:dyDescent="0.25">
      <c r="A4490" s="163"/>
      <c r="B4490" s="106"/>
      <c r="C4490" s="73"/>
      <c r="D4490" s="75" t="s">
        <v>2212</v>
      </c>
      <c r="E4490" s="73"/>
      <c r="F4490" s="74"/>
      <c r="G4490" s="72"/>
    </row>
    <row r="4491" spans="1:11" x14ac:dyDescent="0.25">
      <c r="A4491" s="163"/>
      <c r="B4491" s="106"/>
      <c r="C4491" s="73"/>
      <c r="D4491" s="73" t="s">
        <v>2208</v>
      </c>
      <c r="E4491" s="73"/>
      <c r="F4491" s="74" t="s">
        <v>3</v>
      </c>
      <c r="G4491" s="72">
        <v>0.04</v>
      </c>
      <c r="I4491" t="s">
        <v>1223</v>
      </c>
    </row>
    <row r="4492" spans="1:11" x14ac:dyDescent="0.25">
      <c r="A4492" s="163"/>
      <c r="B4492" s="106"/>
      <c r="C4492" s="73"/>
      <c r="D4492" s="75" t="s">
        <v>2213</v>
      </c>
      <c r="E4492" s="73"/>
      <c r="F4492" s="74"/>
      <c r="G4492" s="72"/>
    </row>
    <row r="4493" spans="1:11" x14ac:dyDescent="0.25">
      <c r="A4493" s="163"/>
      <c r="B4493" s="106"/>
      <c r="C4493" s="73"/>
      <c r="D4493" s="73" t="s">
        <v>2218</v>
      </c>
      <c r="E4493" s="73"/>
      <c r="F4493" s="74" t="s">
        <v>3</v>
      </c>
      <c r="G4493" s="72">
        <v>0.03</v>
      </c>
      <c r="I4493" t="s">
        <v>2221</v>
      </c>
    </row>
    <row r="4494" spans="1:11" x14ac:dyDescent="0.25">
      <c r="A4494" s="163"/>
      <c r="B4494" s="106"/>
      <c r="C4494" s="73"/>
      <c r="D4494" s="75" t="s">
        <v>2214</v>
      </c>
      <c r="E4494" s="73"/>
      <c r="F4494" s="74"/>
      <c r="G4494" s="72"/>
    </row>
    <row r="4495" spans="1:11" x14ac:dyDescent="0.25">
      <c r="A4495" s="163"/>
      <c r="B4495" s="106"/>
      <c r="C4495" s="73"/>
      <c r="D4495" s="73" t="s">
        <v>2208</v>
      </c>
      <c r="E4495" s="73"/>
      <c r="F4495" s="74" t="s">
        <v>3</v>
      </c>
      <c r="G4495" s="72">
        <v>0.24</v>
      </c>
      <c r="I4495" t="s">
        <v>2220</v>
      </c>
    </row>
    <row r="4496" spans="1:11" x14ac:dyDescent="0.25">
      <c r="A4496" s="163"/>
      <c r="B4496" s="106"/>
      <c r="C4496" s="73"/>
      <c r="D4496" s="75" t="s">
        <v>2215</v>
      </c>
      <c r="E4496" s="73"/>
      <c r="F4496" s="74"/>
      <c r="G4496" s="72"/>
    </row>
    <row r="4497" spans="1:11" x14ac:dyDescent="0.25">
      <c r="A4497" s="163"/>
      <c r="B4497" s="106"/>
      <c r="C4497" s="73"/>
      <c r="D4497" s="73" t="s">
        <v>2208</v>
      </c>
      <c r="E4497" s="73"/>
      <c r="F4497" s="74" t="s">
        <v>3</v>
      </c>
      <c r="G4497" s="72">
        <v>2.3E-2</v>
      </c>
      <c r="I4497" t="s">
        <v>2219</v>
      </c>
    </row>
    <row r="4498" spans="1:11" x14ac:dyDescent="0.25">
      <c r="A4498" s="163"/>
      <c r="B4498" s="106"/>
      <c r="C4498" s="73"/>
      <c r="D4498" s="73"/>
      <c r="E4498" s="73"/>
      <c r="F4498" s="74"/>
      <c r="G4498" s="72"/>
    </row>
    <row r="4499" spans="1:11" x14ac:dyDescent="0.25">
      <c r="A4499" s="279"/>
      <c r="B4499" s="106"/>
      <c r="C4499" s="78" t="s">
        <v>2222</v>
      </c>
      <c r="D4499" s="77"/>
      <c r="E4499" s="77"/>
      <c r="F4499" s="74"/>
      <c r="G4499" s="72"/>
    </row>
    <row r="4500" spans="1:11" s="8" customFormat="1" x14ac:dyDescent="0.25">
      <c r="A4500" s="280"/>
      <c r="B4500" s="106"/>
      <c r="C4500" s="73" t="s">
        <v>140</v>
      </c>
      <c r="D4500" s="73"/>
      <c r="E4500" s="73"/>
      <c r="F4500" s="74" t="s">
        <v>3</v>
      </c>
      <c r="G4500" s="72">
        <f>0.008*3.14*2*0.08*1.2</f>
        <v>4.8230399999999998E-3</v>
      </c>
      <c r="J4500" s="18"/>
      <c r="K4500" s="128"/>
    </row>
    <row r="4501" spans="1:11" s="8" customFormat="1" ht="17.25" x14ac:dyDescent="0.25">
      <c r="A4501" s="280"/>
      <c r="B4501" s="106"/>
      <c r="C4501" s="73" t="s">
        <v>23</v>
      </c>
      <c r="D4501" s="73"/>
      <c r="E4501" s="73"/>
      <c r="F4501" s="74" t="s">
        <v>596</v>
      </c>
      <c r="G4501" s="72">
        <f>G4500*1.5</f>
        <v>7.2345599999999993E-3</v>
      </c>
      <c r="J4501" s="18"/>
      <c r="K4501" s="128"/>
    </row>
    <row r="4502" spans="1:11" s="8" customFormat="1" x14ac:dyDescent="0.25">
      <c r="A4502" s="280"/>
      <c r="B4502" s="106"/>
      <c r="C4502" s="73" t="s">
        <v>142</v>
      </c>
      <c r="D4502" s="73"/>
      <c r="E4502" s="73"/>
      <c r="F4502" s="74" t="s">
        <v>3</v>
      </c>
      <c r="G4502" s="72">
        <f>G4500/4</f>
        <v>1.2057599999999999E-3</v>
      </c>
      <c r="J4502" s="18"/>
      <c r="K4502" s="128"/>
    </row>
    <row r="4503" spans="1:11" s="8" customFormat="1" x14ac:dyDescent="0.25">
      <c r="A4503" s="280"/>
      <c r="B4503" s="106"/>
      <c r="C4503" s="186" t="s">
        <v>114</v>
      </c>
      <c r="D4503" s="77"/>
      <c r="E4503" s="77"/>
      <c r="F4503" s="152" t="s">
        <v>3</v>
      </c>
      <c r="G4503" s="80">
        <f>G4505*0.8</f>
        <v>1.5840000000000003E-2</v>
      </c>
      <c r="J4503" s="18"/>
      <c r="K4503" s="128"/>
    </row>
    <row r="4504" spans="1:11" s="8" customFormat="1" x14ac:dyDescent="0.25">
      <c r="A4504" s="280"/>
      <c r="B4504" s="106"/>
      <c r="C4504" s="186" t="s">
        <v>164</v>
      </c>
      <c r="D4504" s="77"/>
      <c r="E4504" s="77"/>
      <c r="F4504" s="152" t="s">
        <v>3</v>
      </c>
      <c r="G4504" s="80">
        <f>0.3*G4503</f>
        <v>4.752000000000001E-3</v>
      </c>
      <c r="J4504" s="18"/>
      <c r="K4504" s="128"/>
    </row>
    <row r="4505" spans="1:11" s="8" customFormat="1" x14ac:dyDescent="0.25">
      <c r="A4505" s="280"/>
      <c r="B4505" s="106"/>
      <c r="C4505" s="186" t="s">
        <v>152</v>
      </c>
      <c r="D4505" s="77"/>
      <c r="E4505" s="77"/>
      <c r="F4505" s="152" t="s">
        <v>3</v>
      </c>
      <c r="G4505" s="80">
        <f>0.75*0.011*2*1.2</f>
        <v>1.9800000000000002E-2</v>
      </c>
      <c r="J4505" s="18"/>
      <c r="K4505" s="128"/>
    </row>
    <row r="4506" spans="1:11" s="8" customFormat="1" x14ac:dyDescent="0.25">
      <c r="A4506" s="280"/>
      <c r="B4506" s="106"/>
      <c r="C4506" s="186" t="s">
        <v>12</v>
      </c>
      <c r="D4506" s="77"/>
      <c r="E4506" s="77"/>
      <c r="F4506" s="152" t="s">
        <v>3</v>
      </c>
      <c r="G4506" s="80">
        <f>0.3*G4505</f>
        <v>5.94E-3</v>
      </c>
      <c r="J4506" s="18"/>
      <c r="K4506" s="128"/>
    </row>
    <row r="4507" spans="1:11" s="8" customFormat="1" x14ac:dyDescent="0.25">
      <c r="A4507" s="280"/>
      <c r="B4507" s="106"/>
      <c r="C4507" s="78"/>
      <c r="D4507" s="78" t="s">
        <v>2302</v>
      </c>
      <c r="E4507" s="77"/>
      <c r="F4507" s="152"/>
      <c r="G4507" s="80"/>
      <c r="J4507" s="18"/>
      <c r="K4507" s="128"/>
    </row>
    <row r="4508" spans="1:11" s="8" customFormat="1" x14ac:dyDescent="0.25">
      <c r="A4508" s="280"/>
      <c r="B4508" s="106"/>
      <c r="C4508" s="78"/>
      <c r="D4508" s="77" t="s">
        <v>2303</v>
      </c>
      <c r="E4508" s="77"/>
      <c r="F4508" s="152" t="s">
        <v>3</v>
      </c>
      <c r="G4508" s="80">
        <v>0.16</v>
      </c>
      <c r="I4508" t="s">
        <v>2304</v>
      </c>
      <c r="J4508" s="18"/>
      <c r="K4508" s="128"/>
    </row>
    <row r="4509" spans="1:11" s="8" customFormat="1" x14ac:dyDescent="0.25">
      <c r="A4509" s="280"/>
      <c r="B4509" s="106"/>
      <c r="C4509" s="78"/>
      <c r="D4509" s="77"/>
      <c r="E4509" s="77"/>
      <c r="F4509" s="152"/>
      <c r="G4509" s="80"/>
      <c r="J4509" s="18"/>
      <c r="K4509" s="128"/>
    </row>
    <row r="4510" spans="1:11" x14ac:dyDescent="0.25">
      <c r="A4510" s="163"/>
      <c r="B4510" s="106"/>
      <c r="C4510" s="75" t="s">
        <v>2223</v>
      </c>
      <c r="D4510" s="73"/>
      <c r="E4510" s="73"/>
      <c r="F4510" s="74"/>
      <c r="G4510" s="224" t="s">
        <v>99</v>
      </c>
    </row>
    <row r="4511" spans="1:11" x14ac:dyDescent="0.25">
      <c r="A4511" s="163"/>
      <c r="B4511" s="106"/>
      <c r="C4511" s="73" t="s">
        <v>2224</v>
      </c>
      <c r="D4511" s="73"/>
      <c r="E4511" s="73"/>
      <c r="F4511" s="74" t="s">
        <v>3</v>
      </c>
      <c r="G4511" s="72">
        <v>4.4999999999999998E-2</v>
      </c>
    </row>
    <row r="4512" spans="1:11" x14ac:dyDescent="0.25">
      <c r="A4512" s="163"/>
      <c r="B4512" s="106"/>
      <c r="C4512" s="73"/>
      <c r="D4512" s="73"/>
      <c r="E4512" s="73"/>
      <c r="F4512" s="74"/>
      <c r="G4512" s="72"/>
    </row>
    <row r="4513" spans="1:9" x14ac:dyDescent="0.25">
      <c r="A4513" s="163"/>
      <c r="B4513" s="106"/>
      <c r="C4513" s="75" t="s">
        <v>2225</v>
      </c>
      <c r="D4513" s="73"/>
      <c r="E4513" s="73"/>
      <c r="F4513" s="74"/>
      <c r="G4513" s="224" t="s">
        <v>99</v>
      </c>
    </row>
    <row r="4514" spans="1:9" x14ac:dyDescent="0.25">
      <c r="A4514" s="163"/>
      <c r="B4514" s="106"/>
      <c r="C4514" s="73" t="s">
        <v>2224</v>
      </c>
      <c r="D4514" s="73"/>
      <c r="E4514" s="73"/>
      <c r="F4514" s="74" t="s">
        <v>3</v>
      </c>
      <c r="G4514" s="72">
        <v>4.4999999999999998E-2</v>
      </c>
    </row>
    <row r="4515" spans="1:9" x14ac:dyDescent="0.25">
      <c r="A4515" s="163"/>
      <c r="B4515" s="106"/>
      <c r="C4515" s="73"/>
      <c r="D4515" s="73"/>
      <c r="E4515" s="73"/>
      <c r="F4515" s="74"/>
      <c r="G4515" s="72"/>
    </row>
    <row r="4516" spans="1:9" x14ac:dyDescent="0.25">
      <c r="A4516" s="163"/>
      <c r="B4516" s="106"/>
      <c r="C4516" s="75" t="s">
        <v>2226</v>
      </c>
      <c r="D4516" s="73"/>
      <c r="E4516" s="73"/>
      <c r="F4516" s="74"/>
      <c r="G4516" s="72"/>
    </row>
    <row r="4517" spans="1:9" x14ac:dyDescent="0.25">
      <c r="A4517" s="163"/>
      <c r="B4517" s="106"/>
      <c r="C4517" s="73" t="s">
        <v>37</v>
      </c>
      <c r="D4517" s="73"/>
      <c r="E4517" s="73"/>
      <c r="F4517" s="74" t="s">
        <v>3</v>
      </c>
      <c r="G4517" s="72">
        <f>0.15*0.03*0.2*3.5</f>
        <v>3.15E-3</v>
      </c>
    </row>
    <row r="4518" spans="1:9" x14ac:dyDescent="0.25">
      <c r="A4518" s="163"/>
      <c r="B4518" s="106"/>
      <c r="C4518" s="77" t="s">
        <v>1054</v>
      </c>
      <c r="D4518" s="73"/>
      <c r="E4518" s="73"/>
      <c r="F4518" s="152" t="s">
        <v>3</v>
      </c>
      <c r="G4518" s="72">
        <f>0.08*0.08*1.2</f>
        <v>7.6800000000000002E-3</v>
      </c>
    </row>
    <row r="4519" spans="1:9" ht="17.25" x14ac:dyDescent="0.25">
      <c r="A4519" s="163"/>
      <c r="B4519" s="106"/>
      <c r="C4519" s="73" t="s">
        <v>1055</v>
      </c>
      <c r="D4519" s="73"/>
      <c r="E4519" s="73"/>
      <c r="F4519" s="152" t="s">
        <v>596</v>
      </c>
      <c r="G4519" s="72">
        <f>G4518*1.1</f>
        <v>8.4480000000000006E-3</v>
      </c>
    </row>
    <row r="4520" spans="1:9" x14ac:dyDescent="0.25">
      <c r="A4520" s="163"/>
      <c r="B4520" s="106"/>
      <c r="C4520" s="77" t="s">
        <v>8</v>
      </c>
      <c r="D4520" s="73"/>
      <c r="E4520" s="73"/>
      <c r="F4520" s="74" t="s">
        <v>3</v>
      </c>
      <c r="G4520" s="72">
        <f>0.75*G4521</f>
        <v>1.4976E-2</v>
      </c>
    </row>
    <row r="4521" spans="1:9" x14ac:dyDescent="0.25">
      <c r="A4521" s="163"/>
      <c r="B4521" s="106"/>
      <c r="C4521" s="77" t="s">
        <v>36</v>
      </c>
      <c r="D4521" s="73"/>
      <c r="E4521" s="73"/>
      <c r="F4521" s="74" t="s">
        <v>3</v>
      </c>
      <c r="G4521" s="72">
        <f>0.16*0.16*2*0.15*2*1.3</f>
        <v>1.9968E-2</v>
      </c>
    </row>
    <row r="4522" spans="1:9" x14ac:dyDescent="0.25">
      <c r="A4522" s="163"/>
      <c r="B4522" s="106"/>
      <c r="C4522" s="77" t="s">
        <v>12</v>
      </c>
      <c r="D4522" s="73"/>
      <c r="E4522" s="73"/>
      <c r="F4522" s="74" t="s">
        <v>3</v>
      </c>
      <c r="G4522" s="72">
        <f>0.3*(G4521+G4520)</f>
        <v>1.04832E-2</v>
      </c>
    </row>
    <row r="4523" spans="1:9" x14ac:dyDescent="0.25">
      <c r="A4523" s="163"/>
      <c r="B4523" s="106"/>
      <c r="C4523" s="73"/>
      <c r="D4523" s="75" t="s">
        <v>2227</v>
      </c>
      <c r="E4523" s="73"/>
      <c r="F4523" s="74"/>
      <c r="G4523" s="224" t="s">
        <v>625</v>
      </c>
    </row>
    <row r="4524" spans="1:9" x14ac:dyDescent="0.25">
      <c r="A4524" s="163"/>
      <c r="B4524" s="106"/>
      <c r="C4524" s="73"/>
      <c r="D4524" s="73" t="s">
        <v>2228</v>
      </c>
      <c r="E4524" s="73"/>
      <c r="F4524" s="74" t="s">
        <v>3</v>
      </c>
      <c r="G4524" s="80">
        <v>0.11</v>
      </c>
      <c r="I4524" t="s">
        <v>2230</v>
      </c>
    </row>
    <row r="4525" spans="1:9" x14ac:dyDescent="0.25">
      <c r="A4525" s="163"/>
      <c r="B4525" s="106"/>
      <c r="C4525" s="73"/>
      <c r="D4525" s="75" t="s">
        <v>2229</v>
      </c>
      <c r="E4525" s="73"/>
      <c r="F4525" s="74"/>
      <c r="G4525" s="72"/>
    </row>
    <row r="4526" spans="1:9" x14ac:dyDescent="0.25">
      <c r="A4526" s="163"/>
      <c r="B4526" s="106"/>
      <c r="C4526" s="73"/>
      <c r="D4526" s="73" t="s">
        <v>55</v>
      </c>
      <c r="E4526" s="73"/>
      <c r="F4526" s="74" t="s">
        <v>3</v>
      </c>
      <c r="G4526" s="72">
        <f>0.15*0.21*3*8*1.124</f>
        <v>0.84974400000000005</v>
      </c>
    </row>
    <row r="4527" spans="1:9" x14ac:dyDescent="0.25">
      <c r="A4527" s="163"/>
      <c r="B4527" s="106"/>
      <c r="C4527" s="73"/>
      <c r="D4527" s="75" t="s">
        <v>2231</v>
      </c>
      <c r="E4527" s="73"/>
      <c r="F4527" s="74"/>
      <c r="G4527" s="224" t="s">
        <v>99</v>
      </c>
    </row>
    <row r="4528" spans="1:9" x14ac:dyDescent="0.25">
      <c r="A4528" s="163"/>
      <c r="B4528" s="106"/>
      <c r="C4528" s="73"/>
      <c r="D4528" s="73" t="s">
        <v>2235</v>
      </c>
      <c r="E4528" s="73"/>
      <c r="F4528" s="74" t="s">
        <v>3</v>
      </c>
      <c r="G4528" s="72">
        <v>0.28999999999999998</v>
      </c>
    </row>
    <row r="4529" spans="1:11" ht="90" x14ac:dyDescent="0.25">
      <c r="A4529" s="163"/>
      <c r="B4529" s="106"/>
      <c r="C4529" s="73"/>
      <c r="D4529" s="73"/>
      <c r="E4529" s="73"/>
      <c r="F4529" s="74"/>
      <c r="G4529" s="72"/>
      <c r="I4529" s="53" t="s">
        <v>2253</v>
      </c>
      <c r="J4529" s="13" t="s">
        <v>99</v>
      </c>
    </row>
    <row r="4530" spans="1:11" x14ac:dyDescent="0.25">
      <c r="A4530" s="163"/>
      <c r="B4530" s="106"/>
      <c r="C4530" s="75" t="s">
        <v>2232</v>
      </c>
      <c r="D4530" s="73"/>
      <c r="E4530" s="73"/>
      <c r="F4530" s="74"/>
      <c r="G4530" s="72"/>
      <c r="I4530" t="s">
        <v>2249</v>
      </c>
      <c r="J4530" s="13" t="s">
        <v>99</v>
      </c>
    </row>
    <row r="4531" spans="1:11" x14ac:dyDescent="0.25">
      <c r="A4531" s="163"/>
      <c r="B4531" s="106"/>
      <c r="C4531" s="73" t="s">
        <v>2233</v>
      </c>
      <c r="D4531" s="73"/>
      <c r="E4531" s="73"/>
      <c r="F4531" s="74" t="s">
        <v>1516</v>
      </c>
      <c r="G4531" s="72">
        <v>1</v>
      </c>
      <c r="I4531" t="s">
        <v>2234</v>
      </c>
      <c r="J4531" s="13" t="s">
        <v>99</v>
      </c>
    </row>
    <row r="4532" spans="1:11" x14ac:dyDescent="0.25">
      <c r="A4532" s="163"/>
      <c r="B4532" s="106"/>
      <c r="C4532" s="73"/>
      <c r="D4532" s="75" t="s">
        <v>2236</v>
      </c>
      <c r="E4532" s="73"/>
      <c r="F4532" s="74"/>
      <c r="G4532" s="224"/>
      <c r="I4532" t="s">
        <v>2238</v>
      </c>
      <c r="J4532" s="13" t="s">
        <v>625</v>
      </c>
    </row>
    <row r="4533" spans="1:11" x14ac:dyDescent="0.25">
      <c r="A4533" s="163"/>
      <c r="B4533" s="106"/>
      <c r="C4533" s="73"/>
      <c r="D4533" s="73" t="s">
        <v>37</v>
      </c>
      <c r="E4533" s="73"/>
      <c r="F4533" s="74" t="s">
        <v>3</v>
      </c>
      <c r="G4533" s="72">
        <f>(0.14*3.14+0.14*3.14/4.5)*0.036*0.2*3.2</f>
        <v>1.2379136000000001E-2</v>
      </c>
      <c r="I4533" t="s">
        <v>2239</v>
      </c>
      <c r="J4533" s="13" t="s">
        <v>625</v>
      </c>
    </row>
    <row r="4534" spans="1:11" x14ac:dyDescent="0.25">
      <c r="A4534" s="163"/>
      <c r="B4534" s="106"/>
      <c r="C4534" s="73"/>
      <c r="D4534" s="73" t="s">
        <v>8</v>
      </c>
      <c r="E4534" s="73"/>
      <c r="F4534" s="74" t="s">
        <v>3</v>
      </c>
      <c r="G4534" s="72">
        <f>G4535*0.65</f>
        <v>1.8251999999999997E-2</v>
      </c>
      <c r="I4534" t="s">
        <v>2240</v>
      </c>
      <c r="J4534" s="13" t="s">
        <v>625</v>
      </c>
      <c r="K4534" s="275"/>
    </row>
    <row r="4535" spans="1:11" x14ac:dyDescent="0.25">
      <c r="A4535" s="163"/>
      <c r="B4535" s="106"/>
      <c r="C4535" s="73"/>
      <c r="D4535" s="73" t="s">
        <v>36</v>
      </c>
      <c r="E4535" s="73"/>
      <c r="F4535" s="74" t="s">
        <v>3</v>
      </c>
      <c r="G4535" s="72">
        <f>0.6*0.06*2*0.15*2*1.3</f>
        <v>2.8079999999999997E-2</v>
      </c>
      <c r="I4535" t="s">
        <v>2241</v>
      </c>
      <c r="J4535" s="13" t="s">
        <v>625</v>
      </c>
      <c r="K4535" s="275"/>
    </row>
    <row r="4536" spans="1:11" x14ac:dyDescent="0.25">
      <c r="A4536" s="163"/>
      <c r="B4536" s="106"/>
      <c r="C4536" s="73"/>
      <c r="D4536" s="73" t="s">
        <v>12</v>
      </c>
      <c r="E4536" s="73"/>
      <c r="F4536" s="74" t="s">
        <v>3</v>
      </c>
      <c r="G4536" s="72">
        <f>0.3*(G4535+G4534)</f>
        <v>1.38996E-2</v>
      </c>
      <c r="K4536" s="275"/>
    </row>
    <row r="4537" spans="1:11" x14ac:dyDescent="0.25">
      <c r="A4537" s="163"/>
      <c r="B4537" s="106"/>
      <c r="C4537" s="73"/>
      <c r="D4537" s="73"/>
      <c r="E4537" s="75" t="s">
        <v>2258</v>
      </c>
      <c r="F4537" s="74"/>
      <c r="G4537" s="224" t="s">
        <v>625</v>
      </c>
      <c r="K4537" s="275"/>
    </row>
    <row r="4538" spans="1:11" x14ac:dyDescent="0.25">
      <c r="A4538" s="163"/>
      <c r="B4538" s="106"/>
      <c r="C4538" s="73"/>
      <c r="D4538" s="73"/>
      <c r="E4538" s="73" t="s">
        <v>2228</v>
      </c>
      <c r="F4538" s="74" t="s">
        <v>3</v>
      </c>
      <c r="G4538" s="72">
        <v>0.02</v>
      </c>
      <c r="I4538" t="s">
        <v>2230</v>
      </c>
      <c r="K4538" s="275"/>
    </row>
    <row r="4539" spans="1:11" x14ac:dyDescent="0.25">
      <c r="A4539" s="163"/>
      <c r="B4539" s="106"/>
      <c r="C4539" s="73"/>
      <c r="D4539" s="73"/>
      <c r="E4539" s="75" t="s">
        <v>2259</v>
      </c>
      <c r="F4539" s="74"/>
      <c r="G4539" s="224" t="s">
        <v>625</v>
      </c>
      <c r="K4539" s="275"/>
    </row>
    <row r="4540" spans="1:11" x14ac:dyDescent="0.25">
      <c r="A4540" s="163"/>
      <c r="B4540" s="106"/>
      <c r="C4540" s="73"/>
      <c r="D4540" s="73"/>
      <c r="E4540" s="73" t="s">
        <v>2228</v>
      </c>
      <c r="F4540" s="74" t="s">
        <v>3</v>
      </c>
      <c r="G4540" s="72">
        <v>1.4999999999999999E-2</v>
      </c>
      <c r="I4540" t="s">
        <v>2230</v>
      </c>
      <c r="K4540" s="275"/>
    </row>
    <row r="4541" spans="1:11" x14ac:dyDescent="0.25">
      <c r="A4541" s="163"/>
      <c r="B4541" s="106"/>
      <c r="C4541" s="73"/>
      <c r="D4541" s="73"/>
      <c r="E4541" s="75" t="s">
        <v>2260</v>
      </c>
      <c r="F4541" s="74"/>
      <c r="G4541" s="224" t="s">
        <v>625</v>
      </c>
      <c r="K4541" s="275"/>
    </row>
    <row r="4542" spans="1:11" x14ac:dyDescent="0.25">
      <c r="A4542" s="163"/>
      <c r="B4542" s="106"/>
      <c r="C4542" s="73"/>
      <c r="D4542" s="73"/>
      <c r="E4542" s="73" t="s">
        <v>2228</v>
      </c>
      <c r="F4542" s="74" t="s">
        <v>3</v>
      </c>
      <c r="G4542" s="72">
        <v>1.2999999999999999E-2</v>
      </c>
      <c r="I4542" t="s">
        <v>2230</v>
      </c>
      <c r="K4542" s="275"/>
    </row>
    <row r="4543" spans="1:11" x14ac:dyDescent="0.25">
      <c r="A4543" s="163"/>
      <c r="B4543" s="106"/>
      <c r="C4543" s="73"/>
      <c r="D4543" s="73"/>
      <c r="E4543" s="75" t="s">
        <v>2261</v>
      </c>
      <c r="F4543" s="74"/>
      <c r="G4543" s="224" t="s">
        <v>625</v>
      </c>
      <c r="K4543" s="275"/>
    </row>
    <row r="4544" spans="1:11" x14ac:dyDescent="0.25">
      <c r="A4544" s="163"/>
      <c r="B4544" s="106"/>
      <c r="C4544" s="73"/>
      <c r="D4544" s="73"/>
      <c r="E4544" s="73" t="s">
        <v>2228</v>
      </c>
      <c r="F4544" s="74" t="s">
        <v>3</v>
      </c>
      <c r="G4544" s="72">
        <v>0.05</v>
      </c>
      <c r="I4544" t="s">
        <v>2230</v>
      </c>
      <c r="K4544" s="275"/>
    </row>
    <row r="4545" spans="1:7" x14ac:dyDescent="0.25">
      <c r="A4545" s="163"/>
      <c r="B4545" s="106"/>
      <c r="C4545" s="73"/>
      <c r="D4545" s="73"/>
      <c r="E4545" s="75" t="s">
        <v>2237</v>
      </c>
      <c r="F4545" s="74"/>
      <c r="G4545" s="72"/>
    </row>
    <row r="4546" spans="1:7" x14ac:dyDescent="0.25">
      <c r="A4546" s="163"/>
      <c r="B4546" s="106"/>
      <c r="C4546" s="73"/>
      <c r="D4546" s="73"/>
      <c r="E4546" s="77" t="s">
        <v>1054</v>
      </c>
      <c r="F4546" s="152" t="s">
        <v>3</v>
      </c>
      <c r="G4546" s="72">
        <v>6.5000000000000002E-2</v>
      </c>
    </row>
    <row r="4547" spans="1:7" ht="17.25" x14ac:dyDescent="0.25">
      <c r="A4547" s="163"/>
      <c r="B4547" s="106"/>
      <c r="C4547" s="73"/>
      <c r="D4547" s="73"/>
      <c r="E4547" s="73" t="s">
        <v>1055</v>
      </c>
      <c r="F4547" s="152" t="s">
        <v>596</v>
      </c>
      <c r="G4547" s="72">
        <f>G4546*1.1</f>
        <v>7.1500000000000008E-2</v>
      </c>
    </row>
    <row r="4548" spans="1:7" x14ac:dyDescent="0.25">
      <c r="A4548" s="163"/>
      <c r="B4548" s="106"/>
      <c r="C4548" s="73"/>
      <c r="D4548" s="73"/>
      <c r="E4548" s="77" t="s">
        <v>2242</v>
      </c>
      <c r="F4548" s="74" t="s">
        <v>1516</v>
      </c>
      <c r="G4548" s="72">
        <v>1</v>
      </c>
    </row>
    <row r="4549" spans="1:7" x14ac:dyDescent="0.25">
      <c r="A4549" s="163"/>
      <c r="B4549" s="106"/>
      <c r="C4549" s="73"/>
      <c r="D4549" s="73"/>
      <c r="E4549" s="78" t="s">
        <v>2243</v>
      </c>
      <c r="F4549" s="74"/>
      <c r="G4549" s="72"/>
    </row>
    <row r="4550" spans="1:7" x14ac:dyDescent="0.25">
      <c r="A4550" s="163"/>
      <c r="B4550" s="106"/>
      <c r="C4550" s="73"/>
      <c r="D4550" s="73"/>
      <c r="E4550" s="77" t="s">
        <v>2245</v>
      </c>
      <c r="F4550" s="74" t="s">
        <v>3</v>
      </c>
      <c r="G4550" s="72">
        <f>0.27*0.03*3*8*1.13</f>
        <v>0.21967199999999998</v>
      </c>
    </row>
    <row r="4551" spans="1:7" x14ac:dyDescent="0.25">
      <c r="A4551" s="163"/>
      <c r="B4551" s="106"/>
      <c r="C4551" s="73"/>
      <c r="D4551" s="73"/>
      <c r="E4551" s="78" t="s">
        <v>2246</v>
      </c>
      <c r="F4551" s="74"/>
      <c r="G4551" s="72"/>
    </row>
    <row r="4552" spans="1:7" x14ac:dyDescent="0.25">
      <c r="A4552" s="163"/>
      <c r="B4552" s="106"/>
      <c r="C4552" s="73"/>
      <c r="D4552" s="73"/>
      <c r="E4552" s="77" t="s">
        <v>2245</v>
      </c>
      <c r="F4552" s="74" t="s">
        <v>3</v>
      </c>
      <c r="G4552" s="72">
        <f>0.085*(0.142*3.14/2+0.025)*3*8*1.087</f>
        <v>0.54980199119999995</v>
      </c>
    </row>
    <row r="4553" spans="1:7" x14ac:dyDescent="0.25">
      <c r="A4553" s="163"/>
      <c r="B4553" s="106"/>
      <c r="C4553" s="73"/>
      <c r="D4553" s="73"/>
      <c r="E4553" s="78" t="s">
        <v>2247</v>
      </c>
      <c r="F4553" s="74"/>
      <c r="G4553" s="72"/>
    </row>
    <row r="4554" spans="1:7" x14ac:dyDescent="0.25">
      <c r="A4554" s="163"/>
      <c r="B4554" s="106"/>
      <c r="C4554" s="73"/>
      <c r="D4554" s="73"/>
      <c r="E4554" s="77" t="s">
        <v>2245</v>
      </c>
      <c r="F4554" s="74" t="s">
        <v>3</v>
      </c>
      <c r="G4554" s="72">
        <f>0.085*(0.142*3.14/2+0.019+0.045)*3*8*1.094</f>
        <v>0.64038121440000007</v>
      </c>
    </row>
    <row r="4555" spans="1:7" x14ac:dyDescent="0.25">
      <c r="A4555" s="163"/>
      <c r="B4555" s="106"/>
      <c r="C4555" s="73"/>
      <c r="D4555" s="73"/>
      <c r="E4555" s="78" t="s">
        <v>2248</v>
      </c>
      <c r="F4555" s="74"/>
      <c r="G4555" s="72"/>
    </row>
    <row r="4556" spans="1:7" x14ac:dyDescent="0.25">
      <c r="A4556" s="163"/>
      <c r="B4556" s="106"/>
      <c r="C4556" s="73"/>
      <c r="D4556" s="73"/>
      <c r="E4556" s="77" t="s">
        <v>2245</v>
      </c>
      <c r="F4556" s="74" t="s">
        <v>3</v>
      </c>
      <c r="G4556" s="72">
        <f>0.07*0.165*3*8*1.12</f>
        <v>0.31046400000000002</v>
      </c>
    </row>
    <row r="4557" spans="1:7" x14ac:dyDescent="0.25">
      <c r="A4557" s="163"/>
      <c r="B4557" s="106"/>
      <c r="C4557" s="73"/>
      <c r="D4557" s="73"/>
      <c r="E4557" s="78" t="s">
        <v>2250</v>
      </c>
      <c r="F4557" s="74"/>
      <c r="G4557" s="72"/>
    </row>
    <row r="4558" spans="1:7" x14ac:dyDescent="0.25">
      <c r="A4558" s="163"/>
      <c r="B4558" s="106"/>
      <c r="C4558" s="73"/>
      <c r="D4558" s="73"/>
      <c r="E4558" s="77" t="s">
        <v>2251</v>
      </c>
      <c r="F4558" s="74" t="s">
        <v>3</v>
      </c>
      <c r="G4558" s="72">
        <f>0.19*0.035*4*8*1.055</f>
        <v>0.22450400000000001</v>
      </c>
    </row>
    <row r="4559" spans="1:7" x14ac:dyDescent="0.25">
      <c r="A4559" s="163"/>
      <c r="B4559" s="106"/>
      <c r="C4559" s="73"/>
      <c r="D4559" s="73"/>
      <c r="E4559" s="78" t="s">
        <v>2252</v>
      </c>
      <c r="F4559" s="74"/>
      <c r="G4559" s="72"/>
    </row>
    <row r="4560" spans="1:7" x14ac:dyDescent="0.25">
      <c r="A4560" s="163"/>
      <c r="B4560" s="106"/>
      <c r="C4560" s="73"/>
      <c r="D4560" s="73"/>
      <c r="E4560" s="77" t="s">
        <v>2245</v>
      </c>
      <c r="F4560" s="74" t="s">
        <v>3</v>
      </c>
      <c r="G4560" s="72">
        <f>0.125*0.045*3*8*1.11</f>
        <v>0.14985000000000001</v>
      </c>
    </row>
    <row r="4561" spans="1:11" x14ac:dyDescent="0.25">
      <c r="A4561" s="163"/>
      <c r="B4561" s="106"/>
      <c r="C4561" s="73"/>
      <c r="D4561" s="73"/>
      <c r="E4561" s="75" t="s">
        <v>2254</v>
      </c>
      <c r="F4561" s="74"/>
      <c r="G4561" s="72"/>
    </row>
    <row r="4562" spans="1:11" x14ac:dyDescent="0.25">
      <c r="A4562" s="163"/>
      <c r="B4562" s="106"/>
      <c r="C4562" s="73"/>
      <c r="D4562" s="73"/>
      <c r="E4562" s="77" t="s">
        <v>2244</v>
      </c>
      <c r="F4562" s="74" t="s">
        <v>3</v>
      </c>
      <c r="G4562" s="72">
        <f>0.155*0.065*3*8*1.115</f>
        <v>0.26960700000000004</v>
      </c>
    </row>
    <row r="4563" spans="1:11" x14ac:dyDescent="0.25">
      <c r="A4563" s="163"/>
      <c r="B4563" s="106"/>
      <c r="C4563" s="73"/>
      <c r="D4563" s="73"/>
      <c r="E4563" s="75" t="s">
        <v>2255</v>
      </c>
      <c r="F4563" s="74"/>
      <c r="G4563" s="72"/>
    </row>
    <row r="4564" spans="1:11" x14ac:dyDescent="0.25">
      <c r="A4564" s="163"/>
      <c r="B4564" s="106"/>
      <c r="C4564" s="73"/>
      <c r="D4564" s="73"/>
      <c r="E4564" s="77" t="s">
        <v>2244</v>
      </c>
      <c r="F4564" s="74" t="s">
        <v>3</v>
      </c>
      <c r="G4564" s="72">
        <f>0.04*0.04*3*8*1.05</f>
        <v>4.0320000000000009E-2</v>
      </c>
    </row>
    <row r="4565" spans="1:11" x14ac:dyDescent="0.25">
      <c r="A4565" s="163"/>
      <c r="B4565" s="106"/>
      <c r="C4565" s="73"/>
      <c r="D4565" s="73"/>
      <c r="E4565" s="75" t="s">
        <v>2256</v>
      </c>
      <c r="F4565" s="74"/>
      <c r="G4565" s="72"/>
    </row>
    <row r="4566" spans="1:11" x14ac:dyDescent="0.25">
      <c r="A4566" s="163"/>
      <c r="B4566" s="106"/>
      <c r="C4566" s="73"/>
      <c r="D4566" s="73"/>
      <c r="E4566" s="77" t="s">
        <v>2257</v>
      </c>
      <c r="F4566" s="74" t="s">
        <v>3</v>
      </c>
      <c r="G4566" s="72">
        <f>0.23*1.129</f>
        <v>0.25967000000000001</v>
      </c>
    </row>
    <row r="4567" spans="1:11" x14ac:dyDescent="0.25">
      <c r="A4567" s="163"/>
      <c r="B4567" s="106"/>
      <c r="C4567" s="73"/>
      <c r="D4567" s="73"/>
      <c r="E4567" s="73"/>
      <c r="F4567" s="74"/>
      <c r="G4567" s="72"/>
    </row>
    <row r="4568" spans="1:11" x14ac:dyDescent="0.25">
      <c r="A4568" s="163"/>
      <c r="B4568" s="106"/>
      <c r="C4568" s="75" t="s">
        <v>2262</v>
      </c>
      <c r="D4568" s="73"/>
      <c r="E4568" s="73"/>
      <c r="F4568" s="74"/>
      <c r="G4568" s="72"/>
    </row>
    <row r="4569" spans="1:11" x14ac:dyDescent="0.25">
      <c r="A4569" s="163"/>
      <c r="B4569" s="106"/>
      <c r="C4569" s="73" t="s">
        <v>140</v>
      </c>
      <c r="D4569" s="73"/>
      <c r="E4569" s="73"/>
      <c r="F4569" s="74" t="s">
        <v>3</v>
      </c>
      <c r="G4569" s="72">
        <f>0.01*3.14*0.08*1.2</f>
        <v>3.0144000000000004E-3</v>
      </c>
    </row>
    <row r="4570" spans="1:11" ht="17.25" x14ac:dyDescent="0.25">
      <c r="A4570" s="163"/>
      <c r="B4570" s="106"/>
      <c r="C4570" s="73" t="s">
        <v>23</v>
      </c>
      <c r="D4570" s="73"/>
      <c r="E4570" s="73"/>
      <c r="F4570" s="74" t="s">
        <v>596</v>
      </c>
      <c r="G4570" s="72">
        <f>G4569*1.5</f>
        <v>4.5216000000000006E-3</v>
      </c>
      <c r="K4570" s="275"/>
    </row>
    <row r="4571" spans="1:11" x14ac:dyDescent="0.25">
      <c r="A4571" s="163"/>
      <c r="B4571" s="106"/>
      <c r="C4571" s="73" t="s">
        <v>142</v>
      </c>
      <c r="D4571" s="73"/>
      <c r="E4571" s="73"/>
      <c r="F4571" s="74" t="s">
        <v>3</v>
      </c>
      <c r="G4571" s="72">
        <f>G4569/4</f>
        <v>7.536000000000001E-4</v>
      </c>
      <c r="K4571" s="275"/>
    </row>
    <row r="4572" spans="1:11" x14ac:dyDescent="0.25">
      <c r="A4572" s="163"/>
      <c r="B4572" s="106"/>
      <c r="C4572" s="77" t="s">
        <v>114</v>
      </c>
      <c r="D4572" s="73"/>
      <c r="E4572" s="73"/>
      <c r="F4572" s="74" t="s">
        <v>3</v>
      </c>
      <c r="G4572" s="72">
        <f>G4574*0.65</f>
        <v>1.9733999999999998E-2</v>
      </c>
      <c r="K4572" s="275"/>
    </row>
    <row r="4573" spans="1:11" x14ac:dyDescent="0.25">
      <c r="A4573" s="163"/>
      <c r="B4573" s="106"/>
      <c r="C4573" s="77" t="s">
        <v>164</v>
      </c>
      <c r="D4573" s="73"/>
      <c r="E4573" s="73"/>
      <c r="F4573" s="74" t="s">
        <v>3</v>
      </c>
      <c r="G4573" s="72">
        <f>0.3*G4572</f>
        <v>5.9201999999999996E-3</v>
      </c>
      <c r="K4573" s="275"/>
    </row>
    <row r="4574" spans="1:11" x14ac:dyDescent="0.25">
      <c r="A4574" s="163"/>
      <c r="B4574" s="106"/>
      <c r="C4574" s="77" t="s">
        <v>649</v>
      </c>
      <c r="D4574" s="73"/>
      <c r="E4574" s="73"/>
      <c r="F4574" s="74" t="s">
        <v>3</v>
      </c>
      <c r="G4574" s="72">
        <f>1.15*0.011*2*1.2</f>
        <v>3.0359999999999995E-2</v>
      </c>
      <c r="K4574" s="275"/>
    </row>
    <row r="4575" spans="1:11" x14ac:dyDescent="0.25">
      <c r="A4575" s="163"/>
      <c r="B4575" s="106"/>
      <c r="C4575" s="77" t="s">
        <v>12</v>
      </c>
      <c r="D4575" s="73"/>
      <c r="E4575" s="73"/>
      <c r="F4575" s="74" t="s">
        <v>3</v>
      </c>
      <c r="G4575" s="72">
        <f>0.3*G4574</f>
        <v>9.107999999999998E-3</v>
      </c>
    </row>
    <row r="4576" spans="1:11" x14ac:dyDescent="0.25">
      <c r="A4576" s="163"/>
      <c r="B4576" s="106"/>
      <c r="C4576" s="73"/>
      <c r="D4576" s="75" t="s">
        <v>2263</v>
      </c>
      <c r="E4576" s="73"/>
      <c r="F4576" s="74"/>
      <c r="G4576" s="72"/>
    </row>
    <row r="4577" spans="1:10" x14ac:dyDescent="0.25">
      <c r="A4577" s="163"/>
      <c r="B4577" s="106"/>
      <c r="C4577" s="73"/>
      <c r="D4577" s="73" t="s">
        <v>2265</v>
      </c>
      <c r="E4577" s="73"/>
      <c r="F4577" s="74" t="s">
        <v>3</v>
      </c>
      <c r="G4577" s="72">
        <v>0.31</v>
      </c>
      <c r="I4577" t="s">
        <v>2266</v>
      </c>
    </row>
    <row r="4578" spans="1:10" x14ac:dyDescent="0.25">
      <c r="A4578" s="163"/>
      <c r="B4578" s="106"/>
      <c r="C4578" s="73"/>
      <c r="D4578" s="73"/>
      <c r="E4578" s="73"/>
      <c r="F4578" s="74"/>
      <c r="G4578" s="72"/>
    </row>
    <row r="4579" spans="1:10" x14ac:dyDescent="0.25">
      <c r="A4579" s="163"/>
      <c r="B4579" s="106"/>
      <c r="C4579" s="75" t="s">
        <v>2267</v>
      </c>
      <c r="D4579" s="73"/>
      <c r="E4579" s="73"/>
      <c r="F4579" s="74"/>
      <c r="G4579" s="72"/>
      <c r="I4579" s="3" t="s">
        <v>2268</v>
      </c>
      <c r="J4579" s="13" t="s">
        <v>99</v>
      </c>
    </row>
    <row r="4580" spans="1:10" x14ac:dyDescent="0.25">
      <c r="A4580" s="163"/>
      <c r="B4580" s="106"/>
      <c r="C4580" s="73" t="s">
        <v>140</v>
      </c>
      <c r="D4580" s="73"/>
      <c r="E4580" s="73"/>
      <c r="F4580" s="74" t="s">
        <v>3</v>
      </c>
      <c r="G4580" s="72">
        <f>0.008*3.14*6*0.08*1.2</f>
        <v>1.4469119999999999E-2</v>
      </c>
    </row>
    <row r="4581" spans="1:10" ht="17.25" x14ac:dyDescent="0.25">
      <c r="A4581" s="163"/>
      <c r="B4581" s="106"/>
      <c r="C4581" s="73" t="s">
        <v>23</v>
      </c>
      <c r="D4581" s="73"/>
      <c r="E4581" s="73"/>
      <c r="F4581" s="74" t="s">
        <v>596</v>
      </c>
      <c r="G4581" s="72">
        <f>G4580*1.5</f>
        <v>2.1703679999999996E-2</v>
      </c>
    </row>
    <row r="4582" spans="1:10" x14ac:dyDescent="0.25">
      <c r="A4582" s="163"/>
      <c r="B4582" s="106"/>
      <c r="C4582" s="73" t="s">
        <v>142</v>
      </c>
      <c r="D4582" s="73"/>
      <c r="E4582" s="73"/>
      <c r="F4582" s="74" t="s">
        <v>3</v>
      </c>
      <c r="G4582" s="72">
        <f>G4580/4</f>
        <v>3.6172799999999996E-3</v>
      </c>
    </row>
    <row r="4583" spans="1:10" x14ac:dyDescent="0.25">
      <c r="A4583" s="163"/>
      <c r="B4583" s="106"/>
      <c r="C4583" s="77" t="s">
        <v>114</v>
      </c>
      <c r="D4583" s="73"/>
      <c r="E4583" s="73"/>
      <c r="F4583" s="74" t="s">
        <v>3</v>
      </c>
      <c r="G4583" s="72">
        <f>G4585*0.65</f>
        <v>1.9662499999999999E-2</v>
      </c>
    </row>
    <row r="4584" spans="1:10" x14ac:dyDescent="0.25">
      <c r="A4584" s="163"/>
      <c r="B4584" s="106"/>
      <c r="C4584" s="77" t="s">
        <v>164</v>
      </c>
      <c r="D4584" s="73"/>
      <c r="E4584" s="73"/>
      <c r="F4584" s="74" t="s">
        <v>3</v>
      </c>
      <c r="G4584" s="72">
        <f>0.3*G4583</f>
        <v>5.8987499999999995E-3</v>
      </c>
    </row>
    <row r="4585" spans="1:10" x14ac:dyDescent="0.25">
      <c r="A4585" s="163"/>
      <c r="B4585" s="106"/>
      <c r="C4585" s="77" t="s">
        <v>500</v>
      </c>
      <c r="D4585" s="73"/>
      <c r="E4585" s="73"/>
      <c r="F4585" s="74" t="s">
        <v>3</v>
      </c>
      <c r="G4585" s="72">
        <f>1.1*0.011*2*1.25</f>
        <v>3.0249999999999999E-2</v>
      </c>
    </row>
    <row r="4586" spans="1:10" x14ac:dyDescent="0.25">
      <c r="A4586" s="163"/>
      <c r="B4586" s="106"/>
      <c r="C4586" s="77" t="s">
        <v>12</v>
      </c>
      <c r="D4586" s="73"/>
      <c r="E4586" s="73"/>
      <c r="F4586" s="74" t="s">
        <v>3</v>
      </c>
      <c r="G4586" s="72">
        <f>0.3*G4585</f>
        <v>9.0749999999999997E-3</v>
      </c>
    </row>
    <row r="4587" spans="1:10" x14ac:dyDescent="0.25">
      <c r="A4587" s="163"/>
      <c r="B4587" s="106"/>
      <c r="C4587" s="73"/>
      <c r="D4587" s="75" t="s">
        <v>2269</v>
      </c>
      <c r="E4587" s="73"/>
      <c r="F4587" s="74"/>
      <c r="G4587" s="72"/>
    </row>
    <row r="4588" spans="1:10" x14ac:dyDescent="0.25">
      <c r="A4588" s="163"/>
      <c r="B4588" s="106"/>
      <c r="C4588" s="73"/>
      <c r="D4588" s="73" t="s">
        <v>2208</v>
      </c>
      <c r="E4588" s="73"/>
      <c r="F4588" s="74" t="s">
        <v>3</v>
      </c>
      <c r="G4588" s="72">
        <v>0.18</v>
      </c>
      <c r="I4588" t="s">
        <v>2272</v>
      </c>
    </row>
    <row r="4589" spans="1:10" x14ac:dyDescent="0.25">
      <c r="A4589" s="163"/>
      <c r="B4589" s="106"/>
      <c r="C4589" s="73"/>
      <c r="D4589" s="75" t="s">
        <v>2270</v>
      </c>
      <c r="E4589" s="73"/>
      <c r="F4589" s="74"/>
      <c r="G4589" s="72"/>
    </row>
    <row r="4590" spans="1:10" x14ac:dyDescent="0.25">
      <c r="A4590" s="163"/>
      <c r="B4590" s="106"/>
      <c r="C4590" s="73"/>
      <c r="D4590" s="73" t="s">
        <v>2208</v>
      </c>
      <c r="E4590" s="73"/>
      <c r="F4590" s="74" t="s">
        <v>3</v>
      </c>
      <c r="G4590" s="72">
        <v>1.6E-2</v>
      </c>
      <c r="I4590" t="s">
        <v>2273</v>
      </c>
    </row>
    <row r="4591" spans="1:10" x14ac:dyDescent="0.25">
      <c r="A4591" s="163"/>
      <c r="B4591" s="106"/>
      <c r="C4591" s="73"/>
      <c r="D4591" s="75" t="s">
        <v>2271</v>
      </c>
      <c r="E4591" s="73"/>
      <c r="F4591" s="74"/>
      <c r="G4591" s="72"/>
    </row>
    <row r="4592" spans="1:10" x14ac:dyDescent="0.25">
      <c r="A4592" s="163"/>
      <c r="B4592" s="106"/>
      <c r="C4592" s="73"/>
      <c r="D4592" s="73" t="s">
        <v>2208</v>
      </c>
      <c r="E4592" s="73"/>
      <c r="F4592" s="74" t="s">
        <v>3</v>
      </c>
      <c r="G4592" s="72">
        <v>3.5000000000000003E-2</v>
      </c>
      <c r="I4592" t="s">
        <v>2209</v>
      </c>
    </row>
    <row r="4593" spans="1:11" x14ac:dyDescent="0.25">
      <c r="A4593" s="163"/>
      <c r="B4593" s="106"/>
      <c r="C4593" s="73"/>
      <c r="D4593" s="73"/>
      <c r="E4593" s="73"/>
      <c r="F4593" s="74"/>
      <c r="G4593" s="72"/>
    </row>
    <row r="4594" spans="1:11" x14ac:dyDescent="0.25">
      <c r="A4594" s="163"/>
      <c r="B4594" s="106"/>
      <c r="C4594" s="75" t="s">
        <v>2275</v>
      </c>
      <c r="D4594" s="73"/>
      <c r="E4594" s="73"/>
      <c r="F4594" s="74"/>
      <c r="G4594" s="72"/>
    </row>
    <row r="4595" spans="1:11" x14ac:dyDescent="0.25">
      <c r="A4595" s="163"/>
      <c r="B4595" s="106"/>
      <c r="C4595" s="73" t="s">
        <v>2276</v>
      </c>
      <c r="D4595" s="73"/>
      <c r="E4595" s="73"/>
      <c r="F4595" s="74" t="s">
        <v>1516</v>
      </c>
      <c r="G4595" s="72">
        <v>6</v>
      </c>
    </row>
    <row r="4596" spans="1:11" x14ac:dyDescent="0.25">
      <c r="A4596" s="163"/>
      <c r="B4596" s="106"/>
      <c r="C4596" s="73" t="s">
        <v>2292</v>
      </c>
      <c r="D4596" s="73"/>
      <c r="E4596" s="73"/>
      <c r="F4596" s="74" t="s">
        <v>1516</v>
      </c>
      <c r="G4596" s="72">
        <v>6</v>
      </c>
      <c r="K4596" s="276"/>
    </row>
    <row r="4597" spans="1:11" x14ac:dyDescent="0.25">
      <c r="A4597" s="163"/>
      <c r="B4597" s="106"/>
      <c r="C4597" s="73"/>
      <c r="D4597" s="75" t="s">
        <v>2277</v>
      </c>
      <c r="E4597" s="73"/>
      <c r="F4597" s="74"/>
      <c r="G4597" s="72"/>
    </row>
    <row r="4598" spans="1:11" x14ac:dyDescent="0.25">
      <c r="A4598" s="163"/>
      <c r="B4598" s="106"/>
      <c r="C4598" s="73"/>
      <c r="D4598" s="77" t="s">
        <v>1054</v>
      </c>
      <c r="E4598" s="73"/>
      <c r="F4598" s="152" t="s">
        <v>3</v>
      </c>
      <c r="G4598" s="72">
        <f>0.17*3.14*0.08*1.3*0.6+0.55*0.08*0.38</f>
        <v>5.002912000000001E-2</v>
      </c>
    </row>
    <row r="4599" spans="1:11" ht="17.25" x14ac:dyDescent="0.25">
      <c r="A4599" s="163"/>
      <c r="B4599" s="106"/>
      <c r="C4599" s="73"/>
      <c r="D4599" s="73" t="s">
        <v>1055</v>
      </c>
      <c r="E4599" s="73"/>
      <c r="F4599" s="152" t="s">
        <v>596</v>
      </c>
      <c r="G4599" s="72">
        <f>G4598*1.1</f>
        <v>5.5032032000000015E-2</v>
      </c>
    </row>
    <row r="4600" spans="1:11" x14ac:dyDescent="0.25">
      <c r="A4600" s="163"/>
      <c r="B4600" s="106"/>
      <c r="C4600" s="73"/>
      <c r="D4600" s="77" t="s">
        <v>8</v>
      </c>
      <c r="E4600" s="73"/>
      <c r="F4600" s="74" t="s">
        <v>3</v>
      </c>
      <c r="G4600" s="72">
        <f>G4601*0.78</f>
        <v>5.041764E-2</v>
      </c>
    </row>
    <row r="4601" spans="1:11" x14ac:dyDescent="0.25">
      <c r="A4601" s="163"/>
      <c r="B4601" s="106"/>
      <c r="C4601" s="73"/>
      <c r="D4601" s="77" t="s">
        <v>36</v>
      </c>
      <c r="E4601" s="73"/>
      <c r="F4601" s="74" t="s">
        <v>3</v>
      </c>
      <c r="G4601" s="72">
        <f>0.27*0.38*2*0.15*2*1.05</f>
        <v>6.4638000000000001E-2</v>
      </c>
    </row>
    <row r="4602" spans="1:11" x14ac:dyDescent="0.25">
      <c r="A4602" s="163"/>
      <c r="B4602" s="106"/>
      <c r="C4602" s="73"/>
      <c r="D4602" s="77" t="s">
        <v>12</v>
      </c>
      <c r="E4602" s="73"/>
      <c r="F4602" s="74" t="s">
        <v>3</v>
      </c>
      <c r="G4602" s="72">
        <f>0.3*(G4601+G4600)</f>
        <v>3.4516692000000002E-2</v>
      </c>
    </row>
    <row r="4603" spans="1:11" x14ac:dyDescent="0.25">
      <c r="A4603" s="163"/>
      <c r="B4603" s="106"/>
      <c r="C4603" s="73"/>
      <c r="D4603" s="73"/>
      <c r="E4603" s="75" t="s">
        <v>2278</v>
      </c>
      <c r="F4603" s="74"/>
      <c r="G4603" s="72"/>
    </row>
    <row r="4604" spans="1:11" x14ac:dyDescent="0.25">
      <c r="A4604" s="163"/>
      <c r="B4604" s="106"/>
      <c r="C4604" s="73"/>
      <c r="D4604" s="73"/>
      <c r="E4604" s="77" t="s">
        <v>1054</v>
      </c>
      <c r="F4604" s="152" t="s">
        <v>3</v>
      </c>
      <c r="G4604" s="72">
        <f>0.16*3.14*0.08*0.8</f>
        <v>3.2153600000000004E-2</v>
      </c>
    </row>
    <row r="4605" spans="1:11" ht="17.25" x14ac:dyDescent="0.25">
      <c r="A4605" s="163"/>
      <c r="B4605" s="106"/>
      <c r="C4605" s="73"/>
      <c r="D4605" s="73"/>
      <c r="E4605" s="73" t="s">
        <v>1055</v>
      </c>
      <c r="F4605" s="152" t="s">
        <v>596</v>
      </c>
      <c r="G4605" s="72">
        <f>G4604*1.1</f>
        <v>3.5368960000000005E-2</v>
      </c>
    </row>
    <row r="4606" spans="1:11" x14ac:dyDescent="0.25">
      <c r="A4606" s="163"/>
      <c r="B4606" s="106"/>
      <c r="C4606" s="73"/>
      <c r="D4606" s="73"/>
      <c r="E4606" s="78" t="s">
        <v>2279</v>
      </c>
      <c r="F4606" s="74"/>
      <c r="G4606" s="72"/>
    </row>
    <row r="4607" spans="1:11" x14ac:dyDescent="0.25">
      <c r="A4607" s="163"/>
      <c r="B4607" s="106"/>
      <c r="C4607" s="73"/>
      <c r="D4607" s="73"/>
      <c r="E4607" s="77" t="s">
        <v>2281</v>
      </c>
      <c r="F4607" s="74" t="s">
        <v>3</v>
      </c>
      <c r="G4607" s="72">
        <f>0.164*3.14*0.1*1*8*1.116</f>
        <v>0.45975628800000018</v>
      </c>
    </row>
    <row r="4608" spans="1:11" x14ac:dyDescent="0.25">
      <c r="A4608" s="163"/>
      <c r="B4608" s="106"/>
      <c r="C4608" s="73"/>
      <c r="D4608" s="73"/>
      <c r="E4608" s="77" t="s">
        <v>2282</v>
      </c>
      <c r="F4608" s="152" t="s">
        <v>3</v>
      </c>
      <c r="G4608" s="72">
        <f>0.1*0.08*1.15</f>
        <v>9.1999999999999998E-3</v>
      </c>
      <c r="K4608" s="276"/>
    </row>
    <row r="4609" spans="1:11" ht="17.25" x14ac:dyDescent="0.25">
      <c r="A4609" s="163"/>
      <c r="B4609" s="106"/>
      <c r="C4609" s="73"/>
      <c r="D4609" s="73"/>
      <c r="E4609" s="73" t="s">
        <v>2283</v>
      </c>
      <c r="F4609" s="152" t="s">
        <v>596</v>
      </c>
      <c r="G4609" s="72">
        <f>G4608*1.1</f>
        <v>1.0120000000000001E-2</v>
      </c>
      <c r="K4609" s="276"/>
    </row>
    <row r="4610" spans="1:11" x14ac:dyDescent="0.25">
      <c r="A4610" s="163"/>
      <c r="B4610" s="106"/>
      <c r="C4610" s="73"/>
      <c r="D4610" s="73"/>
      <c r="E4610" s="75" t="s">
        <v>2280</v>
      </c>
      <c r="F4610" s="74"/>
      <c r="G4610" s="72"/>
    </row>
    <row r="4611" spans="1:11" x14ac:dyDescent="0.25">
      <c r="A4611" s="163"/>
      <c r="B4611" s="106"/>
      <c r="C4611" s="73"/>
      <c r="D4611" s="73"/>
      <c r="E4611" s="77" t="s">
        <v>2284</v>
      </c>
      <c r="F4611" s="74" t="s">
        <v>3</v>
      </c>
      <c r="G4611" s="72">
        <f>0.17*0.17*2*8*1.102</f>
        <v>0.50956480000000015</v>
      </c>
    </row>
    <row r="4612" spans="1:11" x14ac:dyDescent="0.25">
      <c r="A4612" s="163"/>
      <c r="B4612" s="106"/>
      <c r="C4612" s="73"/>
      <c r="D4612" s="73"/>
      <c r="E4612" s="78" t="s">
        <v>2285</v>
      </c>
      <c r="F4612" s="74"/>
      <c r="G4612" s="72"/>
    </row>
    <row r="4613" spans="1:11" x14ac:dyDescent="0.25">
      <c r="A4613" s="163"/>
      <c r="B4613" s="106"/>
      <c r="C4613" s="73"/>
      <c r="D4613" s="73"/>
      <c r="E4613" s="77" t="s">
        <v>54</v>
      </c>
      <c r="F4613" s="74" t="s">
        <v>3</v>
      </c>
      <c r="G4613" s="72">
        <f>0.4*0.29*4*8*1.0507</f>
        <v>3.9001983999999994</v>
      </c>
    </row>
    <row r="4614" spans="1:11" x14ac:dyDescent="0.25">
      <c r="A4614" s="163"/>
      <c r="B4614" s="106"/>
      <c r="C4614" s="73"/>
      <c r="D4614" s="73"/>
      <c r="E4614" s="78" t="s">
        <v>2286</v>
      </c>
      <c r="F4614" s="74"/>
      <c r="G4614" s="72"/>
    </row>
    <row r="4615" spans="1:11" x14ac:dyDescent="0.25">
      <c r="A4615" s="163"/>
      <c r="B4615" s="106"/>
      <c r="C4615" s="73"/>
      <c r="D4615" s="73"/>
      <c r="E4615" s="77" t="s">
        <v>55</v>
      </c>
      <c r="F4615" s="74" t="s">
        <v>3</v>
      </c>
      <c r="G4615" s="72">
        <f>0.07*0.022*3*8*1.08</f>
        <v>3.9916800000000009E-2</v>
      </c>
    </row>
    <row r="4616" spans="1:11" x14ac:dyDescent="0.25">
      <c r="A4616" s="163"/>
      <c r="B4616" s="106"/>
      <c r="C4616" s="73"/>
      <c r="D4616" s="73"/>
      <c r="E4616" s="78" t="s">
        <v>2287</v>
      </c>
      <c r="F4616" s="74"/>
      <c r="G4616" s="72"/>
    </row>
    <row r="4617" spans="1:11" x14ac:dyDescent="0.25">
      <c r="A4617" s="163"/>
      <c r="B4617" s="106"/>
      <c r="C4617" s="73"/>
      <c r="D4617" s="73"/>
      <c r="E4617" s="77" t="s">
        <v>54</v>
      </c>
      <c r="F4617" s="74" t="s">
        <v>3</v>
      </c>
      <c r="G4617" s="72">
        <f>0.4*0.02*4*8*1.115</f>
        <v>0.28544000000000003</v>
      </c>
    </row>
    <row r="4618" spans="1:11" x14ac:dyDescent="0.25">
      <c r="A4618" s="163"/>
      <c r="B4618" s="106"/>
      <c r="C4618" s="73"/>
      <c r="D4618" s="75" t="s">
        <v>2288</v>
      </c>
      <c r="E4618" s="73"/>
      <c r="F4618" s="74"/>
      <c r="G4618" s="72"/>
    </row>
    <row r="4619" spans="1:11" x14ac:dyDescent="0.25">
      <c r="A4619" s="163"/>
      <c r="B4619" s="106"/>
      <c r="C4619" s="73"/>
      <c r="D4619" s="73" t="s">
        <v>8</v>
      </c>
      <c r="E4619" s="73"/>
      <c r="F4619" s="74" t="s">
        <v>3</v>
      </c>
      <c r="G4619" s="72">
        <f>G4620*0.75</f>
        <v>1.495575E-2</v>
      </c>
    </row>
    <row r="4620" spans="1:11" x14ac:dyDescent="0.25">
      <c r="A4620" s="163"/>
      <c r="B4620" s="106"/>
      <c r="C4620" s="73"/>
      <c r="D4620" s="73" t="s">
        <v>36</v>
      </c>
      <c r="E4620" s="73"/>
      <c r="F4620" s="74" t="s">
        <v>3</v>
      </c>
      <c r="G4620" s="72">
        <f>0.17*0.17*2*0.15*2*1.15</f>
        <v>1.9941E-2</v>
      </c>
    </row>
    <row r="4621" spans="1:11" x14ac:dyDescent="0.25">
      <c r="A4621" s="163"/>
      <c r="B4621" s="106"/>
      <c r="C4621" s="73"/>
      <c r="D4621" s="73" t="s">
        <v>12</v>
      </c>
      <c r="E4621" s="73"/>
      <c r="F4621" s="74" t="s">
        <v>3</v>
      </c>
      <c r="G4621" s="72">
        <f>0.3*(G4620+G4619)</f>
        <v>1.0469025000000002E-2</v>
      </c>
    </row>
    <row r="4622" spans="1:11" x14ac:dyDescent="0.25">
      <c r="A4622" s="163"/>
      <c r="B4622" s="106"/>
      <c r="C4622" s="73"/>
      <c r="D4622" s="73"/>
      <c r="E4622" s="73"/>
      <c r="F4622" s="74"/>
      <c r="G4622" s="224" t="s">
        <v>625</v>
      </c>
      <c r="K4622" s="276"/>
    </row>
    <row r="4623" spans="1:11" x14ac:dyDescent="0.25">
      <c r="A4623" s="163"/>
      <c r="B4623" s="106"/>
      <c r="C4623" s="73"/>
      <c r="D4623" s="73" t="s">
        <v>2289</v>
      </c>
      <c r="E4623" s="73"/>
      <c r="F4623" s="74" t="s">
        <v>3</v>
      </c>
      <c r="G4623" s="72">
        <v>0.1</v>
      </c>
      <c r="I4623" s="3" t="s">
        <v>2290</v>
      </c>
    </row>
    <row r="4624" spans="1:11" x14ac:dyDescent="0.25">
      <c r="A4624" s="163"/>
      <c r="B4624" s="106"/>
      <c r="C4624" s="73"/>
      <c r="D4624" s="73"/>
      <c r="E4624" s="75" t="s">
        <v>2291</v>
      </c>
      <c r="F4624" s="74"/>
      <c r="G4624" s="72"/>
    </row>
    <row r="4625" spans="1:9" x14ac:dyDescent="0.25">
      <c r="A4625" s="163"/>
      <c r="B4625" s="106"/>
      <c r="C4625" s="73"/>
      <c r="D4625" s="73"/>
      <c r="E4625" s="73" t="s">
        <v>275</v>
      </c>
      <c r="F4625" s="74"/>
      <c r="G4625" s="72">
        <f>0.19*0.19*1.5*8*1.27</f>
        <v>0.5501640000000001</v>
      </c>
    </row>
    <row r="4626" spans="1:9" x14ac:dyDescent="0.25">
      <c r="A4626" s="163"/>
      <c r="B4626" s="106"/>
      <c r="C4626" s="73"/>
      <c r="D4626" s="75" t="s">
        <v>229</v>
      </c>
      <c r="E4626" s="73"/>
      <c r="F4626" s="74"/>
      <c r="G4626" s="224" t="s">
        <v>625</v>
      </c>
    </row>
    <row r="4627" spans="1:9" x14ac:dyDescent="0.25">
      <c r="A4627" s="163"/>
      <c r="B4627" s="106"/>
      <c r="C4627" s="73"/>
      <c r="D4627" s="73" t="s">
        <v>2289</v>
      </c>
      <c r="E4627" s="73"/>
      <c r="F4627" s="74" t="s">
        <v>3</v>
      </c>
      <c r="G4627" s="72">
        <v>0.2</v>
      </c>
      <c r="I4627" t="s">
        <v>2230</v>
      </c>
    </row>
    <row r="4628" spans="1:9" x14ac:dyDescent="0.25">
      <c r="A4628" s="163"/>
      <c r="B4628" s="106"/>
      <c r="C4628" s="73"/>
      <c r="D4628" s="73"/>
      <c r="E4628" s="73"/>
      <c r="F4628" s="74"/>
      <c r="G4628" s="72"/>
    </row>
    <row r="4629" spans="1:9" x14ac:dyDescent="0.25">
      <c r="A4629" s="163"/>
      <c r="B4629" s="106"/>
      <c r="C4629" s="75" t="s">
        <v>2293</v>
      </c>
      <c r="D4629" s="73"/>
      <c r="E4629" s="73"/>
      <c r="F4629" s="74"/>
      <c r="G4629" s="72"/>
    </row>
    <row r="4630" spans="1:9" x14ac:dyDescent="0.25">
      <c r="A4630" s="163"/>
      <c r="B4630" s="106"/>
      <c r="C4630" s="73" t="s">
        <v>2107</v>
      </c>
      <c r="D4630" s="73"/>
      <c r="E4630" s="73"/>
      <c r="F4630" s="74" t="s">
        <v>3</v>
      </c>
      <c r="G4630" s="72">
        <f>0.45*0.07*1.15</f>
        <v>3.6225000000000007E-2</v>
      </c>
    </row>
    <row r="4631" spans="1:9" ht="17.25" x14ac:dyDescent="0.25">
      <c r="A4631" s="163"/>
      <c r="B4631" s="106"/>
      <c r="C4631" s="73" t="s">
        <v>168</v>
      </c>
      <c r="D4631" s="73"/>
      <c r="E4631" s="73"/>
      <c r="F4631" s="74" t="s">
        <v>596</v>
      </c>
      <c r="G4631" s="72">
        <f>G4630*1.1</f>
        <v>3.9847500000000008E-2</v>
      </c>
    </row>
    <row r="4632" spans="1:9" x14ac:dyDescent="0.25">
      <c r="A4632" s="163"/>
      <c r="B4632" s="106"/>
      <c r="C4632" s="73"/>
      <c r="D4632" s="75" t="s">
        <v>2294</v>
      </c>
      <c r="E4632" s="73"/>
      <c r="F4632" s="74"/>
      <c r="G4632" s="72"/>
    </row>
    <row r="4633" spans="1:9" x14ac:dyDescent="0.25">
      <c r="A4633" s="163"/>
      <c r="B4633" s="106"/>
      <c r="C4633" s="73"/>
      <c r="D4633" s="73" t="s">
        <v>2298</v>
      </c>
      <c r="E4633" s="73"/>
      <c r="F4633" s="74" t="s">
        <v>3</v>
      </c>
      <c r="G4633" s="72">
        <f>0.05*0.02*3*2.7*1.12</f>
        <v>9.0720000000000019E-3</v>
      </c>
    </row>
    <row r="4634" spans="1:9" x14ac:dyDescent="0.25">
      <c r="A4634" s="163"/>
      <c r="B4634" s="106"/>
      <c r="C4634" s="73"/>
      <c r="D4634" s="75" t="s">
        <v>2295</v>
      </c>
      <c r="E4634" s="73"/>
      <c r="F4634" s="74"/>
      <c r="G4634" s="72"/>
    </row>
    <row r="4635" spans="1:9" x14ac:dyDescent="0.25">
      <c r="A4635" s="163"/>
      <c r="B4635" s="106"/>
      <c r="C4635" s="73"/>
      <c r="D4635" s="73" t="s">
        <v>2298</v>
      </c>
      <c r="E4635" s="73"/>
      <c r="F4635" s="74" t="s">
        <v>3</v>
      </c>
      <c r="G4635" s="72">
        <f>0.06*0.04*3*2.7*1.2</f>
        <v>2.3328000000000002E-2</v>
      </c>
    </row>
    <row r="4636" spans="1:9" x14ac:dyDescent="0.25">
      <c r="A4636" s="163"/>
      <c r="B4636" s="106"/>
      <c r="C4636" s="73"/>
      <c r="D4636" s="75" t="s">
        <v>2296</v>
      </c>
      <c r="E4636" s="73"/>
      <c r="F4636" s="74"/>
      <c r="G4636" s="72"/>
    </row>
    <row r="4637" spans="1:9" x14ac:dyDescent="0.25">
      <c r="A4637" s="163"/>
      <c r="B4637" s="106"/>
      <c r="C4637" s="73"/>
      <c r="D4637" s="73" t="s">
        <v>2299</v>
      </c>
      <c r="E4637" s="73"/>
      <c r="F4637" s="74" t="s">
        <v>3</v>
      </c>
      <c r="G4637" s="72">
        <f>0.23*0.175*2*2.7*1.125</f>
        <v>0.24451875000000001</v>
      </c>
    </row>
    <row r="4638" spans="1:9" x14ac:dyDescent="0.25">
      <c r="A4638" s="163"/>
      <c r="B4638" s="106"/>
      <c r="C4638" s="73"/>
      <c r="D4638" s="75" t="s">
        <v>2297</v>
      </c>
      <c r="E4638" s="73"/>
      <c r="F4638" s="74"/>
      <c r="G4638" s="72"/>
    </row>
    <row r="4639" spans="1:9" x14ac:dyDescent="0.25">
      <c r="A4639" s="163"/>
      <c r="B4639" s="106"/>
      <c r="C4639" s="73"/>
      <c r="D4639" s="73" t="s">
        <v>2299</v>
      </c>
      <c r="E4639" s="73"/>
      <c r="F4639" s="74" t="s">
        <v>3</v>
      </c>
      <c r="G4639" s="72">
        <f>0.08*0.1*2*2.7*1.2</f>
        <v>5.1840000000000004E-2</v>
      </c>
    </row>
    <row r="4640" spans="1:9" x14ac:dyDescent="0.25">
      <c r="A4640" s="163"/>
      <c r="B4640" s="106"/>
      <c r="C4640" s="73"/>
      <c r="D4640" s="73"/>
      <c r="E4640" s="73"/>
      <c r="F4640" s="74"/>
      <c r="G4640" s="72"/>
    </row>
    <row r="4641" spans="1:11" x14ac:dyDescent="0.25">
      <c r="A4641" s="163"/>
      <c r="B4641" s="106"/>
      <c r="C4641" s="75" t="s">
        <v>2300</v>
      </c>
      <c r="D4641" s="73"/>
      <c r="E4641" s="73"/>
      <c r="F4641" s="74"/>
      <c r="G4641" s="224" t="s">
        <v>99</v>
      </c>
    </row>
    <row r="4642" spans="1:11" x14ac:dyDescent="0.25">
      <c r="A4642" s="163"/>
      <c r="B4642" s="106"/>
      <c r="C4642" s="73" t="s">
        <v>2301</v>
      </c>
      <c r="D4642" s="73"/>
      <c r="E4642" s="73"/>
      <c r="F4642" s="74" t="s">
        <v>3</v>
      </c>
      <c r="G4642" s="72">
        <v>4.0000000000000001E-3</v>
      </c>
    </row>
    <row r="4643" spans="1:11" x14ac:dyDescent="0.25">
      <c r="A4643" s="163"/>
      <c r="B4643" s="106"/>
      <c r="C4643" s="73"/>
      <c r="D4643" s="73"/>
      <c r="E4643" s="73"/>
      <c r="F4643" s="74"/>
      <c r="G4643" s="72"/>
    </row>
    <row r="4644" spans="1:11" x14ac:dyDescent="0.25">
      <c r="A4644" s="163"/>
      <c r="B4644" s="106"/>
      <c r="C4644" s="75" t="s">
        <v>2315</v>
      </c>
      <c r="D4644" s="73"/>
      <c r="E4644" s="73"/>
      <c r="F4644" s="74"/>
      <c r="G4644" s="72"/>
      <c r="I4644" s="117" t="s">
        <v>2317</v>
      </c>
    </row>
    <row r="4645" spans="1:11" x14ac:dyDescent="0.25">
      <c r="A4645" s="163"/>
      <c r="B4645" s="106"/>
      <c r="C4645" s="100" t="s">
        <v>2316</v>
      </c>
      <c r="D4645" s="73"/>
      <c r="E4645" s="73"/>
      <c r="F4645" s="74" t="s">
        <v>1516</v>
      </c>
      <c r="G4645" s="72">
        <v>17</v>
      </c>
      <c r="I4645" s="3" t="s">
        <v>2306</v>
      </c>
      <c r="J4645" s="13" t="s">
        <v>2324</v>
      </c>
      <c r="K4645" s="278"/>
    </row>
    <row r="4646" spans="1:11" x14ac:dyDescent="0.25">
      <c r="A4646" s="163"/>
      <c r="B4646" s="106"/>
      <c r="C4646" s="73"/>
      <c r="D4646" s="75" t="s">
        <v>2305</v>
      </c>
      <c r="E4646" s="73"/>
      <c r="F4646" s="74"/>
      <c r="G4646" s="72"/>
    </row>
    <row r="4647" spans="1:11" x14ac:dyDescent="0.25">
      <c r="A4647" s="163"/>
      <c r="B4647" s="106"/>
      <c r="C4647" s="73"/>
      <c r="D4647" s="73" t="s">
        <v>1143</v>
      </c>
      <c r="E4647" s="73"/>
      <c r="F4647" s="74" t="s">
        <v>3</v>
      </c>
      <c r="G4647" s="72">
        <f>0.127*0.03*3*8*1.09</f>
        <v>9.9669599999999997E-2</v>
      </c>
      <c r="I4647" s="8"/>
    </row>
    <row r="4648" spans="1:11" x14ac:dyDescent="0.25">
      <c r="A4648" s="163"/>
      <c r="B4648" s="106"/>
      <c r="C4648" s="73"/>
      <c r="D4648" s="73" t="s">
        <v>8</v>
      </c>
      <c r="E4648" s="73"/>
      <c r="F4648" s="74" t="s">
        <v>3</v>
      </c>
      <c r="G4648" s="72">
        <f>G4650</f>
        <v>4.2900000000000004E-3</v>
      </c>
      <c r="I4648" s="8"/>
    </row>
    <row r="4649" spans="1:11" x14ac:dyDescent="0.25">
      <c r="A4649" s="163"/>
      <c r="B4649" s="106"/>
      <c r="C4649" s="73"/>
      <c r="D4649" s="73" t="s">
        <v>12</v>
      </c>
      <c r="E4649" s="73"/>
      <c r="F4649" s="74" t="s">
        <v>3</v>
      </c>
      <c r="G4649" s="72">
        <f>0.3*G4648</f>
        <v>1.2870000000000002E-3</v>
      </c>
      <c r="I4649" s="8"/>
    </row>
    <row r="4650" spans="1:11" x14ac:dyDescent="0.25">
      <c r="A4650" s="163"/>
      <c r="B4650" s="106"/>
      <c r="C4650" s="73"/>
      <c r="D4650" s="73" t="s">
        <v>72</v>
      </c>
      <c r="E4650" s="73"/>
      <c r="F4650" s="74" t="s">
        <v>3</v>
      </c>
      <c r="G4650" s="72">
        <f>0.13*0.015*2*1.1</f>
        <v>4.2900000000000004E-3</v>
      </c>
      <c r="I4650" s="8"/>
    </row>
    <row r="4651" spans="1:11" x14ac:dyDescent="0.25">
      <c r="A4651" s="163"/>
      <c r="B4651" s="106"/>
      <c r="C4651" s="73"/>
      <c r="D4651" s="73" t="s">
        <v>11</v>
      </c>
      <c r="E4651" s="73"/>
      <c r="F4651" s="74" t="s">
        <v>3</v>
      </c>
      <c r="G4651" s="72">
        <f>0.3*G4650</f>
        <v>1.2870000000000002E-3</v>
      </c>
      <c r="I4651" s="8"/>
    </row>
    <row r="4652" spans="1:11" x14ac:dyDescent="0.25">
      <c r="A4652" s="163"/>
      <c r="B4652" s="106"/>
      <c r="C4652" s="73"/>
      <c r="D4652" s="75" t="s">
        <v>2319</v>
      </c>
      <c r="E4652" s="73"/>
      <c r="F4652" s="74"/>
      <c r="G4652" s="72"/>
      <c r="I4652" s="8"/>
    </row>
    <row r="4653" spans="1:11" x14ac:dyDescent="0.25">
      <c r="A4653" s="163"/>
      <c r="B4653" s="106"/>
      <c r="C4653" s="73"/>
      <c r="D4653" s="73" t="s">
        <v>1143</v>
      </c>
      <c r="E4653" s="73"/>
      <c r="F4653" s="74" t="s">
        <v>3</v>
      </c>
      <c r="G4653" s="72">
        <f>0.295*0.03*3*8*1.105</f>
        <v>0.23470199999999997</v>
      </c>
      <c r="I4653" s="8"/>
    </row>
    <row r="4654" spans="1:11" x14ac:dyDescent="0.25">
      <c r="A4654" s="163"/>
      <c r="B4654" s="106"/>
      <c r="C4654" s="73"/>
      <c r="D4654" s="73" t="s">
        <v>8</v>
      </c>
      <c r="E4654" s="73"/>
      <c r="F4654" s="74" t="s">
        <v>3</v>
      </c>
      <c r="G4654" s="72">
        <f>G4656*0.8</f>
        <v>8.2799999999999992E-3</v>
      </c>
      <c r="I4654" s="8"/>
    </row>
    <row r="4655" spans="1:11" x14ac:dyDescent="0.25">
      <c r="A4655" s="163"/>
      <c r="B4655" s="106"/>
      <c r="C4655" s="73"/>
      <c r="D4655" s="73" t="s">
        <v>12</v>
      </c>
      <c r="E4655" s="73"/>
      <c r="F4655" s="74" t="s">
        <v>3</v>
      </c>
      <c r="G4655" s="72">
        <f>0.3*G4654</f>
        <v>2.4839999999999997E-3</v>
      </c>
      <c r="I4655" s="8"/>
    </row>
    <row r="4656" spans="1:11" x14ac:dyDescent="0.25">
      <c r="A4656" s="163"/>
      <c r="B4656" s="106"/>
      <c r="C4656" s="73"/>
      <c r="D4656" s="73" t="s">
        <v>72</v>
      </c>
      <c r="E4656" s="73"/>
      <c r="F4656" s="74" t="s">
        <v>3</v>
      </c>
      <c r="G4656" s="72">
        <f>0.3*0.05*2*0.15*2*1.15</f>
        <v>1.0349999999999998E-2</v>
      </c>
      <c r="I4656" s="8"/>
    </row>
    <row r="4657" spans="1:11" x14ac:dyDescent="0.25">
      <c r="A4657" s="163"/>
      <c r="B4657" s="106"/>
      <c r="C4657" s="73"/>
      <c r="D4657" s="73" t="s">
        <v>11</v>
      </c>
      <c r="E4657" s="73"/>
      <c r="F4657" s="74" t="s">
        <v>3</v>
      </c>
      <c r="G4657" s="72">
        <f>0.3*G4656</f>
        <v>3.1049999999999993E-3</v>
      </c>
      <c r="I4657" s="8"/>
    </row>
    <row r="4658" spans="1:11" x14ac:dyDescent="0.25">
      <c r="A4658" s="163"/>
      <c r="B4658" s="106"/>
      <c r="C4658" s="73"/>
      <c r="D4658" s="75" t="s">
        <v>2307</v>
      </c>
      <c r="E4658" s="73"/>
      <c r="F4658" s="74"/>
      <c r="G4658" s="72"/>
      <c r="I4658" s="8"/>
    </row>
    <row r="4659" spans="1:11" x14ac:dyDescent="0.25">
      <c r="A4659" s="163"/>
      <c r="B4659" s="106"/>
      <c r="C4659" s="73"/>
      <c r="D4659" s="77" t="s">
        <v>1054</v>
      </c>
      <c r="E4659" s="73"/>
      <c r="F4659" s="152" t="s">
        <v>3</v>
      </c>
      <c r="G4659" s="72">
        <f>6*0.08*1.355</f>
        <v>0.65039999999999998</v>
      </c>
      <c r="I4659" s="8"/>
    </row>
    <row r="4660" spans="1:11" ht="17.25" x14ac:dyDescent="0.25">
      <c r="A4660" s="163"/>
      <c r="B4660" s="106"/>
      <c r="C4660" s="73"/>
      <c r="D4660" s="73" t="s">
        <v>1055</v>
      </c>
      <c r="E4660" s="73"/>
      <c r="F4660" s="152" t="s">
        <v>596</v>
      </c>
      <c r="G4660" s="72">
        <f>G4659*1.1</f>
        <v>0.71544000000000008</v>
      </c>
      <c r="I4660" s="8"/>
    </row>
    <row r="4661" spans="1:11" x14ac:dyDescent="0.25">
      <c r="A4661" s="163"/>
      <c r="B4661" s="106"/>
      <c r="C4661" s="73"/>
      <c r="D4661" s="77" t="s">
        <v>8</v>
      </c>
      <c r="E4661" s="73"/>
      <c r="F4661" s="152" t="s">
        <v>3</v>
      </c>
      <c r="G4661" s="72">
        <f>G4663*0.938</f>
        <v>0.29996114400000001</v>
      </c>
      <c r="I4661" s="8"/>
      <c r="K4661" s="278"/>
    </row>
    <row r="4662" spans="1:11" x14ac:dyDescent="0.25">
      <c r="A4662" s="163"/>
      <c r="B4662" s="106"/>
      <c r="C4662" s="73"/>
      <c r="D4662" s="77" t="s">
        <v>12</v>
      </c>
      <c r="E4662" s="73"/>
      <c r="F4662" s="152" t="s">
        <v>3</v>
      </c>
      <c r="G4662" s="72">
        <f>0.3*G4661</f>
        <v>8.9988343200000001E-2</v>
      </c>
      <c r="I4662" s="8"/>
      <c r="K4662" s="278"/>
    </row>
    <row r="4663" spans="1:11" x14ac:dyDescent="0.25">
      <c r="A4663" s="163"/>
      <c r="B4663" s="106"/>
      <c r="C4663" s="73"/>
      <c r="D4663" s="77" t="s">
        <v>72</v>
      </c>
      <c r="E4663" s="73"/>
      <c r="F4663" s="152" t="s">
        <v>3</v>
      </c>
      <c r="G4663" s="72">
        <f>0.84*0.54*2*0.15*2*1.175</f>
        <v>0.31978800000000002</v>
      </c>
      <c r="H4663" s="10"/>
      <c r="I4663" s="8"/>
      <c r="K4663" s="278"/>
    </row>
    <row r="4664" spans="1:11" x14ac:dyDescent="0.25">
      <c r="A4664" s="163"/>
      <c r="B4664" s="106"/>
      <c r="C4664" s="73"/>
      <c r="D4664" s="77" t="s">
        <v>11</v>
      </c>
      <c r="E4664" s="73"/>
      <c r="F4664" s="152" t="s">
        <v>3</v>
      </c>
      <c r="G4664" s="72">
        <f>0.3*G4663</f>
        <v>9.5936400000000005E-2</v>
      </c>
      <c r="H4664" s="10"/>
      <c r="I4664" s="8"/>
      <c r="K4664" s="278"/>
    </row>
    <row r="4665" spans="1:11" x14ac:dyDescent="0.25">
      <c r="A4665" s="163"/>
      <c r="B4665" s="106"/>
      <c r="C4665" s="73"/>
      <c r="D4665" s="73"/>
      <c r="E4665" s="75" t="s">
        <v>2308</v>
      </c>
      <c r="F4665" s="74"/>
      <c r="G4665" s="72"/>
      <c r="I4665" s="8"/>
    </row>
    <row r="4666" spans="1:11" x14ac:dyDescent="0.25">
      <c r="A4666" s="163"/>
      <c r="B4666" s="106"/>
      <c r="C4666" s="73"/>
      <c r="D4666" s="73"/>
      <c r="E4666" s="73" t="s">
        <v>150</v>
      </c>
      <c r="F4666" s="152" t="s">
        <v>3</v>
      </c>
      <c r="G4666" s="80">
        <f>1.165*0.4955*2*8*1.0827</f>
        <v>9.9999471240000002</v>
      </c>
      <c r="I4666" s="8"/>
    </row>
    <row r="4667" spans="1:11" x14ac:dyDescent="0.25">
      <c r="A4667" s="163"/>
      <c r="B4667" s="106"/>
      <c r="C4667" s="73"/>
      <c r="D4667" s="73"/>
      <c r="E4667" s="75" t="s">
        <v>2309</v>
      </c>
      <c r="F4667" s="74"/>
      <c r="G4667" s="72"/>
      <c r="I4667" s="8"/>
    </row>
    <row r="4668" spans="1:11" x14ac:dyDescent="0.25">
      <c r="A4668" s="163"/>
      <c r="B4668" s="106"/>
      <c r="C4668" s="73"/>
      <c r="D4668" s="73"/>
      <c r="E4668" s="73" t="s">
        <v>2313</v>
      </c>
      <c r="F4668" s="152" t="s">
        <v>3</v>
      </c>
      <c r="G4668" s="72">
        <f>0.868*1.095</f>
        <v>0.95045999999999997</v>
      </c>
      <c r="I4668" s="8"/>
    </row>
    <row r="4669" spans="1:11" x14ac:dyDescent="0.25">
      <c r="A4669" s="163"/>
      <c r="B4669" s="106"/>
      <c r="C4669" s="73"/>
      <c r="D4669" s="73"/>
      <c r="E4669" s="75" t="s">
        <v>2310</v>
      </c>
      <c r="F4669" s="74"/>
      <c r="G4669" s="72"/>
      <c r="I4669" s="8"/>
    </row>
    <row r="4670" spans="1:11" x14ac:dyDescent="0.25">
      <c r="A4670" s="163"/>
      <c r="B4670" s="106"/>
      <c r="C4670" s="73"/>
      <c r="D4670" s="73"/>
      <c r="E4670" s="73" t="s">
        <v>2313</v>
      </c>
      <c r="F4670" s="152" t="s">
        <v>3</v>
      </c>
      <c r="G4670" s="72">
        <f>1.036*1.11</f>
        <v>1.1499600000000001</v>
      </c>
      <c r="I4670" s="8"/>
    </row>
    <row r="4671" spans="1:11" x14ac:dyDescent="0.25">
      <c r="A4671" s="163"/>
      <c r="B4671" s="106"/>
      <c r="C4671" s="73"/>
      <c r="D4671" s="73"/>
      <c r="E4671" s="75" t="s">
        <v>2311</v>
      </c>
      <c r="F4671" s="74"/>
      <c r="G4671" s="281" t="s">
        <v>624</v>
      </c>
      <c r="I4671" s="8"/>
    </row>
    <row r="4672" spans="1:11" x14ac:dyDescent="0.25">
      <c r="A4672" s="163"/>
      <c r="B4672" s="106"/>
      <c r="C4672" s="73"/>
      <c r="D4672" s="73"/>
      <c r="E4672" s="73" t="s">
        <v>2314</v>
      </c>
      <c r="F4672" s="152" t="s">
        <v>3</v>
      </c>
      <c r="G4672" s="72">
        <f>5.97*1.1139</f>
        <v>6.6499829999999989</v>
      </c>
      <c r="I4672" s="8"/>
    </row>
    <row r="4673" spans="1:9" x14ac:dyDescent="0.25">
      <c r="A4673" s="163"/>
      <c r="B4673" s="106"/>
      <c r="C4673" s="73"/>
      <c r="D4673" s="73"/>
      <c r="E4673" s="75" t="s">
        <v>2312</v>
      </c>
      <c r="F4673" s="74"/>
      <c r="G4673" s="72"/>
      <c r="I4673" s="8"/>
    </row>
    <row r="4674" spans="1:9" x14ac:dyDescent="0.25">
      <c r="A4674" s="163"/>
      <c r="B4674" s="106"/>
      <c r="C4674" s="73"/>
      <c r="D4674" s="73"/>
      <c r="E4674" s="73" t="s">
        <v>2313</v>
      </c>
      <c r="F4674" s="152" t="s">
        <v>3</v>
      </c>
      <c r="G4674" s="72">
        <f>1.39*1.259</f>
        <v>1.7500099999999998</v>
      </c>
      <c r="I4674" s="8"/>
    </row>
    <row r="4675" spans="1:9" x14ac:dyDescent="0.25">
      <c r="A4675" s="163"/>
      <c r="B4675" s="106"/>
      <c r="C4675" s="73"/>
      <c r="D4675" s="73"/>
      <c r="E4675" s="75"/>
      <c r="F4675" s="74"/>
      <c r="G4675" s="72"/>
      <c r="I4675" s="8"/>
    </row>
    <row r="4676" spans="1:9" x14ac:dyDescent="0.25">
      <c r="A4676" s="163"/>
      <c r="B4676" s="106"/>
      <c r="C4676" s="78" t="s">
        <v>2318</v>
      </c>
      <c r="D4676" s="77"/>
      <c r="E4676" s="77"/>
      <c r="F4676" s="152"/>
      <c r="G4676" s="80"/>
    </row>
    <row r="4677" spans="1:9" x14ac:dyDescent="0.25">
      <c r="A4677" s="163"/>
      <c r="B4677" s="106"/>
      <c r="C4677" s="186" t="s">
        <v>2316</v>
      </c>
      <c r="D4677" s="77"/>
      <c r="E4677" s="77"/>
      <c r="F4677" s="152" t="s">
        <v>1516</v>
      </c>
      <c r="G4677" s="80">
        <v>17</v>
      </c>
    </row>
    <row r="4678" spans="1:9" x14ac:dyDescent="0.25">
      <c r="A4678" s="163"/>
      <c r="B4678" s="106"/>
      <c r="C4678" s="77"/>
      <c r="D4678" s="78" t="s">
        <v>2320</v>
      </c>
      <c r="E4678" s="77"/>
      <c r="F4678" s="152"/>
      <c r="G4678" s="80"/>
    </row>
    <row r="4679" spans="1:9" x14ac:dyDescent="0.25">
      <c r="A4679" s="163"/>
      <c r="B4679" s="106"/>
      <c r="C4679" s="77"/>
      <c r="D4679" s="77" t="s">
        <v>1054</v>
      </c>
      <c r="E4679" s="77"/>
      <c r="F4679" s="152" t="s">
        <v>3</v>
      </c>
      <c r="G4679" s="80">
        <f>6*0.08*1.355</f>
        <v>0.65039999999999998</v>
      </c>
    </row>
    <row r="4680" spans="1:9" ht="17.25" x14ac:dyDescent="0.25">
      <c r="A4680" s="163"/>
      <c r="B4680" s="106"/>
      <c r="C4680" s="77"/>
      <c r="D4680" s="77" t="s">
        <v>1055</v>
      </c>
      <c r="E4680" s="77"/>
      <c r="F4680" s="152" t="s">
        <v>596</v>
      </c>
      <c r="G4680" s="80">
        <f>G4679*1.1</f>
        <v>0.71544000000000008</v>
      </c>
    </row>
    <row r="4681" spans="1:9" x14ac:dyDescent="0.25">
      <c r="A4681" s="163"/>
      <c r="B4681" s="106"/>
      <c r="C4681" s="77"/>
      <c r="D4681" s="77" t="s">
        <v>8</v>
      </c>
      <c r="E4681" s="77"/>
      <c r="F4681" s="152" t="s">
        <v>3</v>
      </c>
      <c r="G4681" s="80">
        <f>G4683*0.938</f>
        <v>0.29996114400000001</v>
      </c>
    </row>
    <row r="4682" spans="1:9" x14ac:dyDescent="0.25">
      <c r="A4682" s="163"/>
      <c r="B4682" s="106"/>
      <c r="C4682" s="77"/>
      <c r="D4682" s="77" t="s">
        <v>12</v>
      </c>
      <c r="E4682" s="77"/>
      <c r="F4682" s="152" t="s">
        <v>3</v>
      </c>
      <c r="G4682" s="80">
        <f>0.3*G4681</f>
        <v>8.9988343200000001E-2</v>
      </c>
    </row>
    <row r="4683" spans="1:9" x14ac:dyDescent="0.25">
      <c r="A4683" s="163"/>
      <c r="B4683" s="106"/>
      <c r="C4683" s="77"/>
      <c r="D4683" s="77" t="s">
        <v>72</v>
      </c>
      <c r="E4683" s="77"/>
      <c r="F4683" s="152" t="s">
        <v>3</v>
      </c>
      <c r="G4683" s="80">
        <f>0.84*0.54*2*0.15*2*1.175</f>
        <v>0.31978800000000002</v>
      </c>
    </row>
    <row r="4684" spans="1:9" x14ac:dyDescent="0.25">
      <c r="A4684" s="163"/>
      <c r="B4684" s="106"/>
      <c r="C4684" s="77"/>
      <c r="D4684" s="77" t="s">
        <v>11</v>
      </c>
      <c r="E4684" s="77"/>
      <c r="F4684" s="152" t="s">
        <v>3</v>
      </c>
      <c r="G4684" s="80">
        <f>0.3*G4683</f>
        <v>9.5936400000000005E-2</v>
      </c>
    </row>
    <row r="4685" spans="1:9" x14ac:dyDescent="0.25">
      <c r="A4685" s="163"/>
      <c r="B4685" s="106"/>
      <c r="C4685" s="77"/>
      <c r="D4685" s="77"/>
      <c r="E4685" s="78" t="s">
        <v>2321</v>
      </c>
      <c r="F4685" s="152"/>
      <c r="G4685" s="80"/>
    </row>
    <row r="4686" spans="1:9" x14ac:dyDescent="0.25">
      <c r="A4686" s="163"/>
      <c r="B4686" s="106"/>
      <c r="C4686" s="77"/>
      <c r="D4686" s="77"/>
      <c r="E4686" s="77" t="s">
        <v>150</v>
      </c>
      <c r="F4686" s="152" t="s">
        <v>3</v>
      </c>
      <c r="G4686" s="80">
        <f>1.165*0.4955*2*8*1.0827</f>
        <v>9.9999471240000002</v>
      </c>
    </row>
    <row r="4687" spans="1:9" x14ac:dyDescent="0.25">
      <c r="A4687" s="163"/>
      <c r="B4687" s="106"/>
      <c r="C4687" s="77"/>
      <c r="D4687" s="77"/>
      <c r="E4687" s="78" t="s">
        <v>2322</v>
      </c>
      <c r="F4687" s="152"/>
      <c r="G4687" s="282" t="s">
        <v>624</v>
      </c>
    </row>
    <row r="4688" spans="1:9" x14ac:dyDescent="0.25">
      <c r="A4688" s="163"/>
      <c r="B4688" s="106"/>
      <c r="C4688" s="77"/>
      <c r="D4688" s="77"/>
      <c r="E4688" s="77" t="s">
        <v>2314</v>
      </c>
      <c r="F4688" s="152" t="s">
        <v>3</v>
      </c>
      <c r="G4688" s="80">
        <f>5.97*1.1139</f>
        <v>6.6499829999999989</v>
      </c>
    </row>
    <row r="4689" spans="1:11" x14ac:dyDescent="0.25">
      <c r="A4689" s="163"/>
      <c r="B4689" s="106"/>
      <c r="C4689" s="77"/>
      <c r="D4689" s="77"/>
      <c r="E4689" s="78" t="s">
        <v>2323</v>
      </c>
      <c r="F4689" s="152"/>
      <c r="G4689" s="80"/>
    </row>
    <row r="4690" spans="1:11" ht="15.75" thickBot="1" x14ac:dyDescent="0.3">
      <c r="A4690" s="67"/>
      <c r="B4690" s="86"/>
      <c r="C4690" s="170"/>
      <c r="D4690" s="170"/>
      <c r="E4690" s="170" t="s">
        <v>2313</v>
      </c>
      <c r="F4690" s="171" t="s">
        <v>3</v>
      </c>
      <c r="G4690" s="283">
        <f>1.39*1.259</f>
        <v>1.7500099999999998</v>
      </c>
    </row>
    <row r="4691" spans="1:11" x14ac:dyDescent="0.25">
      <c r="A4691" s="159"/>
      <c r="B4691" s="181"/>
      <c r="C4691" s="93"/>
      <c r="D4691" s="93"/>
      <c r="E4691" s="93"/>
      <c r="F4691" s="285" t="s">
        <v>2364</v>
      </c>
      <c r="G4691" s="284"/>
    </row>
    <row r="4692" spans="1:11" ht="18.75" x14ac:dyDescent="0.3">
      <c r="A4692" s="163"/>
      <c r="B4692" s="106"/>
      <c r="C4692" s="73"/>
      <c r="D4692" s="73"/>
      <c r="E4692" s="327" t="s">
        <v>2810</v>
      </c>
      <c r="F4692" s="74"/>
      <c r="G4692" s="72"/>
    </row>
    <row r="4693" spans="1:11" x14ac:dyDescent="0.25">
      <c r="A4693" s="163"/>
      <c r="B4693" s="106"/>
      <c r="C4693" s="73"/>
      <c r="D4693" s="73"/>
      <c r="E4693" s="74" t="s">
        <v>2811</v>
      </c>
      <c r="F4693" s="74"/>
      <c r="G4693" s="72"/>
    </row>
    <row r="4694" spans="1:11" x14ac:dyDescent="0.25">
      <c r="A4694" s="163"/>
      <c r="B4694" s="106"/>
      <c r="C4694" s="73"/>
      <c r="D4694" s="73"/>
      <c r="E4694" s="74"/>
      <c r="F4694" s="74"/>
      <c r="G4694" s="72"/>
      <c r="K4694" s="325"/>
    </row>
    <row r="4695" spans="1:11" x14ac:dyDescent="0.25">
      <c r="A4695" s="163"/>
      <c r="B4695" s="106"/>
      <c r="C4695" s="73" t="s">
        <v>2360</v>
      </c>
      <c r="D4695" s="73"/>
      <c r="E4695" s="73"/>
      <c r="F4695" s="74" t="s">
        <v>195</v>
      </c>
      <c r="G4695" s="72">
        <v>6</v>
      </c>
    </row>
    <row r="4696" spans="1:11" x14ac:dyDescent="0.25">
      <c r="A4696" s="163"/>
      <c r="B4696" s="106"/>
      <c r="C4696" s="73" t="s">
        <v>2361</v>
      </c>
      <c r="D4696" s="73"/>
      <c r="E4696" s="73"/>
      <c r="F4696" s="74" t="s">
        <v>195</v>
      </c>
      <c r="G4696" s="72">
        <v>8</v>
      </c>
    </row>
    <row r="4697" spans="1:11" x14ac:dyDescent="0.25">
      <c r="A4697" s="163"/>
      <c r="B4697" s="106"/>
      <c r="C4697" s="73" t="s">
        <v>2362</v>
      </c>
      <c r="D4697" s="73"/>
      <c r="E4697" s="73"/>
      <c r="F4697" s="74" t="s">
        <v>195</v>
      </c>
      <c r="G4697" s="72">
        <v>6</v>
      </c>
    </row>
    <row r="4698" spans="1:11" x14ac:dyDescent="0.25">
      <c r="A4698" s="163"/>
      <c r="B4698" s="106"/>
      <c r="C4698" s="73" t="s">
        <v>2363</v>
      </c>
      <c r="D4698" s="73"/>
      <c r="E4698" s="73"/>
      <c r="F4698" s="74" t="s">
        <v>195</v>
      </c>
      <c r="G4698" s="72">
        <v>8</v>
      </c>
    </row>
    <row r="4699" spans="1:11" x14ac:dyDescent="0.25">
      <c r="A4699" s="73"/>
      <c r="B4699" s="106"/>
      <c r="C4699" s="73"/>
      <c r="D4699" s="73"/>
      <c r="E4699" s="73"/>
      <c r="F4699" s="74"/>
      <c r="G4699" s="72"/>
      <c r="K4699" s="319"/>
    </row>
    <row r="4700" spans="1:11" x14ac:dyDescent="0.25">
      <c r="C4700" s="3" t="s">
        <v>2666</v>
      </c>
      <c r="F4700" s="319"/>
      <c r="G4700" s="72"/>
      <c r="K4700" s="319"/>
    </row>
    <row r="4701" spans="1:11" x14ac:dyDescent="0.25">
      <c r="C4701" t="s">
        <v>2667</v>
      </c>
      <c r="F4701" s="319" t="s">
        <v>3</v>
      </c>
      <c r="G4701" s="72">
        <f>0.041*0.041*3*8</f>
        <v>4.0344000000000005E-2</v>
      </c>
      <c r="K4701" s="319"/>
    </row>
    <row r="4702" spans="1:11" ht="15.75" thickBot="1" x14ac:dyDescent="0.3">
      <c r="A4702" s="67"/>
      <c r="B4702" s="86"/>
      <c r="C4702" s="68"/>
      <c r="D4702" s="68"/>
      <c r="E4702" s="68"/>
      <c r="F4702" s="82"/>
      <c r="G4702" s="83"/>
      <c r="K4702" s="288"/>
    </row>
    <row r="4703" spans="1:11" x14ac:dyDescent="0.25">
      <c r="A4703" s="159"/>
      <c r="B4703" s="181"/>
      <c r="C4703" s="93"/>
      <c r="D4703" s="93"/>
      <c r="E4703" s="93"/>
      <c r="F4703" s="285" t="s">
        <v>2465</v>
      </c>
      <c r="G4703" s="284"/>
      <c r="K4703" s="288"/>
    </row>
    <row r="4704" spans="1:11" ht="18.75" x14ac:dyDescent="0.25">
      <c r="A4704" s="163"/>
      <c r="B4704" s="106"/>
      <c r="C4704" s="73"/>
      <c r="D4704" s="73"/>
      <c r="E4704" s="331" t="s">
        <v>2125</v>
      </c>
      <c r="F4704" s="74"/>
      <c r="G4704" s="72"/>
      <c r="K4704" s="286"/>
    </row>
    <row r="4705" spans="1:9" x14ac:dyDescent="0.25">
      <c r="A4705" s="163"/>
      <c r="B4705" s="106"/>
      <c r="C4705" s="73"/>
      <c r="D4705" s="73"/>
      <c r="E4705" s="73"/>
      <c r="F4705" s="74"/>
      <c r="G4705" s="72"/>
    </row>
    <row r="4706" spans="1:9" x14ac:dyDescent="0.25">
      <c r="A4706" s="163"/>
      <c r="B4706" s="106"/>
      <c r="C4706" s="75" t="s">
        <v>2328</v>
      </c>
      <c r="D4706" s="73"/>
      <c r="E4706" s="73"/>
      <c r="F4706" s="74"/>
      <c r="G4706" s="72"/>
    </row>
    <row r="4707" spans="1:9" x14ac:dyDescent="0.25">
      <c r="A4707" s="163"/>
      <c r="B4707" s="106"/>
      <c r="C4707" s="73" t="s">
        <v>140</v>
      </c>
      <c r="D4707" s="73"/>
      <c r="E4707" s="73"/>
      <c r="F4707" s="74" t="s">
        <v>3</v>
      </c>
      <c r="G4707" s="72">
        <f>0.018*3.14*2*0.08*1.2</f>
        <v>1.085184E-2</v>
      </c>
    </row>
    <row r="4708" spans="1:9" ht="17.25" x14ac:dyDescent="0.25">
      <c r="A4708" s="163"/>
      <c r="B4708" s="106"/>
      <c r="C4708" s="73" t="s">
        <v>23</v>
      </c>
      <c r="D4708" s="73"/>
      <c r="E4708" s="73"/>
      <c r="F4708" s="74" t="s">
        <v>596</v>
      </c>
      <c r="G4708" s="72">
        <f>G4707*1.5</f>
        <v>1.6277759999999999E-2</v>
      </c>
    </row>
    <row r="4709" spans="1:9" x14ac:dyDescent="0.25">
      <c r="A4709" s="163"/>
      <c r="B4709" s="106"/>
      <c r="C4709" s="73" t="s">
        <v>142</v>
      </c>
      <c r="D4709" s="73"/>
      <c r="E4709" s="73"/>
      <c r="F4709" s="74" t="s">
        <v>3</v>
      </c>
      <c r="G4709" s="72">
        <f>G4707/4</f>
        <v>2.7129599999999999E-3</v>
      </c>
    </row>
    <row r="4710" spans="1:9" x14ac:dyDescent="0.25">
      <c r="A4710" s="163"/>
      <c r="B4710" s="106"/>
      <c r="C4710" s="77" t="s">
        <v>143</v>
      </c>
      <c r="D4710" s="73"/>
      <c r="E4710" s="73"/>
      <c r="F4710" s="74" t="s">
        <v>3</v>
      </c>
      <c r="G4710" s="72">
        <f>G4711</f>
        <v>2.0591999999999996E-2</v>
      </c>
    </row>
    <row r="4711" spans="1:9" x14ac:dyDescent="0.25">
      <c r="A4711" s="163"/>
      <c r="B4711" s="106"/>
      <c r="C4711" s="77" t="s">
        <v>8</v>
      </c>
      <c r="D4711" s="73"/>
      <c r="E4711" s="73"/>
      <c r="F4711" s="74" t="s">
        <v>3</v>
      </c>
      <c r="G4711" s="72">
        <f>G4712*0.65</f>
        <v>2.0591999999999996E-2</v>
      </c>
    </row>
    <row r="4712" spans="1:9" x14ac:dyDescent="0.25">
      <c r="A4712" s="163"/>
      <c r="B4712" s="106"/>
      <c r="C4712" s="77" t="s">
        <v>148</v>
      </c>
      <c r="D4712" s="73"/>
      <c r="E4712" s="73"/>
      <c r="F4712" s="74" t="s">
        <v>3</v>
      </c>
      <c r="G4712" s="72">
        <f>1.2*0.011*2*1.2</f>
        <v>3.1679999999999993E-2</v>
      </c>
    </row>
    <row r="4713" spans="1:9" x14ac:dyDescent="0.25">
      <c r="A4713" s="163"/>
      <c r="B4713" s="106"/>
      <c r="C4713" s="77" t="s">
        <v>12</v>
      </c>
      <c r="D4713" s="73"/>
      <c r="E4713" s="73"/>
      <c r="F4713" s="74" t="s">
        <v>3</v>
      </c>
      <c r="G4713" s="72">
        <f>0.3*(G4712+G4711+G4710)</f>
        <v>2.1859199999999995E-2</v>
      </c>
    </row>
    <row r="4714" spans="1:9" x14ac:dyDescent="0.25">
      <c r="A4714" s="163"/>
      <c r="B4714" s="106"/>
      <c r="C4714" s="73"/>
      <c r="D4714" s="75" t="s">
        <v>2327</v>
      </c>
      <c r="E4714" s="73"/>
      <c r="F4714" s="74"/>
      <c r="G4714" s="72"/>
    </row>
    <row r="4715" spans="1:9" x14ac:dyDescent="0.25">
      <c r="A4715" s="163"/>
      <c r="B4715" s="106"/>
      <c r="C4715" s="73"/>
      <c r="D4715" s="73" t="s">
        <v>159</v>
      </c>
      <c r="E4715" s="73"/>
      <c r="F4715" s="74" t="s">
        <v>3</v>
      </c>
      <c r="G4715" s="72">
        <v>0.35499999999999998</v>
      </c>
      <c r="I4715" t="s">
        <v>2338</v>
      </c>
    </row>
    <row r="4716" spans="1:9" x14ac:dyDescent="0.25">
      <c r="A4716" s="163"/>
      <c r="B4716" s="106"/>
      <c r="C4716" s="73"/>
      <c r="D4716" s="73"/>
      <c r="E4716" s="73"/>
      <c r="F4716" s="74"/>
      <c r="G4716" s="72"/>
    </row>
    <row r="4717" spans="1:9" x14ac:dyDescent="0.25">
      <c r="A4717" s="163"/>
      <c r="B4717" s="106"/>
      <c r="C4717" s="75" t="s">
        <v>2334</v>
      </c>
      <c r="D4717" s="73"/>
      <c r="E4717" s="73"/>
      <c r="F4717" s="74"/>
      <c r="G4717" s="72"/>
    </row>
    <row r="4718" spans="1:9" x14ac:dyDescent="0.25">
      <c r="A4718" s="163"/>
      <c r="B4718" s="106"/>
      <c r="C4718" s="73" t="s">
        <v>671</v>
      </c>
      <c r="D4718" s="73"/>
      <c r="E4718" s="73"/>
      <c r="F4718" s="74" t="s">
        <v>3</v>
      </c>
      <c r="G4718" s="72">
        <f>0.021*3.14*0.08*1.2</f>
        <v>6.3302400000000009E-3</v>
      </c>
    </row>
    <row r="4719" spans="1:9" x14ac:dyDescent="0.25">
      <c r="A4719" s="163"/>
      <c r="B4719" s="106"/>
      <c r="C4719" s="73" t="s">
        <v>672</v>
      </c>
      <c r="D4719" s="73"/>
      <c r="E4719" s="73"/>
      <c r="F4719" s="74" t="s">
        <v>3</v>
      </c>
      <c r="G4719" s="72">
        <f>2.5*G4718</f>
        <v>1.5825600000000002E-2</v>
      </c>
    </row>
    <row r="4720" spans="1:9" x14ac:dyDescent="0.25">
      <c r="A4720" s="163"/>
      <c r="B4720" s="106"/>
      <c r="C4720" s="73"/>
      <c r="D4720" s="75" t="s">
        <v>2335</v>
      </c>
      <c r="E4720" s="73"/>
      <c r="F4720" s="74"/>
      <c r="G4720" s="72"/>
    </row>
    <row r="4721" spans="1:7" ht="17.25" x14ac:dyDescent="0.25">
      <c r="A4721" s="163"/>
      <c r="B4721" s="106"/>
      <c r="C4721" s="73"/>
      <c r="D4721" s="73" t="s">
        <v>2336</v>
      </c>
      <c r="E4721" s="73"/>
      <c r="F4721" s="74" t="s">
        <v>2337</v>
      </c>
      <c r="G4721" s="148">
        <f>0.027*0.026</f>
        <v>7.0199999999999993E-4</v>
      </c>
    </row>
    <row r="4722" spans="1:7" x14ac:dyDescent="0.25">
      <c r="A4722" s="163"/>
      <c r="B4722" s="106"/>
      <c r="C4722" s="73"/>
      <c r="D4722" s="73"/>
      <c r="E4722" s="73"/>
      <c r="F4722" s="74"/>
      <c r="G4722" s="72"/>
    </row>
    <row r="4723" spans="1:7" x14ac:dyDescent="0.25">
      <c r="A4723" s="163"/>
      <c r="B4723" s="106"/>
      <c r="C4723" s="75" t="s">
        <v>2339</v>
      </c>
      <c r="D4723" s="73"/>
      <c r="E4723" s="73"/>
      <c r="F4723" s="74"/>
      <c r="G4723" s="224"/>
    </row>
    <row r="4724" spans="1:7" x14ac:dyDescent="0.25">
      <c r="A4724" s="163"/>
      <c r="B4724" s="106"/>
      <c r="C4724" s="73" t="s">
        <v>8</v>
      </c>
      <c r="D4724" s="73"/>
      <c r="E4724" s="73"/>
      <c r="F4724" s="74" t="s">
        <v>3</v>
      </c>
      <c r="G4724" s="72">
        <f>G4725</f>
        <v>2.8080000000000002E-3</v>
      </c>
    </row>
    <row r="4725" spans="1:7" x14ac:dyDescent="0.25">
      <c r="A4725" s="163"/>
      <c r="B4725" s="106"/>
      <c r="C4725" s="73" t="s">
        <v>148</v>
      </c>
      <c r="D4725" s="73"/>
      <c r="E4725" s="73"/>
      <c r="F4725" s="74" t="s">
        <v>3</v>
      </c>
      <c r="G4725" s="72">
        <f>0.06*0.06*2*0.15*2*1.3</f>
        <v>2.8080000000000002E-3</v>
      </c>
    </row>
    <row r="4726" spans="1:7" x14ac:dyDescent="0.25">
      <c r="A4726" s="163"/>
      <c r="B4726" s="106"/>
      <c r="C4726" s="73" t="s">
        <v>12</v>
      </c>
      <c r="D4726" s="73"/>
      <c r="E4726" s="73"/>
      <c r="F4726" s="74" t="s">
        <v>3</v>
      </c>
      <c r="G4726" s="72">
        <f>0.3*(G4725+G4724)</f>
        <v>1.6848E-3</v>
      </c>
    </row>
    <row r="4727" spans="1:7" x14ac:dyDescent="0.25">
      <c r="A4727" s="163"/>
      <c r="B4727" s="106"/>
      <c r="C4727" s="73"/>
      <c r="D4727" s="73"/>
      <c r="E4727" s="73"/>
      <c r="F4727" s="74"/>
      <c r="G4727" s="72"/>
    </row>
    <row r="4728" spans="1:7" x14ac:dyDescent="0.25">
      <c r="A4728" s="163"/>
      <c r="B4728" s="106"/>
      <c r="C4728" s="75" t="s">
        <v>2409</v>
      </c>
      <c r="D4728" s="73"/>
      <c r="E4728" s="73"/>
      <c r="F4728" s="74"/>
      <c r="G4728" s="224"/>
    </row>
    <row r="4729" spans="1:7" x14ac:dyDescent="0.25">
      <c r="A4729" s="163"/>
      <c r="B4729" s="106"/>
      <c r="C4729" s="73" t="s">
        <v>8</v>
      </c>
      <c r="D4729" s="73"/>
      <c r="E4729" s="73"/>
      <c r="F4729" s="74" t="s">
        <v>3</v>
      </c>
      <c r="G4729" s="72">
        <f>G4730</f>
        <v>5.4600000000000013E-3</v>
      </c>
    </row>
    <row r="4730" spans="1:7" x14ac:dyDescent="0.25">
      <c r="A4730" s="163"/>
      <c r="B4730" s="106"/>
      <c r="C4730" s="73" t="s">
        <v>148</v>
      </c>
      <c r="D4730" s="73"/>
      <c r="E4730" s="73"/>
      <c r="F4730" s="74" t="s">
        <v>3</v>
      </c>
      <c r="G4730" s="72">
        <f>0.1*0.07*2*0.15*2*1.3</f>
        <v>5.4600000000000013E-3</v>
      </c>
    </row>
    <row r="4731" spans="1:7" x14ac:dyDescent="0.25">
      <c r="A4731" s="163"/>
      <c r="B4731" s="106"/>
      <c r="C4731" s="73" t="s">
        <v>12</v>
      </c>
      <c r="D4731" s="73"/>
      <c r="E4731" s="73"/>
      <c r="F4731" s="74" t="s">
        <v>3</v>
      </c>
      <c r="G4731" s="72">
        <f>0.3*(G4730+G4729)</f>
        <v>3.2760000000000007E-3</v>
      </c>
    </row>
    <row r="4732" spans="1:7" x14ac:dyDescent="0.25">
      <c r="A4732" s="163"/>
      <c r="B4732" s="106"/>
      <c r="C4732" s="73"/>
      <c r="D4732" s="73"/>
      <c r="E4732" s="73"/>
      <c r="F4732" s="74"/>
      <c r="G4732" s="72"/>
    </row>
    <row r="4733" spans="1:7" x14ac:dyDescent="0.25">
      <c r="A4733" s="163"/>
      <c r="B4733" s="106"/>
      <c r="C4733" s="75" t="s">
        <v>2340</v>
      </c>
      <c r="D4733" s="73"/>
      <c r="E4733" s="73"/>
      <c r="F4733" s="74"/>
      <c r="G4733" s="72"/>
    </row>
    <row r="4734" spans="1:7" x14ac:dyDescent="0.25">
      <c r="A4734" s="163"/>
      <c r="B4734" s="106"/>
      <c r="C4734" s="73" t="s">
        <v>1650</v>
      </c>
      <c r="D4734" s="73"/>
      <c r="E4734" s="73"/>
      <c r="F4734" s="74" t="s">
        <v>3</v>
      </c>
      <c r="G4734" s="72">
        <f>0.042*0.042*1.5*8</f>
        <v>2.1168000000000003E-2</v>
      </c>
    </row>
    <row r="4735" spans="1:7" x14ac:dyDescent="0.25">
      <c r="A4735" s="163"/>
      <c r="B4735" s="106"/>
      <c r="C4735" s="73"/>
      <c r="D4735" s="73"/>
      <c r="E4735" s="73"/>
      <c r="F4735" s="74"/>
      <c r="G4735" s="72"/>
    </row>
    <row r="4736" spans="1:7" x14ac:dyDescent="0.25">
      <c r="A4736" s="163"/>
      <c r="B4736" s="106"/>
      <c r="C4736" s="75" t="s">
        <v>2341</v>
      </c>
      <c r="D4736" s="73"/>
      <c r="E4736" s="73"/>
      <c r="F4736" s="74"/>
      <c r="G4736" s="72"/>
    </row>
    <row r="4737" spans="1:7" x14ac:dyDescent="0.25">
      <c r="A4737" s="163"/>
      <c r="B4737" s="106"/>
      <c r="C4737" s="73" t="s">
        <v>2342</v>
      </c>
      <c r="D4737" s="73"/>
      <c r="E4737" s="73"/>
      <c r="F4737" s="74" t="s">
        <v>3</v>
      </c>
      <c r="G4737" s="72">
        <f>1.45*0.036*1*8*1.054</f>
        <v>0.4401504</v>
      </c>
    </row>
    <row r="4738" spans="1:7" x14ac:dyDescent="0.25">
      <c r="A4738" s="163"/>
      <c r="B4738" s="106"/>
      <c r="C4738" s="73"/>
      <c r="D4738" s="73"/>
      <c r="E4738" s="73"/>
      <c r="F4738" s="74"/>
      <c r="G4738" s="72"/>
    </row>
    <row r="4739" spans="1:7" x14ac:dyDescent="0.25">
      <c r="A4739" s="163"/>
      <c r="B4739" s="106"/>
      <c r="C4739" s="75" t="s">
        <v>2343</v>
      </c>
      <c r="D4739" s="73"/>
      <c r="E4739" s="73"/>
      <c r="F4739" s="74"/>
      <c r="G4739" s="72"/>
    </row>
    <row r="4740" spans="1:7" x14ac:dyDescent="0.25">
      <c r="A4740" s="163"/>
      <c r="B4740" s="106"/>
      <c r="C4740" s="77" t="s">
        <v>1054</v>
      </c>
      <c r="D4740" s="77"/>
      <c r="E4740" s="73"/>
      <c r="F4740" s="152" t="s">
        <v>3</v>
      </c>
      <c r="G4740" s="72">
        <f>0.04*0.08*1.2</f>
        <v>3.8400000000000001E-3</v>
      </c>
    </row>
    <row r="4741" spans="1:7" ht="17.25" x14ac:dyDescent="0.25">
      <c r="A4741" s="163"/>
      <c r="B4741" s="106"/>
      <c r="C4741" s="77" t="s">
        <v>1055</v>
      </c>
      <c r="D4741" s="77"/>
      <c r="E4741" s="73"/>
      <c r="F4741" s="152" t="s">
        <v>596</v>
      </c>
      <c r="G4741" s="72">
        <f>G4740*1.1</f>
        <v>4.2240000000000003E-3</v>
      </c>
    </row>
    <row r="4742" spans="1:7" x14ac:dyDescent="0.25">
      <c r="A4742" s="163"/>
      <c r="B4742" s="106"/>
      <c r="C4742" s="73"/>
      <c r="D4742" s="75" t="s">
        <v>2344</v>
      </c>
      <c r="E4742" s="73"/>
      <c r="F4742" s="74"/>
      <c r="G4742" s="72"/>
    </row>
    <row r="4743" spans="1:7" x14ac:dyDescent="0.25">
      <c r="A4743" s="163"/>
      <c r="B4743" s="106"/>
      <c r="C4743" s="73"/>
      <c r="D4743" s="73" t="s">
        <v>55</v>
      </c>
      <c r="E4743" s="73"/>
      <c r="F4743" s="74" t="s">
        <v>3</v>
      </c>
      <c r="G4743" s="72">
        <f>0.08*0.04*3*8*1.12</f>
        <v>8.6016000000000023E-2</v>
      </c>
    </row>
    <row r="4744" spans="1:7" x14ac:dyDescent="0.25">
      <c r="A4744" s="163"/>
      <c r="B4744" s="106"/>
      <c r="C4744" s="73"/>
      <c r="D4744" s="73"/>
      <c r="E4744" s="73"/>
      <c r="F4744" s="74"/>
      <c r="G4744" s="72"/>
    </row>
    <row r="4745" spans="1:7" x14ac:dyDescent="0.25">
      <c r="A4745" s="163"/>
      <c r="B4745" s="106"/>
      <c r="C4745" s="75" t="s">
        <v>2345</v>
      </c>
      <c r="D4745" s="73"/>
      <c r="E4745" s="73"/>
      <c r="F4745" s="74"/>
      <c r="G4745" s="72"/>
    </row>
    <row r="4746" spans="1:7" x14ac:dyDescent="0.25">
      <c r="A4746" s="163"/>
      <c r="B4746" s="106"/>
      <c r="C4746" s="73" t="s">
        <v>8</v>
      </c>
      <c r="D4746" s="73"/>
      <c r="E4746" s="73"/>
      <c r="F4746" s="74" t="s">
        <v>3</v>
      </c>
      <c r="G4746" s="72">
        <f>G4747</f>
        <v>9.8203500000000003E-3</v>
      </c>
    </row>
    <row r="4747" spans="1:7" x14ac:dyDescent="0.25">
      <c r="A4747" s="163"/>
      <c r="B4747" s="106"/>
      <c r="C4747" s="73" t="s">
        <v>2346</v>
      </c>
      <c r="D4747" s="73"/>
      <c r="E4747" s="73"/>
      <c r="F4747" s="74" t="s">
        <v>3</v>
      </c>
      <c r="G4747" s="72">
        <f>0.15*3.14*0.05*0.15*2*1.39</f>
        <v>9.8203500000000003E-3</v>
      </c>
    </row>
    <row r="4748" spans="1:7" x14ac:dyDescent="0.25">
      <c r="A4748" s="163"/>
      <c r="B4748" s="106"/>
      <c r="C4748" s="73" t="s">
        <v>12</v>
      </c>
      <c r="D4748" s="73"/>
      <c r="E4748" s="73"/>
      <c r="F4748" s="74" t="s">
        <v>3</v>
      </c>
      <c r="G4748" s="72">
        <f>0.3*(G4747+G4746)</f>
        <v>5.8922100000000002E-3</v>
      </c>
    </row>
    <row r="4749" spans="1:7" x14ac:dyDescent="0.25">
      <c r="A4749" s="163"/>
      <c r="B4749" s="106"/>
      <c r="C4749" s="73"/>
      <c r="D4749" s="75" t="s">
        <v>2347</v>
      </c>
      <c r="E4749" s="73"/>
      <c r="F4749" s="74"/>
      <c r="G4749" s="72"/>
    </row>
    <row r="4750" spans="1:7" x14ac:dyDescent="0.25">
      <c r="A4750" s="163"/>
      <c r="B4750" s="106"/>
      <c r="C4750" s="73"/>
      <c r="D4750" s="77" t="s">
        <v>1054</v>
      </c>
      <c r="E4750" s="77"/>
      <c r="F4750" s="152" t="s">
        <v>3</v>
      </c>
      <c r="G4750" s="72">
        <f>0.12*0.08*1.5</f>
        <v>1.44E-2</v>
      </c>
    </row>
    <row r="4751" spans="1:7" ht="17.25" x14ac:dyDescent="0.25">
      <c r="A4751" s="163"/>
      <c r="B4751" s="106"/>
      <c r="C4751" s="73"/>
      <c r="D4751" s="77" t="s">
        <v>1055</v>
      </c>
      <c r="E4751" s="77"/>
      <c r="F4751" s="152" t="s">
        <v>596</v>
      </c>
      <c r="G4751" s="72">
        <f>G4750*1.1</f>
        <v>1.584E-2</v>
      </c>
    </row>
    <row r="4752" spans="1:7" x14ac:dyDescent="0.25">
      <c r="A4752" s="163"/>
      <c r="B4752" s="106"/>
      <c r="C4752" s="73"/>
      <c r="D4752" s="73"/>
      <c r="E4752" s="75" t="s">
        <v>2348</v>
      </c>
      <c r="F4752" s="74"/>
      <c r="G4752" s="72"/>
    </row>
    <row r="4753" spans="1:7" x14ac:dyDescent="0.25">
      <c r="A4753" s="163"/>
      <c r="B4753" s="106"/>
      <c r="C4753" s="73"/>
      <c r="D4753" s="73"/>
      <c r="E4753" s="73" t="s">
        <v>54</v>
      </c>
      <c r="F4753" s="74" t="s">
        <v>3</v>
      </c>
      <c r="G4753" s="72">
        <f>0.165*0.07*4*8*1.055</f>
        <v>0.389928</v>
      </c>
    </row>
    <row r="4754" spans="1:7" x14ac:dyDescent="0.25">
      <c r="A4754" s="163"/>
      <c r="B4754" s="106"/>
      <c r="C4754" s="73"/>
      <c r="D4754" s="73"/>
      <c r="E4754" s="75" t="s">
        <v>2349</v>
      </c>
      <c r="F4754" s="74"/>
      <c r="G4754" s="72"/>
    </row>
    <row r="4755" spans="1:7" x14ac:dyDescent="0.25">
      <c r="A4755" s="163"/>
      <c r="B4755" s="106"/>
      <c r="C4755" s="73"/>
      <c r="D4755" s="73"/>
      <c r="E4755" s="73" t="s">
        <v>51</v>
      </c>
      <c r="F4755" s="74" t="s">
        <v>3</v>
      </c>
      <c r="G4755" s="72">
        <v>2E-3</v>
      </c>
    </row>
    <row r="4756" spans="1:7" ht="17.25" x14ac:dyDescent="0.25">
      <c r="A4756" s="163"/>
      <c r="B4756" s="106"/>
      <c r="C4756" s="73"/>
      <c r="D4756" s="73"/>
      <c r="E4756" s="73" t="s">
        <v>52</v>
      </c>
      <c r="F4756" s="74" t="s">
        <v>596</v>
      </c>
      <c r="G4756" s="72">
        <f>G4755*2</f>
        <v>4.0000000000000001E-3</v>
      </c>
    </row>
    <row r="4757" spans="1:7" x14ac:dyDescent="0.25">
      <c r="A4757" s="163"/>
      <c r="B4757" s="106"/>
      <c r="C4757" s="73"/>
      <c r="D4757" s="73"/>
      <c r="E4757" s="73" t="s">
        <v>24</v>
      </c>
      <c r="F4757" s="74" t="s">
        <v>3</v>
      </c>
      <c r="G4757" s="72">
        <f>G4755/4</f>
        <v>5.0000000000000001E-4</v>
      </c>
    </row>
    <row r="4758" spans="1:7" x14ac:dyDescent="0.25">
      <c r="A4758" s="163"/>
      <c r="B4758" s="106"/>
      <c r="C4758" s="73"/>
      <c r="D4758" s="73"/>
      <c r="E4758" s="75" t="s">
        <v>2350</v>
      </c>
      <c r="F4758" s="74"/>
      <c r="G4758" s="72"/>
    </row>
    <row r="4759" spans="1:7" x14ac:dyDescent="0.25">
      <c r="A4759" s="163"/>
      <c r="B4759" s="106"/>
      <c r="C4759" s="73"/>
      <c r="D4759" s="73"/>
      <c r="E4759" s="73" t="s">
        <v>2351</v>
      </c>
      <c r="F4759" s="74" t="s">
        <v>3</v>
      </c>
      <c r="G4759" s="72">
        <v>3.5000000000000003E-2</v>
      </c>
    </row>
    <row r="4760" spans="1:7" x14ac:dyDescent="0.25">
      <c r="A4760" s="163"/>
      <c r="B4760" s="106"/>
      <c r="C4760" s="73"/>
      <c r="D4760" s="73"/>
      <c r="E4760" s="73"/>
      <c r="F4760" s="74"/>
      <c r="G4760" s="72"/>
    </row>
    <row r="4761" spans="1:7" x14ac:dyDescent="0.25">
      <c r="A4761" s="163"/>
      <c r="B4761" s="106"/>
      <c r="C4761" s="75" t="s">
        <v>2352</v>
      </c>
      <c r="D4761" s="73"/>
      <c r="E4761" s="73"/>
      <c r="F4761" s="74"/>
      <c r="G4761" s="72"/>
    </row>
    <row r="4762" spans="1:7" x14ac:dyDescent="0.25">
      <c r="A4762" s="163"/>
      <c r="B4762" s="106"/>
      <c r="C4762" s="77" t="s">
        <v>1054</v>
      </c>
      <c r="D4762" s="77"/>
      <c r="E4762" s="73"/>
      <c r="F4762" s="152" t="s">
        <v>3</v>
      </c>
      <c r="G4762" s="72">
        <f>0.03*0.08*1.2</f>
        <v>2.8799999999999997E-3</v>
      </c>
    </row>
    <row r="4763" spans="1:7" ht="17.25" x14ac:dyDescent="0.25">
      <c r="A4763" s="163"/>
      <c r="B4763" s="106"/>
      <c r="C4763" s="77" t="s">
        <v>1055</v>
      </c>
      <c r="D4763" s="77"/>
      <c r="E4763" s="73"/>
      <c r="F4763" s="152" t="s">
        <v>596</v>
      </c>
      <c r="G4763" s="72">
        <f>G4762*1.1</f>
        <v>3.1679999999999998E-3</v>
      </c>
    </row>
    <row r="4764" spans="1:7" x14ac:dyDescent="0.25">
      <c r="A4764" s="163"/>
      <c r="B4764" s="106"/>
      <c r="C4764" s="73"/>
      <c r="D4764" s="75" t="s">
        <v>2353</v>
      </c>
      <c r="E4764" s="73"/>
      <c r="F4764" s="74"/>
      <c r="G4764" s="72"/>
    </row>
    <row r="4765" spans="1:7" x14ac:dyDescent="0.25">
      <c r="A4765" s="163"/>
      <c r="B4765" s="106"/>
      <c r="C4765" s="73"/>
      <c r="D4765" s="73" t="s">
        <v>920</v>
      </c>
      <c r="E4765" s="73"/>
      <c r="F4765" s="74" t="s">
        <v>3</v>
      </c>
      <c r="G4765" s="72">
        <f>0.06*0.03*4*8*1.05</f>
        <v>6.0479999999999999E-2</v>
      </c>
    </row>
    <row r="4766" spans="1:7" x14ac:dyDescent="0.25">
      <c r="A4766" s="163"/>
      <c r="B4766" s="106"/>
      <c r="C4766" s="73"/>
      <c r="D4766" s="73"/>
      <c r="E4766" s="73"/>
      <c r="F4766" s="74"/>
      <c r="G4766" s="72"/>
    </row>
    <row r="4767" spans="1:7" x14ac:dyDescent="0.25">
      <c r="A4767" s="163"/>
      <c r="B4767" s="106"/>
      <c r="C4767" s="75" t="s">
        <v>2354</v>
      </c>
      <c r="D4767" s="73"/>
      <c r="E4767" s="73"/>
      <c r="F4767" s="74"/>
      <c r="G4767" s="72"/>
    </row>
    <row r="4768" spans="1:7" x14ac:dyDescent="0.25">
      <c r="A4768" s="163"/>
      <c r="B4768" s="106"/>
      <c r="C4768" s="77" t="s">
        <v>1054</v>
      </c>
      <c r="D4768" s="77"/>
      <c r="E4768" s="73"/>
      <c r="F4768" s="152" t="s">
        <v>3</v>
      </c>
      <c r="G4768" s="72">
        <f>0.03*0.08*1.2</f>
        <v>2.8799999999999997E-3</v>
      </c>
    </row>
    <row r="4769" spans="1:11" ht="17.25" x14ac:dyDescent="0.25">
      <c r="A4769" s="163"/>
      <c r="B4769" s="106"/>
      <c r="C4769" s="77" t="s">
        <v>1055</v>
      </c>
      <c r="D4769" s="77"/>
      <c r="E4769" s="73"/>
      <c r="F4769" s="152" t="s">
        <v>596</v>
      </c>
      <c r="G4769" s="72">
        <f>G4768*1.1</f>
        <v>3.1679999999999998E-3</v>
      </c>
    </row>
    <row r="4770" spans="1:11" x14ac:dyDescent="0.25">
      <c r="A4770" s="163"/>
      <c r="B4770" s="106"/>
      <c r="C4770" s="73"/>
      <c r="D4770" s="73"/>
      <c r="E4770" s="73"/>
      <c r="F4770" s="74"/>
      <c r="G4770" s="72"/>
    </row>
    <row r="4771" spans="1:11" x14ac:dyDescent="0.25">
      <c r="A4771" s="163"/>
      <c r="B4771" s="106"/>
      <c r="C4771" s="75" t="s">
        <v>2355</v>
      </c>
      <c r="D4771" s="73"/>
      <c r="E4771" s="73"/>
      <c r="F4771" s="74"/>
      <c r="G4771" s="72"/>
    </row>
    <row r="4772" spans="1:11" x14ac:dyDescent="0.25">
      <c r="A4772" s="163"/>
      <c r="B4772" s="106"/>
      <c r="C4772" s="73" t="s">
        <v>2107</v>
      </c>
      <c r="D4772" s="73"/>
      <c r="E4772" s="73"/>
      <c r="F4772" s="74" t="s">
        <v>3</v>
      </c>
      <c r="G4772" s="72">
        <f>0.6*0.08*1.15</f>
        <v>5.5199999999999999E-2</v>
      </c>
    </row>
    <row r="4773" spans="1:11" ht="17.25" x14ac:dyDescent="0.25">
      <c r="A4773" s="163"/>
      <c r="B4773" s="106"/>
      <c r="C4773" s="73" t="s">
        <v>168</v>
      </c>
      <c r="D4773" s="73"/>
      <c r="E4773" s="73"/>
      <c r="F4773" s="74" t="s">
        <v>596</v>
      </c>
      <c r="G4773" s="72">
        <f>G4772*1.1</f>
        <v>6.0720000000000003E-2</v>
      </c>
    </row>
    <row r="4774" spans="1:11" x14ac:dyDescent="0.25">
      <c r="A4774" s="163"/>
      <c r="B4774" s="106"/>
      <c r="C4774" s="73"/>
      <c r="D4774" s="75" t="s">
        <v>2356</v>
      </c>
      <c r="E4774" s="73"/>
      <c r="F4774" s="74"/>
      <c r="G4774" s="72"/>
    </row>
    <row r="4775" spans="1:11" x14ac:dyDescent="0.25">
      <c r="A4775" s="163"/>
      <c r="B4775" s="106"/>
      <c r="C4775" s="73"/>
      <c r="D4775" s="73" t="s">
        <v>651</v>
      </c>
      <c r="E4775" s="73"/>
      <c r="F4775" s="74" t="s">
        <v>3</v>
      </c>
      <c r="G4775" s="72">
        <f>0.27*0.255*2*2.7*1.115</f>
        <v>0.41454585000000005</v>
      </c>
    </row>
    <row r="4776" spans="1:11" x14ac:dyDescent="0.25">
      <c r="A4776" s="163"/>
      <c r="B4776" s="106"/>
      <c r="C4776" s="73"/>
      <c r="D4776" s="75" t="s">
        <v>2357</v>
      </c>
      <c r="E4776" s="73"/>
      <c r="F4776" s="74"/>
      <c r="G4776" s="72"/>
    </row>
    <row r="4777" spans="1:11" x14ac:dyDescent="0.25">
      <c r="A4777" s="163"/>
      <c r="B4777" s="106"/>
      <c r="C4777" s="73"/>
      <c r="D4777" s="73" t="s">
        <v>651</v>
      </c>
      <c r="E4777" s="73"/>
      <c r="F4777" s="74" t="s">
        <v>3</v>
      </c>
      <c r="G4777" s="72">
        <f>0.135*0.08*2*2.7*1.12</f>
        <v>6.5318400000000013E-2</v>
      </c>
    </row>
    <row r="4778" spans="1:11" x14ac:dyDescent="0.25">
      <c r="A4778" s="163"/>
      <c r="B4778" s="106"/>
      <c r="C4778" s="73"/>
      <c r="D4778" s="75" t="s">
        <v>2358</v>
      </c>
      <c r="E4778" s="73"/>
      <c r="F4778" s="74"/>
      <c r="G4778" s="72"/>
    </row>
    <row r="4779" spans="1:11" x14ac:dyDescent="0.25">
      <c r="A4779" s="163"/>
      <c r="B4779" s="106"/>
      <c r="C4779" s="73"/>
      <c r="D4779" s="73" t="s">
        <v>651</v>
      </c>
      <c r="E4779" s="73"/>
      <c r="F4779" s="74" t="s">
        <v>3</v>
      </c>
      <c r="G4779" s="72">
        <f>0.03*0.055*2*2.7*1.11</f>
        <v>9.8901000000000024E-3</v>
      </c>
    </row>
    <row r="4780" spans="1:11" x14ac:dyDescent="0.25">
      <c r="A4780" s="163"/>
      <c r="B4780" s="106"/>
      <c r="C4780" s="73"/>
      <c r="D4780" s="75" t="s">
        <v>2359</v>
      </c>
      <c r="E4780" s="73"/>
      <c r="F4780" s="74"/>
      <c r="G4780" s="72"/>
    </row>
    <row r="4781" spans="1:11" x14ac:dyDescent="0.25">
      <c r="A4781" s="163"/>
      <c r="B4781" s="106"/>
      <c r="C4781" s="73"/>
      <c r="D4781" s="73" t="s">
        <v>213</v>
      </c>
      <c r="E4781" s="73"/>
      <c r="F4781" s="74" t="s">
        <v>3</v>
      </c>
      <c r="G4781" s="72">
        <f>0.045*0.055*3*2.7*1.05</f>
        <v>2.1049874999999999E-2</v>
      </c>
    </row>
    <row r="4782" spans="1:11" x14ac:dyDescent="0.25">
      <c r="A4782" s="163"/>
      <c r="B4782" s="106"/>
      <c r="C4782" s="73"/>
      <c r="D4782" s="73"/>
      <c r="E4782" s="73"/>
      <c r="F4782" s="74"/>
      <c r="G4782" s="72"/>
    </row>
    <row r="4783" spans="1:11" x14ac:dyDescent="0.25">
      <c r="A4783" s="163"/>
      <c r="B4783" s="106"/>
      <c r="C4783" s="75" t="s">
        <v>2371</v>
      </c>
      <c r="D4783" s="73"/>
      <c r="E4783" s="73"/>
      <c r="F4783" s="74"/>
      <c r="G4783" s="72"/>
    </row>
    <row r="4784" spans="1:11" x14ac:dyDescent="0.25">
      <c r="A4784" s="163"/>
      <c r="B4784" s="106"/>
      <c r="C4784" s="73" t="s">
        <v>2387</v>
      </c>
      <c r="D4784" s="73"/>
      <c r="E4784" s="73"/>
      <c r="F4784" s="74" t="s">
        <v>1516</v>
      </c>
      <c r="G4784" s="72">
        <v>1</v>
      </c>
      <c r="K4784" s="292"/>
    </row>
    <row r="4785" spans="1:11" x14ac:dyDescent="0.25">
      <c r="A4785" s="163"/>
      <c r="B4785" s="106"/>
      <c r="C4785" s="77" t="s">
        <v>1054</v>
      </c>
      <c r="D4785" s="77"/>
      <c r="E4785" s="73"/>
      <c r="F4785" s="152" t="s">
        <v>3</v>
      </c>
      <c r="G4785" s="72">
        <f>(0.36+0.03*3.14+0.02*3.14*2.5)*0.08*1.23</f>
        <v>6.0142079999999994E-2</v>
      </c>
      <c r="K4785" s="292"/>
    </row>
    <row r="4786" spans="1:11" ht="17.25" x14ac:dyDescent="0.25">
      <c r="A4786" s="163"/>
      <c r="B4786" s="106"/>
      <c r="C4786" s="77" t="s">
        <v>1055</v>
      </c>
      <c r="D4786" s="77"/>
      <c r="E4786" s="73"/>
      <c r="F4786" s="152" t="s">
        <v>596</v>
      </c>
      <c r="G4786" s="72">
        <f>G4785*1.1</f>
        <v>6.6156287999999994E-2</v>
      </c>
      <c r="K4786" s="292"/>
    </row>
    <row r="4787" spans="1:11" x14ac:dyDescent="0.25">
      <c r="A4787" s="163"/>
      <c r="B4787" s="106"/>
      <c r="C4787" s="73" t="s">
        <v>8</v>
      </c>
      <c r="D4787" s="73"/>
      <c r="E4787" s="73"/>
      <c r="F4787" s="74" t="s">
        <v>3</v>
      </c>
      <c r="G4787" s="72">
        <f>G4788*0.8</f>
        <v>0.11975040000000002</v>
      </c>
    </row>
    <row r="4788" spans="1:11" x14ac:dyDescent="0.25">
      <c r="A4788" s="163"/>
      <c r="B4788" s="106"/>
      <c r="C4788" s="73" t="s">
        <v>36</v>
      </c>
      <c r="D4788" s="73"/>
      <c r="E4788" s="73"/>
      <c r="F4788" s="74" t="s">
        <v>3</v>
      </c>
      <c r="G4788" s="72">
        <f>0.42*0.45*2*0.15*2*1.32</f>
        <v>0.14968800000000002</v>
      </c>
    </row>
    <row r="4789" spans="1:11" x14ac:dyDescent="0.25">
      <c r="A4789" s="163"/>
      <c r="B4789" s="106"/>
      <c r="C4789" s="73" t="s">
        <v>12</v>
      </c>
      <c r="D4789" s="73"/>
      <c r="E4789" s="73"/>
      <c r="F4789" s="74" t="s">
        <v>3</v>
      </c>
      <c r="G4789" s="72">
        <f>0.3*(G4788+G4787)</f>
        <v>8.0831520000000004E-2</v>
      </c>
    </row>
    <row r="4790" spans="1:11" x14ac:dyDescent="0.25">
      <c r="A4790" s="163"/>
      <c r="B4790" s="106"/>
      <c r="C4790" s="73" t="s">
        <v>2372</v>
      </c>
      <c r="D4790" s="73"/>
      <c r="E4790" s="73"/>
      <c r="F4790" s="74" t="s">
        <v>3</v>
      </c>
      <c r="G4790" s="72">
        <v>1E-3</v>
      </c>
    </row>
    <row r="4791" spans="1:11" x14ac:dyDescent="0.25">
      <c r="A4791" s="163"/>
      <c r="B4791" s="106"/>
      <c r="C4791" s="73" t="s">
        <v>2373</v>
      </c>
      <c r="D4791" s="73"/>
      <c r="E4791" s="73"/>
      <c r="F4791" s="74" t="s">
        <v>3</v>
      </c>
      <c r="G4791" s="72">
        <v>2E-3</v>
      </c>
    </row>
    <row r="4792" spans="1:11" x14ac:dyDescent="0.25">
      <c r="A4792" s="163"/>
      <c r="B4792" s="106"/>
      <c r="C4792" s="73"/>
      <c r="D4792" s="75" t="s">
        <v>2374</v>
      </c>
      <c r="E4792" s="73"/>
      <c r="F4792" s="74"/>
      <c r="G4792" s="72"/>
    </row>
    <row r="4793" spans="1:11" x14ac:dyDescent="0.25">
      <c r="A4793" s="163"/>
      <c r="B4793" s="106"/>
      <c r="C4793" s="73"/>
      <c r="D4793" s="77" t="s">
        <v>1054</v>
      </c>
      <c r="E4793" s="77"/>
      <c r="F4793" s="152" t="s">
        <v>3</v>
      </c>
      <c r="G4793" s="72">
        <f>0.75*0.08*1.16</f>
        <v>6.9599999999999995E-2</v>
      </c>
    </row>
    <row r="4794" spans="1:11" ht="17.25" x14ac:dyDescent="0.25">
      <c r="A4794" s="163"/>
      <c r="B4794" s="106"/>
      <c r="C4794" s="73"/>
      <c r="D4794" s="77" t="s">
        <v>1055</v>
      </c>
      <c r="E4794" s="77"/>
      <c r="F4794" s="152" t="s">
        <v>596</v>
      </c>
      <c r="G4794" s="72">
        <f>G4793*1.1</f>
        <v>7.6560000000000003E-2</v>
      </c>
    </row>
    <row r="4795" spans="1:11" x14ac:dyDescent="0.25">
      <c r="A4795" s="163"/>
      <c r="B4795" s="106"/>
      <c r="C4795" s="73"/>
      <c r="D4795" s="73"/>
      <c r="E4795" s="75" t="s">
        <v>2375</v>
      </c>
      <c r="F4795" s="74"/>
      <c r="G4795" s="72"/>
    </row>
    <row r="4796" spans="1:11" x14ac:dyDescent="0.25">
      <c r="A4796" s="163"/>
      <c r="B4796" s="106"/>
      <c r="C4796" s="73"/>
      <c r="D4796" s="73"/>
      <c r="E4796" s="73" t="s">
        <v>415</v>
      </c>
      <c r="F4796" s="74" t="s">
        <v>3</v>
      </c>
      <c r="G4796" s="72">
        <f>0.4*0.165*1.5*8*1.124</f>
        <v>0.89020800000000011</v>
      </c>
    </row>
    <row r="4797" spans="1:11" x14ac:dyDescent="0.25">
      <c r="A4797" s="163"/>
      <c r="B4797" s="106"/>
      <c r="C4797" s="73"/>
      <c r="D4797" s="73"/>
      <c r="E4797" s="75" t="s">
        <v>2376</v>
      </c>
      <c r="F4797" s="74"/>
      <c r="G4797" s="72"/>
    </row>
    <row r="4798" spans="1:11" x14ac:dyDescent="0.25">
      <c r="A4798" s="163"/>
      <c r="B4798" s="106"/>
      <c r="C4798" s="73"/>
      <c r="D4798" s="73"/>
      <c r="E4798" s="73" t="s">
        <v>2378</v>
      </c>
      <c r="F4798" s="74" t="s">
        <v>3</v>
      </c>
      <c r="G4798" s="72">
        <v>0.51</v>
      </c>
      <c r="I4798" t="s">
        <v>2379</v>
      </c>
    </row>
    <row r="4799" spans="1:11" x14ac:dyDescent="0.25">
      <c r="A4799" s="163"/>
      <c r="B4799" s="106"/>
      <c r="C4799" s="73"/>
      <c r="D4799" s="73"/>
      <c r="E4799" s="75" t="s">
        <v>2377</v>
      </c>
      <c r="F4799" s="74"/>
      <c r="G4799" s="72"/>
    </row>
    <row r="4800" spans="1:11" x14ac:dyDescent="0.25">
      <c r="A4800" s="163"/>
      <c r="B4800" s="106"/>
      <c r="C4800" s="73"/>
      <c r="D4800" s="73"/>
      <c r="E4800" s="73" t="s">
        <v>1137</v>
      </c>
      <c r="F4800" s="74" t="s">
        <v>3</v>
      </c>
      <c r="G4800" s="72">
        <f>0.024*3.14/2*0.01*4*8*1.21</f>
        <v>1.4589696000000001E-2</v>
      </c>
    </row>
    <row r="4801" spans="1:11" x14ac:dyDescent="0.25">
      <c r="A4801" s="163"/>
      <c r="B4801" s="106"/>
      <c r="C4801" s="73"/>
      <c r="D4801" s="75" t="s">
        <v>2380</v>
      </c>
      <c r="E4801" s="73"/>
      <c r="F4801" s="74"/>
      <c r="G4801" s="148"/>
    </row>
    <row r="4802" spans="1:11" x14ac:dyDescent="0.25">
      <c r="A4802" s="163"/>
      <c r="B4802" s="106"/>
      <c r="C4802" s="73"/>
      <c r="D4802" s="73" t="s">
        <v>2378</v>
      </c>
      <c r="E4802" s="73"/>
      <c r="F4802" s="74" t="s">
        <v>3</v>
      </c>
      <c r="G4802" s="72">
        <v>0.20499999999999999</v>
      </c>
      <c r="I4802" t="s">
        <v>2381</v>
      </c>
    </row>
    <row r="4803" spans="1:11" x14ac:dyDescent="0.25">
      <c r="A4803" s="163"/>
      <c r="B4803" s="106"/>
      <c r="C4803" s="73"/>
      <c r="D4803" s="75" t="s">
        <v>2383</v>
      </c>
      <c r="E4803" s="73"/>
      <c r="F4803" s="74"/>
      <c r="G4803" s="72"/>
    </row>
    <row r="4804" spans="1:11" x14ac:dyDescent="0.25">
      <c r="A4804" s="163"/>
      <c r="B4804" s="106"/>
      <c r="C4804" s="73"/>
      <c r="D4804" s="73" t="s">
        <v>2378</v>
      </c>
      <c r="E4804" s="73"/>
      <c r="F4804" s="74" t="s">
        <v>3</v>
      </c>
      <c r="G4804" s="72">
        <v>0.24</v>
      </c>
      <c r="I4804" t="s">
        <v>2382</v>
      </c>
    </row>
    <row r="4805" spans="1:11" x14ac:dyDescent="0.25">
      <c r="A4805" s="163"/>
      <c r="B4805" s="106"/>
      <c r="C4805" s="73"/>
      <c r="D4805" s="75" t="s">
        <v>2384</v>
      </c>
      <c r="E4805" s="73"/>
      <c r="F4805" s="74"/>
      <c r="G4805" s="72"/>
    </row>
    <row r="4806" spans="1:11" x14ac:dyDescent="0.25">
      <c r="A4806" s="163"/>
      <c r="B4806" s="106"/>
      <c r="C4806" s="73"/>
      <c r="D4806" s="73" t="s">
        <v>415</v>
      </c>
      <c r="E4806" s="73"/>
      <c r="F4806" s="74" t="s">
        <v>3</v>
      </c>
      <c r="G4806" s="72">
        <f>0.275*0.4*1.5*8*1.121</f>
        <v>1.4797200000000004</v>
      </c>
    </row>
    <row r="4807" spans="1:11" x14ac:dyDescent="0.25">
      <c r="A4807" s="163"/>
      <c r="B4807" s="106"/>
      <c r="C4807" s="73"/>
      <c r="D4807" s="75" t="s">
        <v>2385</v>
      </c>
      <c r="E4807" s="73"/>
      <c r="F4807" s="74"/>
      <c r="G4807" s="72"/>
    </row>
    <row r="4808" spans="1:11" x14ac:dyDescent="0.25">
      <c r="A4808" s="163"/>
      <c r="B4808" s="106"/>
      <c r="C4808" s="73"/>
      <c r="D4808" s="73" t="s">
        <v>2378</v>
      </c>
      <c r="E4808" s="73"/>
      <c r="F4808" s="74" t="s">
        <v>3</v>
      </c>
      <c r="G4808" s="72">
        <v>0.19</v>
      </c>
      <c r="I4808" t="s">
        <v>2386</v>
      </c>
    </row>
    <row r="4809" spans="1:11" x14ac:dyDescent="0.25">
      <c r="A4809" s="163"/>
      <c r="B4809" s="106"/>
      <c r="C4809" s="73"/>
      <c r="D4809" s="73"/>
      <c r="E4809" s="73"/>
      <c r="F4809" s="74"/>
      <c r="G4809" s="72"/>
    </row>
    <row r="4810" spans="1:11" x14ac:dyDescent="0.25">
      <c r="A4810" s="163"/>
      <c r="B4810" s="106"/>
      <c r="C4810" s="75" t="s">
        <v>2388</v>
      </c>
      <c r="D4810" s="73"/>
      <c r="E4810" s="73"/>
      <c r="F4810" s="74"/>
      <c r="G4810" s="72"/>
    </row>
    <row r="4811" spans="1:11" x14ac:dyDescent="0.25">
      <c r="A4811" s="163"/>
      <c r="B4811" s="106"/>
      <c r="C4811" s="73"/>
      <c r="D4811" s="75" t="s">
        <v>2389</v>
      </c>
      <c r="E4811" s="73"/>
      <c r="F4811" s="74"/>
      <c r="G4811" s="72"/>
    </row>
    <row r="4812" spans="1:11" x14ac:dyDescent="0.25">
      <c r="A4812" s="163"/>
      <c r="B4812" s="106"/>
      <c r="C4812" s="73"/>
      <c r="D4812" s="73" t="s">
        <v>2107</v>
      </c>
      <c r="E4812" s="73"/>
      <c r="F4812" s="74" t="s">
        <v>3</v>
      </c>
      <c r="G4812" s="72">
        <f>0.75*0.5*0.07*1.2+0.016*3.14*2*0.07*1.25</f>
        <v>4.0292000000000001E-2</v>
      </c>
    </row>
    <row r="4813" spans="1:11" ht="17.25" x14ac:dyDescent="0.25">
      <c r="A4813" s="163"/>
      <c r="B4813" s="106"/>
      <c r="C4813" s="73"/>
      <c r="D4813" s="73" t="s">
        <v>168</v>
      </c>
      <c r="E4813" s="73"/>
      <c r="F4813" s="74" t="s">
        <v>596</v>
      </c>
      <c r="G4813" s="72">
        <f>G4812*1.1</f>
        <v>4.4321200000000005E-2</v>
      </c>
    </row>
    <row r="4814" spans="1:11" x14ac:dyDescent="0.25">
      <c r="A4814" s="163"/>
      <c r="B4814" s="106"/>
      <c r="C4814" s="73"/>
      <c r="D4814" s="77" t="s">
        <v>163</v>
      </c>
      <c r="E4814" s="73"/>
      <c r="F4814" s="74" t="s">
        <v>3</v>
      </c>
      <c r="G4814" s="72">
        <f>G4816*0.855</f>
        <v>0.17972955000000002</v>
      </c>
    </row>
    <row r="4815" spans="1:11" x14ac:dyDescent="0.25">
      <c r="A4815" s="163"/>
      <c r="B4815" s="106"/>
      <c r="C4815" s="73"/>
      <c r="D4815" s="77" t="s">
        <v>164</v>
      </c>
      <c r="E4815" s="73"/>
      <c r="F4815" s="74" t="s">
        <v>3</v>
      </c>
      <c r="G4815" s="72">
        <f>0.25*G4814</f>
        <v>4.4932387500000004E-2</v>
      </c>
      <c r="K4815" s="293"/>
    </row>
    <row r="4816" spans="1:11" x14ac:dyDescent="0.25">
      <c r="A4816" s="163"/>
      <c r="B4816" s="106"/>
      <c r="C4816" s="73"/>
      <c r="D4816" s="77" t="s">
        <v>36</v>
      </c>
      <c r="E4816" s="73"/>
      <c r="F4816" s="74" t="s">
        <v>3</v>
      </c>
      <c r="G4816" s="72">
        <f>0.91*0.35*2*0.15*2*1.1</f>
        <v>0.21021000000000001</v>
      </c>
      <c r="K4816" s="293"/>
    </row>
    <row r="4817" spans="1:11" x14ac:dyDescent="0.25">
      <c r="A4817" s="163"/>
      <c r="B4817" s="106"/>
      <c r="C4817" s="73"/>
      <c r="D4817" s="77" t="s">
        <v>649</v>
      </c>
      <c r="E4817" s="73"/>
      <c r="F4817" s="74" t="s">
        <v>3</v>
      </c>
      <c r="G4817" s="72">
        <v>3.0000000000000001E-3</v>
      </c>
      <c r="K4817" s="293"/>
    </row>
    <row r="4818" spans="1:11" x14ac:dyDescent="0.25">
      <c r="A4818" s="163"/>
      <c r="B4818" s="106"/>
      <c r="C4818" s="73"/>
      <c r="D4818" s="77" t="s">
        <v>12</v>
      </c>
      <c r="E4818" s="73"/>
      <c r="F4818" s="74" t="s">
        <v>3</v>
      </c>
      <c r="G4818" s="72">
        <f>0.25*(G4817+G4816)</f>
        <v>5.3302500000000003E-2</v>
      </c>
      <c r="K4818" s="293"/>
    </row>
    <row r="4819" spans="1:11" x14ac:dyDescent="0.25">
      <c r="A4819" s="163"/>
      <c r="B4819" s="106"/>
      <c r="C4819" s="73"/>
      <c r="D4819" s="77"/>
      <c r="E4819" s="75" t="s">
        <v>2391</v>
      </c>
      <c r="F4819" s="74"/>
      <c r="G4819" s="72"/>
      <c r="K4819" s="293"/>
    </row>
    <row r="4820" spans="1:11" x14ac:dyDescent="0.25">
      <c r="A4820" s="163"/>
      <c r="B4820" s="106"/>
      <c r="C4820" s="73"/>
      <c r="D4820" s="77"/>
      <c r="E4820" s="73" t="s">
        <v>2107</v>
      </c>
      <c r="F4820" s="74" t="s">
        <v>3</v>
      </c>
      <c r="G4820" s="72">
        <f>0.25*0.07*1.15</f>
        <v>2.0125000000000001E-2</v>
      </c>
      <c r="K4820" s="293"/>
    </row>
    <row r="4821" spans="1:11" ht="17.25" x14ac:dyDescent="0.25">
      <c r="A4821" s="163"/>
      <c r="B4821" s="106"/>
      <c r="C4821" s="73"/>
      <c r="D4821" s="77"/>
      <c r="E4821" s="73" t="s">
        <v>168</v>
      </c>
      <c r="F4821" s="74" t="s">
        <v>596</v>
      </c>
      <c r="G4821" s="72">
        <f>G4820*1.1</f>
        <v>2.2137500000000001E-2</v>
      </c>
      <c r="K4821" s="293"/>
    </row>
    <row r="4822" spans="1:11" x14ac:dyDescent="0.25">
      <c r="A4822" s="163"/>
      <c r="B4822" s="106"/>
      <c r="C4822" s="73"/>
      <c r="D4822" s="77"/>
      <c r="E4822" s="78" t="s">
        <v>2392</v>
      </c>
      <c r="F4822" s="74"/>
      <c r="G4822" s="72"/>
      <c r="K4822" s="293"/>
    </row>
    <row r="4823" spans="1:11" x14ac:dyDescent="0.25">
      <c r="A4823" s="163"/>
      <c r="B4823" s="106"/>
      <c r="C4823" s="73"/>
      <c r="D4823" s="77"/>
      <c r="E4823" s="77" t="s">
        <v>2394</v>
      </c>
      <c r="F4823" s="74" t="s">
        <v>3</v>
      </c>
      <c r="G4823" s="72">
        <f>0.21*0.012*4*2.7*1.12</f>
        <v>3.0481920000000006E-2</v>
      </c>
      <c r="K4823" s="293"/>
    </row>
    <row r="4824" spans="1:11" x14ac:dyDescent="0.25">
      <c r="A4824" s="163"/>
      <c r="B4824" s="106"/>
      <c r="C4824" s="73"/>
      <c r="D4824" s="77"/>
      <c r="E4824" s="78" t="s">
        <v>2396</v>
      </c>
      <c r="F4824" s="74"/>
      <c r="G4824" s="72"/>
      <c r="K4824" s="293"/>
    </row>
    <row r="4825" spans="1:11" x14ac:dyDescent="0.25">
      <c r="A4825" s="163"/>
      <c r="B4825" s="106"/>
      <c r="C4825" s="73"/>
      <c r="D4825" s="77"/>
      <c r="E4825" s="77" t="s">
        <v>2394</v>
      </c>
      <c r="F4825" s="74" t="s">
        <v>3</v>
      </c>
      <c r="G4825" s="72">
        <f>0.21*0.022*4*2.7*1.12</f>
        <v>5.5883520000000006E-2</v>
      </c>
      <c r="K4825" s="293"/>
    </row>
    <row r="4826" spans="1:11" x14ac:dyDescent="0.25">
      <c r="A4826" s="163"/>
      <c r="B4826" s="106"/>
      <c r="C4826" s="73"/>
      <c r="D4826" s="77"/>
      <c r="E4826" s="75" t="s">
        <v>2397</v>
      </c>
      <c r="F4826" s="74"/>
      <c r="G4826" s="72"/>
      <c r="K4826" s="293"/>
    </row>
    <row r="4827" spans="1:11" x14ac:dyDescent="0.25">
      <c r="A4827" s="163"/>
      <c r="B4827" s="106"/>
      <c r="C4827" s="73"/>
      <c r="D4827" s="77"/>
      <c r="E4827" s="73" t="s">
        <v>2107</v>
      </c>
      <c r="F4827" s="74" t="s">
        <v>3</v>
      </c>
      <c r="G4827" s="72">
        <f>0.55*0.07*1.17</f>
        <v>4.5045000000000002E-2</v>
      </c>
      <c r="K4827" s="293"/>
    </row>
    <row r="4828" spans="1:11" ht="17.25" x14ac:dyDescent="0.25">
      <c r="A4828" s="163"/>
      <c r="B4828" s="106"/>
      <c r="C4828" s="73"/>
      <c r="D4828" s="77"/>
      <c r="E4828" s="73" t="s">
        <v>168</v>
      </c>
      <c r="F4828" s="74" t="s">
        <v>596</v>
      </c>
      <c r="G4828" s="72">
        <f>G4827*1.1</f>
        <v>4.9549500000000003E-2</v>
      </c>
      <c r="K4828" s="293"/>
    </row>
    <row r="4829" spans="1:11" x14ac:dyDescent="0.25">
      <c r="A4829" s="163"/>
      <c r="B4829" s="106"/>
      <c r="C4829" s="73"/>
      <c r="D4829" s="77"/>
      <c r="E4829" s="75" t="s">
        <v>2393</v>
      </c>
      <c r="F4829" s="74"/>
      <c r="G4829" s="72"/>
      <c r="K4829" s="293"/>
    </row>
    <row r="4830" spans="1:11" x14ac:dyDescent="0.25">
      <c r="A4830" s="163"/>
      <c r="B4830" s="106"/>
      <c r="C4830" s="73"/>
      <c r="D4830" s="77"/>
      <c r="E4830" s="77" t="s">
        <v>2394</v>
      </c>
      <c r="F4830" s="74" t="s">
        <v>3</v>
      </c>
      <c r="G4830" s="72">
        <f>0.5*0.012*4*2.7*1.12</f>
        <v>7.2576000000000015E-2</v>
      </c>
      <c r="K4830" s="293"/>
    </row>
    <row r="4831" spans="1:11" x14ac:dyDescent="0.25">
      <c r="A4831" s="163"/>
      <c r="B4831" s="106"/>
      <c r="C4831" s="73"/>
      <c r="D4831" s="77"/>
      <c r="E4831" s="75" t="s">
        <v>2395</v>
      </c>
      <c r="F4831" s="74"/>
      <c r="G4831" s="72"/>
      <c r="K4831" s="293"/>
    </row>
    <row r="4832" spans="1:11" x14ac:dyDescent="0.25">
      <c r="A4832" s="163"/>
      <c r="B4832" s="106"/>
      <c r="C4832" s="73"/>
      <c r="D4832" s="77"/>
      <c r="E4832" s="77" t="s">
        <v>2394</v>
      </c>
      <c r="F4832" s="74" t="s">
        <v>3</v>
      </c>
      <c r="G4832" s="72">
        <f>0.5*0.022*4*2.7*1.12</f>
        <v>0.13305600000000001</v>
      </c>
      <c r="K4832" s="293"/>
    </row>
    <row r="4833" spans="1:11" x14ac:dyDescent="0.25">
      <c r="A4833" s="163"/>
      <c r="B4833" s="106"/>
      <c r="C4833" s="73"/>
      <c r="D4833" s="77"/>
      <c r="E4833" s="75" t="s">
        <v>2398</v>
      </c>
      <c r="F4833" s="74"/>
      <c r="G4833" s="72"/>
      <c r="K4833" s="293"/>
    </row>
    <row r="4834" spans="1:11" x14ac:dyDescent="0.25">
      <c r="A4834" s="163"/>
      <c r="B4834" s="106"/>
      <c r="C4834" s="73"/>
      <c r="D4834" s="73"/>
      <c r="E4834" s="77" t="s">
        <v>598</v>
      </c>
      <c r="F4834" s="74" t="s">
        <v>3</v>
      </c>
      <c r="G4834" s="72">
        <f>0.93*0.53*2.5*2.7*1.01</f>
        <v>3.3603457500000005</v>
      </c>
      <c r="K4834" s="293"/>
    </row>
    <row r="4835" spans="1:11" x14ac:dyDescent="0.25">
      <c r="A4835" s="163"/>
      <c r="B4835" s="106"/>
      <c r="C4835" s="73"/>
      <c r="D4835" s="73"/>
      <c r="E4835" s="78" t="s">
        <v>2399</v>
      </c>
      <c r="F4835" s="74"/>
      <c r="G4835" s="72"/>
      <c r="K4835" s="293"/>
    </row>
    <row r="4836" spans="1:11" x14ac:dyDescent="0.25">
      <c r="A4836" s="163"/>
      <c r="B4836" s="106"/>
      <c r="C4836" s="73"/>
      <c r="D4836" s="73"/>
      <c r="E4836" s="77" t="s">
        <v>2400</v>
      </c>
      <c r="F4836" s="74" t="s">
        <v>3</v>
      </c>
      <c r="G4836" s="72">
        <v>9.0999999999999998E-2</v>
      </c>
      <c r="I4836" t="s">
        <v>2401</v>
      </c>
      <c r="K4836" s="293"/>
    </row>
    <row r="4837" spans="1:11" x14ac:dyDescent="0.25">
      <c r="A4837" s="163"/>
      <c r="B4837" s="106"/>
      <c r="C4837" s="73"/>
      <c r="D4837" s="75" t="s">
        <v>2390</v>
      </c>
      <c r="E4837" s="73"/>
      <c r="F4837" s="74"/>
      <c r="G4837" s="72"/>
    </row>
    <row r="4838" spans="1:11" x14ac:dyDescent="0.25">
      <c r="A4838" s="163"/>
      <c r="B4838" s="106"/>
      <c r="C4838" s="73"/>
      <c r="D4838" s="73" t="s">
        <v>36</v>
      </c>
      <c r="E4838" s="73"/>
      <c r="F4838" s="74" t="s">
        <v>3</v>
      </c>
      <c r="G4838" s="72">
        <f>0.35*0.35*0.15*2*1.1</f>
        <v>4.0424999999999996E-2</v>
      </c>
    </row>
    <row r="4839" spans="1:11" x14ac:dyDescent="0.25">
      <c r="A4839" s="163"/>
      <c r="B4839" s="106"/>
      <c r="C4839" s="73"/>
      <c r="D4839" s="73" t="s">
        <v>12</v>
      </c>
      <c r="E4839" s="73"/>
      <c r="F4839" s="74" t="s">
        <v>3</v>
      </c>
      <c r="G4839" s="72">
        <f>0.25*G4838</f>
        <v>1.0106249999999999E-2</v>
      </c>
    </row>
    <row r="4840" spans="1:11" x14ac:dyDescent="0.25">
      <c r="A4840" s="163"/>
      <c r="B4840" s="106"/>
      <c r="C4840" s="73"/>
      <c r="D4840" s="73"/>
      <c r="E4840" s="73"/>
      <c r="F4840" s="74"/>
      <c r="G4840" s="72"/>
    </row>
    <row r="4841" spans="1:11" x14ac:dyDescent="0.25">
      <c r="A4841" s="163"/>
      <c r="B4841" s="106"/>
      <c r="C4841" s="75" t="s">
        <v>2403</v>
      </c>
      <c r="D4841" s="73"/>
      <c r="E4841" s="73"/>
      <c r="F4841" s="74"/>
      <c r="G4841" s="72"/>
    </row>
    <row r="4842" spans="1:11" x14ac:dyDescent="0.25">
      <c r="A4842" s="163"/>
      <c r="B4842" s="106"/>
      <c r="C4842" s="77" t="s">
        <v>124</v>
      </c>
      <c r="D4842" s="73"/>
      <c r="E4842" s="73"/>
      <c r="F4842" s="74" t="s">
        <v>3</v>
      </c>
      <c r="G4842" s="72">
        <f>0.008*3.14*2*0.08*1.5</f>
        <v>6.0287999999999991E-3</v>
      </c>
    </row>
    <row r="4843" spans="1:11" ht="17.25" x14ac:dyDescent="0.25">
      <c r="A4843" s="163"/>
      <c r="B4843" s="106"/>
      <c r="C4843" s="77" t="s">
        <v>121</v>
      </c>
      <c r="D4843" s="73"/>
      <c r="E4843" s="73"/>
      <c r="F4843" s="74" t="s">
        <v>596</v>
      </c>
      <c r="G4843" s="72">
        <f>G4842*1.1</f>
        <v>6.6316799999999992E-3</v>
      </c>
    </row>
    <row r="4844" spans="1:11" x14ac:dyDescent="0.25">
      <c r="A4844" s="163"/>
      <c r="B4844" s="106"/>
      <c r="C4844" s="77" t="s">
        <v>114</v>
      </c>
      <c r="D4844" s="73"/>
      <c r="E4844" s="73"/>
      <c r="F4844" s="74" t="s">
        <v>3</v>
      </c>
      <c r="G4844" s="72">
        <f>G4846</f>
        <v>5.4339999999999996E-3</v>
      </c>
    </row>
    <row r="4845" spans="1:11" x14ac:dyDescent="0.25">
      <c r="A4845" s="163"/>
      <c r="B4845" s="106"/>
      <c r="C4845" s="77" t="s">
        <v>164</v>
      </c>
      <c r="D4845" s="73"/>
      <c r="E4845" s="73"/>
      <c r="F4845" s="74" t="s">
        <v>3</v>
      </c>
      <c r="G4845" s="72">
        <f>0.3*G4844</f>
        <v>1.6301999999999998E-3</v>
      </c>
    </row>
    <row r="4846" spans="1:11" x14ac:dyDescent="0.25">
      <c r="A4846" s="163"/>
      <c r="B4846" s="106"/>
      <c r="C4846" s="77" t="s">
        <v>500</v>
      </c>
      <c r="D4846" s="73"/>
      <c r="E4846" s="73"/>
      <c r="F4846" s="74" t="s">
        <v>3</v>
      </c>
      <c r="G4846" s="72">
        <f>0.19*0.011*2*1.3</f>
        <v>5.4339999999999996E-3</v>
      </c>
    </row>
    <row r="4847" spans="1:11" x14ac:dyDescent="0.25">
      <c r="A4847" s="163"/>
      <c r="B4847" s="106"/>
      <c r="C4847" s="77" t="s">
        <v>12</v>
      </c>
      <c r="D4847" s="73"/>
      <c r="E4847" s="73"/>
      <c r="F4847" s="74" t="s">
        <v>3</v>
      </c>
      <c r="G4847" s="72">
        <f>0.3*G4846</f>
        <v>1.6301999999999998E-3</v>
      </c>
    </row>
    <row r="4848" spans="1:11" x14ac:dyDescent="0.25">
      <c r="A4848" s="163"/>
      <c r="B4848" s="106"/>
      <c r="C4848" s="73"/>
      <c r="D4848" s="75" t="s">
        <v>2404</v>
      </c>
      <c r="E4848" s="73"/>
      <c r="F4848" s="74"/>
      <c r="G4848" s="72"/>
    </row>
    <row r="4849" spans="1:11" x14ac:dyDescent="0.25">
      <c r="A4849" s="163"/>
      <c r="B4849" s="106"/>
      <c r="C4849" s="73"/>
      <c r="D4849" s="73" t="s">
        <v>2405</v>
      </c>
      <c r="E4849" s="73"/>
      <c r="F4849" s="74" t="s">
        <v>3</v>
      </c>
      <c r="G4849" s="72">
        <v>3.5000000000000003E-2</v>
      </c>
      <c r="I4849" t="s">
        <v>2406</v>
      </c>
    </row>
    <row r="4850" spans="1:11" x14ac:dyDescent="0.25">
      <c r="A4850" s="163"/>
      <c r="B4850" s="106"/>
      <c r="C4850" s="73"/>
      <c r="D4850" s="75" t="s">
        <v>2407</v>
      </c>
      <c r="E4850" s="73"/>
      <c r="F4850" s="74"/>
      <c r="G4850" s="72"/>
    </row>
    <row r="4851" spans="1:11" x14ac:dyDescent="0.25">
      <c r="A4851" s="163"/>
      <c r="B4851" s="106"/>
      <c r="C4851" s="73"/>
      <c r="D4851" s="73" t="s">
        <v>300</v>
      </c>
      <c r="E4851" s="73"/>
      <c r="F4851" s="74" t="s">
        <v>3</v>
      </c>
      <c r="G4851" s="72">
        <f>0.055*0.016*3*8*1.12</f>
        <v>2.3654400000000003E-2</v>
      </c>
    </row>
    <row r="4852" spans="1:11" x14ac:dyDescent="0.25">
      <c r="A4852" s="163"/>
      <c r="B4852" s="106"/>
      <c r="C4852" s="73"/>
      <c r="D4852" s="73"/>
      <c r="E4852" s="73"/>
      <c r="F4852" s="74"/>
      <c r="G4852" s="72"/>
    </row>
    <row r="4853" spans="1:11" x14ac:dyDescent="0.25">
      <c r="A4853" s="163"/>
      <c r="B4853" s="106"/>
      <c r="C4853" s="75" t="s">
        <v>2408</v>
      </c>
      <c r="D4853" s="73"/>
      <c r="E4853" s="73"/>
      <c r="F4853" s="74"/>
      <c r="G4853" s="72"/>
    </row>
    <row r="4854" spans="1:11" x14ac:dyDescent="0.25">
      <c r="A4854" s="163"/>
      <c r="B4854" s="106"/>
      <c r="C4854" s="73" t="s">
        <v>722</v>
      </c>
      <c r="D4854" s="73"/>
      <c r="E4854" s="73"/>
      <c r="F4854" s="74" t="s">
        <v>3</v>
      </c>
      <c r="G4854" s="72">
        <f>0.43*0.185*1.5*8*1.11</f>
        <v>1.059606</v>
      </c>
    </row>
    <row r="4855" spans="1:11" x14ac:dyDescent="0.25">
      <c r="A4855" s="163"/>
      <c r="B4855" s="106"/>
      <c r="C4855" s="73"/>
      <c r="D4855" s="73"/>
      <c r="E4855" s="73"/>
      <c r="F4855" s="74"/>
      <c r="G4855" s="72"/>
    </row>
    <row r="4856" spans="1:11" x14ac:dyDescent="0.25">
      <c r="A4856" s="163"/>
      <c r="B4856" s="106"/>
      <c r="C4856" s="75" t="s">
        <v>2410</v>
      </c>
      <c r="D4856" s="73"/>
      <c r="E4856" s="73"/>
      <c r="F4856" s="74"/>
      <c r="G4856" s="72"/>
    </row>
    <row r="4857" spans="1:11" x14ac:dyDescent="0.25">
      <c r="A4857" s="163"/>
      <c r="B4857" s="106"/>
      <c r="C4857" s="100" t="s">
        <v>2413</v>
      </c>
      <c r="D4857" s="73"/>
      <c r="E4857" s="73"/>
      <c r="F4857" s="74" t="s">
        <v>195</v>
      </c>
      <c r="G4857" s="72">
        <v>0.2</v>
      </c>
      <c r="I4857" t="s">
        <v>1223</v>
      </c>
      <c r="K4857" s="295"/>
    </row>
    <row r="4858" spans="1:11" x14ac:dyDescent="0.25">
      <c r="A4858" s="163"/>
      <c r="B4858" s="106"/>
      <c r="C4858" s="77" t="s">
        <v>124</v>
      </c>
      <c r="D4858" s="73"/>
      <c r="E4858" s="73"/>
      <c r="F4858" s="74" t="s">
        <v>3</v>
      </c>
      <c r="G4858" s="72">
        <f>0.008*3.14*2*0.08*1.2</f>
        <v>4.8230399999999998E-3</v>
      </c>
    </row>
    <row r="4859" spans="1:11" ht="17.25" x14ac:dyDescent="0.25">
      <c r="A4859" s="163"/>
      <c r="B4859" s="106"/>
      <c r="C4859" s="77" t="s">
        <v>121</v>
      </c>
      <c r="D4859" s="73"/>
      <c r="E4859" s="73"/>
      <c r="F4859" s="74" t="s">
        <v>596</v>
      </c>
      <c r="G4859" s="72">
        <f>G4858*1.1</f>
        <v>5.305344E-3</v>
      </c>
    </row>
    <row r="4860" spans="1:11" x14ac:dyDescent="0.25">
      <c r="A4860" s="163"/>
      <c r="B4860" s="106"/>
      <c r="C4860" s="77" t="s">
        <v>114</v>
      </c>
      <c r="D4860" s="73"/>
      <c r="E4860" s="73"/>
      <c r="F4860" s="74" t="s">
        <v>3</v>
      </c>
      <c r="G4860" s="72">
        <f>G4862</f>
        <v>4.5869999999999991E-3</v>
      </c>
    </row>
    <row r="4861" spans="1:11" x14ac:dyDescent="0.25">
      <c r="A4861" s="163"/>
      <c r="B4861" s="106"/>
      <c r="C4861" s="77" t="s">
        <v>164</v>
      </c>
      <c r="D4861" s="73"/>
      <c r="E4861" s="73"/>
      <c r="F4861" s="74" t="s">
        <v>3</v>
      </c>
      <c r="G4861" s="72">
        <f>0.3*G4860</f>
        <v>1.3760999999999997E-3</v>
      </c>
    </row>
    <row r="4862" spans="1:11" x14ac:dyDescent="0.25">
      <c r="A4862" s="163"/>
      <c r="B4862" s="106"/>
      <c r="C4862" s="77" t="s">
        <v>500</v>
      </c>
      <c r="D4862" s="73"/>
      <c r="E4862" s="73"/>
      <c r="F4862" s="74" t="s">
        <v>3</v>
      </c>
      <c r="G4862" s="72">
        <f>0.15*0.011*2*1.39</f>
        <v>4.5869999999999991E-3</v>
      </c>
    </row>
    <row r="4863" spans="1:11" x14ac:dyDescent="0.25">
      <c r="A4863" s="163"/>
      <c r="B4863" s="106"/>
      <c r="C4863" s="77" t="s">
        <v>12</v>
      </c>
      <c r="D4863" s="73"/>
      <c r="E4863" s="73"/>
      <c r="F4863" s="74" t="s">
        <v>3</v>
      </c>
      <c r="G4863" s="72">
        <f>0.3*G4862</f>
        <v>1.3760999999999997E-3</v>
      </c>
    </row>
    <row r="4864" spans="1:11" x14ac:dyDescent="0.25">
      <c r="A4864" s="163"/>
      <c r="B4864" s="106"/>
      <c r="C4864" s="73" t="s">
        <v>2372</v>
      </c>
      <c r="D4864" s="73"/>
      <c r="E4864" s="73"/>
      <c r="F4864" s="74" t="s">
        <v>3</v>
      </c>
      <c r="G4864" s="72">
        <v>3.0000000000000001E-3</v>
      </c>
    </row>
    <row r="4865" spans="1:11" x14ac:dyDescent="0.25">
      <c r="A4865" s="163"/>
      <c r="B4865" s="106"/>
      <c r="C4865" s="73" t="s">
        <v>723</v>
      </c>
      <c r="D4865" s="73"/>
      <c r="E4865" s="73"/>
      <c r="F4865" s="74" t="s">
        <v>3</v>
      </c>
      <c r="G4865" s="72">
        <v>3.0000000000000001E-3</v>
      </c>
      <c r="K4865" s="295"/>
    </row>
    <row r="4866" spans="1:11" x14ac:dyDescent="0.25">
      <c r="A4866" s="163"/>
      <c r="B4866" s="106"/>
      <c r="C4866" s="73"/>
      <c r="D4866" s="75" t="s">
        <v>2412</v>
      </c>
      <c r="E4866" s="73"/>
      <c r="F4866" s="74"/>
      <c r="G4866" s="72"/>
    </row>
    <row r="4867" spans="1:11" x14ac:dyDescent="0.25">
      <c r="A4867" s="163"/>
      <c r="B4867" s="106"/>
      <c r="C4867" s="73"/>
      <c r="D4867" s="73" t="s">
        <v>2405</v>
      </c>
      <c r="E4867" s="73"/>
      <c r="F4867" s="74" t="s">
        <v>3</v>
      </c>
      <c r="G4867" s="72">
        <f>0.029</f>
        <v>2.9000000000000001E-2</v>
      </c>
      <c r="I4867" t="s">
        <v>2411</v>
      </c>
    </row>
    <row r="4868" spans="1:11" x14ac:dyDescent="0.25">
      <c r="A4868" s="163"/>
      <c r="B4868" s="106"/>
      <c r="C4868" s="73"/>
      <c r="D4868" s="73"/>
      <c r="E4868" s="73"/>
      <c r="F4868" s="74"/>
      <c r="G4868" s="72"/>
    </row>
    <row r="4869" spans="1:11" x14ac:dyDescent="0.25">
      <c r="A4869" s="163"/>
      <c r="B4869" s="106"/>
      <c r="C4869" s="75" t="s">
        <v>2414</v>
      </c>
      <c r="D4869" s="73"/>
      <c r="E4869" s="73"/>
      <c r="F4869" s="74"/>
      <c r="G4869" s="72"/>
    </row>
    <row r="4870" spans="1:11" x14ac:dyDescent="0.25">
      <c r="A4870" s="163"/>
      <c r="B4870" s="106"/>
      <c r="C4870" s="73" t="s">
        <v>177</v>
      </c>
      <c r="D4870" s="73"/>
      <c r="E4870" s="73"/>
      <c r="F4870" s="74" t="s">
        <v>3</v>
      </c>
      <c r="G4870" s="72">
        <f>0.011*1.2</f>
        <v>1.3199999999999998E-2</v>
      </c>
    </row>
    <row r="4871" spans="1:11" x14ac:dyDescent="0.25">
      <c r="A4871" s="163"/>
      <c r="B4871" s="106"/>
      <c r="C4871" s="73"/>
      <c r="D4871" s="73"/>
      <c r="E4871" s="73"/>
      <c r="F4871" s="74"/>
      <c r="G4871" s="148"/>
    </row>
    <row r="4872" spans="1:11" x14ac:dyDescent="0.25">
      <c r="A4872" s="163"/>
      <c r="B4872" s="106"/>
      <c r="C4872" s="75" t="s">
        <v>2415</v>
      </c>
      <c r="D4872" s="73"/>
      <c r="E4872" s="73"/>
      <c r="F4872" s="74"/>
      <c r="G4872" s="72"/>
    </row>
    <row r="4873" spans="1:11" x14ac:dyDescent="0.25">
      <c r="A4873" s="163"/>
      <c r="B4873" s="106"/>
      <c r="C4873" s="73" t="s">
        <v>1650</v>
      </c>
      <c r="D4873" s="73"/>
      <c r="E4873" s="73"/>
      <c r="F4873" s="74" t="s">
        <v>3</v>
      </c>
      <c r="G4873" s="72">
        <f>0.015*1.2</f>
        <v>1.7999999999999999E-2</v>
      </c>
    </row>
    <row r="4874" spans="1:11" x14ac:dyDescent="0.25">
      <c r="A4874" s="163"/>
      <c r="B4874" s="106"/>
      <c r="C4874" s="73"/>
      <c r="D4874" s="73"/>
      <c r="E4874" s="73"/>
      <c r="F4874" s="74"/>
      <c r="G4874" s="72"/>
    </row>
    <row r="4875" spans="1:11" x14ac:dyDescent="0.25">
      <c r="A4875" s="163"/>
      <c r="B4875" s="106"/>
      <c r="C4875" s="75" t="s">
        <v>2416</v>
      </c>
      <c r="D4875" s="73"/>
      <c r="E4875" s="73"/>
      <c r="F4875" s="74"/>
      <c r="G4875" s="72"/>
    </row>
    <row r="4876" spans="1:11" x14ac:dyDescent="0.25">
      <c r="A4876" s="163"/>
      <c r="B4876" s="106"/>
      <c r="C4876" s="73" t="s">
        <v>114</v>
      </c>
      <c r="D4876" s="73"/>
      <c r="E4876" s="73"/>
      <c r="F4876" s="74" t="s">
        <v>3</v>
      </c>
      <c r="G4876" s="72">
        <f>0.003</f>
        <v>3.0000000000000001E-3</v>
      </c>
    </row>
    <row r="4877" spans="1:11" x14ac:dyDescent="0.25">
      <c r="A4877" s="163"/>
      <c r="B4877" s="106"/>
      <c r="C4877" s="73" t="s">
        <v>163</v>
      </c>
      <c r="D4877" s="73"/>
      <c r="E4877" s="73"/>
      <c r="F4877" s="74" t="s">
        <v>3</v>
      </c>
      <c r="G4877" s="72">
        <v>3.0000000000000001E-3</v>
      </c>
    </row>
    <row r="4878" spans="1:11" x14ac:dyDescent="0.25">
      <c r="A4878" s="163"/>
      <c r="B4878" s="106"/>
      <c r="C4878" s="73" t="s">
        <v>164</v>
      </c>
      <c r="D4878" s="73"/>
      <c r="E4878" s="73"/>
      <c r="F4878" s="74" t="s">
        <v>3</v>
      </c>
      <c r="G4878" s="72">
        <f>0.3*(G4877+G4876)</f>
        <v>1.8E-3</v>
      </c>
    </row>
    <row r="4879" spans="1:11" x14ac:dyDescent="0.25">
      <c r="A4879" s="163"/>
      <c r="B4879" s="106"/>
      <c r="C4879" s="73" t="s">
        <v>72</v>
      </c>
      <c r="D4879" s="73"/>
      <c r="E4879" s="73"/>
      <c r="F4879" s="74" t="s">
        <v>3</v>
      </c>
      <c r="G4879" s="72">
        <f>0.2*0.011*2*1.2</f>
        <v>5.28E-3</v>
      </c>
    </row>
    <row r="4880" spans="1:11" x14ac:dyDescent="0.25">
      <c r="A4880" s="163"/>
      <c r="B4880" s="106"/>
      <c r="C4880" s="73" t="s">
        <v>11</v>
      </c>
      <c r="D4880" s="73"/>
      <c r="E4880" s="73"/>
      <c r="F4880" s="74" t="s">
        <v>3</v>
      </c>
      <c r="G4880" s="72">
        <f>0.3*G4879</f>
        <v>1.5839999999999999E-3</v>
      </c>
    </row>
    <row r="4881" spans="1:9" x14ac:dyDescent="0.25">
      <c r="A4881" s="163"/>
      <c r="B4881" s="106"/>
      <c r="C4881" s="73" t="s">
        <v>140</v>
      </c>
      <c r="D4881" s="73"/>
      <c r="E4881" s="73"/>
      <c r="F4881" s="74" t="s">
        <v>3</v>
      </c>
      <c r="G4881" s="72">
        <f>0.008*3.14*3*0.08*1.2</f>
        <v>7.2345599999999993E-3</v>
      </c>
    </row>
    <row r="4882" spans="1:9" ht="17.25" x14ac:dyDescent="0.25">
      <c r="A4882" s="163"/>
      <c r="B4882" s="106"/>
      <c r="C4882" s="73" t="s">
        <v>23</v>
      </c>
      <c r="D4882" s="73"/>
      <c r="E4882" s="73"/>
      <c r="F4882" s="74" t="s">
        <v>596</v>
      </c>
      <c r="G4882" s="72">
        <f>G4881*1.5</f>
        <v>1.0851839999999998E-2</v>
      </c>
    </row>
    <row r="4883" spans="1:9" x14ac:dyDescent="0.25">
      <c r="A4883" s="163"/>
      <c r="B4883" s="106"/>
      <c r="C4883" s="73" t="s">
        <v>142</v>
      </c>
      <c r="D4883" s="73"/>
      <c r="E4883" s="73"/>
      <c r="F4883" s="74" t="s">
        <v>3</v>
      </c>
      <c r="G4883" s="72">
        <f>G4881/4</f>
        <v>1.8086399999999998E-3</v>
      </c>
    </row>
    <row r="4884" spans="1:9" x14ac:dyDescent="0.25">
      <c r="A4884" s="163"/>
      <c r="B4884" s="106"/>
      <c r="C4884" s="73"/>
      <c r="D4884" s="75" t="s">
        <v>2417</v>
      </c>
      <c r="E4884" s="73"/>
      <c r="F4884" s="74"/>
      <c r="G4884" s="72"/>
    </row>
    <row r="4885" spans="1:9" x14ac:dyDescent="0.25">
      <c r="A4885" s="163"/>
      <c r="B4885" s="106"/>
      <c r="C4885" s="73"/>
      <c r="D4885" s="73" t="s">
        <v>2405</v>
      </c>
      <c r="E4885" s="73"/>
      <c r="F4885" s="74" t="s">
        <v>3</v>
      </c>
      <c r="G4885" s="72">
        <v>3.5999999999999997E-2</v>
      </c>
      <c r="I4885" t="s">
        <v>2418</v>
      </c>
    </row>
    <row r="4886" spans="1:9" x14ac:dyDescent="0.25">
      <c r="A4886" s="163"/>
      <c r="B4886" s="106"/>
      <c r="C4886" s="73"/>
      <c r="D4886" s="73"/>
      <c r="E4886" s="73"/>
      <c r="F4886" s="74"/>
      <c r="G4886" s="72"/>
    </row>
    <row r="4887" spans="1:9" x14ac:dyDescent="0.25">
      <c r="A4887" s="163"/>
      <c r="B4887" s="106"/>
      <c r="C4887" s="75" t="s">
        <v>2419</v>
      </c>
      <c r="D4887" s="73"/>
      <c r="E4887" s="73"/>
      <c r="F4887" s="74"/>
      <c r="G4887" s="72"/>
    </row>
    <row r="4888" spans="1:9" x14ac:dyDescent="0.25">
      <c r="A4888" s="163"/>
      <c r="B4888" s="106"/>
      <c r="C4888" s="73" t="s">
        <v>51</v>
      </c>
      <c r="D4888" s="73"/>
      <c r="E4888" s="73"/>
      <c r="F4888" s="74" t="s">
        <v>3</v>
      </c>
      <c r="G4888" s="72">
        <f>0.006*3.14*2*0.08*1.2</f>
        <v>3.6172800000000005E-3</v>
      </c>
    </row>
    <row r="4889" spans="1:9" ht="17.25" x14ac:dyDescent="0.25">
      <c r="A4889" s="163"/>
      <c r="B4889" s="106"/>
      <c r="C4889" s="73" t="s">
        <v>52</v>
      </c>
      <c r="D4889" s="73"/>
      <c r="E4889" s="73"/>
      <c r="F4889" s="74" t="s">
        <v>596</v>
      </c>
      <c r="G4889" s="72">
        <f>G4888*2</f>
        <v>7.234560000000001E-3</v>
      </c>
    </row>
    <row r="4890" spans="1:9" x14ac:dyDescent="0.25">
      <c r="A4890" s="163"/>
      <c r="B4890" s="106"/>
      <c r="C4890" s="73" t="s">
        <v>24</v>
      </c>
      <c r="D4890" s="73"/>
      <c r="E4890" s="73"/>
      <c r="F4890" s="74" t="s">
        <v>3</v>
      </c>
      <c r="G4890" s="72">
        <f>G4888/4</f>
        <v>9.0432000000000012E-4</v>
      </c>
    </row>
    <row r="4891" spans="1:9" x14ac:dyDescent="0.25">
      <c r="A4891" s="163"/>
      <c r="B4891" s="106"/>
      <c r="C4891" s="73" t="s">
        <v>143</v>
      </c>
      <c r="D4891" s="73"/>
      <c r="E4891" s="73"/>
      <c r="F4891" s="74" t="s">
        <v>3</v>
      </c>
      <c r="G4891" s="72">
        <f>G4892</f>
        <v>7.7000000000000002E-3</v>
      </c>
    </row>
    <row r="4892" spans="1:9" x14ac:dyDescent="0.25">
      <c r="A4892" s="163"/>
      <c r="B4892" s="106"/>
      <c r="C4892" s="73" t="s">
        <v>8</v>
      </c>
      <c r="D4892" s="73"/>
      <c r="E4892" s="73"/>
      <c r="F4892" s="74" t="s">
        <v>3</v>
      </c>
      <c r="G4892" s="72">
        <f>G4893*0.8</f>
        <v>7.7000000000000002E-3</v>
      </c>
    </row>
    <row r="4893" spans="1:9" x14ac:dyDescent="0.25">
      <c r="A4893" s="163"/>
      <c r="B4893" s="106"/>
      <c r="C4893" s="73" t="s">
        <v>152</v>
      </c>
      <c r="D4893" s="73"/>
      <c r="E4893" s="73"/>
      <c r="F4893" s="74" t="s">
        <v>3</v>
      </c>
      <c r="G4893" s="72">
        <f>0.35*0.011*2*1.25</f>
        <v>9.6249999999999999E-3</v>
      </c>
    </row>
    <row r="4894" spans="1:9" x14ac:dyDescent="0.25">
      <c r="A4894" s="163"/>
      <c r="B4894" s="106"/>
      <c r="C4894" s="73" t="s">
        <v>12</v>
      </c>
      <c r="D4894" s="73"/>
      <c r="E4894" s="73"/>
      <c r="F4894" s="74" t="s">
        <v>3</v>
      </c>
      <c r="G4894" s="72">
        <f>0.3*(G4893+G4892+G4891)</f>
        <v>7.5074999999999994E-3</v>
      </c>
    </row>
    <row r="4895" spans="1:9" x14ac:dyDescent="0.25">
      <c r="A4895" s="163"/>
      <c r="B4895" s="106"/>
      <c r="C4895" s="73"/>
      <c r="D4895" s="75" t="s">
        <v>2420</v>
      </c>
      <c r="E4895" s="73"/>
      <c r="F4895" s="74"/>
      <c r="G4895" s="72"/>
    </row>
    <row r="4896" spans="1:9" x14ac:dyDescent="0.25">
      <c r="A4896" s="163"/>
      <c r="B4896" s="106"/>
      <c r="C4896" s="73"/>
      <c r="D4896" s="73" t="s">
        <v>154</v>
      </c>
      <c r="E4896" s="73"/>
      <c r="F4896" s="74" t="s">
        <v>3</v>
      </c>
      <c r="G4896" s="72">
        <f>0.043</f>
        <v>4.2999999999999997E-2</v>
      </c>
      <c r="I4896" t="s">
        <v>2382</v>
      </c>
    </row>
    <row r="4897" spans="1:9" x14ac:dyDescent="0.25">
      <c r="A4897" s="163"/>
      <c r="B4897" s="106"/>
      <c r="C4897" s="73"/>
      <c r="D4897" s="73"/>
      <c r="E4897" s="73"/>
      <c r="F4897" s="74"/>
      <c r="G4897" s="72"/>
    </row>
    <row r="4898" spans="1:9" x14ac:dyDescent="0.25">
      <c r="A4898" s="163"/>
      <c r="B4898" s="106"/>
      <c r="C4898" s="75" t="s">
        <v>2421</v>
      </c>
      <c r="D4898" s="73"/>
      <c r="E4898" s="73"/>
      <c r="F4898" s="74"/>
      <c r="G4898" s="72"/>
    </row>
    <row r="4899" spans="1:9" x14ac:dyDescent="0.25">
      <c r="A4899" s="163"/>
      <c r="B4899" s="106"/>
      <c r="C4899" s="73" t="s">
        <v>51</v>
      </c>
      <c r="D4899" s="73"/>
      <c r="E4899" s="73"/>
      <c r="F4899" s="74" t="s">
        <v>3</v>
      </c>
      <c r="G4899" s="72">
        <f>0.006*3.14*0.08*1.2</f>
        <v>1.8086400000000002E-3</v>
      </c>
    </row>
    <row r="4900" spans="1:9" ht="17.25" x14ac:dyDescent="0.25">
      <c r="A4900" s="163"/>
      <c r="B4900" s="106"/>
      <c r="C4900" s="73" t="s">
        <v>52</v>
      </c>
      <c r="D4900" s="73"/>
      <c r="E4900" s="73"/>
      <c r="F4900" s="74" t="s">
        <v>596</v>
      </c>
      <c r="G4900" s="72">
        <f>G4899*2</f>
        <v>3.6172800000000005E-3</v>
      </c>
    </row>
    <row r="4901" spans="1:9" x14ac:dyDescent="0.25">
      <c r="A4901" s="163"/>
      <c r="B4901" s="106"/>
      <c r="C4901" s="73" t="s">
        <v>24</v>
      </c>
      <c r="D4901" s="73"/>
      <c r="E4901" s="73"/>
      <c r="F4901" s="74" t="s">
        <v>3</v>
      </c>
      <c r="G4901" s="72">
        <f>G4899/4</f>
        <v>4.5216000000000006E-4</v>
      </c>
    </row>
    <row r="4902" spans="1:9" x14ac:dyDescent="0.25">
      <c r="A4902" s="163"/>
      <c r="B4902" s="106"/>
      <c r="C4902" s="73" t="s">
        <v>8</v>
      </c>
      <c r="D4902" s="73"/>
      <c r="E4902" s="73"/>
      <c r="F4902" s="74" t="s">
        <v>3</v>
      </c>
      <c r="G4902" s="72">
        <f>G4903*0.8</f>
        <v>1.3305599999999999E-2</v>
      </c>
    </row>
    <row r="4903" spans="1:9" x14ac:dyDescent="0.25">
      <c r="A4903" s="163"/>
      <c r="B4903" s="106"/>
      <c r="C4903" s="73" t="s">
        <v>152</v>
      </c>
      <c r="D4903" s="73"/>
      <c r="E4903" s="73"/>
      <c r="F4903" s="74" t="s">
        <v>3</v>
      </c>
      <c r="G4903" s="72">
        <f>0.63*0.011*2*1.2</f>
        <v>1.6631999999999997E-2</v>
      </c>
    </row>
    <row r="4904" spans="1:9" x14ac:dyDescent="0.25">
      <c r="A4904" s="163"/>
      <c r="B4904" s="106"/>
      <c r="C4904" s="73" t="s">
        <v>12</v>
      </c>
      <c r="D4904" s="73"/>
      <c r="E4904" s="73"/>
      <c r="F4904" s="74" t="s">
        <v>3</v>
      </c>
      <c r="G4904" s="72">
        <f>0.3*(G4903+G4902)</f>
        <v>8.9812799999999977E-3</v>
      </c>
    </row>
    <row r="4905" spans="1:9" x14ac:dyDescent="0.25">
      <c r="A4905" s="163"/>
      <c r="B4905" s="106"/>
      <c r="C4905" s="73"/>
      <c r="D4905" s="75" t="s">
        <v>2423</v>
      </c>
      <c r="E4905" s="73"/>
      <c r="F4905" s="74"/>
      <c r="G4905" s="72"/>
    </row>
    <row r="4906" spans="1:9" x14ac:dyDescent="0.25">
      <c r="A4906" s="163"/>
      <c r="B4906" s="106"/>
      <c r="C4906" s="73"/>
      <c r="D4906" s="73" t="s">
        <v>2424</v>
      </c>
      <c r="E4906" s="73"/>
      <c r="F4906" s="74" t="s">
        <v>3</v>
      </c>
      <c r="G4906" s="72">
        <v>0.115</v>
      </c>
      <c r="I4906" t="s">
        <v>2422</v>
      </c>
    </row>
    <row r="4907" spans="1:9" x14ac:dyDescent="0.25">
      <c r="A4907" s="163"/>
      <c r="B4907" s="106"/>
      <c r="C4907" s="73"/>
      <c r="D4907" s="73"/>
      <c r="E4907" s="73"/>
      <c r="F4907" s="74"/>
      <c r="G4907" s="72"/>
    </row>
    <row r="4908" spans="1:9" x14ac:dyDescent="0.25">
      <c r="A4908" s="163"/>
      <c r="B4908" s="106"/>
      <c r="C4908" s="75" t="s">
        <v>2426</v>
      </c>
      <c r="D4908" s="73"/>
      <c r="E4908" s="73"/>
      <c r="F4908" s="74"/>
      <c r="G4908" s="72"/>
    </row>
    <row r="4909" spans="1:9" x14ac:dyDescent="0.25">
      <c r="A4909" s="163"/>
      <c r="B4909" s="106"/>
      <c r="C4909" s="73" t="s">
        <v>114</v>
      </c>
      <c r="D4909" s="73"/>
      <c r="E4909" s="73"/>
      <c r="F4909" s="74" t="s">
        <v>3</v>
      </c>
      <c r="G4909" s="72">
        <f>G4911*0.8</f>
        <v>4.4352000000000003E-2</v>
      </c>
    </row>
    <row r="4910" spans="1:9" x14ac:dyDescent="0.25">
      <c r="A4910" s="163"/>
      <c r="B4910" s="106"/>
      <c r="C4910" s="73" t="s">
        <v>164</v>
      </c>
      <c r="D4910" s="73"/>
      <c r="E4910" s="73"/>
      <c r="F4910" s="74" t="s">
        <v>3</v>
      </c>
      <c r="G4910" s="72">
        <f>0.3*G4909</f>
        <v>1.3305600000000001E-2</v>
      </c>
    </row>
    <row r="4911" spans="1:9" x14ac:dyDescent="0.25">
      <c r="A4911" s="163"/>
      <c r="B4911" s="106"/>
      <c r="C4911" s="73" t="s">
        <v>649</v>
      </c>
      <c r="D4911" s="73"/>
      <c r="E4911" s="73"/>
      <c r="F4911" s="74" t="s">
        <v>3</v>
      </c>
      <c r="G4911" s="72">
        <f>(0.19+0.1+0.3+0.18+0.25*4+0.12+0.21)*0.011*2*1.2</f>
        <v>5.5439999999999996E-2</v>
      </c>
    </row>
    <row r="4912" spans="1:9" x14ac:dyDescent="0.25">
      <c r="A4912" s="163"/>
      <c r="B4912" s="106"/>
      <c r="C4912" s="73" t="s">
        <v>12</v>
      </c>
      <c r="D4912" s="73"/>
      <c r="E4912" s="73"/>
      <c r="F4912" s="74" t="s">
        <v>3</v>
      </c>
      <c r="G4912" s="72">
        <f>0.3*G4911</f>
        <v>1.6631999999999997E-2</v>
      </c>
    </row>
    <row r="4913" spans="1:11" x14ac:dyDescent="0.25">
      <c r="A4913" s="163"/>
      <c r="B4913" s="106"/>
      <c r="C4913" s="73" t="s">
        <v>51</v>
      </c>
      <c r="D4913" s="73"/>
      <c r="E4913" s="73"/>
      <c r="F4913" s="74" t="s">
        <v>3</v>
      </c>
      <c r="G4913" s="72">
        <f>0.01*3.14*9*0.08*1.2</f>
        <v>2.7129600000000004E-2</v>
      </c>
    </row>
    <row r="4914" spans="1:11" ht="17.25" x14ac:dyDescent="0.25">
      <c r="A4914" s="163"/>
      <c r="B4914" s="106"/>
      <c r="C4914" s="73" t="s">
        <v>52</v>
      </c>
      <c r="D4914" s="73"/>
      <c r="E4914" s="73"/>
      <c r="F4914" s="74" t="s">
        <v>596</v>
      </c>
      <c r="G4914" s="72">
        <f>G4913*2</f>
        <v>5.4259200000000007E-2</v>
      </c>
    </row>
    <row r="4915" spans="1:11" x14ac:dyDescent="0.25">
      <c r="A4915" s="163"/>
      <c r="B4915" s="106"/>
      <c r="C4915" s="73" t="s">
        <v>24</v>
      </c>
      <c r="D4915" s="73"/>
      <c r="E4915" s="73"/>
      <c r="F4915" s="74" t="s">
        <v>3</v>
      </c>
      <c r="G4915" s="72">
        <f>G4913/4</f>
        <v>6.7824000000000009E-3</v>
      </c>
    </row>
    <row r="4916" spans="1:11" x14ac:dyDescent="0.25">
      <c r="A4916" s="163"/>
      <c r="B4916" s="106"/>
      <c r="C4916" s="73"/>
      <c r="D4916" s="75" t="s">
        <v>2427</v>
      </c>
      <c r="E4916" s="73"/>
      <c r="F4916" s="74"/>
      <c r="G4916" s="72"/>
    </row>
    <row r="4917" spans="1:11" x14ac:dyDescent="0.25">
      <c r="A4917" s="163"/>
      <c r="B4917" s="106"/>
      <c r="C4917" s="73"/>
      <c r="D4917" s="73" t="s">
        <v>2265</v>
      </c>
      <c r="E4917" s="73"/>
      <c r="F4917" s="74" t="s">
        <v>3</v>
      </c>
      <c r="G4917" s="72">
        <v>5.0999999999999997E-2</v>
      </c>
      <c r="I4917" t="s">
        <v>2438</v>
      </c>
    </row>
    <row r="4918" spans="1:11" x14ac:dyDescent="0.25">
      <c r="A4918" s="163"/>
      <c r="B4918" s="106"/>
      <c r="C4918" s="73"/>
      <c r="D4918" s="75" t="s">
        <v>2428</v>
      </c>
      <c r="E4918" s="73"/>
      <c r="F4918" s="74"/>
      <c r="G4918" s="72"/>
    </row>
    <row r="4919" spans="1:11" x14ac:dyDescent="0.25">
      <c r="A4919" s="163"/>
      <c r="B4919" s="106"/>
      <c r="C4919" s="73"/>
      <c r="D4919" s="73" t="s">
        <v>2265</v>
      </c>
      <c r="E4919" s="73"/>
      <c r="F4919" s="74" t="s">
        <v>3</v>
      </c>
      <c r="G4919" s="72">
        <v>0.03</v>
      </c>
      <c r="I4919" t="s">
        <v>2439</v>
      </c>
    </row>
    <row r="4920" spans="1:11" x14ac:dyDescent="0.25">
      <c r="A4920" s="163"/>
      <c r="B4920" s="106"/>
      <c r="C4920" s="73"/>
      <c r="D4920" s="75" t="s">
        <v>2429</v>
      </c>
      <c r="E4920" s="73"/>
      <c r="F4920" s="74"/>
      <c r="G4920" s="72"/>
    </row>
    <row r="4921" spans="1:11" x14ac:dyDescent="0.25">
      <c r="A4921" s="163"/>
      <c r="B4921" s="106"/>
      <c r="C4921" s="73"/>
      <c r="D4921" s="73" t="s">
        <v>2265</v>
      </c>
      <c r="E4921" s="73"/>
      <c r="F4921" s="74" t="s">
        <v>3</v>
      </c>
      <c r="G4921" s="72">
        <v>7.8E-2</v>
      </c>
      <c r="I4921" t="s">
        <v>2440</v>
      </c>
      <c r="K4921" s="296"/>
    </row>
    <row r="4922" spans="1:11" x14ac:dyDescent="0.25">
      <c r="A4922" s="163"/>
      <c r="B4922" s="106"/>
      <c r="C4922" s="73"/>
      <c r="D4922" s="75" t="s">
        <v>2430</v>
      </c>
      <c r="E4922" s="73"/>
      <c r="F4922" s="74"/>
      <c r="G4922" s="72"/>
    </row>
    <row r="4923" spans="1:11" x14ac:dyDescent="0.25">
      <c r="A4923" s="163"/>
      <c r="B4923" s="106"/>
      <c r="C4923" s="73"/>
      <c r="D4923" s="73" t="s">
        <v>2265</v>
      </c>
      <c r="E4923" s="73"/>
      <c r="F4923" s="74" t="s">
        <v>3</v>
      </c>
      <c r="G4923" s="72">
        <v>5.0999999999999997E-2</v>
      </c>
      <c r="I4923" t="s">
        <v>2441</v>
      </c>
      <c r="K4923" s="296"/>
    </row>
    <row r="4924" spans="1:11" x14ac:dyDescent="0.25">
      <c r="A4924" s="163"/>
      <c r="B4924" s="106"/>
      <c r="C4924" s="73"/>
      <c r="D4924" s="75" t="s">
        <v>2431</v>
      </c>
      <c r="E4924" s="73"/>
      <c r="F4924" s="74"/>
      <c r="G4924" s="72"/>
    </row>
    <row r="4925" spans="1:11" x14ac:dyDescent="0.25">
      <c r="A4925" s="163"/>
      <c r="B4925" s="106"/>
      <c r="C4925" s="73"/>
      <c r="D4925" s="73" t="s">
        <v>2265</v>
      </c>
      <c r="E4925" s="73"/>
      <c r="F4925" s="74" t="s">
        <v>3</v>
      </c>
      <c r="G4925" s="72">
        <v>6.4000000000000001E-2</v>
      </c>
      <c r="I4925" t="s">
        <v>2437</v>
      </c>
      <c r="K4925" s="296"/>
    </row>
    <row r="4926" spans="1:11" x14ac:dyDescent="0.25">
      <c r="A4926" s="163"/>
      <c r="B4926" s="106"/>
      <c r="C4926" s="73"/>
      <c r="D4926" s="75" t="s">
        <v>2432</v>
      </c>
      <c r="E4926" s="75"/>
      <c r="F4926" s="74"/>
      <c r="G4926" s="72"/>
    </row>
    <row r="4927" spans="1:11" x14ac:dyDescent="0.25">
      <c r="A4927" s="163"/>
      <c r="B4927" s="106"/>
      <c r="C4927" s="73"/>
      <c r="D4927" s="73" t="s">
        <v>2265</v>
      </c>
      <c r="E4927" s="73"/>
      <c r="F4927" s="74" t="s">
        <v>3</v>
      </c>
      <c r="G4927" s="72">
        <v>6.4000000000000001E-2</v>
      </c>
      <c r="I4927" t="s">
        <v>2437</v>
      </c>
      <c r="K4927" s="296"/>
    </row>
    <row r="4928" spans="1:11" x14ac:dyDescent="0.25">
      <c r="A4928" s="163"/>
      <c r="B4928" s="106"/>
      <c r="C4928" s="73"/>
      <c r="D4928" s="75" t="s">
        <v>2433</v>
      </c>
      <c r="E4928" s="73"/>
      <c r="F4928" s="74"/>
      <c r="G4928" s="72"/>
    </row>
    <row r="4929" spans="1:11" x14ac:dyDescent="0.25">
      <c r="A4929" s="163"/>
      <c r="B4929" s="106"/>
      <c r="C4929" s="73"/>
      <c r="D4929" s="73" t="s">
        <v>2265</v>
      </c>
      <c r="E4929" s="73"/>
      <c r="F4929" s="74" t="s">
        <v>3</v>
      </c>
      <c r="G4929" s="72">
        <v>6.4000000000000001E-2</v>
      </c>
      <c r="I4929" t="s">
        <v>2437</v>
      </c>
      <c r="K4929" s="296"/>
    </row>
    <row r="4930" spans="1:11" x14ac:dyDescent="0.25">
      <c r="A4930" s="163"/>
      <c r="B4930" s="106"/>
      <c r="C4930" s="73"/>
      <c r="D4930" s="75" t="s">
        <v>2434</v>
      </c>
      <c r="E4930" s="73"/>
      <c r="F4930" s="74"/>
      <c r="G4930" s="72"/>
    </row>
    <row r="4931" spans="1:11" x14ac:dyDescent="0.25">
      <c r="A4931" s="163"/>
      <c r="B4931" s="106"/>
      <c r="C4931" s="73"/>
      <c r="D4931" s="73" t="s">
        <v>2265</v>
      </c>
      <c r="E4931" s="73"/>
      <c r="F4931" s="74" t="s">
        <v>3</v>
      </c>
      <c r="G4931" s="72">
        <v>6.4000000000000001E-2</v>
      </c>
      <c r="I4931" t="s">
        <v>2437</v>
      </c>
      <c r="K4931" s="296"/>
    </row>
    <row r="4932" spans="1:11" x14ac:dyDescent="0.25">
      <c r="A4932" s="163"/>
      <c r="B4932" s="106"/>
      <c r="C4932" s="73"/>
      <c r="D4932" s="75" t="s">
        <v>2435</v>
      </c>
      <c r="E4932" s="73"/>
      <c r="F4932" s="74"/>
      <c r="G4932" s="72"/>
    </row>
    <row r="4933" spans="1:11" x14ac:dyDescent="0.25">
      <c r="A4933" s="163"/>
      <c r="B4933" s="106"/>
      <c r="C4933" s="73"/>
      <c r="D4933" s="73" t="s">
        <v>2265</v>
      </c>
      <c r="E4933" s="73"/>
      <c r="F4933" s="74" t="s">
        <v>3</v>
      </c>
      <c r="G4933" s="72">
        <v>3.5000000000000003E-2</v>
      </c>
      <c r="I4933" t="s">
        <v>2442</v>
      </c>
      <c r="K4933" s="296"/>
    </row>
    <row r="4934" spans="1:11" x14ac:dyDescent="0.25">
      <c r="A4934" s="163"/>
      <c r="B4934" s="106"/>
      <c r="C4934" s="73"/>
      <c r="D4934" s="75" t="s">
        <v>2436</v>
      </c>
      <c r="E4934" s="75"/>
      <c r="F4934" s="74"/>
      <c r="G4934" s="72"/>
    </row>
    <row r="4935" spans="1:11" x14ac:dyDescent="0.25">
      <c r="A4935" s="163"/>
      <c r="B4935" s="106"/>
      <c r="C4935" s="73"/>
      <c r="D4935" s="73" t="s">
        <v>2265</v>
      </c>
      <c r="E4935" s="73"/>
      <c r="F4935" s="74" t="s">
        <v>3</v>
      </c>
      <c r="G4935" s="72">
        <v>5.6000000000000001E-2</v>
      </c>
      <c r="I4935" t="s">
        <v>2443</v>
      </c>
    </row>
    <row r="4936" spans="1:11" x14ac:dyDescent="0.25">
      <c r="A4936" s="163"/>
      <c r="B4936" s="106"/>
      <c r="C4936" s="73"/>
      <c r="D4936" s="73"/>
      <c r="E4936" s="73"/>
      <c r="F4936" s="74"/>
      <c r="G4936" s="72"/>
    </row>
    <row r="4937" spans="1:11" x14ac:dyDescent="0.25">
      <c r="A4937" s="163"/>
      <c r="B4937" s="106"/>
      <c r="C4937" s="75" t="s">
        <v>2192</v>
      </c>
      <c r="D4937" s="73"/>
      <c r="E4937" s="73"/>
      <c r="F4937" s="74"/>
      <c r="G4937" s="72"/>
    </row>
    <row r="4938" spans="1:11" x14ac:dyDescent="0.25">
      <c r="A4938" s="163"/>
      <c r="B4938" s="106"/>
      <c r="C4938" s="73" t="s">
        <v>140</v>
      </c>
      <c r="D4938" s="73"/>
      <c r="E4938" s="73"/>
      <c r="F4938" s="74" t="s">
        <v>3</v>
      </c>
      <c r="G4938" s="72">
        <f>0.035*0.08*1.1</f>
        <v>3.0800000000000007E-3</v>
      </c>
    </row>
    <row r="4939" spans="1:11" ht="17.25" x14ac:dyDescent="0.25">
      <c r="A4939" s="163"/>
      <c r="B4939" s="106"/>
      <c r="C4939" s="73" t="s">
        <v>23</v>
      </c>
      <c r="D4939" s="73"/>
      <c r="E4939" s="73"/>
      <c r="F4939" s="74" t="s">
        <v>596</v>
      </c>
      <c r="G4939" s="72">
        <f>G4938*1.5</f>
        <v>4.6200000000000008E-3</v>
      </c>
    </row>
    <row r="4940" spans="1:11" x14ac:dyDescent="0.25">
      <c r="A4940" s="163"/>
      <c r="B4940" s="106"/>
      <c r="C4940" s="73" t="s">
        <v>142</v>
      </c>
      <c r="D4940" s="73"/>
      <c r="E4940" s="73"/>
      <c r="F4940" s="74" t="s">
        <v>3</v>
      </c>
      <c r="G4940" s="72">
        <f>G4938/4</f>
        <v>7.7000000000000018E-4</v>
      </c>
    </row>
    <row r="4941" spans="1:11" x14ac:dyDescent="0.25">
      <c r="A4941" s="163"/>
      <c r="B4941" s="106"/>
      <c r="C4941" s="77" t="s">
        <v>114</v>
      </c>
      <c r="D4941" s="73"/>
      <c r="E4941" s="73"/>
      <c r="F4941" s="74" t="s">
        <v>3</v>
      </c>
      <c r="G4941" s="72">
        <f>G4943</f>
        <v>2.8600000000000001E-3</v>
      </c>
    </row>
    <row r="4942" spans="1:11" x14ac:dyDescent="0.25">
      <c r="A4942" s="163"/>
      <c r="B4942" s="106"/>
      <c r="C4942" s="77" t="s">
        <v>164</v>
      </c>
      <c r="D4942" s="73"/>
      <c r="E4942" s="73"/>
      <c r="F4942" s="74" t="s">
        <v>3</v>
      </c>
      <c r="G4942" s="72">
        <f>0.3*G4941</f>
        <v>8.5800000000000004E-4</v>
      </c>
    </row>
    <row r="4943" spans="1:11" x14ac:dyDescent="0.25">
      <c r="A4943" s="163"/>
      <c r="B4943" s="106"/>
      <c r="C4943" s="77" t="s">
        <v>649</v>
      </c>
      <c r="D4943" s="73"/>
      <c r="E4943" s="73"/>
      <c r="F4943" s="74" t="s">
        <v>3</v>
      </c>
      <c r="G4943" s="72">
        <f>0.1*0.011*2*1.3</f>
        <v>2.8600000000000001E-3</v>
      </c>
    </row>
    <row r="4944" spans="1:11" x14ac:dyDescent="0.25">
      <c r="A4944" s="163"/>
      <c r="B4944" s="106"/>
      <c r="C4944" s="77" t="s">
        <v>148</v>
      </c>
      <c r="D4944" s="73"/>
      <c r="E4944" s="73"/>
      <c r="F4944" s="74" t="s">
        <v>3</v>
      </c>
      <c r="G4944" s="72">
        <f>0.1*0.011*2*1.3</f>
        <v>2.8600000000000001E-3</v>
      </c>
    </row>
    <row r="4945" spans="1:9" x14ac:dyDescent="0.25">
      <c r="A4945" s="163"/>
      <c r="B4945" s="106"/>
      <c r="C4945" s="77" t="s">
        <v>12</v>
      </c>
      <c r="D4945" s="73"/>
      <c r="E4945" s="73"/>
      <c r="F4945" s="74" t="s">
        <v>3</v>
      </c>
      <c r="G4945" s="72">
        <f>0.3*(G4943+G4944)</f>
        <v>1.7160000000000001E-3</v>
      </c>
    </row>
    <row r="4946" spans="1:9" x14ac:dyDescent="0.25">
      <c r="A4946" s="163"/>
      <c r="B4946" s="106"/>
      <c r="C4946" s="73"/>
      <c r="D4946" s="73"/>
      <c r="E4946" s="73"/>
      <c r="F4946" s="74"/>
      <c r="G4946" s="72"/>
    </row>
    <row r="4947" spans="1:9" x14ac:dyDescent="0.25">
      <c r="A4947" s="163"/>
      <c r="B4947" s="106"/>
      <c r="C4947" s="75" t="s">
        <v>2445</v>
      </c>
      <c r="D4947" s="73"/>
      <c r="E4947" s="73"/>
      <c r="F4947" s="74"/>
      <c r="G4947" s="72"/>
    </row>
    <row r="4948" spans="1:9" x14ac:dyDescent="0.25">
      <c r="A4948" s="163"/>
      <c r="B4948" s="106"/>
      <c r="C4948" s="73" t="s">
        <v>140</v>
      </c>
      <c r="D4948" s="73"/>
      <c r="E4948" s="73"/>
      <c r="F4948" s="74" t="s">
        <v>3</v>
      </c>
      <c r="G4948" s="72">
        <f>0.01*3.14*0.08*1.2</f>
        <v>3.0144000000000004E-3</v>
      </c>
    </row>
    <row r="4949" spans="1:9" ht="17.25" x14ac:dyDescent="0.25">
      <c r="A4949" s="163"/>
      <c r="B4949" s="106"/>
      <c r="C4949" s="73" t="s">
        <v>23</v>
      </c>
      <c r="D4949" s="73"/>
      <c r="E4949" s="73"/>
      <c r="F4949" s="74" t="s">
        <v>596</v>
      </c>
      <c r="G4949" s="72">
        <f>G4948*1.5</f>
        <v>4.5216000000000006E-3</v>
      </c>
    </row>
    <row r="4950" spans="1:9" x14ac:dyDescent="0.25">
      <c r="A4950" s="163"/>
      <c r="B4950" s="106"/>
      <c r="C4950" s="73" t="s">
        <v>142</v>
      </c>
      <c r="D4950" s="73"/>
      <c r="E4950" s="73"/>
      <c r="F4950" s="74" t="s">
        <v>3</v>
      </c>
      <c r="G4950" s="72">
        <f>G4948/4</f>
        <v>7.536000000000001E-4</v>
      </c>
    </row>
    <row r="4951" spans="1:9" x14ac:dyDescent="0.25">
      <c r="A4951" s="163"/>
      <c r="B4951" s="106"/>
      <c r="C4951" s="77" t="s">
        <v>114</v>
      </c>
      <c r="D4951" s="73"/>
      <c r="E4951" s="73"/>
      <c r="F4951" s="74" t="s">
        <v>3</v>
      </c>
      <c r="G4951" s="72">
        <f>G4953*0.9</f>
        <v>1.02168E-2</v>
      </c>
    </row>
    <row r="4952" spans="1:9" x14ac:dyDescent="0.25">
      <c r="A4952" s="163"/>
      <c r="B4952" s="106"/>
      <c r="C4952" s="77" t="s">
        <v>164</v>
      </c>
      <c r="D4952" s="73"/>
      <c r="E4952" s="73"/>
      <c r="F4952" s="74" t="s">
        <v>3</v>
      </c>
      <c r="G4952" s="72">
        <f>0.3*G4951</f>
        <v>3.0650399999999998E-3</v>
      </c>
    </row>
    <row r="4953" spans="1:9" x14ac:dyDescent="0.25">
      <c r="A4953" s="163"/>
      <c r="B4953" s="106"/>
      <c r="C4953" s="77" t="s">
        <v>649</v>
      </c>
      <c r="D4953" s="73"/>
      <c r="E4953" s="73"/>
      <c r="F4953" s="74" t="s">
        <v>3</v>
      </c>
      <c r="G4953" s="72">
        <f>0.43*0.011*2*1.2</f>
        <v>1.1351999999999999E-2</v>
      </c>
    </row>
    <row r="4954" spans="1:9" x14ac:dyDescent="0.25">
      <c r="A4954" s="163"/>
      <c r="B4954" s="106"/>
      <c r="C4954" s="77" t="s">
        <v>12</v>
      </c>
      <c r="D4954" s="73"/>
      <c r="E4954" s="73"/>
      <c r="F4954" s="74" t="s">
        <v>3</v>
      </c>
      <c r="G4954" s="72">
        <f>0.3*G4953</f>
        <v>3.4055999999999995E-3</v>
      </c>
    </row>
    <row r="4955" spans="1:9" x14ac:dyDescent="0.25">
      <c r="A4955" s="163"/>
      <c r="B4955" s="106"/>
      <c r="C4955" s="73"/>
      <c r="D4955" s="75" t="s">
        <v>2448</v>
      </c>
      <c r="E4955" s="73"/>
      <c r="F4955" s="74"/>
      <c r="G4955" s="72"/>
    </row>
    <row r="4956" spans="1:9" x14ac:dyDescent="0.25">
      <c r="A4956" s="163"/>
      <c r="B4956" s="106"/>
      <c r="C4956" s="73"/>
      <c r="D4956" s="73" t="s">
        <v>2447</v>
      </c>
      <c r="E4956" s="73"/>
      <c r="F4956" s="74" t="s">
        <v>3</v>
      </c>
      <c r="G4956" s="72">
        <v>0.115</v>
      </c>
      <c r="I4956" t="s">
        <v>2446</v>
      </c>
    </row>
    <row r="4957" spans="1:9" x14ac:dyDescent="0.25">
      <c r="A4957" s="163"/>
      <c r="B4957" s="106"/>
      <c r="C4957" s="73"/>
      <c r="D4957" s="73"/>
      <c r="E4957" s="73"/>
      <c r="F4957" s="74"/>
      <c r="G4957" s="72"/>
    </row>
    <row r="4958" spans="1:9" x14ac:dyDescent="0.25">
      <c r="A4958" s="163"/>
      <c r="B4958" s="106"/>
      <c r="C4958" s="75" t="s">
        <v>2449</v>
      </c>
      <c r="D4958" s="73"/>
      <c r="E4958" s="73"/>
      <c r="F4958" s="74"/>
      <c r="G4958" s="72"/>
    </row>
    <row r="4959" spans="1:9" x14ac:dyDescent="0.25">
      <c r="A4959" s="163"/>
      <c r="B4959" s="106"/>
      <c r="C4959" s="73" t="s">
        <v>2450</v>
      </c>
      <c r="D4959" s="73"/>
      <c r="E4959" s="73"/>
      <c r="F4959" s="74" t="s">
        <v>3</v>
      </c>
      <c r="G4959" s="72">
        <f>0.0017*1.15</f>
        <v>1.9549999999999997E-3</v>
      </c>
    </row>
    <row r="4960" spans="1:9" x14ac:dyDescent="0.25">
      <c r="A4960" s="163"/>
      <c r="B4960" s="106"/>
      <c r="C4960" s="73"/>
      <c r="D4960" s="73"/>
      <c r="E4960" s="73"/>
      <c r="F4960" s="74"/>
      <c r="G4960" s="72"/>
    </row>
    <row r="4961" spans="1:11" x14ac:dyDescent="0.25">
      <c r="A4961" s="163"/>
      <c r="B4961" s="106"/>
      <c r="C4961" s="75" t="s">
        <v>2451</v>
      </c>
      <c r="D4961" s="73"/>
      <c r="E4961" s="73"/>
      <c r="F4961" s="74"/>
      <c r="G4961" s="72"/>
    </row>
    <row r="4962" spans="1:11" x14ac:dyDescent="0.25">
      <c r="A4962" s="163"/>
      <c r="B4962" s="106"/>
      <c r="C4962" s="73" t="s">
        <v>140</v>
      </c>
      <c r="D4962" s="73"/>
      <c r="E4962" s="73"/>
      <c r="F4962" s="74" t="s">
        <v>3</v>
      </c>
      <c r="G4962" s="72">
        <f>0.005*3.14*2*0.08*1.2</f>
        <v>3.0144000000000004E-3</v>
      </c>
      <c r="K4962" s="296"/>
    </row>
    <row r="4963" spans="1:11" ht="17.25" x14ac:dyDescent="0.25">
      <c r="A4963" s="163"/>
      <c r="B4963" s="106"/>
      <c r="C4963" s="73" t="s">
        <v>23</v>
      </c>
      <c r="D4963" s="73"/>
      <c r="E4963" s="73"/>
      <c r="F4963" s="74" t="s">
        <v>596</v>
      </c>
      <c r="G4963" s="72">
        <f>G4962*1.5</f>
        <v>4.5216000000000006E-3</v>
      </c>
      <c r="K4963" s="296"/>
    </row>
    <row r="4964" spans="1:11" x14ac:dyDescent="0.25">
      <c r="A4964" s="163"/>
      <c r="B4964" s="106"/>
      <c r="C4964" s="73" t="s">
        <v>142</v>
      </c>
      <c r="D4964" s="73"/>
      <c r="E4964" s="73"/>
      <c r="F4964" s="74" t="s">
        <v>3</v>
      </c>
      <c r="G4964" s="72">
        <f>G4962/4</f>
        <v>7.536000000000001E-4</v>
      </c>
      <c r="K4964" s="296"/>
    </row>
    <row r="4965" spans="1:11" x14ac:dyDescent="0.25">
      <c r="A4965" s="163"/>
      <c r="B4965" s="106"/>
      <c r="C4965" s="77" t="s">
        <v>114</v>
      </c>
      <c r="D4965" s="73"/>
      <c r="E4965" s="73"/>
      <c r="F4965" s="74" t="s">
        <v>3</v>
      </c>
      <c r="G4965" s="72">
        <f>G4967*0.9</f>
        <v>1.5443999999999999E-2</v>
      </c>
    </row>
    <row r="4966" spans="1:11" x14ac:dyDescent="0.25">
      <c r="A4966" s="163"/>
      <c r="B4966" s="106"/>
      <c r="C4966" s="77" t="s">
        <v>164</v>
      </c>
      <c r="D4966" s="73"/>
      <c r="E4966" s="73"/>
      <c r="F4966" s="74" t="s">
        <v>3</v>
      </c>
      <c r="G4966" s="72">
        <f>0.3*G4965</f>
        <v>4.6331999999999996E-3</v>
      </c>
    </row>
    <row r="4967" spans="1:11" x14ac:dyDescent="0.25">
      <c r="A4967" s="163"/>
      <c r="B4967" s="106"/>
      <c r="C4967" s="77" t="s">
        <v>152</v>
      </c>
      <c r="D4967" s="73"/>
      <c r="E4967" s="73"/>
      <c r="F4967" s="74" t="s">
        <v>3</v>
      </c>
      <c r="G4967" s="72">
        <f>0.65*0.011*2*1.2</f>
        <v>1.7159999999999998E-2</v>
      </c>
    </row>
    <row r="4968" spans="1:11" x14ac:dyDescent="0.25">
      <c r="A4968" s="163"/>
      <c r="B4968" s="106"/>
      <c r="C4968" s="77" t="s">
        <v>12</v>
      </c>
      <c r="D4968" s="73"/>
      <c r="E4968" s="73"/>
      <c r="F4968" s="74" t="s">
        <v>3</v>
      </c>
      <c r="G4968" s="72">
        <f>0.3*G4967</f>
        <v>5.1479999999999989E-3</v>
      </c>
    </row>
    <row r="4969" spans="1:11" x14ac:dyDescent="0.25">
      <c r="A4969" s="163"/>
      <c r="B4969" s="106"/>
      <c r="C4969" s="73"/>
      <c r="D4969" s="75" t="s">
        <v>2454</v>
      </c>
      <c r="E4969" s="73"/>
      <c r="F4969" s="74"/>
      <c r="G4969" s="72"/>
    </row>
    <row r="4970" spans="1:11" x14ac:dyDescent="0.25">
      <c r="A4970" s="163"/>
      <c r="B4970" s="106"/>
      <c r="C4970" s="73"/>
      <c r="D4970" s="73" t="s">
        <v>2453</v>
      </c>
      <c r="E4970" s="73"/>
      <c r="F4970" s="74" t="s">
        <v>3</v>
      </c>
      <c r="G4970" s="72">
        <v>7.4999999999999997E-2</v>
      </c>
      <c r="I4970" t="s">
        <v>2452</v>
      </c>
    </row>
    <row r="4971" spans="1:11" x14ac:dyDescent="0.25">
      <c r="A4971" s="163"/>
      <c r="B4971" s="106"/>
      <c r="C4971" s="73"/>
      <c r="D4971" s="73"/>
      <c r="E4971" s="73"/>
      <c r="F4971" s="74"/>
      <c r="G4971" s="72"/>
    </row>
    <row r="4972" spans="1:11" x14ac:dyDescent="0.25">
      <c r="A4972" s="163"/>
      <c r="B4972" s="106"/>
      <c r="C4972" s="75" t="s">
        <v>2455</v>
      </c>
      <c r="D4972" s="73"/>
      <c r="E4972" s="73"/>
      <c r="F4972" s="74"/>
      <c r="G4972" s="72"/>
    </row>
    <row r="4973" spans="1:11" x14ac:dyDescent="0.25">
      <c r="A4973" s="163"/>
      <c r="B4973" s="106"/>
      <c r="C4973" s="73" t="s">
        <v>140</v>
      </c>
      <c r="D4973" s="73"/>
      <c r="E4973" s="73"/>
      <c r="F4973" s="74" t="s">
        <v>3</v>
      </c>
      <c r="G4973" s="72">
        <f>0.008*3.14*2*0.08*1.2</f>
        <v>4.8230399999999998E-3</v>
      </c>
    </row>
    <row r="4974" spans="1:11" ht="17.25" x14ac:dyDescent="0.25">
      <c r="A4974" s="163"/>
      <c r="B4974" s="106"/>
      <c r="C4974" s="73" t="s">
        <v>23</v>
      </c>
      <c r="D4974" s="73"/>
      <c r="E4974" s="73"/>
      <c r="F4974" s="74" t="s">
        <v>596</v>
      </c>
      <c r="G4974" s="72">
        <f>G4973*1.5</f>
        <v>7.2345599999999993E-3</v>
      </c>
    </row>
    <row r="4975" spans="1:11" x14ac:dyDescent="0.25">
      <c r="A4975" s="163"/>
      <c r="B4975" s="106"/>
      <c r="C4975" s="73" t="s">
        <v>142</v>
      </c>
      <c r="D4975" s="73"/>
      <c r="E4975" s="73"/>
      <c r="F4975" s="74" t="s">
        <v>3</v>
      </c>
      <c r="G4975" s="72">
        <f>G4973/4</f>
        <v>1.2057599999999999E-3</v>
      </c>
    </row>
    <row r="4976" spans="1:11" x14ac:dyDescent="0.25">
      <c r="A4976" s="163"/>
      <c r="B4976" s="106"/>
      <c r="C4976" s="77" t="s">
        <v>114</v>
      </c>
      <c r="D4976" s="73"/>
      <c r="E4976" s="73"/>
      <c r="F4976" s="74" t="s">
        <v>3</v>
      </c>
      <c r="G4976" s="72">
        <f>G4978*0.9</f>
        <v>1.9720799999999997E-2</v>
      </c>
    </row>
    <row r="4977" spans="1:11" x14ac:dyDescent="0.25">
      <c r="A4977" s="163"/>
      <c r="B4977" s="106"/>
      <c r="C4977" s="77" t="s">
        <v>164</v>
      </c>
      <c r="D4977" s="73"/>
      <c r="E4977" s="73"/>
      <c r="F4977" s="74" t="s">
        <v>3</v>
      </c>
      <c r="G4977" s="72">
        <f>0.3*G4976</f>
        <v>5.9162399999999988E-3</v>
      </c>
    </row>
    <row r="4978" spans="1:11" x14ac:dyDescent="0.25">
      <c r="A4978" s="163"/>
      <c r="B4978" s="106"/>
      <c r="C4978" s="77" t="s">
        <v>152</v>
      </c>
      <c r="D4978" s="73"/>
      <c r="E4978" s="73"/>
      <c r="F4978" s="74" t="s">
        <v>3</v>
      </c>
      <c r="G4978" s="72">
        <f>0.83*0.011*2*1.2</f>
        <v>2.1911999999999997E-2</v>
      </c>
    </row>
    <row r="4979" spans="1:11" x14ac:dyDescent="0.25">
      <c r="A4979" s="163"/>
      <c r="B4979" s="106"/>
      <c r="C4979" s="77" t="s">
        <v>12</v>
      </c>
      <c r="D4979" s="73"/>
      <c r="E4979" s="73"/>
      <c r="F4979" s="74" t="s">
        <v>3</v>
      </c>
      <c r="G4979" s="72">
        <f>0.3*G4978</f>
        <v>6.5735999999999989E-3</v>
      </c>
    </row>
    <row r="4980" spans="1:11" x14ac:dyDescent="0.25">
      <c r="A4980" s="163"/>
      <c r="B4980" s="106"/>
      <c r="C4980" s="73"/>
      <c r="D4980" s="75" t="s">
        <v>2457</v>
      </c>
      <c r="E4980" s="73"/>
      <c r="F4980" s="74"/>
      <c r="G4980" s="72"/>
    </row>
    <row r="4981" spans="1:11" x14ac:dyDescent="0.25">
      <c r="A4981" s="163"/>
      <c r="B4981" s="106"/>
      <c r="C4981" s="73"/>
      <c r="D4981" s="73" t="s">
        <v>2208</v>
      </c>
      <c r="E4981" s="73"/>
      <c r="F4981" s="74" t="s">
        <v>3</v>
      </c>
      <c r="G4981" s="72">
        <f>0.175</f>
        <v>0.17499999999999999</v>
      </c>
      <c r="I4981" t="s">
        <v>2456</v>
      </c>
    </row>
    <row r="4982" spans="1:11" x14ac:dyDescent="0.25">
      <c r="A4982" s="163"/>
      <c r="B4982" s="106"/>
      <c r="C4982" s="73"/>
      <c r="D4982" s="73"/>
      <c r="E4982" s="73"/>
      <c r="F4982" s="74"/>
      <c r="G4982" s="72"/>
    </row>
    <row r="4983" spans="1:11" x14ac:dyDescent="0.25">
      <c r="A4983" s="163"/>
      <c r="B4983" s="106"/>
      <c r="C4983" s="75" t="s">
        <v>2458</v>
      </c>
      <c r="D4983" s="73"/>
      <c r="E4983" s="73"/>
      <c r="F4983" s="74"/>
      <c r="G4983" s="72"/>
    </row>
    <row r="4984" spans="1:11" x14ac:dyDescent="0.25">
      <c r="A4984" s="163"/>
      <c r="B4984" s="106"/>
      <c r="C4984" s="73" t="s">
        <v>140</v>
      </c>
      <c r="D4984" s="73"/>
      <c r="E4984" s="73"/>
      <c r="F4984" s="74" t="s">
        <v>3</v>
      </c>
      <c r="G4984" s="72">
        <f>0.008*3.14*5*0.08*1.2</f>
        <v>1.20576E-2</v>
      </c>
    </row>
    <row r="4985" spans="1:11" ht="17.25" x14ac:dyDescent="0.25">
      <c r="A4985" s="163"/>
      <c r="B4985" s="106"/>
      <c r="C4985" s="73" t="s">
        <v>23</v>
      </c>
      <c r="D4985" s="73"/>
      <c r="E4985" s="73"/>
      <c r="F4985" s="74" t="s">
        <v>596</v>
      </c>
      <c r="G4985" s="72">
        <f>G4984*1.5</f>
        <v>1.8086399999999999E-2</v>
      </c>
    </row>
    <row r="4986" spans="1:11" x14ac:dyDescent="0.25">
      <c r="A4986" s="163"/>
      <c r="B4986" s="106"/>
      <c r="C4986" s="73" t="s">
        <v>142</v>
      </c>
      <c r="D4986" s="73"/>
      <c r="E4986" s="73"/>
      <c r="F4986" s="74" t="s">
        <v>3</v>
      </c>
      <c r="G4986" s="72">
        <f>G4984/4</f>
        <v>3.0144E-3</v>
      </c>
    </row>
    <row r="4987" spans="1:11" x14ac:dyDescent="0.25">
      <c r="A4987" s="163"/>
      <c r="B4987" s="106"/>
      <c r="C4987" s="77" t="s">
        <v>114</v>
      </c>
      <c r="D4987" s="73"/>
      <c r="E4987" s="73"/>
      <c r="F4987" s="74" t="s">
        <v>3</v>
      </c>
      <c r="G4987" s="72">
        <f>G4989*0.9</f>
        <v>2.2769999999999999E-2</v>
      </c>
    </row>
    <row r="4988" spans="1:11" x14ac:dyDescent="0.25">
      <c r="A4988" s="163"/>
      <c r="B4988" s="106"/>
      <c r="C4988" s="77" t="s">
        <v>164</v>
      </c>
      <c r="D4988" s="73"/>
      <c r="E4988" s="73"/>
      <c r="F4988" s="74" t="s">
        <v>3</v>
      </c>
      <c r="G4988" s="72">
        <f>0.3*G4987</f>
        <v>6.8309999999999994E-3</v>
      </c>
      <c r="K4988" s="296"/>
    </row>
    <row r="4989" spans="1:11" x14ac:dyDescent="0.25">
      <c r="A4989" s="163"/>
      <c r="B4989" s="106"/>
      <c r="C4989" s="77" t="s">
        <v>152</v>
      </c>
      <c r="D4989" s="73"/>
      <c r="E4989" s="73"/>
      <c r="F4989" s="74" t="s">
        <v>3</v>
      </c>
      <c r="G4989" s="72">
        <f>1*0.011*2*1.15</f>
        <v>2.5299999999999996E-2</v>
      </c>
      <c r="K4989" s="296"/>
    </row>
    <row r="4990" spans="1:11" x14ac:dyDescent="0.25">
      <c r="A4990" s="163"/>
      <c r="B4990" s="106"/>
      <c r="C4990" s="77" t="s">
        <v>12</v>
      </c>
      <c r="D4990" s="73"/>
      <c r="E4990" s="73"/>
      <c r="F4990" s="74" t="s">
        <v>3</v>
      </c>
      <c r="G4990" s="72">
        <f>0.3*G4989</f>
        <v>7.5899999999999987E-3</v>
      </c>
      <c r="K4990" s="296"/>
    </row>
    <row r="4991" spans="1:11" x14ac:dyDescent="0.25">
      <c r="A4991" s="163"/>
      <c r="B4991" s="106"/>
      <c r="C4991" s="73"/>
      <c r="D4991" s="75" t="s">
        <v>2459</v>
      </c>
      <c r="E4991" s="73"/>
      <c r="F4991" s="74"/>
      <c r="G4991" s="72"/>
    </row>
    <row r="4992" spans="1:11" x14ac:dyDescent="0.25">
      <c r="A4992" s="163"/>
      <c r="B4992" s="106"/>
      <c r="C4992" s="73"/>
      <c r="D4992" s="73" t="s">
        <v>2303</v>
      </c>
      <c r="E4992" s="73"/>
      <c r="F4992" s="74" t="s">
        <v>3</v>
      </c>
      <c r="G4992" s="72">
        <v>0.17499999999999999</v>
      </c>
      <c r="I4992" t="s">
        <v>2464</v>
      </c>
    </row>
    <row r="4993" spans="1:11" x14ac:dyDescent="0.25">
      <c r="A4993" s="163"/>
      <c r="B4993" s="106"/>
      <c r="C4993" s="73"/>
      <c r="D4993" s="75" t="s">
        <v>2460</v>
      </c>
      <c r="E4993" s="73"/>
      <c r="F4993" s="74"/>
      <c r="G4993" s="72"/>
    </row>
    <row r="4994" spans="1:11" x14ac:dyDescent="0.25">
      <c r="A4994" s="163"/>
      <c r="B4994" s="106"/>
      <c r="C4994" s="73"/>
      <c r="D4994" s="73" t="s">
        <v>2303</v>
      </c>
      <c r="E4994" s="73"/>
      <c r="F4994" s="74" t="s">
        <v>3</v>
      </c>
      <c r="G4994" s="72">
        <v>1.7999999999999999E-2</v>
      </c>
      <c r="I4994" t="s">
        <v>2462</v>
      </c>
    </row>
    <row r="4995" spans="1:11" x14ac:dyDescent="0.25">
      <c r="A4995" s="163"/>
      <c r="B4995" s="106"/>
      <c r="C4995" s="73"/>
      <c r="D4995" s="75" t="s">
        <v>2461</v>
      </c>
      <c r="E4995" s="73"/>
      <c r="F4995" s="74"/>
      <c r="G4995" s="72"/>
    </row>
    <row r="4996" spans="1:11" x14ac:dyDescent="0.25">
      <c r="A4996" s="163"/>
      <c r="B4996" s="106"/>
      <c r="C4996" s="73"/>
      <c r="D4996" s="73" t="s">
        <v>2303</v>
      </c>
      <c r="E4996" s="73"/>
      <c r="F4996" s="74" t="s">
        <v>3</v>
      </c>
      <c r="G4996" s="72">
        <v>0.02</v>
      </c>
      <c r="I4996" t="s">
        <v>2463</v>
      </c>
    </row>
    <row r="4997" spans="1:11" ht="15.75" thickBot="1" x14ac:dyDescent="0.3">
      <c r="A4997" s="67"/>
      <c r="B4997" s="86"/>
      <c r="C4997" s="68"/>
      <c r="D4997" s="68"/>
      <c r="E4997" s="68"/>
      <c r="F4997" s="82"/>
      <c r="G4997" s="83"/>
    </row>
    <row r="4998" spans="1:11" x14ac:dyDescent="0.25">
      <c r="A4998" s="159"/>
      <c r="B4998" s="181"/>
      <c r="C4998" s="93"/>
      <c r="D4998" s="93"/>
      <c r="E4998" s="93"/>
      <c r="F4998" s="285" t="s">
        <v>2494</v>
      </c>
      <c r="G4998" s="284"/>
    </row>
    <row r="4999" spans="1:11" ht="18.75" x14ac:dyDescent="0.3">
      <c r="A4999" s="163"/>
      <c r="B4999" s="106"/>
      <c r="C4999" s="73"/>
      <c r="D4999" s="73"/>
      <c r="E4999" s="290" t="s">
        <v>2808</v>
      </c>
      <c r="F4999" s="74"/>
      <c r="G4999" s="72"/>
    </row>
    <row r="5000" spans="1:11" ht="15.75" x14ac:dyDescent="0.25">
      <c r="A5000" s="163"/>
      <c r="B5000" s="106"/>
      <c r="C5000" s="73"/>
      <c r="D5000" s="73"/>
      <c r="E5000" s="332" t="s">
        <v>2809</v>
      </c>
      <c r="F5000" s="74"/>
      <c r="G5000" s="72"/>
      <c r="K5000" s="325"/>
    </row>
    <row r="5001" spans="1:11" x14ac:dyDescent="0.25">
      <c r="A5001" s="163"/>
      <c r="B5001" s="106"/>
      <c r="C5001" s="73"/>
      <c r="D5001" s="73"/>
      <c r="E5001" s="73"/>
      <c r="F5001" s="74"/>
      <c r="G5001" s="72"/>
    </row>
    <row r="5002" spans="1:11" x14ac:dyDescent="0.25">
      <c r="A5002" s="163"/>
      <c r="B5002" s="106"/>
      <c r="C5002" s="75" t="s">
        <v>2466</v>
      </c>
      <c r="D5002" s="73"/>
      <c r="E5002" s="73"/>
      <c r="F5002" s="74"/>
      <c r="G5002" s="72"/>
    </row>
    <row r="5003" spans="1:11" x14ac:dyDescent="0.25">
      <c r="A5003" s="163"/>
      <c r="B5003" s="106"/>
      <c r="C5003" s="77" t="s">
        <v>1054</v>
      </c>
      <c r="D5003" s="77"/>
      <c r="E5003" s="73"/>
      <c r="F5003" s="152" t="s">
        <v>3</v>
      </c>
      <c r="G5003" s="72">
        <f>0.016*0.08*1.2</f>
        <v>1.536E-3</v>
      </c>
    </row>
    <row r="5004" spans="1:11" ht="17.25" x14ac:dyDescent="0.25">
      <c r="A5004" s="163"/>
      <c r="B5004" s="106"/>
      <c r="C5004" s="77" t="s">
        <v>1055</v>
      </c>
      <c r="D5004" s="77"/>
      <c r="E5004" s="73"/>
      <c r="F5004" s="152" t="s">
        <v>596</v>
      </c>
      <c r="G5004" s="72">
        <f>G5003*1.1</f>
        <v>1.6896000000000001E-3</v>
      </c>
      <c r="K5004" s="296"/>
    </row>
    <row r="5005" spans="1:11" x14ac:dyDescent="0.25">
      <c r="A5005" s="163"/>
      <c r="B5005" s="106"/>
      <c r="C5005" s="73"/>
      <c r="D5005" s="75" t="s">
        <v>2467</v>
      </c>
      <c r="E5005" s="73"/>
      <c r="F5005" s="74"/>
      <c r="G5005" s="72"/>
    </row>
    <row r="5006" spans="1:11" x14ac:dyDescent="0.25">
      <c r="A5006" s="163"/>
      <c r="B5006" s="106"/>
      <c r="C5006" s="73"/>
      <c r="D5006" s="100" t="s">
        <v>300</v>
      </c>
      <c r="E5006" s="73"/>
      <c r="F5006" s="74" t="s">
        <v>3</v>
      </c>
      <c r="G5006" s="72">
        <f>0.055*0.046*3*8*1.15</f>
        <v>6.9828000000000001E-2</v>
      </c>
      <c r="K5006" s="296"/>
    </row>
    <row r="5007" spans="1:11" x14ac:dyDescent="0.25">
      <c r="A5007" s="163"/>
      <c r="B5007" s="106"/>
      <c r="C5007" s="73"/>
      <c r="D5007" s="75" t="s">
        <v>2468</v>
      </c>
      <c r="E5007" s="73"/>
      <c r="F5007" s="74"/>
      <c r="G5007" s="72"/>
    </row>
    <row r="5008" spans="1:11" x14ac:dyDescent="0.25">
      <c r="A5008" s="163"/>
      <c r="B5008" s="106"/>
      <c r="C5008" s="73"/>
      <c r="D5008" s="73" t="s">
        <v>2469</v>
      </c>
      <c r="E5008" s="73"/>
      <c r="F5008" s="74" t="s">
        <v>3</v>
      </c>
      <c r="G5008" s="72">
        <f>0.056*0.03*1*8*1.12</f>
        <v>1.5052800000000002E-2</v>
      </c>
    </row>
    <row r="5009" spans="1:9" x14ac:dyDescent="0.25">
      <c r="A5009" s="163"/>
      <c r="B5009" s="106"/>
      <c r="C5009" s="73"/>
      <c r="D5009" s="73"/>
      <c r="E5009" s="73"/>
      <c r="F5009" s="74"/>
      <c r="G5009" s="72"/>
    </row>
    <row r="5010" spans="1:9" x14ac:dyDescent="0.25">
      <c r="A5010" s="163"/>
      <c r="B5010" s="106"/>
      <c r="C5010" s="75" t="s">
        <v>2471</v>
      </c>
      <c r="D5010" s="73"/>
      <c r="E5010" s="73"/>
      <c r="F5010" s="74"/>
      <c r="G5010" s="72"/>
    </row>
    <row r="5011" spans="1:9" x14ac:dyDescent="0.25">
      <c r="A5011" s="163"/>
      <c r="B5011" s="106"/>
      <c r="C5011" s="73" t="s">
        <v>140</v>
      </c>
      <c r="D5011" s="73"/>
      <c r="E5011" s="73"/>
      <c r="F5011" s="74" t="s">
        <v>3</v>
      </c>
      <c r="G5011" s="72">
        <f>0.008*3.14*2*0.08*1.2</f>
        <v>4.8230399999999998E-3</v>
      </c>
    </row>
    <row r="5012" spans="1:9" ht="17.25" x14ac:dyDescent="0.25">
      <c r="A5012" s="163"/>
      <c r="B5012" s="106"/>
      <c r="C5012" s="73" t="s">
        <v>23</v>
      </c>
      <c r="D5012" s="73"/>
      <c r="E5012" s="73"/>
      <c r="F5012" s="74" t="s">
        <v>596</v>
      </c>
      <c r="G5012" s="72">
        <f>G5011*1.5</f>
        <v>7.2345599999999993E-3</v>
      </c>
    </row>
    <row r="5013" spans="1:9" x14ac:dyDescent="0.25">
      <c r="A5013" s="163"/>
      <c r="B5013" s="106"/>
      <c r="C5013" s="73" t="s">
        <v>142</v>
      </c>
      <c r="D5013" s="73"/>
      <c r="E5013" s="73"/>
      <c r="F5013" s="74" t="s">
        <v>3</v>
      </c>
      <c r="G5013" s="72">
        <f>G5011/4</f>
        <v>1.2057599999999999E-3</v>
      </c>
    </row>
    <row r="5014" spans="1:9" x14ac:dyDescent="0.25">
      <c r="A5014" s="163"/>
      <c r="B5014" s="106"/>
      <c r="C5014" s="77" t="s">
        <v>124</v>
      </c>
      <c r="D5014" s="73"/>
      <c r="E5014" s="73"/>
      <c r="F5014" s="74" t="s">
        <v>3</v>
      </c>
      <c r="G5014" s="72">
        <f>0.03*3.14*0.08*1.1</f>
        <v>8.2896000000000011E-3</v>
      </c>
    </row>
    <row r="5015" spans="1:9" ht="17.25" x14ac:dyDescent="0.25">
      <c r="A5015" s="163"/>
      <c r="B5015" s="106"/>
      <c r="C5015" s="77" t="s">
        <v>121</v>
      </c>
      <c r="D5015" s="73"/>
      <c r="E5015" s="73"/>
      <c r="F5015" s="74" t="s">
        <v>596</v>
      </c>
      <c r="G5015" s="72">
        <f>G5014*1.1</f>
        <v>9.1185600000000012E-3</v>
      </c>
    </row>
    <row r="5016" spans="1:9" x14ac:dyDescent="0.25">
      <c r="A5016" s="163"/>
      <c r="B5016" s="106"/>
      <c r="C5016" s="77" t="s">
        <v>143</v>
      </c>
      <c r="D5016" s="73"/>
      <c r="E5016" s="73"/>
      <c r="F5016" s="74" t="s">
        <v>3</v>
      </c>
      <c r="G5016" s="72">
        <f>G5018</f>
        <v>1.5839999999999996E-2</v>
      </c>
    </row>
    <row r="5017" spans="1:9" x14ac:dyDescent="0.25">
      <c r="A5017" s="163"/>
      <c r="B5017" s="106"/>
      <c r="C5017" s="77" t="s">
        <v>116</v>
      </c>
      <c r="D5017" s="73"/>
      <c r="E5017" s="73"/>
      <c r="F5017" s="74" t="s">
        <v>3</v>
      </c>
      <c r="G5017" s="72">
        <f>0.3*G5016</f>
        <v>4.7519999999999984E-3</v>
      </c>
    </row>
    <row r="5018" spans="1:9" x14ac:dyDescent="0.25">
      <c r="A5018" s="163"/>
      <c r="B5018" s="106"/>
      <c r="C5018" s="77" t="s">
        <v>912</v>
      </c>
      <c r="D5018" s="73"/>
      <c r="E5018" s="73"/>
      <c r="F5018" s="74" t="s">
        <v>3</v>
      </c>
      <c r="G5018" s="72">
        <f>0.6*0.011*2*1.2</f>
        <v>1.5839999999999996E-2</v>
      </c>
    </row>
    <row r="5019" spans="1:9" x14ac:dyDescent="0.25">
      <c r="A5019" s="163"/>
      <c r="B5019" s="106"/>
      <c r="C5019" s="73" t="s">
        <v>2470</v>
      </c>
      <c r="D5019" s="73"/>
      <c r="E5019" s="73"/>
      <c r="F5019" s="74" t="s">
        <v>3</v>
      </c>
      <c r="G5019" s="72">
        <f>G5018*0.1</f>
        <v>1.5839999999999997E-3</v>
      </c>
    </row>
    <row r="5020" spans="1:9" x14ac:dyDescent="0.25">
      <c r="A5020" s="163"/>
      <c r="B5020" s="106"/>
      <c r="C5020" s="73" t="s">
        <v>661</v>
      </c>
      <c r="D5020" s="73"/>
      <c r="E5020" s="73"/>
      <c r="F5020" s="74" t="s">
        <v>3</v>
      </c>
      <c r="G5020" s="72">
        <f>0.3*G5018</f>
        <v>4.7519999999999984E-3</v>
      </c>
    </row>
    <row r="5021" spans="1:9" x14ac:dyDescent="0.25">
      <c r="A5021" s="163"/>
      <c r="B5021" s="106"/>
      <c r="C5021" s="73"/>
      <c r="D5021" s="75" t="s">
        <v>2472</v>
      </c>
      <c r="E5021" s="73"/>
      <c r="F5021" s="74"/>
      <c r="G5021" s="72"/>
    </row>
    <row r="5022" spans="1:9" x14ac:dyDescent="0.25">
      <c r="A5022" s="163"/>
      <c r="B5022" s="106"/>
      <c r="C5022" s="73"/>
      <c r="D5022" s="73" t="s">
        <v>480</v>
      </c>
      <c r="E5022" s="73"/>
      <c r="F5022" s="74" t="s">
        <v>3</v>
      </c>
      <c r="G5022" s="72">
        <v>0.112</v>
      </c>
      <c r="I5022" t="s">
        <v>2473</v>
      </c>
    </row>
    <row r="5023" spans="1:9" x14ac:dyDescent="0.25">
      <c r="A5023" s="163"/>
      <c r="B5023" s="106"/>
      <c r="C5023" s="73"/>
      <c r="D5023" s="73"/>
      <c r="E5023" s="73"/>
      <c r="F5023" s="74"/>
      <c r="G5023" s="72"/>
    </row>
    <row r="5024" spans="1:9" x14ac:dyDescent="0.25">
      <c r="A5024" s="163"/>
      <c r="B5024" s="106"/>
      <c r="C5024" s="75" t="s">
        <v>2474</v>
      </c>
      <c r="D5024" s="73"/>
      <c r="E5024" s="73"/>
      <c r="F5024" s="74"/>
      <c r="G5024" s="72"/>
    </row>
    <row r="5025" spans="1:11" x14ac:dyDescent="0.25">
      <c r="A5025" s="163"/>
      <c r="B5025" s="106"/>
      <c r="C5025" s="73" t="s">
        <v>140</v>
      </c>
      <c r="D5025" s="73"/>
      <c r="E5025" s="73"/>
      <c r="F5025" s="74" t="s">
        <v>3</v>
      </c>
      <c r="G5025" s="72">
        <f>0.008*3.14*2*0.08*1.2</f>
        <v>4.8230399999999998E-3</v>
      </c>
    </row>
    <row r="5026" spans="1:11" ht="17.25" x14ac:dyDescent="0.25">
      <c r="A5026" s="163"/>
      <c r="B5026" s="106"/>
      <c r="C5026" s="73" t="s">
        <v>23</v>
      </c>
      <c r="D5026" s="73"/>
      <c r="E5026" s="73"/>
      <c r="F5026" s="74" t="s">
        <v>596</v>
      </c>
      <c r="G5026" s="72">
        <f>G5025*1.5</f>
        <v>7.2345599999999993E-3</v>
      </c>
    </row>
    <row r="5027" spans="1:11" x14ac:dyDescent="0.25">
      <c r="A5027" s="163"/>
      <c r="B5027" s="106"/>
      <c r="C5027" s="73" t="s">
        <v>142</v>
      </c>
      <c r="D5027" s="73"/>
      <c r="E5027" s="73"/>
      <c r="F5027" s="74" t="s">
        <v>3</v>
      </c>
      <c r="G5027" s="72">
        <f>G5025/4</f>
        <v>1.2057599999999999E-3</v>
      </c>
    </row>
    <row r="5028" spans="1:11" x14ac:dyDescent="0.25">
      <c r="A5028" s="163"/>
      <c r="B5028" s="106"/>
      <c r="C5028" s="77" t="s">
        <v>124</v>
      </c>
      <c r="D5028" s="73"/>
      <c r="E5028" s="73"/>
      <c r="F5028" s="74" t="s">
        <v>3</v>
      </c>
      <c r="G5028" s="72">
        <f>0.03*3.14*0.08*1.1</f>
        <v>8.2896000000000011E-3</v>
      </c>
    </row>
    <row r="5029" spans="1:11" ht="17.25" x14ac:dyDescent="0.25">
      <c r="A5029" s="163"/>
      <c r="B5029" s="106"/>
      <c r="C5029" s="77" t="s">
        <v>121</v>
      </c>
      <c r="D5029" s="73"/>
      <c r="E5029" s="73"/>
      <c r="F5029" s="74" t="s">
        <v>596</v>
      </c>
      <c r="G5029" s="72">
        <f>G5028*1.1</f>
        <v>9.1185600000000012E-3</v>
      </c>
    </row>
    <row r="5030" spans="1:11" x14ac:dyDescent="0.25">
      <c r="A5030" s="163"/>
      <c r="B5030" s="106"/>
      <c r="C5030" s="77" t="s">
        <v>143</v>
      </c>
      <c r="D5030" s="73"/>
      <c r="E5030" s="73"/>
      <c r="F5030" s="74" t="s">
        <v>3</v>
      </c>
      <c r="G5030" s="72">
        <f>G5032</f>
        <v>2.0074999999999996E-2</v>
      </c>
    </row>
    <row r="5031" spans="1:11" x14ac:dyDescent="0.25">
      <c r="A5031" s="163"/>
      <c r="B5031" s="106"/>
      <c r="C5031" s="77" t="s">
        <v>116</v>
      </c>
      <c r="D5031" s="73"/>
      <c r="E5031" s="73"/>
      <c r="F5031" s="74" t="s">
        <v>3</v>
      </c>
      <c r="G5031" s="72">
        <f>0.3*G5030</f>
        <v>6.0224999999999983E-3</v>
      </c>
    </row>
    <row r="5032" spans="1:11" x14ac:dyDescent="0.25">
      <c r="A5032" s="163"/>
      <c r="B5032" s="106"/>
      <c r="C5032" s="77" t="s">
        <v>912</v>
      </c>
      <c r="D5032" s="73"/>
      <c r="E5032" s="73"/>
      <c r="F5032" s="74" t="s">
        <v>3</v>
      </c>
      <c r="G5032" s="72">
        <f>0.73*0.011*2*1.25</f>
        <v>2.0074999999999996E-2</v>
      </c>
    </row>
    <row r="5033" spans="1:11" x14ac:dyDescent="0.25">
      <c r="A5033" s="163"/>
      <c r="B5033" s="106"/>
      <c r="C5033" s="73" t="s">
        <v>2470</v>
      </c>
      <c r="D5033" s="73"/>
      <c r="E5033" s="73"/>
      <c r="F5033" s="74" t="s">
        <v>3</v>
      </c>
      <c r="G5033" s="72">
        <f>G5032*0.1</f>
        <v>2.0074999999999997E-3</v>
      </c>
    </row>
    <row r="5034" spans="1:11" x14ac:dyDescent="0.25">
      <c r="A5034" s="163"/>
      <c r="B5034" s="106"/>
      <c r="C5034" s="73" t="s">
        <v>661</v>
      </c>
      <c r="D5034" s="73"/>
      <c r="E5034" s="73"/>
      <c r="F5034" s="74" t="s">
        <v>3</v>
      </c>
      <c r="G5034" s="72">
        <f>0.3*G5032</f>
        <v>6.0224999999999983E-3</v>
      </c>
    </row>
    <row r="5035" spans="1:11" x14ac:dyDescent="0.25">
      <c r="A5035" s="163"/>
      <c r="B5035" s="106"/>
      <c r="C5035" s="73"/>
      <c r="D5035" s="75" t="s">
        <v>2475</v>
      </c>
      <c r="E5035" s="73"/>
      <c r="F5035" s="74"/>
      <c r="G5035" s="72"/>
    </row>
    <row r="5036" spans="1:11" x14ac:dyDescent="0.25">
      <c r="A5036" s="163"/>
      <c r="B5036" s="106"/>
      <c r="C5036" s="73"/>
      <c r="D5036" s="73" t="s">
        <v>480</v>
      </c>
      <c r="E5036" s="73"/>
      <c r="F5036" s="74" t="s">
        <v>3</v>
      </c>
      <c r="G5036" s="72">
        <v>0.13</v>
      </c>
      <c r="I5036" t="s">
        <v>2476</v>
      </c>
    </row>
    <row r="5037" spans="1:11" x14ac:dyDescent="0.25">
      <c r="A5037" s="163"/>
      <c r="B5037" s="106"/>
      <c r="C5037" s="73"/>
      <c r="D5037" s="73"/>
      <c r="E5037" s="73"/>
      <c r="F5037" s="74"/>
      <c r="G5037" s="72"/>
    </row>
    <row r="5038" spans="1:11" x14ac:dyDescent="0.25">
      <c r="A5038" s="163"/>
      <c r="B5038" s="106"/>
      <c r="C5038" s="75" t="s">
        <v>2477</v>
      </c>
      <c r="D5038" s="73"/>
      <c r="E5038" s="73"/>
      <c r="F5038" s="74"/>
      <c r="G5038" s="72"/>
    </row>
    <row r="5039" spans="1:11" x14ac:dyDescent="0.25">
      <c r="A5039" s="163"/>
      <c r="B5039" s="106"/>
      <c r="C5039" s="73" t="s">
        <v>2478</v>
      </c>
      <c r="D5039" s="73"/>
      <c r="E5039" s="73"/>
      <c r="F5039" s="74" t="s">
        <v>3</v>
      </c>
      <c r="G5039" s="72">
        <v>5.0000000000000001E-3</v>
      </c>
      <c r="K5039" s="296"/>
    </row>
    <row r="5040" spans="1:11" x14ac:dyDescent="0.25">
      <c r="A5040" s="163"/>
      <c r="B5040" s="106"/>
      <c r="C5040" s="73" t="s">
        <v>2479</v>
      </c>
      <c r="D5040" s="73"/>
      <c r="E5040" s="73"/>
      <c r="F5040" s="74" t="s">
        <v>3</v>
      </c>
      <c r="G5040" s="72">
        <f>0.007*1.25</f>
        <v>8.7500000000000008E-3</v>
      </c>
      <c r="K5040" s="296"/>
    </row>
    <row r="5041" spans="1:11" x14ac:dyDescent="0.25">
      <c r="A5041" s="163"/>
      <c r="B5041" s="106"/>
      <c r="C5041" s="73"/>
      <c r="D5041" s="75" t="s">
        <v>2480</v>
      </c>
      <c r="E5041" s="73"/>
      <c r="F5041" s="74"/>
      <c r="G5041" s="72"/>
      <c r="K5041" s="296"/>
    </row>
    <row r="5042" spans="1:11" x14ac:dyDescent="0.25">
      <c r="A5042" s="163"/>
      <c r="B5042" s="106"/>
      <c r="C5042" s="73"/>
      <c r="D5042" s="77" t="s">
        <v>1054</v>
      </c>
      <c r="E5042" s="77"/>
      <c r="F5042" s="152" t="s">
        <v>3</v>
      </c>
      <c r="G5042" s="72">
        <f>0.3*0.08*1.1</f>
        <v>2.6400000000000003E-2</v>
      </c>
      <c r="K5042" s="296"/>
    </row>
    <row r="5043" spans="1:11" ht="17.25" x14ac:dyDescent="0.25">
      <c r="A5043" s="163"/>
      <c r="B5043" s="106"/>
      <c r="C5043" s="73"/>
      <c r="D5043" s="77" t="s">
        <v>1055</v>
      </c>
      <c r="E5043" s="77"/>
      <c r="F5043" s="152" t="s">
        <v>596</v>
      </c>
      <c r="G5043" s="72">
        <f>G5042*1.1</f>
        <v>2.9040000000000007E-2</v>
      </c>
      <c r="K5043" s="296"/>
    </row>
    <row r="5044" spans="1:11" x14ac:dyDescent="0.25">
      <c r="A5044" s="163"/>
      <c r="B5044" s="106"/>
      <c r="C5044" s="73"/>
      <c r="D5044" s="77" t="s">
        <v>8</v>
      </c>
      <c r="E5044" s="73"/>
      <c r="F5044" s="74" t="s">
        <v>3</v>
      </c>
      <c r="G5044" s="72">
        <f>0.9*G5045</f>
        <v>2.8771199999999997E-2</v>
      </c>
      <c r="K5044" s="296"/>
    </row>
    <row r="5045" spans="1:11" x14ac:dyDescent="0.25">
      <c r="A5045" s="163"/>
      <c r="B5045" s="106"/>
      <c r="C5045" s="73"/>
      <c r="D5045" s="77" t="s">
        <v>148</v>
      </c>
      <c r="E5045" s="73"/>
      <c r="F5045" s="74" t="s">
        <v>3</v>
      </c>
      <c r="G5045" s="72">
        <f>0.37*0.15*2*0.12*2*1.2</f>
        <v>3.1967999999999996E-2</v>
      </c>
      <c r="K5045" s="296"/>
    </row>
    <row r="5046" spans="1:11" x14ac:dyDescent="0.25">
      <c r="A5046" s="163"/>
      <c r="B5046" s="106"/>
      <c r="C5046" s="73"/>
      <c r="D5046" s="77" t="s">
        <v>12</v>
      </c>
      <c r="E5046" s="73"/>
      <c r="F5046" s="74" t="s">
        <v>3</v>
      </c>
      <c r="G5046" s="72">
        <f>0.3*(G5045+G5044)</f>
        <v>1.8221759999999997E-2</v>
      </c>
      <c r="K5046" s="296"/>
    </row>
    <row r="5047" spans="1:11" x14ac:dyDescent="0.25">
      <c r="A5047" s="163"/>
      <c r="B5047" s="106"/>
      <c r="C5047" s="73"/>
      <c r="D5047" s="77"/>
      <c r="E5047" s="75" t="s">
        <v>2481</v>
      </c>
      <c r="F5047" s="74"/>
      <c r="G5047" s="72"/>
      <c r="K5047" s="296"/>
    </row>
    <row r="5048" spans="1:11" x14ac:dyDescent="0.25">
      <c r="A5048" s="163"/>
      <c r="B5048" s="106"/>
      <c r="C5048" s="73"/>
      <c r="D5048" s="77"/>
      <c r="E5048" s="77" t="s">
        <v>1054</v>
      </c>
      <c r="F5048" s="152" t="s">
        <v>3</v>
      </c>
      <c r="G5048" s="72">
        <f>0.01*3.14*2*0.08*1.2</f>
        <v>6.0288000000000008E-3</v>
      </c>
      <c r="K5048" s="296"/>
    </row>
    <row r="5049" spans="1:11" ht="17.25" x14ac:dyDescent="0.25">
      <c r="A5049" s="163"/>
      <c r="B5049" s="106"/>
      <c r="C5049" s="73"/>
      <c r="D5049" s="77"/>
      <c r="E5049" s="77" t="s">
        <v>1055</v>
      </c>
      <c r="F5049" s="152" t="s">
        <v>596</v>
      </c>
      <c r="G5049" s="72">
        <f>G5048*1.1</f>
        <v>6.6316800000000018E-3</v>
      </c>
      <c r="K5049" s="296"/>
    </row>
    <row r="5050" spans="1:11" x14ac:dyDescent="0.25">
      <c r="A5050" s="163"/>
      <c r="B5050" s="106"/>
      <c r="C5050" s="73"/>
      <c r="D5050" s="77"/>
      <c r="E5050" s="78" t="s">
        <v>2486</v>
      </c>
      <c r="F5050" s="152"/>
      <c r="G5050" s="72"/>
      <c r="K5050" s="296"/>
    </row>
    <row r="5051" spans="1:11" x14ac:dyDescent="0.25">
      <c r="A5051" s="163"/>
      <c r="B5051" s="106"/>
      <c r="C5051" s="73"/>
      <c r="D5051" s="77"/>
      <c r="E5051" s="77" t="s">
        <v>2487</v>
      </c>
      <c r="F5051" s="152" t="s">
        <v>3</v>
      </c>
      <c r="G5051" s="72">
        <f>0.06*0.2*3*8*1.215</f>
        <v>0.34992000000000006</v>
      </c>
      <c r="K5051" s="296"/>
    </row>
    <row r="5052" spans="1:11" x14ac:dyDescent="0.25">
      <c r="A5052" s="163"/>
      <c r="B5052" s="106"/>
      <c r="C5052" s="73"/>
      <c r="D5052" s="77"/>
      <c r="E5052" s="75" t="s">
        <v>2482</v>
      </c>
      <c r="F5052" s="74"/>
      <c r="G5052" s="72"/>
      <c r="K5052" s="296"/>
    </row>
    <row r="5053" spans="1:11" x14ac:dyDescent="0.25">
      <c r="A5053" s="163"/>
      <c r="B5053" s="106"/>
      <c r="C5053" s="73"/>
      <c r="D5053" s="77"/>
      <c r="E5053" s="77" t="s">
        <v>54</v>
      </c>
      <c r="F5053" s="74" t="s">
        <v>3</v>
      </c>
      <c r="G5053" s="72">
        <f>0.38*0.21*4*8*1.0965</f>
        <v>2.8000224</v>
      </c>
      <c r="K5053" s="296"/>
    </row>
    <row r="5054" spans="1:11" x14ac:dyDescent="0.25">
      <c r="A5054" s="163"/>
      <c r="B5054" s="106"/>
      <c r="C5054" s="73"/>
      <c r="D5054" s="77"/>
      <c r="E5054" s="75" t="s">
        <v>2483</v>
      </c>
      <c r="F5054" s="74"/>
      <c r="G5054" s="72"/>
      <c r="K5054" s="296"/>
    </row>
    <row r="5055" spans="1:11" x14ac:dyDescent="0.25">
      <c r="A5055" s="163"/>
      <c r="B5055" s="106"/>
      <c r="C5055" s="73"/>
      <c r="D5055" s="77"/>
      <c r="E5055" s="77" t="s">
        <v>54</v>
      </c>
      <c r="F5055" s="74" t="s">
        <v>3</v>
      </c>
      <c r="G5055" s="72">
        <f>0.03*0.07*4*8*1.11</f>
        <v>7.4592000000000019E-2</v>
      </c>
      <c r="K5055" s="296"/>
    </row>
    <row r="5056" spans="1:11" x14ac:dyDescent="0.25">
      <c r="A5056" s="163"/>
      <c r="B5056" s="106"/>
      <c r="C5056" s="73"/>
      <c r="D5056" s="73"/>
      <c r="E5056" s="75" t="s">
        <v>2484</v>
      </c>
      <c r="F5056" s="74"/>
      <c r="G5056" s="72"/>
      <c r="K5056" s="296"/>
    </row>
    <row r="5057" spans="1:11" x14ac:dyDescent="0.25">
      <c r="A5057" s="163"/>
      <c r="B5057" s="106"/>
      <c r="C5057" s="73"/>
      <c r="D5057" s="73"/>
      <c r="E5057" s="77" t="s">
        <v>54</v>
      </c>
      <c r="F5057" s="74" t="s">
        <v>3</v>
      </c>
      <c r="G5057" s="72">
        <f>0.03*0.065*4*8*1.12</f>
        <v>6.9888000000000006E-2</v>
      </c>
      <c r="K5057" s="296"/>
    </row>
    <row r="5058" spans="1:11" x14ac:dyDescent="0.25">
      <c r="A5058" s="163"/>
      <c r="B5058" s="106"/>
      <c r="C5058" s="73"/>
      <c r="D5058" s="73"/>
      <c r="E5058" s="75" t="s">
        <v>2485</v>
      </c>
      <c r="F5058" s="74"/>
      <c r="G5058" s="72"/>
      <c r="K5058" s="296"/>
    </row>
    <row r="5059" spans="1:11" x14ac:dyDescent="0.25">
      <c r="A5059" s="163"/>
      <c r="B5059" s="106"/>
      <c r="C5059" s="73"/>
      <c r="D5059" s="73"/>
      <c r="E5059" s="77" t="s">
        <v>54</v>
      </c>
      <c r="F5059" s="74" t="s">
        <v>3</v>
      </c>
      <c r="G5059" s="72">
        <f>0.066*1.21</f>
        <v>7.986E-2</v>
      </c>
      <c r="K5059" s="296"/>
    </row>
    <row r="5060" spans="1:11" x14ac:dyDescent="0.25">
      <c r="A5060" s="163"/>
      <c r="B5060" s="106"/>
      <c r="C5060" s="73"/>
      <c r="D5060" s="75" t="s">
        <v>2488</v>
      </c>
      <c r="E5060" s="77"/>
      <c r="F5060" s="74"/>
      <c r="G5060" s="72"/>
      <c r="K5060" s="296"/>
    </row>
    <row r="5061" spans="1:11" x14ac:dyDescent="0.25">
      <c r="A5061" s="163"/>
      <c r="B5061" s="106"/>
      <c r="C5061" s="73"/>
      <c r="D5061" s="73" t="s">
        <v>8</v>
      </c>
      <c r="E5061" s="77"/>
      <c r="F5061" s="74" t="s">
        <v>3</v>
      </c>
      <c r="G5061" s="72">
        <f>G5062</f>
        <v>5.0400000000000002E-3</v>
      </c>
      <c r="K5061" s="296"/>
    </row>
    <row r="5062" spans="1:11" x14ac:dyDescent="0.25">
      <c r="A5062" s="163"/>
      <c r="B5062" s="106"/>
      <c r="C5062" s="73"/>
      <c r="D5062" s="73" t="s">
        <v>148</v>
      </c>
      <c r="E5062" s="77"/>
      <c r="F5062" s="74" t="s">
        <v>3</v>
      </c>
      <c r="G5062" s="72">
        <f>0.07*0.03*2*1.2</f>
        <v>5.0400000000000002E-3</v>
      </c>
      <c r="K5062" s="296"/>
    </row>
    <row r="5063" spans="1:11" x14ac:dyDescent="0.25">
      <c r="A5063" s="163"/>
      <c r="B5063" s="106"/>
      <c r="C5063" s="73"/>
      <c r="D5063" s="73" t="s">
        <v>12</v>
      </c>
      <c r="E5063" s="77"/>
      <c r="F5063" s="74" t="s">
        <v>3</v>
      </c>
      <c r="G5063" s="72">
        <f>0.3*(G5062+G5061)</f>
        <v>3.0240000000000002E-3</v>
      </c>
      <c r="K5063" s="296"/>
    </row>
    <row r="5064" spans="1:11" x14ac:dyDescent="0.25">
      <c r="A5064" s="163"/>
      <c r="B5064" s="106"/>
      <c r="C5064" s="73"/>
      <c r="D5064" s="73"/>
      <c r="E5064" s="77"/>
      <c r="F5064" s="74"/>
      <c r="G5064" s="72"/>
      <c r="K5064" s="296"/>
    </row>
    <row r="5065" spans="1:11" x14ac:dyDescent="0.25">
      <c r="A5065" s="163"/>
      <c r="B5065" s="106"/>
      <c r="C5065" s="75" t="s">
        <v>2489</v>
      </c>
      <c r="D5065" s="73"/>
      <c r="E5065" s="77"/>
      <c r="F5065" s="74"/>
      <c r="G5065" s="72"/>
      <c r="K5065" s="296"/>
    </row>
    <row r="5066" spans="1:11" x14ac:dyDescent="0.25">
      <c r="A5066" s="163"/>
      <c r="B5066" s="106"/>
      <c r="C5066" s="73" t="s">
        <v>2490</v>
      </c>
      <c r="D5066" s="73"/>
      <c r="E5066" s="77"/>
      <c r="F5066" s="74" t="s">
        <v>195</v>
      </c>
      <c r="G5066" s="72">
        <v>0.6</v>
      </c>
      <c r="I5066" t="s">
        <v>2491</v>
      </c>
      <c r="K5066" s="296"/>
    </row>
    <row r="5067" spans="1:11" x14ac:dyDescent="0.25">
      <c r="A5067" s="163"/>
      <c r="B5067" s="106"/>
      <c r="C5067" s="73"/>
      <c r="D5067" s="73"/>
      <c r="E5067" s="77"/>
      <c r="F5067" s="74"/>
      <c r="G5067" s="72"/>
      <c r="K5067" s="296"/>
    </row>
    <row r="5068" spans="1:11" x14ac:dyDescent="0.25">
      <c r="A5068" s="163"/>
      <c r="B5068" s="106"/>
      <c r="C5068" s="75" t="s">
        <v>2492</v>
      </c>
      <c r="D5068" s="73"/>
      <c r="E5068" s="77"/>
      <c r="F5068" s="74"/>
      <c r="G5068" s="72"/>
      <c r="K5068" s="296"/>
    </row>
    <row r="5069" spans="1:11" x14ac:dyDescent="0.25">
      <c r="A5069" s="163"/>
      <c r="B5069" s="106"/>
      <c r="C5069" s="73" t="s">
        <v>412</v>
      </c>
      <c r="D5069" s="73"/>
      <c r="E5069" s="77"/>
      <c r="F5069" s="74" t="s">
        <v>3</v>
      </c>
      <c r="G5069" s="72">
        <f>0.019*1.2</f>
        <v>2.2799999999999997E-2</v>
      </c>
      <c r="K5069" s="296"/>
    </row>
    <row r="5070" spans="1:11" x14ac:dyDescent="0.25">
      <c r="A5070" s="163"/>
      <c r="B5070" s="106"/>
      <c r="C5070" s="73"/>
      <c r="D5070" s="73"/>
      <c r="E5070" s="77"/>
      <c r="F5070" s="74"/>
      <c r="G5070" s="72"/>
      <c r="K5070" s="296"/>
    </row>
    <row r="5071" spans="1:11" x14ac:dyDescent="0.25">
      <c r="A5071" s="163"/>
      <c r="B5071" s="106"/>
      <c r="C5071" s="75" t="s">
        <v>2493</v>
      </c>
      <c r="D5071" s="73"/>
      <c r="E5071" s="77"/>
      <c r="F5071" s="74"/>
      <c r="G5071" s="72"/>
      <c r="K5071" s="296"/>
    </row>
    <row r="5072" spans="1:11" x14ac:dyDescent="0.25">
      <c r="A5072" s="163"/>
      <c r="B5072" s="106"/>
      <c r="C5072" s="73" t="s">
        <v>412</v>
      </c>
      <c r="D5072" s="73"/>
      <c r="E5072" s="77"/>
      <c r="F5072" s="74" t="s">
        <v>3</v>
      </c>
      <c r="G5072" s="72">
        <f>0.019*1.2</f>
        <v>2.2799999999999997E-2</v>
      </c>
      <c r="K5072" s="296"/>
    </row>
    <row r="5073" spans="1:11" ht="15.75" thickBot="1" x14ac:dyDescent="0.3">
      <c r="A5073" s="67"/>
      <c r="B5073" s="86"/>
      <c r="C5073" s="68"/>
      <c r="D5073" s="68"/>
      <c r="E5073" s="235"/>
      <c r="F5073" s="82"/>
      <c r="G5073" s="83"/>
      <c r="K5073" s="296"/>
    </row>
    <row r="5074" spans="1:11" x14ac:dyDescent="0.25">
      <c r="A5074" s="159"/>
      <c r="B5074" s="181"/>
      <c r="C5074" s="93"/>
      <c r="D5074" s="93"/>
      <c r="E5074" s="184"/>
      <c r="F5074" s="285" t="s">
        <v>2540</v>
      </c>
      <c r="G5074" s="284"/>
      <c r="K5074" s="296"/>
    </row>
    <row r="5075" spans="1:11" ht="18.75" x14ac:dyDescent="0.25">
      <c r="A5075" s="163"/>
      <c r="B5075" s="106"/>
      <c r="C5075" s="73"/>
      <c r="D5075" s="73"/>
      <c r="E5075" s="331" t="s">
        <v>2496</v>
      </c>
      <c r="F5075" s="74"/>
      <c r="G5075" s="72"/>
      <c r="K5075" s="296"/>
    </row>
    <row r="5076" spans="1:11" x14ac:dyDescent="0.25">
      <c r="A5076" s="163"/>
      <c r="B5076" s="106"/>
      <c r="C5076" s="73"/>
      <c r="D5076" s="73"/>
      <c r="E5076" s="73"/>
      <c r="F5076" s="74"/>
      <c r="G5076" s="72"/>
    </row>
    <row r="5077" spans="1:11" x14ac:dyDescent="0.25">
      <c r="A5077" s="163"/>
      <c r="B5077" s="106"/>
      <c r="C5077" s="75" t="s">
        <v>2495</v>
      </c>
      <c r="D5077" s="73"/>
      <c r="E5077" s="73"/>
      <c r="F5077" s="74"/>
      <c r="G5077" s="72"/>
    </row>
    <row r="5078" spans="1:11" x14ac:dyDescent="0.25">
      <c r="A5078" s="163"/>
      <c r="B5078" s="106"/>
      <c r="C5078" s="73" t="s">
        <v>140</v>
      </c>
      <c r="D5078" s="73"/>
      <c r="E5078" s="73"/>
      <c r="F5078" s="74" t="s">
        <v>3</v>
      </c>
      <c r="G5078" s="72">
        <f>0.008*3.14*2*0.08*1.15</f>
        <v>4.6220799999999989E-3</v>
      </c>
    </row>
    <row r="5079" spans="1:11" ht="17.25" x14ac:dyDescent="0.25">
      <c r="A5079" s="163"/>
      <c r="B5079" s="106"/>
      <c r="C5079" s="73" t="s">
        <v>23</v>
      </c>
      <c r="D5079" s="73"/>
      <c r="E5079" s="73"/>
      <c r="F5079" s="74" t="s">
        <v>596</v>
      </c>
      <c r="G5079" s="72">
        <f>G5078*1.5</f>
        <v>6.9331199999999983E-3</v>
      </c>
    </row>
    <row r="5080" spans="1:11" x14ac:dyDescent="0.25">
      <c r="A5080" s="163"/>
      <c r="B5080" s="106"/>
      <c r="C5080" s="73" t="s">
        <v>142</v>
      </c>
      <c r="D5080" s="73"/>
      <c r="E5080" s="73"/>
      <c r="F5080" s="74" t="s">
        <v>3</v>
      </c>
      <c r="G5080" s="72">
        <f>G5078/4</f>
        <v>1.1555199999999997E-3</v>
      </c>
    </row>
    <row r="5081" spans="1:11" x14ac:dyDescent="0.25">
      <c r="A5081" s="163"/>
      <c r="B5081" s="106"/>
      <c r="C5081" s="77" t="s">
        <v>8</v>
      </c>
      <c r="D5081" s="77"/>
      <c r="E5081" s="77"/>
      <c r="F5081" s="74" t="s">
        <v>3</v>
      </c>
      <c r="G5081" s="72">
        <f>G5082*0.8</f>
        <v>1.9712000000000004E-2</v>
      </c>
    </row>
    <row r="5082" spans="1:11" x14ac:dyDescent="0.25">
      <c r="A5082" s="163"/>
      <c r="B5082" s="106"/>
      <c r="C5082" s="77" t="s">
        <v>152</v>
      </c>
      <c r="D5082" s="77"/>
      <c r="E5082" s="77"/>
      <c r="F5082" s="74" t="s">
        <v>3</v>
      </c>
      <c r="G5082" s="72">
        <f>1*0.011*2*1.12</f>
        <v>2.4640000000000002E-2</v>
      </c>
      <c r="K5082" s="297"/>
    </row>
    <row r="5083" spans="1:11" x14ac:dyDescent="0.25">
      <c r="A5083" s="163"/>
      <c r="B5083" s="106"/>
      <c r="C5083" s="77" t="s">
        <v>12</v>
      </c>
      <c r="D5083" s="77"/>
      <c r="E5083" s="77"/>
      <c r="F5083" s="74" t="s">
        <v>3</v>
      </c>
      <c r="G5083" s="72">
        <f>0.3*(G5082+G5081)</f>
        <v>1.3305600000000001E-2</v>
      </c>
      <c r="K5083" s="297"/>
    </row>
    <row r="5084" spans="1:11" x14ac:dyDescent="0.25">
      <c r="A5084" s="163"/>
      <c r="B5084" s="106"/>
      <c r="C5084" s="73"/>
      <c r="D5084" s="75" t="s">
        <v>2497</v>
      </c>
      <c r="E5084" s="73"/>
      <c r="F5084" s="74"/>
      <c r="G5084" s="72"/>
    </row>
    <row r="5085" spans="1:11" x14ac:dyDescent="0.25">
      <c r="A5085" s="163"/>
      <c r="B5085" s="106"/>
      <c r="C5085" s="73"/>
      <c r="D5085" s="73" t="s">
        <v>2208</v>
      </c>
      <c r="E5085" s="73"/>
      <c r="F5085" s="74" t="s">
        <v>3</v>
      </c>
      <c r="G5085" s="72">
        <v>0.22</v>
      </c>
      <c r="I5085" t="s">
        <v>2498</v>
      </c>
    </row>
    <row r="5086" spans="1:11" x14ac:dyDescent="0.25">
      <c r="A5086" s="163"/>
      <c r="B5086" s="106"/>
      <c r="C5086" s="73"/>
      <c r="D5086" s="73"/>
      <c r="E5086" s="73"/>
      <c r="F5086" s="74"/>
      <c r="G5086" s="72"/>
    </row>
    <row r="5087" spans="1:11" x14ac:dyDescent="0.25">
      <c r="A5087" s="163"/>
      <c r="B5087" s="106"/>
      <c r="C5087" s="75" t="s">
        <v>2509</v>
      </c>
      <c r="D5087" s="73"/>
      <c r="E5087" s="73"/>
      <c r="F5087" s="74"/>
      <c r="G5087" s="72"/>
    </row>
    <row r="5088" spans="1:11" x14ac:dyDescent="0.25">
      <c r="A5088" s="163"/>
      <c r="B5088" s="106"/>
      <c r="C5088" s="73" t="s">
        <v>2510</v>
      </c>
      <c r="D5088" s="73"/>
      <c r="E5088" s="73"/>
      <c r="F5088" s="74" t="s">
        <v>3</v>
      </c>
      <c r="G5088" s="72">
        <f>0.016*1.2</f>
        <v>1.9199999999999998E-2</v>
      </c>
    </row>
    <row r="5089" spans="1:7" x14ac:dyDescent="0.25">
      <c r="A5089" s="163"/>
      <c r="B5089" s="106"/>
      <c r="C5089" s="73"/>
      <c r="D5089" s="73"/>
      <c r="E5089" s="73"/>
      <c r="F5089" s="74"/>
      <c r="G5089" s="72"/>
    </row>
    <row r="5090" spans="1:7" x14ac:dyDescent="0.25">
      <c r="A5090" s="163"/>
      <c r="B5090" s="106"/>
      <c r="C5090" s="75" t="s">
        <v>2511</v>
      </c>
      <c r="D5090" s="73"/>
      <c r="E5090" s="73"/>
      <c r="F5090" s="74"/>
      <c r="G5090" s="72"/>
    </row>
    <row r="5091" spans="1:7" x14ac:dyDescent="0.25">
      <c r="A5091" s="163"/>
      <c r="B5091" s="106"/>
      <c r="C5091" s="73" t="s">
        <v>2512</v>
      </c>
      <c r="D5091" s="73"/>
      <c r="E5091" s="73"/>
      <c r="F5091" s="74" t="s">
        <v>3</v>
      </c>
      <c r="G5091" s="72">
        <f>0.018*1.15</f>
        <v>2.0699999999999996E-2</v>
      </c>
    </row>
    <row r="5092" spans="1:7" x14ac:dyDescent="0.25">
      <c r="A5092" s="163"/>
      <c r="B5092" s="106"/>
      <c r="C5092" s="73"/>
      <c r="D5092" s="73"/>
      <c r="E5092" s="73"/>
      <c r="F5092" s="74"/>
      <c r="G5092" s="72"/>
    </row>
    <row r="5093" spans="1:7" x14ac:dyDescent="0.25">
      <c r="A5093" s="163"/>
      <c r="B5093" s="106"/>
      <c r="C5093" s="75" t="s">
        <v>2543</v>
      </c>
      <c r="D5093" s="73"/>
      <c r="E5093" s="73"/>
      <c r="F5093" s="74"/>
      <c r="G5093" s="72"/>
    </row>
    <row r="5094" spans="1:7" x14ac:dyDescent="0.25">
      <c r="A5094" s="163"/>
      <c r="B5094" s="106"/>
      <c r="C5094" s="73" t="s">
        <v>2513</v>
      </c>
      <c r="D5094" s="73"/>
      <c r="E5094" s="73"/>
      <c r="F5094" s="74" t="s">
        <v>3</v>
      </c>
      <c r="G5094" s="72">
        <f>0.14*0.016*4*8*1.11</f>
        <v>7.9564800000000019E-2</v>
      </c>
    </row>
    <row r="5095" spans="1:7" x14ac:dyDescent="0.25">
      <c r="A5095" s="163"/>
      <c r="B5095" s="106"/>
      <c r="C5095" s="73"/>
      <c r="D5095" s="73"/>
      <c r="E5095" s="73"/>
      <c r="F5095" s="74"/>
      <c r="G5095" s="72"/>
    </row>
    <row r="5096" spans="1:7" x14ac:dyDescent="0.25">
      <c r="A5096" s="163"/>
      <c r="B5096" s="106"/>
      <c r="C5096" s="75" t="s">
        <v>2514</v>
      </c>
      <c r="D5096" s="73"/>
      <c r="E5096" s="73"/>
      <c r="F5096" s="74"/>
      <c r="G5096" s="72"/>
    </row>
    <row r="5097" spans="1:7" x14ac:dyDescent="0.25">
      <c r="A5097" s="163"/>
      <c r="B5097" s="106"/>
      <c r="C5097" s="73" t="s">
        <v>1709</v>
      </c>
      <c r="D5097" s="73"/>
      <c r="E5097" s="73"/>
      <c r="F5097" s="74" t="s">
        <v>3</v>
      </c>
      <c r="G5097" s="72">
        <f>0.021*1.18</f>
        <v>2.478E-2</v>
      </c>
    </row>
    <row r="5098" spans="1:7" x14ac:dyDescent="0.25">
      <c r="A5098" s="163"/>
      <c r="B5098" s="106"/>
      <c r="C5098" s="73"/>
      <c r="D5098" s="73"/>
      <c r="E5098" s="73"/>
      <c r="F5098" s="74"/>
      <c r="G5098" s="72"/>
    </row>
    <row r="5099" spans="1:7" x14ac:dyDescent="0.25">
      <c r="A5099" s="163"/>
      <c r="B5099" s="106"/>
      <c r="C5099" s="75" t="s">
        <v>2515</v>
      </c>
      <c r="D5099" s="73"/>
      <c r="E5099" s="73"/>
      <c r="F5099" s="74"/>
      <c r="G5099" s="72"/>
    </row>
    <row r="5100" spans="1:7" x14ac:dyDescent="0.25">
      <c r="A5100" s="163"/>
      <c r="B5100" s="106"/>
      <c r="C5100" s="73" t="s">
        <v>855</v>
      </c>
      <c r="D5100" s="73"/>
      <c r="E5100" s="73"/>
      <c r="F5100" s="74" t="s">
        <v>3</v>
      </c>
      <c r="G5100" s="72">
        <f>0.23*0.115*1.5*2.7*1.03</f>
        <v>0.11033617500000001</v>
      </c>
    </row>
    <row r="5101" spans="1:7" x14ac:dyDescent="0.25">
      <c r="A5101" s="163"/>
      <c r="B5101" s="106"/>
      <c r="C5101" s="73"/>
      <c r="D5101" s="73"/>
      <c r="E5101" s="73"/>
      <c r="F5101" s="74"/>
      <c r="G5101" s="72"/>
    </row>
    <row r="5102" spans="1:7" x14ac:dyDescent="0.25">
      <c r="A5102" s="163"/>
      <c r="B5102" s="106"/>
      <c r="C5102" s="75" t="s">
        <v>2516</v>
      </c>
      <c r="D5102" s="73"/>
      <c r="E5102" s="73"/>
      <c r="F5102" s="74"/>
      <c r="G5102" s="72"/>
    </row>
    <row r="5103" spans="1:7" x14ac:dyDescent="0.25">
      <c r="A5103" s="163"/>
      <c r="B5103" s="106"/>
      <c r="C5103" s="73" t="s">
        <v>140</v>
      </c>
      <c r="D5103" s="73"/>
      <c r="E5103" s="73"/>
      <c r="F5103" s="74" t="s">
        <v>3</v>
      </c>
      <c r="G5103" s="72">
        <f>0.01*3.14*7*0.08*1.15</f>
        <v>2.0221600000000003E-2</v>
      </c>
    </row>
    <row r="5104" spans="1:7" ht="17.25" x14ac:dyDescent="0.25">
      <c r="A5104" s="163"/>
      <c r="B5104" s="106"/>
      <c r="C5104" s="73" t="s">
        <v>23</v>
      </c>
      <c r="D5104" s="73"/>
      <c r="E5104" s="73"/>
      <c r="F5104" s="74" t="s">
        <v>596</v>
      </c>
      <c r="G5104" s="72">
        <f>G5103*1.5</f>
        <v>3.0332400000000002E-2</v>
      </c>
    </row>
    <row r="5105" spans="1:9" x14ac:dyDescent="0.25">
      <c r="A5105" s="163"/>
      <c r="B5105" s="106"/>
      <c r="C5105" s="73" t="s">
        <v>142</v>
      </c>
      <c r="D5105" s="73"/>
      <c r="E5105" s="73"/>
      <c r="F5105" s="74" t="s">
        <v>3</v>
      </c>
      <c r="G5105" s="72">
        <f>G5103/4</f>
        <v>5.0554000000000007E-3</v>
      </c>
    </row>
    <row r="5106" spans="1:9" x14ac:dyDescent="0.25">
      <c r="A5106" s="163"/>
      <c r="B5106" s="106"/>
      <c r="C5106" s="77" t="s">
        <v>114</v>
      </c>
      <c r="D5106" s="73"/>
      <c r="E5106" s="73"/>
      <c r="F5106" s="74" t="s">
        <v>3</v>
      </c>
      <c r="G5106" s="72">
        <f>G5108*0.8</f>
        <v>2.7878400000000005E-2</v>
      </c>
    </row>
    <row r="5107" spans="1:9" x14ac:dyDescent="0.25">
      <c r="A5107" s="163"/>
      <c r="B5107" s="106"/>
      <c r="C5107" s="77" t="s">
        <v>164</v>
      </c>
      <c r="D5107" s="73"/>
      <c r="E5107" s="73"/>
      <c r="F5107" s="74" t="s">
        <v>3</v>
      </c>
      <c r="G5107" s="72">
        <f>0.3*G5106</f>
        <v>8.363520000000001E-3</v>
      </c>
    </row>
    <row r="5108" spans="1:9" x14ac:dyDescent="0.25">
      <c r="A5108" s="163"/>
      <c r="B5108" s="106"/>
      <c r="C5108" s="77" t="s">
        <v>649</v>
      </c>
      <c r="D5108" s="73"/>
      <c r="E5108" s="73"/>
      <c r="F5108" s="74" t="s">
        <v>3</v>
      </c>
      <c r="G5108" s="72">
        <f>(0.46*2+0.3+0.22)*0.011*2*1.1</f>
        <v>3.4848000000000004E-2</v>
      </c>
    </row>
    <row r="5109" spans="1:9" x14ac:dyDescent="0.25">
      <c r="A5109" s="163"/>
      <c r="B5109" s="106"/>
      <c r="C5109" s="77" t="s">
        <v>12</v>
      </c>
      <c r="D5109" s="73"/>
      <c r="E5109" s="73"/>
      <c r="F5109" s="74" t="s">
        <v>3</v>
      </c>
      <c r="G5109" s="72">
        <f>0.3*G5108</f>
        <v>1.0454400000000001E-2</v>
      </c>
    </row>
    <row r="5110" spans="1:9" x14ac:dyDescent="0.25">
      <c r="A5110" s="163"/>
      <c r="B5110" s="106"/>
      <c r="C5110" s="73"/>
      <c r="D5110" s="75" t="s">
        <v>2517</v>
      </c>
      <c r="E5110" s="73"/>
      <c r="F5110" s="74"/>
      <c r="G5110" s="72"/>
    </row>
    <row r="5111" spans="1:9" x14ac:dyDescent="0.25">
      <c r="A5111" s="163"/>
      <c r="B5111" s="106"/>
      <c r="C5111" s="73"/>
      <c r="D5111" s="73" t="s">
        <v>1777</v>
      </c>
      <c r="E5111" s="73"/>
      <c r="F5111" s="74" t="s">
        <v>3</v>
      </c>
      <c r="G5111" s="72">
        <v>0.12</v>
      </c>
      <c r="I5111" t="s">
        <v>2523</v>
      </c>
    </row>
    <row r="5112" spans="1:9" x14ac:dyDescent="0.25">
      <c r="A5112" s="163"/>
      <c r="B5112" s="106"/>
      <c r="C5112" s="73"/>
      <c r="D5112" s="75" t="s">
        <v>2518</v>
      </c>
      <c r="E5112" s="73"/>
      <c r="F5112" s="74"/>
      <c r="G5112" s="72"/>
    </row>
    <row r="5113" spans="1:9" x14ac:dyDescent="0.25">
      <c r="A5113" s="163"/>
      <c r="B5113" s="106"/>
      <c r="C5113" s="73"/>
      <c r="D5113" s="73" t="s">
        <v>1777</v>
      </c>
      <c r="E5113" s="73"/>
      <c r="F5113" s="74" t="s">
        <v>3</v>
      </c>
      <c r="G5113" s="72">
        <v>7.5999999999999998E-2</v>
      </c>
      <c r="I5113" t="s">
        <v>2521</v>
      </c>
    </row>
    <row r="5114" spans="1:9" x14ac:dyDescent="0.25">
      <c r="A5114" s="163"/>
      <c r="B5114" s="106"/>
      <c r="C5114" s="73"/>
      <c r="D5114" s="75" t="s">
        <v>2519</v>
      </c>
      <c r="E5114" s="73"/>
      <c r="F5114" s="74"/>
      <c r="G5114" s="72"/>
    </row>
    <row r="5115" spans="1:9" x14ac:dyDescent="0.25">
      <c r="A5115" s="163"/>
      <c r="B5115" s="106"/>
      <c r="C5115" s="73"/>
      <c r="D5115" s="73" t="s">
        <v>1777</v>
      </c>
      <c r="E5115" s="73"/>
      <c r="F5115" s="74" t="s">
        <v>3</v>
      </c>
      <c r="G5115" s="72">
        <v>0.12</v>
      </c>
      <c r="I5115" t="s">
        <v>2523</v>
      </c>
    </row>
    <row r="5116" spans="1:9" x14ac:dyDescent="0.25">
      <c r="A5116" s="163"/>
      <c r="B5116" s="106"/>
      <c r="C5116" s="73"/>
      <c r="D5116" s="75" t="s">
        <v>2520</v>
      </c>
      <c r="E5116" s="73"/>
      <c r="F5116" s="74"/>
      <c r="G5116" s="72"/>
    </row>
    <row r="5117" spans="1:9" x14ac:dyDescent="0.25">
      <c r="A5117" s="163"/>
      <c r="B5117" s="106"/>
      <c r="C5117" s="73"/>
      <c r="D5117" s="73" t="s">
        <v>1777</v>
      </c>
      <c r="E5117" s="73"/>
      <c r="F5117" s="74" t="s">
        <v>3</v>
      </c>
      <c r="G5117" s="72">
        <v>5.6000000000000001E-2</v>
      </c>
      <c r="I5117" t="s">
        <v>2522</v>
      </c>
    </row>
    <row r="5118" spans="1:9" x14ac:dyDescent="0.25">
      <c r="A5118" s="163"/>
      <c r="B5118" s="106"/>
      <c r="C5118" s="73"/>
      <c r="D5118" s="73"/>
      <c r="E5118" s="73"/>
      <c r="F5118" s="74"/>
      <c r="G5118" s="72"/>
    </row>
    <row r="5119" spans="1:9" x14ac:dyDescent="0.25">
      <c r="A5119" s="163"/>
      <c r="B5119" s="106"/>
      <c r="C5119" s="75" t="s">
        <v>2524</v>
      </c>
      <c r="D5119" s="73"/>
      <c r="E5119" s="73"/>
      <c r="F5119" s="74"/>
      <c r="G5119" s="72"/>
    </row>
    <row r="5120" spans="1:9" x14ac:dyDescent="0.25">
      <c r="A5120" s="163"/>
      <c r="B5120" s="106"/>
      <c r="C5120" s="77" t="s">
        <v>1054</v>
      </c>
      <c r="D5120" s="73"/>
      <c r="E5120" s="73"/>
      <c r="F5120" s="152" t="s">
        <v>3</v>
      </c>
      <c r="G5120" s="72">
        <f>0.016*3.14*4*0.08*1.1</f>
        <v>1.7684479999999999E-2</v>
      </c>
    </row>
    <row r="5121" spans="1:7" ht="17.25" x14ac:dyDescent="0.25">
      <c r="A5121" s="163"/>
      <c r="B5121" s="106"/>
      <c r="C5121" s="77" t="s">
        <v>1055</v>
      </c>
      <c r="D5121" s="73"/>
      <c r="E5121" s="73"/>
      <c r="F5121" s="152" t="s">
        <v>596</v>
      </c>
      <c r="G5121" s="72">
        <f>G5120*1.1</f>
        <v>1.9452928000000001E-2</v>
      </c>
    </row>
    <row r="5122" spans="1:7" x14ac:dyDescent="0.25">
      <c r="A5122" s="163"/>
      <c r="B5122" s="106"/>
      <c r="C5122" s="77" t="s">
        <v>163</v>
      </c>
      <c r="D5122" s="73"/>
      <c r="E5122" s="73"/>
      <c r="F5122" s="74" t="s">
        <v>3</v>
      </c>
      <c r="G5122" s="72">
        <f>G5124*0.82</f>
        <v>2.487429E-2</v>
      </c>
    </row>
    <row r="5123" spans="1:7" x14ac:dyDescent="0.25">
      <c r="A5123" s="163"/>
      <c r="B5123" s="106"/>
      <c r="C5123" s="77" t="s">
        <v>164</v>
      </c>
      <c r="D5123" s="73"/>
      <c r="E5123" s="73"/>
      <c r="F5123" s="74" t="s">
        <v>3</v>
      </c>
      <c r="G5123" s="72">
        <f>0.3*G5122</f>
        <v>7.4622869999999997E-3</v>
      </c>
    </row>
    <row r="5124" spans="1:7" x14ac:dyDescent="0.25">
      <c r="A5124" s="163"/>
      <c r="B5124" s="106"/>
      <c r="C5124" s="77" t="s">
        <v>36</v>
      </c>
      <c r="D5124" s="73"/>
      <c r="E5124" s="73"/>
      <c r="F5124" s="74" t="s">
        <v>3</v>
      </c>
      <c r="G5124" s="72">
        <f>0.27*0.175*2*0.15*2*1.07</f>
        <v>3.03345E-2</v>
      </c>
    </row>
    <row r="5125" spans="1:7" x14ac:dyDescent="0.25">
      <c r="A5125" s="163"/>
      <c r="B5125" s="106"/>
      <c r="C5125" s="77" t="s">
        <v>12</v>
      </c>
      <c r="D5125" s="73"/>
      <c r="E5125" s="73"/>
      <c r="F5125" s="74" t="s">
        <v>3</v>
      </c>
      <c r="G5125" s="72">
        <f>0.3*G5124</f>
        <v>9.1003500000000001E-3</v>
      </c>
    </row>
    <row r="5126" spans="1:7" x14ac:dyDescent="0.25">
      <c r="A5126" s="163"/>
      <c r="B5126" s="106"/>
      <c r="C5126" s="73"/>
      <c r="D5126" s="75" t="s">
        <v>2525</v>
      </c>
      <c r="E5126" s="73"/>
      <c r="F5126" s="74"/>
      <c r="G5126" s="72"/>
    </row>
    <row r="5127" spans="1:7" x14ac:dyDescent="0.25">
      <c r="A5127" s="163"/>
      <c r="B5127" s="106"/>
      <c r="C5127" s="73"/>
      <c r="D5127" s="73" t="s">
        <v>1138</v>
      </c>
      <c r="E5127" s="73"/>
      <c r="F5127" s="74" t="s">
        <v>3</v>
      </c>
      <c r="G5127" s="72">
        <f>0.27*0.175*4*2.7*1.127</f>
        <v>0.57510810000000012</v>
      </c>
    </row>
    <row r="5128" spans="1:7" x14ac:dyDescent="0.25">
      <c r="A5128" s="163"/>
      <c r="B5128" s="106"/>
      <c r="C5128" s="73"/>
      <c r="D5128" s="73"/>
      <c r="E5128" s="73"/>
      <c r="F5128" s="74"/>
      <c r="G5128" s="72"/>
    </row>
    <row r="5129" spans="1:7" x14ac:dyDescent="0.25">
      <c r="A5129" s="163"/>
      <c r="B5129" s="106"/>
      <c r="C5129" s="75" t="s">
        <v>2526</v>
      </c>
      <c r="D5129" s="73"/>
      <c r="E5129" s="73"/>
      <c r="F5129" s="74"/>
      <c r="G5129" s="72"/>
    </row>
    <row r="5130" spans="1:7" x14ac:dyDescent="0.25">
      <c r="A5130" s="163"/>
      <c r="B5130" s="106"/>
      <c r="C5130" s="77" t="s">
        <v>1054</v>
      </c>
      <c r="D5130" s="73"/>
      <c r="E5130" s="73"/>
      <c r="F5130" s="152" t="s">
        <v>3</v>
      </c>
      <c r="G5130" s="72">
        <f>0.08*0.08*1.2</f>
        <v>7.6800000000000002E-3</v>
      </c>
    </row>
    <row r="5131" spans="1:7" ht="17.25" x14ac:dyDescent="0.25">
      <c r="A5131" s="163"/>
      <c r="B5131" s="106"/>
      <c r="C5131" s="77" t="s">
        <v>1055</v>
      </c>
      <c r="D5131" s="73"/>
      <c r="E5131" s="73"/>
      <c r="F5131" s="152" t="s">
        <v>596</v>
      </c>
      <c r="G5131" s="72">
        <f>G5130*1.1</f>
        <v>8.4480000000000006E-3</v>
      </c>
    </row>
    <row r="5132" spans="1:7" x14ac:dyDescent="0.25">
      <c r="A5132" s="163"/>
      <c r="B5132" s="106"/>
      <c r="C5132" s="77" t="s">
        <v>8</v>
      </c>
      <c r="D5132" s="73"/>
      <c r="E5132" s="73"/>
      <c r="F5132" s="74" t="s">
        <v>3</v>
      </c>
      <c r="G5132" s="72">
        <f>0.75*G5133</f>
        <v>1.4976E-2</v>
      </c>
    </row>
    <row r="5133" spans="1:7" x14ac:dyDescent="0.25">
      <c r="A5133" s="163"/>
      <c r="B5133" s="106"/>
      <c r="C5133" s="77" t="s">
        <v>36</v>
      </c>
      <c r="D5133" s="73"/>
      <c r="E5133" s="73"/>
      <c r="F5133" s="74" t="s">
        <v>3</v>
      </c>
      <c r="G5133" s="72">
        <f>0.16*0.16*2*0.15*2*1.3</f>
        <v>1.9968E-2</v>
      </c>
    </row>
    <row r="5134" spans="1:7" x14ac:dyDescent="0.25">
      <c r="A5134" s="163"/>
      <c r="B5134" s="106"/>
      <c r="C5134" s="77" t="s">
        <v>12</v>
      </c>
      <c r="D5134" s="73"/>
      <c r="E5134" s="73"/>
      <c r="F5134" s="74" t="s">
        <v>3</v>
      </c>
      <c r="G5134" s="72">
        <f>0.3*(G5133+G5132)</f>
        <v>1.04832E-2</v>
      </c>
    </row>
    <row r="5135" spans="1:7" x14ac:dyDescent="0.25">
      <c r="A5135" s="163"/>
      <c r="B5135" s="106"/>
      <c r="C5135" s="73"/>
      <c r="D5135" s="73"/>
      <c r="E5135" s="73"/>
      <c r="F5135" s="74"/>
      <c r="G5135" s="72"/>
    </row>
    <row r="5136" spans="1:7" x14ac:dyDescent="0.25">
      <c r="A5136" s="163"/>
      <c r="B5136" s="106"/>
      <c r="C5136" s="75" t="s">
        <v>2527</v>
      </c>
      <c r="D5136" s="73"/>
      <c r="E5136" s="73"/>
      <c r="F5136" s="74"/>
      <c r="G5136" s="72"/>
    </row>
    <row r="5137" spans="1:7" x14ac:dyDescent="0.25">
      <c r="A5137" s="163"/>
      <c r="B5137" s="106"/>
      <c r="C5137" s="73" t="s">
        <v>37</v>
      </c>
      <c r="D5137" s="73"/>
      <c r="E5137" s="73"/>
      <c r="F5137" s="74" t="s">
        <v>3</v>
      </c>
      <c r="G5137" s="72">
        <f>0.005</f>
        <v>5.0000000000000001E-3</v>
      </c>
    </row>
    <row r="5138" spans="1:7" x14ac:dyDescent="0.25">
      <c r="A5138" s="163"/>
      <c r="B5138" s="106"/>
      <c r="C5138" s="73" t="s">
        <v>8</v>
      </c>
      <c r="D5138" s="73"/>
      <c r="E5138" s="73"/>
      <c r="F5138" s="74" t="s">
        <v>3</v>
      </c>
      <c r="G5138" s="72">
        <f>G5139*0.8</f>
        <v>1.5623999999999999E-2</v>
      </c>
    </row>
    <row r="5139" spans="1:7" x14ac:dyDescent="0.25">
      <c r="A5139" s="163"/>
      <c r="B5139" s="106"/>
      <c r="C5139" s="73" t="s">
        <v>36</v>
      </c>
      <c r="D5139" s="73"/>
      <c r="E5139" s="73"/>
      <c r="F5139" s="74" t="s">
        <v>3</v>
      </c>
      <c r="G5139" s="72">
        <f>0.35*0.06*2*0.15*2*1.55</f>
        <v>1.9529999999999999E-2</v>
      </c>
    </row>
    <row r="5140" spans="1:7" x14ac:dyDescent="0.25">
      <c r="A5140" s="163"/>
      <c r="B5140" s="106"/>
      <c r="C5140" s="73" t="s">
        <v>12</v>
      </c>
      <c r="D5140" s="73"/>
      <c r="E5140" s="73"/>
      <c r="F5140" s="74" t="s">
        <v>3</v>
      </c>
      <c r="G5140" s="72">
        <f>0.3*(G5139+G5138)</f>
        <v>1.0546199999999999E-2</v>
      </c>
    </row>
    <row r="5141" spans="1:7" x14ac:dyDescent="0.25">
      <c r="A5141" s="163"/>
      <c r="B5141" s="106"/>
      <c r="C5141" s="73"/>
      <c r="D5141" s="75" t="s">
        <v>2539</v>
      </c>
      <c r="E5141" s="73"/>
      <c r="F5141" s="74"/>
      <c r="G5141" s="72"/>
    </row>
    <row r="5142" spans="1:7" x14ac:dyDescent="0.25">
      <c r="A5142" s="163"/>
      <c r="B5142" s="106"/>
      <c r="C5142" s="73"/>
      <c r="D5142" s="77" t="s">
        <v>1054</v>
      </c>
      <c r="E5142" s="73"/>
      <c r="F5142" s="152" t="s">
        <v>3</v>
      </c>
      <c r="G5142" s="72">
        <f>(0.006*3.14*4+0.21+0.12+0.05)*0.08*1.24</f>
        <v>4.5171711999999996E-2</v>
      </c>
    </row>
    <row r="5143" spans="1:7" ht="17.25" x14ac:dyDescent="0.25">
      <c r="A5143" s="163"/>
      <c r="B5143" s="106"/>
      <c r="C5143" s="73"/>
      <c r="D5143" s="77" t="s">
        <v>1055</v>
      </c>
      <c r="E5143" s="73"/>
      <c r="F5143" s="152" t="s">
        <v>596</v>
      </c>
      <c r="G5143" s="72">
        <f>G5142*1.1</f>
        <v>4.9688883199999999E-2</v>
      </c>
    </row>
    <row r="5144" spans="1:7" x14ac:dyDescent="0.25">
      <c r="A5144" s="163"/>
      <c r="B5144" s="106"/>
      <c r="C5144" s="73"/>
      <c r="D5144" s="73"/>
      <c r="E5144" s="73"/>
      <c r="F5144" s="74"/>
      <c r="G5144" s="224" t="s">
        <v>2536</v>
      </c>
    </row>
    <row r="5145" spans="1:7" x14ac:dyDescent="0.25">
      <c r="A5145" s="163"/>
      <c r="B5145" s="106"/>
      <c r="C5145" s="73"/>
      <c r="D5145" s="77" t="s">
        <v>2528</v>
      </c>
      <c r="E5145" s="73"/>
      <c r="F5145" s="74" t="s">
        <v>3</v>
      </c>
      <c r="G5145" s="303">
        <v>0.03</v>
      </c>
    </row>
    <row r="5146" spans="1:7" x14ac:dyDescent="0.25">
      <c r="A5146" s="163"/>
      <c r="B5146" s="106"/>
      <c r="C5146" s="73"/>
      <c r="D5146" s="73"/>
      <c r="E5146" s="75" t="s">
        <v>2529</v>
      </c>
      <c r="F5146" s="74"/>
      <c r="G5146" s="72"/>
    </row>
    <row r="5147" spans="1:7" x14ac:dyDescent="0.25">
      <c r="A5147" s="163"/>
      <c r="B5147" s="106"/>
      <c r="C5147" s="73"/>
      <c r="D5147" s="73"/>
      <c r="E5147" s="73" t="s">
        <v>54</v>
      </c>
      <c r="F5147" s="74" t="s">
        <v>3</v>
      </c>
      <c r="G5147" s="72">
        <f>0.23*1.15</f>
        <v>0.26450000000000001</v>
      </c>
    </row>
    <row r="5148" spans="1:7" x14ac:dyDescent="0.25">
      <c r="A5148" s="163"/>
      <c r="B5148" s="106"/>
      <c r="C5148" s="73"/>
      <c r="D5148" s="73"/>
      <c r="E5148" s="75" t="s">
        <v>2535</v>
      </c>
      <c r="F5148" s="74"/>
      <c r="G5148" s="72"/>
    </row>
    <row r="5149" spans="1:7" x14ac:dyDescent="0.25">
      <c r="A5149" s="163"/>
      <c r="B5149" s="106"/>
      <c r="C5149" s="73"/>
      <c r="D5149" s="73"/>
      <c r="E5149" s="73" t="s">
        <v>55</v>
      </c>
      <c r="F5149" s="74" t="s">
        <v>3</v>
      </c>
      <c r="G5149" s="72">
        <f>0.15*0.04*3*8*1.11</f>
        <v>0.15984000000000004</v>
      </c>
    </row>
    <row r="5150" spans="1:7" x14ac:dyDescent="0.25">
      <c r="A5150" s="163"/>
      <c r="B5150" s="106"/>
      <c r="C5150" s="73"/>
      <c r="D5150" s="73"/>
      <c r="E5150" s="75" t="s">
        <v>2530</v>
      </c>
      <c r="F5150" s="74"/>
      <c r="G5150" s="72"/>
    </row>
    <row r="5151" spans="1:7" x14ac:dyDescent="0.25">
      <c r="A5151" s="163"/>
      <c r="B5151" s="106"/>
      <c r="C5151" s="73"/>
      <c r="D5151" s="73"/>
      <c r="E5151" s="73" t="s">
        <v>55</v>
      </c>
      <c r="F5151" s="74" t="s">
        <v>3</v>
      </c>
      <c r="G5151" s="72">
        <f>0.105*0.016*3*8*1.12</f>
        <v>4.5158400000000008E-2</v>
      </c>
    </row>
    <row r="5152" spans="1:7" x14ac:dyDescent="0.25">
      <c r="A5152" s="163"/>
      <c r="B5152" s="106"/>
      <c r="C5152" s="73"/>
      <c r="D5152" s="73"/>
      <c r="E5152" s="75" t="s">
        <v>2531</v>
      </c>
      <c r="F5152" s="74"/>
      <c r="G5152" s="72"/>
    </row>
    <row r="5153" spans="1:11" x14ac:dyDescent="0.25">
      <c r="A5153" s="163"/>
      <c r="B5153" s="106"/>
      <c r="C5153" s="73"/>
      <c r="D5153" s="73"/>
      <c r="E5153" s="73" t="s">
        <v>55</v>
      </c>
      <c r="F5153" s="74" t="s">
        <v>3</v>
      </c>
      <c r="G5153" s="72">
        <f>0.042*0.02*3*8*1.1</f>
        <v>2.2176000000000001E-2</v>
      </c>
    </row>
    <row r="5154" spans="1:11" x14ac:dyDescent="0.25">
      <c r="A5154" s="163"/>
      <c r="B5154" s="106"/>
      <c r="C5154" s="73"/>
      <c r="D5154" s="73"/>
      <c r="E5154" s="75" t="s">
        <v>2533</v>
      </c>
      <c r="F5154" s="74"/>
      <c r="G5154" s="72"/>
    </row>
    <row r="5155" spans="1:11" x14ac:dyDescent="0.25">
      <c r="A5155" s="163"/>
      <c r="B5155" s="106"/>
      <c r="C5155" s="73"/>
      <c r="D5155" s="73"/>
      <c r="E5155" s="73" t="s">
        <v>55</v>
      </c>
      <c r="F5155" s="74" t="s">
        <v>3</v>
      </c>
      <c r="G5155" s="72">
        <f>0.1*0.04*3*8*1.15</f>
        <v>0.1104</v>
      </c>
    </row>
    <row r="5156" spans="1:11" x14ac:dyDescent="0.25">
      <c r="A5156" s="163"/>
      <c r="B5156" s="106"/>
      <c r="C5156" s="73"/>
      <c r="D5156" s="73"/>
      <c r="E5156" s="75" t="s">
        <v>2534</v>
      </c>
      <c r="F5156" s="74"/>
      <c r="G5156" s="72"/>
    </row>
    <row r="5157" spans="1:11" x14ac:dyDescent="0.25">
      <c r="A5157" s="163"/>
      <c r="B5157" s="106"/>
      <c r="C5157" s="73"/>
      <c r="D5157" s="73"/>
      <c r="E5157" s="73" t="s">
        <v>2538</v>
      </c>
      <c r="F5157" s="74" t="s">
        <v>3</v>
      </c>
      <c r="G5157" s="72">
        <f>0.155*0.02*2.5*8*1.125</f>
        <v>6.9750000000000006E-2</v>
      </c>
    </row>
    <row r="5158" spans="1:11" x14ac:dyDescent="0.25">
      <c r="A5158" s="163"/>
      <c r="B5158" s="106"/>
      <c r="C5158" s="73"/>
      <c r="D5158" s="73"/>
      <c r="E5158" s="75" t="s">
        <v>2532</v>
      </c>
      <c r="F5158" s="74"/>
      <c r="G5158" s="224" t="s">
        <v>2536</v>
      </c>
    </row>
    <row r="5159" spans="1:11" x14ac:dyDescent="0.25">
      <c r="A5159" s="163"/>
      <c r="B5159" s="106"/>
      <c r="C5159" s="73"/>
      <c r="D5159" s="73"/>
      <c r="E5159" s="73" t="s">
        <v>2537</v>
      </c>
      <c r="F5159" s="74" t="s">
        <v>3</v>
      </c>
      <c r="G5159" s="303">
        <f>0.007*1.2</f>
        <v>8.3999999999999995E-3</v>
      </c>
    </row>
    <row r="5160" spans="1:11" ht="15.75" thickBot="1" x14ac:dyDescent="0.3">
      <c r="A5160" s="67"/>
      <c r="B5160" s="86"/>
      <c r="C5160" s="68"/>
      <c r="D5160" s="68"/>
      <c r="E5160" s="68"/>
      <c r="F5160" s="82"/>
      <c r="G5160" s="83"/>
    </row>
    <row r="5161" spans="1:11" x14ac:dyDescent="0.25">
      <c r="A5161" s="159"/>
      <c r="B5161" s="181"/>
      <c r="C5161" s="93"/>
      <c r="D5161" s="93"/>
      <c r="E5161" s="93"/>
      <c r="F5161" s="175" t="s">
        <v>2549</v>
      </c>
      <c r="G5161" s="176"/>
    </row>
    <row r="5162" spans="1:11" ht="18.75" x14ac:dyDescent="0.3">
      <c r="A5162" s="163"/>
      <c r="B5162" s="73"/>
      <c r="C5162" s="73"/>
      <c r="D5162" s="73"/>
      <c r="E5162" s="290" t="s">
        <v>2402</v>
      </c>
      <c r="F5162" s="74"/>
      <c r="G5162" s="309"/>
      <c r="K5162"/>
    </row>
    <row r="5163" spans="1:11" x14ac:dyDescent="0.25">
      <c r="A5163" s="163"/>
      <c r="B5163" s="73"/>
      <c r="C5163" s="73"/>
      <c r="D5163" s="73"/>
      <c r="E5163" s="74"/>
      <c r="F5163" s="153"/>
      <c r="G5163" s="164"/>
      <c r="K5163"/>
    </row>
    <row r="5164" spans="1:11" x14ac:dyDescent="0.25">
      <c r="A5164" s="163"/>
      <c r="B5164" s="73"/>
      <c r="C5164" s="75" t="s">
        <v>2369</v>
      </c>
      <c r="D5164" s="73"/>
      <c r="E5164" s="73"/>
      <c r="F5164" s="74"/>
      <c r="G5164" s="310" t="s">
        <v>646</v>
      </c>
      <c r="H5164" s="307"/>
      <c r="K5164"/>
    </row>
    <row r="5165" spans="1:11" x14ac:dyDescent="0.25">
      <c r="A5165" s="163"/>
      <c r="B5165" s="73"/>
      <c r="C5165" s="308" t="s">
        <v>13</v>
      </c>
      <c r="D5165" s="73"/>
      <c r="E5165" s="73"/>
      <c r="F5165" s="98" t="s">
        <v>3</v>
      </c>
      <c r="G5165" s="72">
        <v>0.35</v>
      </c>
      <c r="K5165"/>
    </row>
    <row r="5166" spans="1:11" x14ac:dyDescent="0.25">
      <c r="A5166" s="163"/>
      <c r="B5166" s="73"/>
      <c r="C5166" s="308" t="s">
        <v>912</v>
      </c>
      <c r="D5166" s="73"/>
      <c r="E5166" s="73"/>
      <c r="F5166" s="98" t="s">
        <v>3</v>
      </c>
      <c r="G5166" s="72">
        <f>0.2*0.2*4*0.12*1.3</f>
        <v>2.4960000000000003E-2</v>
      </c>
      <c r="K5166"/>
    </row>
    <row r="5167" spans="1:11" x14ac:dyDescent="0.25">
      <c r="A5167" s="163"/>
      <c r="B5167" s="73"/>
      <c r="C5167" s="308" t="s">
        <v>2370</v>
      </c>
      <c r="D5167" s="73"/>
      <c r="E5167" s="73"/>
      <c r="F5167" s="98" t="s">
        <v>3</v>
      </c>
      <c r="G5167" s="72">
        <f>G5166/5</f>
        <v>4.9920000000000008E-3</v>
      </c>
      <c r="K5167"/>
    </row>
    <row r="5168" spans="1:11" x14ac:dyDescent="0.25">
      <c r="A5168" s="163"/>
      <c r="B5168" s="73"/>
      <c r="C5168" s="308" t="s">
        <v>313</v>
      </c>
      <c r="D5168" s="73"/>
      <c r="E5168" s="73"/>
      <c r="F5168" s="98" t="s">
        <v>3</v>
      </c>
      <c r="G5168" s="72">
        <f>0.3*G5166</f>
        <v>7.4880000000000007E-3</v>
      </c>
      <c r="K5168"/>
    </row>
    <row r="5169" spans="1:11" ht="15.75" thickBot="1" x14ac:dyDescent="0.3">
      <c r="A5169" s="67"/>
      <c r="B5169" s="68"/>
      <c r="C5169" s="68"/>
      <c r="D5169" s="68"/>
      <c r="E5169" s="82"/>
      <c r="F5169" s="89"/>
      <c r="G5169" s="165"/>
      <c r="K5169"/>
    </row>
    <row r="5170" spans="1:11" x14ac:dyDescent="0.25">
      <c r="A5170" s="159"/>
      <c r="B5170" s="181"/>
      <c r="C5170" s="93"/>
      <c r="D5170" s="93"/>
      <c r="E5170" s="93"/>
      <c r="F5170" s="175" t="s">
        <v>2549</v>
      </c>
      <c r="G5170" s="176"/>
    </row>
    <row r="5171" spans="1:11" x14ac:dyDescent="0.25">
      <c r="A5171" s="163"/>
      <c r="B5171" s="106"/>
      <c r="C5171" s="73"/>
      <c r="D5171" s="73"/>
      <c r="E5171" s="75" t="s">
        <v>2556</v>
      </c>
      <c r="F5171" s="74"/>
      <c r="G5171" s="72"/>
      <c r="K5171" s="305"/>
    </row>
    <row r="5172" spans="1:11" x14ac:dyDescent="0.25">
      <c r="A5172" s="163"/>
      <c r="B5172" s="106"/>
      <c r="C5172" s="73"/>
      <c r="D5172" s="73"/>
      <c r="E5172" s="73"/>
      <c r="F5172" s="74"/>
      <c r="G5172" s="72"/>
      <c r="K5172" s="305"/>
    </row>
    <row r="5173" spans="1:11" x14ac:dyDescent="0.25">
      <c r="A5173" s="163"/>
      <c r="B5173" s="106"/>
      <c r="C5173" s="75" t="s">
        <v>2550</v>
      </c>
      <c r="D5173" s="73"/>
      <c r="E5173" s="73"/>
      <c r="F5173" s="73" t="s">
        <v>2554</v>
      </c>
      <c r="G5173" s="72"/>
    </row>
    <row r="5174" spans="1:11" x14ac:dyDescent="0.25">
      <c r="A5174" s="163"/>
      <c r="B5174" s="106"/>
      <c r="C5174" s="73"/>
      <c r="D5174" s="73" t="s">
        <v>2552</v>
      </c>
      <c r="E5174" s="73"/>
      <c r="F5174" s="74" t="s">
        <v>3</v>
      </c>
      <c r="G5174" s="72">
        <f>0.02*0.02*1.5*8</f>
        <v>4.8000000000000004E-3</v>
      </c>
    </row>
    <row r="5175" spans="1:11" x14ac:dyDescent="0.25">
      <c r="A5175" s="163"/>
      <c r="B5175" s="106"/>
      <c r="C5175" s="73"/>
      <c r="D5175" s="73"/>
      <c r="E5175" s="73"/>
      <c r="F5175" s="74"/>
      <c r="G5175" s="72"/>
    </row>
    <row r="5176" spans="1:11" x14ac:dyDescent="0.25">
      <c r="A5176" s="163"/>
      <c r="B5176" s="106"/>
      <c r="C5176" s="75" t="s">
        <v>2551</v>
      </c>
      <c r="D5176" s="73"/>
      <c r="E5176" s="73"/>
      <c r="F5176" s="73" t="s">
        <v>2555</v>
      </c>
      <c r="G5176" s="72"/>
    </row>
    <row r="5177" spans="1:11" x14ac:dyDescent="0.25">
      <c r="A5177" s="163"/>
      <c r="B5177" s="106"/>
      <c r="C5177" s="73"/>
      <c r="D5177" s="73" t="s">
        <v>2553</v>
      </c>
      <c r="E5177" s="73"/>
      <c r="F5177" s="74" t="s">
        <v>3</v>
      </c>
      <c r="G5177" s="148">
        <f>0.008*3.14*0.0025*0.8*8.5*1.15</f>
        <v>4.91096E-4</v>
      </c>
    </row>
    <row r="5178" spans="1:11" ht="15.75" thickBot="1" x14ac:dyDescent="0.3">
      <c r="A5178" s="67"/>
      <c r="B5178" s="86"/>
      <c r="C5178" s="68"/>
      <c r="D5178" s="68"/>
      <c r="E5178" s="68"/>
      <c r="F5178" s="82"/>
      <c r="G5178" s="185"/>
      <c r="K5178" s="305"/>
    </row>
    <row r="5179" spans="1:11" x14ac:dyDescent="0.25">
      <c r="A5179" s="93"/>
      <c r="B5179" s="181"/>
      <c r="C5179" s="184"/>
      <c r="D5179" s="93"/>
      <c r="E5179" s="93"/>
      <c r="F5179" s="175" t="s">
        <v>2593</v>
      </c>
      <c r="G5179" s="176"/>
      <c r="K5179" s="313"/>
    </row>
    <row r="5180" spans="1:11" ht="18.75" x14ac:dyDescent="0.3">
      <c r="A5180" s="73"/>
      <c r="B5180" s="106"/>
      <c r="C5180" s="73"/>
      <c r="D5180" s="73"/>
      <c r="E5180" s="290" t="s">
        <v>2592</v>
      </c>
      <c r="F5180" s="74"/>
      <c r="G5180" s="315" t="s">
        <v>1915</v>
      </c>
    </row>
    <row r="5181" spans="1:11" ht="15.75" x14ac:dyDescent="0.25">
      <c r="A5181" s="73"/>
      <c r="B5181" s="106"/>
      <c r="C5181" s="73"/>
      <c r="D5181" s="73"/>
      <c r="E5181" s="187"/>
      <c r="F5181" s="74"/>
      <c r="G5181" s="315"/>
      <c r="K5181" s="313"/>
    </row>
    <row r="5182" spans="1:11" x14ac:dyDescent="0.25">
      <c r="A5182" s="73"/>
      <c r="B5182" s="106"/>
      <c r="C5182" s="75" t="s">
        <v>2590</v>
      </c>
      <c r="D5182" s="73"/>
      <c r="E5182" s="73"/>
      <c r="F5182" s="74"/>
      <c r="G5182" s="72"/>
    </row>
    <row r="5183" spans="1:11" x14ac:dyDescent="0.25">
      <c r="A5183" s="73"/>
      <c r="B5183" s="106"/>
      <c r="C5183" s="73" t="s">
        <v>272</v>
      </c>
      <c r="D5183" s="73"/>
      <c r="E5183" s="73"/>
      <c r="F5183" s="74" t="s">
        <v>3</v>
      </c>
      <c r="G5183" s="72">
        <f>0.18*0.18*2*8*1.139</f>
        <v>0.59045760000000003</v>
      </c>
    </row>
    <row r="5184" spans="1:11" x14ac:dyDescent="0.25">
      <c r="A5184" s="73"/>
      <c r="B5184" s="106"/>
      <c r="C5184" s="73"/>
      <c r="D5184" s="73"/>
      <c r="E5184" s="73"/>
      <c r="F5184" s="74"/>
      <c r="G5184" s="72"/>
    </row>
    <row r="5185" spans="1:11" x14ac:dyDescent="0.25">
      <c r="A5185" s="73"/>
      <c r="B5185" s="106"/>
      <c r="C5185" s="75" t="s">
        <v>2591</v>
      </c>
      <c r="D5185" s="73"/>
      <c r="E5185" s="73"/>
      <c r="F5185" s="74"/>
      <c r="G5185" s="72"/>
    </row>
    <row r="5186" spans="1:11" x14ac:dyDescent="0.25">
      <c r="A5186" s="73"/>
      <c r="B5186" s="106"/>
      <c r="C5186" s="73" t="s">
        <v>272</v>
      </c>
      <c r="D5186" s="73"/>
      <c r="E5186" s="73"/>
      <c r="F5186" s="74" t="s">
        <v>3</v>
      </c>
      <c r="G5186" s="72">
        <f>0.305*0.105*2*8*1.131</f>
        <v>0.57952439999999994</v>
      </c>
    </row>
    <row r="5187" spans="1:11" ht="15.75" thickBot="1" x14ac:dyDescent="0.3">
      <c r="A5187" s="68"/>
      <c r="B5187" s="106"/>
      <c r="C5187" s="73"/>
      <c r="D5187" s="73"/>
      <c r="E5187" s="73"/>
      <c r="F5187" s="74"/>
      <c r="G5187" s="72"/>
    </row>
    <row r="5188" spans="1:11" x14ac:dyDescent="0.25">
      <c r="A5188" s="159"/>
      <c r="B5188" s="181"/>
      <c r="C5188" s="93"/>
      <c r="D5188" s="93"/>
      <c r="E5188" s="93"/>
      <c r="F5188" s="175" t="s">
        <v>2648</v>
      </c>
      <c r="G5188" s="176"/>
      <c r="K5188" s="318"/>
    </row>
    <row r="5189" spans="1:11" ht="18.75" x14ac:dyDescent="0.25">
      <c r="A5189" s="163"/>
      <c r="B5189" s="106"/>
      <c r="C5189" s="73"/>
      <c r="D5189" s="73"/>
      <c r="E5189" s="331" t="s">
        <v>2496</v>
      </c>
      <c r="F5189" s="74"/>
      <c r="G5189" s="148"/>
      <c r="K5189" s="313"/>
    </row>
    <row r="5190" spans="1:11" x14ac:dyDescent="0.25">
      <c r="A5190" s="163"/>
      <c r="B5190" s="106"/>
      <c r="C5190" s="73"/>
      <c r="D5190" s="73"/>
      <c r="E5190" s="73"/>
      <c r="F5190" s="74"/>
      <c r="G5190" s="148"/>
      <c r="K5190" s="313"/>
    </row>
    <row r="5191" spans="1:11" x14ac:dyDescent="0.25">
      <c r="A5191" s="163"/>
      <c r="B5191" s="106"/>
      <c r="C5191" s="320" t="s">
        <v>2541</v>
      </c>
      <c r="D5191" s="73"/>
      <c r="E5191" s="73"/>
      <c r="F5191" s="74"/>
      <c r="G5191" s="291"/>
    </row>
    <row r="5192" spans="1:11" x14ac:dyDescent="0.25">
      <c r="A5192" s="163"/>
      <c r="B5192" s="106"/>
      <c r="C5192" s="321" t="s">
        <v>412</v>
      </c>
      <c r="D5192" s="73"/>
      <c r="E5192" s="73"/>
      <c r="F5192" s="74" t="s">
        <v>3</v>
      </c>
      <c r="G5192" s="72">
        <f>0.03*0.03*2*8*1.01</f>
        <v>1.4544E-2</v>
      </c>
      <c r="K5192" s="302"/>
    </row>
    <row r="5193" spans="1:11" x14ac:dyDescent="0.25">
      <c r="A5193" s="163"/>
      <c r="B5193" s="106"/>
      <c r="C5193" s="73"/>
      <c r="D5193" s="73"/>
      <c r="E5193" s="73"/>
      <c r="F5193" s="74"/>
      <c r="G5193" s="236"/>
    </row>
    <row r="5194" spans="1:11" x14ac:dyDescent="0.25">
      <c r="A5194" s="163"/>
      <c r="B5194" s="106"/>
      <c r="C5194" s="320" t="s">
        <v>2542</v>
      </c>
      <c r="D5194" s="73"/>
      <c r="E5194" s="73"/>
      <c r="F5194" s="74"/>
      <c r="G5194" s="72"/>
    </row>
    <row r="5195" spans="1:11" x14ac:dyDescent="0.25">
      <c r="A5195" s="163"/>
      <c r="B5195" s="106"/>
      <c r="C5195" s="73" t="s">
        <v>1305</v>
      </c>
      <c r="D5195" s="73"/>
      <c r="E5195" s="73"/>
      <c r="F5195" s="74" t="s">
        <v>3</v>
      </c>
      <c r="G5195" s="72">
        <f>0.035*0.035*0.5*8</f>
        <v>4.9000000000000007E-3</v>
      </c>
    </row>
    <row r="5196" spans="1:11" x14ac:dyDescent="0.25">
      <c r="A5196" s="163"/>
      <c r="B5196" s="106"/>
      <c r="C5196" s="73"/>
      <c r="D5196" s="73"/>
      <c r="E5196" s="73"/>
      <c r="F5196" s="74"/>
      <c r="G5196" s="72"/>
    </row>
    <row r="5197" spans="1:11" x14ac:dyDescent="0.25">
      <c r="A5197" s="163"/>
      <c r="B5197" s="96"/>
      <c r="C5197" s="75" t="s">
        <v>1857</v>
      </c>
      <c r="D5197" s="73"/>
      <c r="E5197" s="73"/>
      <c r="F5197" s="74"/>
      <c r="G5197" s="72"/>
      <c r="K5197"/>
    </row>
    <row r="5198" spans="1:11" x14ac:dyDescent="0.25">
      <c r="A5198" s="163"/>
      <c r="B5198" s="96"/>
      <c r="C5198" s="73"/>
      <c r="D5198" s="73" t="s">
        <v>1858</v>
      </c>
      <c r="E5198" s="73"/>
      <c r="F5198" s="74" t="s">
        <v>3</v>
      </c>
      <c r="G5198" s="72">
        <f>0.04*0.03*1.5*8*1.05</f>
        <v>1.512E-2</v>
      </c>
      <c r="K5198"/>
    </row>
    <row r="5199" spans="1:11" x14ac:dyDescent="0.25">
      <c r="A5199" s="163"/>
      <c r="B5199" s="106"/>
      <c r="C5199" s="73"/>
      <c r="D5199" s="73"/>
      <c r="E5199" s="73"/>
      <c r="F5199" s="74"/>
      <c r="G5199" s="72"/>
      <c r="H5199" s="15"/>
    </row>
    <row r="5200" spans="1:11" x14ac:dyDescent="0.25">
      <c r="A5200" s="163"/>
      <c r="B5200" s="106"/>
      <c r="C5200" s="75" t="s">
        <v>2561</v>
      </c>
      <c r="D5200" s="73"/>
      <c r="E5200" s="73"/>
      <c r="F5200" s="74"/>
      <c r="G5200" s="72"/>
      <c r="H5200" s="15"/>
      <c r="I5200" s="15"/>
    </row>
    <row r="5201" spans="1:12" x14ac:dyDescent="0.25">
      <c r="A5201" s="163"/>
      <c r="B5201" s="106"/>
      <c r="C5201" s="73" t="s">
        <v>2562</v>
      </c>
      <c r="D5201" s="73"/>
      <c r="E5201" s="73"/>
      <c r="F5201" s="74" t="s">
        <v>3</v>
      </c>
      <c r="G5201" s="72">
        <f>0.03*0.03*2*8.5</f>
        <v>1.5299999999999999E-2</v>
      </c>
      <c r="H5201" s="15"/>
      <c r="I5201" s="15"/>
    </row>
    <row r="5202" spans="1:12" x14ac:dyDescent="0.25">
      <c r="A5202" s="163"/>
      <c r="B5202" s="106"/>
      <c r="C5202" s="73"/>
      <c r="D5202" s="73"/>
      <c r="E5202" s="73"/>
      <c r="F5202" s="74"/>
      <c r="G5202" s="72"/>
      <c r="H5202" s="15"/>
      <c r="I5202" s="15"/>
      <c r="L5202" s="15"/>
    </row>
    <row r="5203" spans="1:12" x14ac:dyDescent="0.25">
      <c r="A5203" s="163"/>
      <c r="B5203" s="106"/>
      <c r="C5203" s="75" t="s">
        <v>1810</v>
      </c>
      <c r="D5203" s="73"/>
      <c r="E5203" s="73"/>
      <c r="F5203" s="74"/>
      <c r="G5203" s="72"/>
      <c r="H5203" s="15"/>
      <c r="I5203" s="15"/>
    </row>
    <row r="5204" spans="1:12" x14ac:dyDescent="0.25">
      <c r="A5204" s="163"/>
      <c r="B5204" s="106"/>
      <c r="C5204" s="73"/>
      <c r="D5204" s="73" t="s">
        <v>1813</v>
      </c>
      <c r="E5204" s="73"/>
      <c r="F5204" s="74" t="s">
        <v>3</v>
      </c>
      <c r="G5204" s="72">
        <f>0.035/7</f>
        <v>5.0000000000000001E-3</v>
      </c>
      <c r="H5204" s="312"/>
      <c r="I5204" s="15"/>
    </row>
    <row r="5205" spans="1:12" x14ac:dyDescent="0.25">
      <c r="A5205" s="163"/>
      <c r="B5205" s="106"/>
      <c r="C5205" s="73"/>
      <c r="D5205" s="73"/>
      <c r="E5205" s="73"/>
      <c r="F5205" s="74"/>
      <c r="G5205" s="72"/>
    </row>
    <row r="5206" spans="1:12" x14ac:dyDescent="0.25">
      <c r="A5206" s="163"/>
      <c r="B5206" s="106"/>
      <c r="C5206" s="322" t="s">
        <v>2563</v>
      </c>
      <c r="D5206" s="73"/>
      <c r="E5206" s="73"/>
      <c r="F5206" s="74"/>
      <c r="G5206" s="72"/>
    </row>
    <row r="5207" spans="1:12" x14ac:dyDescent="0.25">
      <c r="A5207" s="163"/>
      <c r="B5207" s="106"/>
      <c r="C5207" s="73" t="s">
        <v>1813</v>
      </c>
      <c r="D5207" s="73"/>
      <c r="E5207" s="73"/>
      <c r="F5207" s="74" t="s">
        <v>3</v>
      </c>
      <c r="G5207" s="72">
        <f>0.025*0.025*0.5*8</f>
        <v>2.5000000000000005E-3</v>
      </c>
    </row>
    <row r="5208" spans="1:12" x14ac:dyDescent="0.25">
      <c r="A5208" s="163"/>
      <c r="B5208" s="106"/>
      <c r="C5208" s="73"/>
      <c r="D5208" s="73"/>
      <c r="E5208" s="73"/>
      <c r="F5208" s="74"/>
      <c r="G5208" s="72"/>
      <c r="H5208" s="15"/>
    </row>
    <row r="5209" spans="1:12" x14ac:dyDescent="0.25">
      <c r="A5209" s="163"/>
      <c r="B5209" s="106"/>
      <c r="C5209" s="76" t="s">
        <v>2564</v>
      </c>
      <c r="D5209" s="73"/>
      <c r="E5209" s="74"/>
      <c r="F5209" s="153"/>
      <c r="G5209" s="72"/>
    </row>
    <row r="5210" spans="1:12" x14ac:dyDescent="0.25">
      <c r="A5210" s="163"/>
      <c r="B5210" s="106"/>
      <c r="C5210" s="73" t="s">
        <v>287</v>
      </c>
      <c r="D5210" s="73"/>
      <c r="E5210" s="73"/>
      <c r="F5210" s="74" t="s">
        <v>3</v>
      </c>
      <c r="G5210" s="72">
        <f>0.885*0.545*1.2*8*1.0518</f>
        <v>4.8701705760000005</v>
      </c>
    </row>
    <row r="5211" spans="1:12" x14ac:dyDescent="0.25">
      <c r="A5211" s="163"/>
      <c r="B5211" s="106"/>
      <c r="C5211" s="73"/>
      <c r="D5211" s="73"/>
      <c r="E5211" s="73"/>
      <c r="F5211" s="74"/>
      <c r="G5211" s="72"/>
    </row>
    <row r="5212" spans="1:12" x14ac:dyDescent="0.25">
      <c r="A5212" s="163"/>
      <c r="B5212" s="106"/>
      <c r="C5212" s="75" t="s">
        <v>2565</v>
      </c>
      <c r="D5212" s="73"/>
      <c r="E5212" s="73"/>
      <c r="F5212" s="74"/>
      <c r="G5212" s="72"/>
    </row>
    <row r="5213" spans="1:12" x14ac:dyDescent="0.25">
      <c r="A5213" s="163"/>
      <c r="B5213" s="106"/>
      <c r="C5213" s="73" t="s">
        <v>1001</v>
      </c>
      <c r="D5213" s="73"/>
      <c r="E5213" s="73"/>
      <c r="F5213" s="74" t="s">
        <v>3</v>
      </c>
      <c r="G5213" s="72">
        <f>0.04*0.04*3*8*1.04</f>
        <v>3.9936000000000006E-2</v>
      </c>
    </row>
    <row r="5214" spans="1:12" x14ac:dyDescent="0.25">
      <c r="A5214" s="163"/>
      <c r="B5214" s="106"/>
      <c r="C5214" s="73"/>
      <c r="D5214" s="73"/>
      <c r="E5214" s="73"/>
      <c r="F5214" s="74"/>
      <c r="G5214" s="72"/>
    </row>
    <row r="5215" spans="1:12" x14ac:dyDescent="0.25">
      <c r="A5215" s="163"/>
      <c r="B5215" s="106"/>
      <c r="C5215" s="75" t="s">
        <v>2566</v>
      </c>
      <c r="D5215" s="73"/>
      <c r="E5215" s="73"/>
      <c r="F5215" s="74"/>
      <c r="G5215" s="72"/>
    </row>
    <row r="5216" spans="1:12" x14ac:dyDescent="0.25">
      <c r="A5216" s="163"/>
      <c r="B5216" s="106"/>
      <c r="C5216" s="73" t="s">
        <v>2567</v>
      </c>
      <c r="D5216" s="73"/>
      <c r="E5216" s="73"/>
      <c r="F5216" s="74" t="s">
        <v>3</v>
      </c>
      <c r="G5216" s="72">
        <f>0.07*0.055*3*8*1.08</f>
        <v>9.979200000000002E-2</v>
      </c>
    </row>
    <row r="5217" spans="1:7" x14ac:dyDescent="0.25">
      <c r="A5217" s="163"/>
      <c r="B5217" s="106"/>
      <c r="C5217" s="73" t="s">
        <v>8</v>
      </c>
      <c r="D5217" s="73"/>
      <c r="E5217" s="73"/>
      <c r="F5217" s="74" t="s">
        <v>3</v>
      </c>
      <c r="G5217" s="72">
        <f>G5219</f>
        <v>4.3680000000000012E-3</v>
      </c>
    </row>
    <row r="5218" spans="1:7" x14ac:dyDescent="0.25">
      <c r="A5218" s="163"/>
      <c r="B5218" s="106"/>
      <c r="C5218" s="73" t="s">
        <v>12</v>
      </c>
      <c r="D5218" s="73"/>
      <c r="E5218" s="73"/>
      <c r="F5218" s="74" t="s">
        <v>3</v>
      </c>
      <c r="G5218" s="72">
        <f>0.3*G5217</f>
        <v>1.3104000000000004E-3</v>
      </c>
    </row>
    <row r="5219" spans="1:7" x14ac:dyDescent="0.25">
      <c r="A5219" s="163"/>
      <c r="B5219" s="106"/>
      <c r="C5219" s="73" t="s">
        <v>72</v>
      </c>
      <c r="D5219" s="73"/>
      <c r="E5219" s="73"/>
      <c r="F5219" s="74" t="s">
        <v>3</v>
      </c>
      <c r="G5219" s="72">
        <f>0.07*0.08*2*0.15*2*1.3</f>
        <v>4.3680000000000012E-3</v>
      </c>
    </row>
    <row r="5220" spans="1:7" x14ac:dyDescent="0.25">
      <c r="A5220" s="163"/>
      <c r="B5220" s="106"/>
      <c r="C5220" s="73" t="s">
        <v>11</v>
      </c>
      <c r="D5220" s="73"/>
      <c r="E5220" s="73"/>
      <c r="F5220" s="74" t="s">
        <v>3</v>
      </c>
      <c r="G5220" s="72">
        <f>0.3*G5219</f>
        <v>1.3104000000000004E-3</v>
      </c>
    </row>
    <row r="5221" spans="1:7" x14ac:dyDescent="0.25">
      <c r="A5221" s="163"/>
      <c r="B5221" s="106"/>
      <c r="C5221" s="73"/>
      <c r="D5221" s="73"/>
      <c r="E5221" s="73"/>
      <c r="F5221" s="74"/>
      <c r="G5221" s="72"/>
    </row>
    <row r="5222" spans="1:7" x14ac:dyDescent="0.25">
      <c r="A5222" s="163"/>
      <c r="B5222" s="106"/>
      <c r="C5222" s="75" t="s">
        <v>2568</v>
      </c>
      <c r="D5222" s="73"/>
      <c r="E5222" s="73"/>
      <c r="F5222" s="74"/>
      <c r="G5222" s="72"/>
    </row>
    <row r="5223" spans="1:7" x14ac:dyDescent="0.25">
      <c r="A5223" s="163"/>
      <c r="B5223" s="106"/>
      <c r="C5223" s="73" t="s">
        <v>2569</v>
      </c>
      <c r="D5223" s="73"/>
      <c r="E5223" s="73"/>
      <c r="F5223" s="74" t="s">
        <v>3</v>
      </c>
      <c r="G5223" s="72">
        <f>0.107*0.023*1*8*1.1</f>
        <v>2.1656800000000004E-2</v>
      </c>
    </row>
    <row r="5224" spans="1:7" x14ac:dyDescent="0.25">
      <c r="A5224" s="163"/>
      <c r="B5224" s="106"/>
      <c r="C5224" s="73"/>
      <c r="D5224" s="73"/>
      <c r="E5224" s="73"/>
      <c r="F5224" s="74"/>
      <c r="G5224" s="72"/>
    </row>
    <row r="5225" spans="1:7" x14ac:dyDescent="0.25">
      <c r="A5225" s="163"/>
      <c r="B5225" s="106"/>
      <c r="C5225" s="75" t="s">
        <v>2570</v>
      </c>
      <c r="D5225" s="73"/>
      <c r="E5225" s="73"/>
      <c r="F5225" s="74"/>
      <c r="G5225" s="72"/>
    </row>
    <row r="5226" spans="1:7" x14ac:dyDescent="0.25">
      <c r="A5226" s="163"/>
      <c r="B5226" s="106"/>
      <c r="C5226" s="73" t="s">
        <v>2571</v>
      </c>
      <c r="D5226" s="73"/>
      <c r="E5226" s="73"/>
      <c r="F5226" s="74" t="s">
        <v>3</v>
      </c>
      <c r="G5226" s="72">
        <f>0.107*0.023*0.5*8*1.1</f>
        <v>1.0828400000000002E-2</v>
      </c>
    </row>
    <row r="5227" spans="1:7" x14ac:dyDescent="0.25">
      <c r="A5227" s="163"/>
      <c r="B5227" s="106"/>
      <c r="C5227" s="73"/>
      <c r="D5227" s="73"/>
      <c r="E5227" s="73"/>
      <c r="F5227" s="74"/>
      <c r="G5227" s="148"/>
    </row>
    <row r="5228" spans="1:7" x14ac:dyDescent="0.25">
      <c r="A5228" s="163"/>
      <c r="B5228" s="106"/>
      <c r="C5228" s="75" t="s">
        <v>2572</v>
      </c>
      <c r="D5228" s="73"/>
      <c r="E5228" s="73"/>
      <c r="F5228" s="74"/>
      <c r="G5228" s="72"/>
    </row>
    <row r="5229" spans="1:7" x14ac:dyDescent="0.25">
      <c r="A5229" s="163"/>
      <c r="B5229" s="106"/>
      <c r="C5229" s="73" t="s">
        <v>1688</v>
      </c>
      <c r="D5229" s="73"/>
      <c r="E5229" s="73"/>
      <c r="F5229" s="74" t="s">
        <v>3</v>
      </c>
      <c r="G5229" s="72">
        <f>0.12*0.022*2*8*1.12</f>
        <v>4.7308799999999998E-2</v>
      </c>
    </row>
    <row r="5230" spans="1:7" x14ac:dyDescent="0.25">
      <c r="A5230" s="163"/>
      <c r="B5230" s="106"/>
      <c r="C5230" s="73"/>
      <c r="D5230" s="73"/>
      <c r="E5230" s="73"/>
      <c r="F5230" s="74"/>
      <c r="G5230" s="72"/>
    </row>
    <row r="5231" spans="1:7" x14ac:dyDescent="0.25">
      <c r="A5231" s="163"/>
      <c r="B5231" s="106"/>
      <c r="C5231" s="75" t="s">
        <v>848</v>
      </c>
      <c r="D5231" s="73"/>
      <c r="E5231" s="73"/>
      <c r="F5231" s="74"/>
      <c r="G5231" s="72"/>
    </row>
    <row r="5232" spans="1:7" x14ac:dyDescent="0.25">
      <c r="A5232" s="163"/>
      <c r="B5232" s="106"/>
      <c r="C5232" s="73" t="s">
        <v>150</v>
      </c>
      <c r="D5232" s="73"/>
      <c r="E5232" s="73"/>
      <c r="F5232" s="74" t="s">
        <v>3</v>
      </c>
      <c r="G5232" s="72">
        <f>0.04*0.022*2*8*1.12</f>
        <v>1.5769600000000002E-2</v>
      </c>
    </row>
    <row r="5233" spans="1:8" x14ac:dyDescent="0.25">
      <c r="A5233" s="163"/>
      <c r="B5233" s="106"/>
      <c r="C5233" s="73"/>
      <c r="D5233" s="73"/>
      <c r="E5233" s="73"/>
      <c r="F5233" s="74"/>
      <c r="G5233" s="72"/>
    </row>
    <row r="5234" spans="1:8" x14ac:dyDescent="0.25">
      <c r="A5234" s="163"/>
      <c r="B5234" s="106"/>
      <c r="C5234" s="75" t="s">
        <v>2573</v>
      </c>
      <c r="D5234" s="73"/>
      <c r="E5234" s="73"/>
      <c r="F5234" s="74"/>
      <c r="G5234" s="72"/>
    </row>
    <row r="5235" spans="1:8" x14ac:dyDescent="0.25">
      <c r="A5235" s="163"/>
      <c r="B5235" s="106"/>
      <c r="C5235" s="73" t="s">
        <v>1143</v>
      </c>
      <c r="D5235" s="73"/>
      <c r="E5235" s="73"/>
      <c r="F5235" s="74" t="s">
        <v>3</v>
      </c>
      <c r="G5235" s="72">
        <f>0.175*0.05*3*8*1.095</f>
        <v>0.22994999999999996</v>
      </c>
    </row>
    <row r="5236" spans="1:8" x14ac:dyDescent="0.25">
      <c r="A5236" s="163"/>
      <c r="B5236" s="106"/>
      <c r="C5236" s="73"/>
      <c r="D5236" s="73"/>
      <c r="E5236" s="73"/>
      <c r="F5236" s="74"/>
      <c r="G5236" s="72"/>
    </row>
    <row r="5237" spans="1:8" x14ac:dyDescent="0.25">
      <c r="A5237" s="163"/>
      <c r="B5237" s="106"/>
      <c r="C5237" s="75" t="s">
        <v>2574</v>
      </c>
      <c r="D5237" s="73"/>
      <c r="E5237" s="73"/>
      <c r="F5237" s="74"/>
      <c r="G5237" s="72"/>
    </row>
    <row r="5238" spans="1:8" x14ac:dyDescent="0.25">
      <c r="A5238" s="163"/>
      <c r="B5238" s="106"/>
      <c r="C5238" s="73" t="s">
        <v>1119</v>
      </c>
      <c r="D5238" s="73"/>
      <c r="E5238" s="73"/>
      <c r="F5238" s="74" t="s">
        <v>3</v>
      </c>
      <c r="G5238" s="72">
        <f>0.016*1.2</f>
        <v>1.9199999999999998E-2</v>
      </c>
    </row>
    <row r="5239" spans="1:8" x14ac:dyDescent="0.25">
      <c r="A5239" s="163"/>
      <c r="B5239" s="106"/>
      <c r="C5239" s="73"/>
      <c r="D5239" s="73"/>
      <c r="E5239" s="73"/>
      <c r="F5239" s="74"/>
      <c r="G5239" s="72"/>
    </row>
    <row r="5240" spans="1:8" x14ac:dyDescent="0.25">
      <c r="A5240" s="163"/>
      <c r="B5240" s="106"/>
      <c r="C5240" s="75" t="s">
        <v>2575</v>
      </c>
      <c r="D5240" s="73"/>
      <c r="E5240" s="73"/>
      <c r="F5240" s="74"/>
      <c r="G5240" s="72"/>
    </row>
    <row r="5241" spans="1:8" x14ac:dyDescent="0.25">
      <c r="A5241" s="163"/>
      <c r="B5241" s="106"/>
      <c r="C5241" s="73" t="s">
        <v>1119</v>
      </c>
      <c r="D5241" s="73"/>
      <c r="E5241" s="73"/>
      <c r="F5241" s="74" t="s">
        <v>3</v>
      </c>
      <c r="G5241" s="72">
        <f>0.018*1.2</f>
        <v>2.1599999999999998E-2</v>
      </c>
    </row>
    <row r="5242" spans="1:8" x14ac:dyDescent="0.25">
      <c r="A5242" s="163"/>
      <c r="B5242" s="106"/>
      <c r="C5242" s="73"/>
      <c r="D5242" s="73"/>
      <c r="E5242" s="73"/>
      <c r="F5242" s="74"/>
      <c r="G5242" s="72"/>
    </row>
    <row r="5243" spans="1:8" x14ac:dyDescent="0.25">
      <c r="A5243" s="163"/>
      <c r="B5243" s="106"/>
      <c r="C5243" s="75" t="s">
        <v>2579</v>
      </c>
      <c r="D5243" s="73"/>
      <c r="E5243" s="73"/>
      <c r="F5243" s="74"/>
      <c r="G5243" s="72"/>
    </row>
    <row r="5244" spans="1:8" x14ac:dyDescent="0.25">
      <c r="A5244" s="163"/>
      <c r="B5244" s="106"/>
      <c r="C5244" s="73" t="s">
        <v>275</v>
      </c>
      <c r="D5244" s="73"/>
      <c r="E5244" s="73"/>
      <c r="F5244" s="74" t="s">
        <v>3</v>
      </c>
      <c r="G5244" s="72">
        <f>0.06*0.05*1.5*8*1.05</f>
        <v>3.7800000000000007E-2</v>
      </c>
      <c r="H5244" s="10"/>
    </row>
    <row r="5245" spans="1:8" x14ac:dyDescent="0.25">
      <c r="A5245" s="163"/>
      <c r="B5245" s="106"/>
      <c r="C5245" s="73"/>
      <c r="D5245" s="73"/>
      <c r="E5245" s="73"/>
      <c r="F5245" s="74"/>
      <c r="G5245" s="72"/>
    </row>
    <row r="5246" spans="1:8" x14ac:dyDescent="0.25">
      <c r="A5246" s="163"/>
      <c r="B5246" s="106"/>
      <c r="C5246" s="75" t="s">
        <v>2492</v>
      </c>
      <c r="D5246" s="73"/>
      <c r="E5246" s="77"/>
      <c r="F5246" s="74"/>
      <c r="G5246" s="72"/>
      <c r="H5246" s="10"/>
    </row>
    <row r="5247" spans="1:8" x14ac:dyDescent="0.25">
      <c r="A5247" s="163"/>
      <c r="B5247" s="106"/>
      <c r="C5247" s="73" t="s">
        <v>412</v>
      </c>
      <c r="D5247" s="73"/>
      <c r="E5247" s="77"/>
      <c r="F5247" s="74" t="s">
        <v>3</v>
      </c>
      <c r="G5247" s="72">
        <f>0.019*1.2</f>
        <v>2.2799999999999997E-2</v>
      </c>
    </row>
    <row r="5248" spans="1:8" x14ac:dyDescent="0.25">
      <c r="A5248" s="163"/>
      <c r="B5248" s="106"/>
      <c r="C5248" s="73"/>
      <c r="D5248" s="73"/>
      <c r="E5248" s="73"/>
      <c r="F5248" s="74"/>
      <c r="G5248" s="72"/>
      <c r="H5248" s="2"/>
    </row>
    <row r="5249" spans="1:9" x14ac:dyDescent="0.25">
      <c r="A5249" s="163"/>
      <c r="B5249" s="106"/>
      <c r="C5249" s="75" t="s">
        <v>2414</v>
      </c>
      <c r="D5249" s="73"/>
      <c r="E5249" s="73"/>
      <c r="F5249" s="74"/>
      <c r="G5249" s="72"/>
    </row>
    <row r="5250" spans="1:9" x14ac:dyDescent="0.25">
      <c r="A5250" s="163"/>
      <c r="B5250" s="106"/>
      <c r="C5250" s="73" t="s">
        <v>177</v>
      </c>
      <c r="D5250" s="73"/>
      <c r="E5250" s="73"/>
      <c r="F5250" s="74" t="s">
        <v>3</v>
      </c>
      <c r="G5250" s="72">
        <f>0.011*1.2</f>
        <v>1.3199999999999998E-2</v>
      </c>
    </row>
    <row r="5251" spans="1:9" x14ac:dyDescent="0.25">
      <c r="A5251" s="163"/>
      <c r="B5251" s="106"/>
      <c r="C5251" s="73"/>
      <c r="D5251" s="73"/>
      <c r="E5251" s="73"/>
      <c r="F5251" s="74"/>
      <c r="G5251" s="72"/>
    </row>
    <row r="5252" spans="1:9" x14ac:dyDescent="0.25">
      <c r="A5252" s="163"/>
      <c r="B5252" s="106"/>
      <c r="C5252" s="75" t="s">
        <v>2580</v>
      </c>
      <c r="D5252" s="73"/>
      <c r="E5252" s="73"/>
      <c r="F5252" s="74"/>
      <c r="G5252" s="72"/>
      <c r="H5252" s="311"/>
      <c r="I5252" s="13"/>
    </row>
    <row r="5253" spans="1:9" x14ac:dyDescent="0.25">
      <c r="A5253" s="163"/>
      <c r="B5253" s="106"/>
      <c r="C5253" s="73" t="s">
        <v>2581</v>
      </c>
      <c r="D5253" s="73"/>
      <c r="E5253" s="73"/>
      <c r="F5253" s="74" t="s">
        <v>3</v>
      </c>
      <c r="G5253" s="72">
        <f>0.022*0.022*1.6*8</f>
        <v>6.1951999999999997E-3</v>
      </c>
    </row>
    <row r="5254" spans="1:9" x14ac:dyDescent="0.25">
      <c r="A5254" s="163"/>
      <c r="B5254" s="106"/>
      <c r="C5254" s="73"/>
      <c r="D5254" s="73"/>
      <c r="E5254" s="73"/>
      <c r="F5254" s="74"/>
      <c r="G5254" s="72"/>
    </row>
    <row r="5255" spans="1:9" x14ac:dyDescent="0.25">
      <c r="A5255" s="163"/>
      <c r="B5255" s="106"/>
      <c r="C5255" s="75" t="s">
        <v>2582</v>
      </c>
      <c r="D5255" s="73"/>
      <c r="E5255" s="73"/>
      <c r="F5255" s="74"/>
      <c r="G5255" s="72"/>
    </row>
    <row r="5256" spans="1:9" x14ac:dyDescent="0.25">
      <c r="A5256" s="163"/>
      <c r="B5256" s="106"/>
      <c r="C5256" s="73" t="s">
        <v>433</v>
      </c>
      <c r="D5256" s="73"/>
      <c r="E5256" s="73"/>
      <c r="F5256" s="74" t="s">
        <v>3</v>
      </c>
      <c r="G5256" s="72">
        <f>0.05*0.05*2*2.7*1.12</f>
        <v>1.5120000000000005E-2</v>
      </c>
    </row>
    <row r="5257" spans="1:9" x14ac:dyDescent="0.25">
      <c r="A5257" s="163"/>
      <c r="B5257" s="106"/>
      <c r="C5257" s="73"/>
      <c r="D5257" s="73"/>
      <c r="E5257" s="73"/>
      <c r="F5257" s="74"/>
      <c r="G5257" s="72"/>
    </row>
    <row r="5258" spans="1:9" x14ac:dyDescent="0.25">
      <c r="A5258" s="163"/>
      <c r="B5258" s="106"/>
      <c r="C5258" s="75" t="s">
        <v>2583</v>
      </c>
      <c r="D5258" s="73"/>
      <c r="E5258" s="73"/>
      <c r="F5258" s="74"/>
      <c r="G5258" s="72"/>
    </row>
    <row r="5259" spans="1:9" x14ac:dyDescent="0.25">
      <c r="A5259" s="163"/>
      <c r="B5259" s="106"/>
      <c r="C5259" s="73" t="s">
        <v>2584</v>
      </c>
      <c r="D5259" s="73"/>
      <c r="E5259" s="73"/>
      <c r="F5259" s="74" t="s">
        <v>3</v>
      </c>
      <c r="G5259" s="72">
        <f>0.025*0.025*1.5*8.5*1.1</f>
        <v>8.7656250000000026E-3</v>
      </c>
    </row>
    <row r="5260" spans="1:9" x14ac:dyDescent="0.25">
      <c r="A5260" s="163"/>
      <c r="B5260" s="106"/>
      <c r="C5260" s="73"/>
      <c r="D5260" s="73"/>
      <c r="E5260" s="73"/>
      <c r="F5260" s="74"/>
      <c r="G5260" s="72"/>
    </row>
    <row r="5261" spans="1:9" x14ac:dyDescent="0.25">
      <c r="A5261" s="163"/>
      <c r="B5261" s="106"/>
      <c r="C5261" s="75" t="s">
        <v>2586</v>
      </c>
      <c r="D5261" s="75"/>
      <c r="E5261" s="73"/>
      <c r="F5261" s="74"/>
      <c r="G5261" s="72"/>
    </row>
    <row r="5262" spans="1:9" x14ac:dyDescent="0.25">
      <c r="A5262" s="163"/>
      <c r="B5262" s="106"/>
      <c r="C5262" s="73" t="s">
        <v>54</v>
      </c>
      <c r="D5262" s="75"/>
      <c r="E5262" s="73"/>
      <c r="F5262" s="74" t="s">
        <v>3</v>
      </c>
      <c r="G5262" s="72">
        <f>0.025*0.025*4*8</f>
        <v>2.0000000000000004E-2</v>
      </c>
    </row>
    <row r="5263" spans="1:9" x14ac:dyDescent="0.25">
      <c r="A5263" s="163"/>
      <c r="B5263" s="106"/>
      <c r="C5263" s="73"/>
      <c r="D5263" s="73"/>
      <c r="E5263" s="73"/>
      <c r="F5263" s="74"/>
      <c r="G5263" s="72"/>
    </row>
    <row r="5264" spans="1:9" x14ac:dyDescent="0.25">
      <c r="A5264" s="163"/>
      <c r="B5264" s="106"/>
      <c r="C5264" s="75" t="s">
        <v>2585</v>
      </c>
      <c r="D5264" s="73"/>
      <c r="E5264" s="73"/>
      <c r="F5264" s="74"/>
      <c r="G5264" s="72"/>
    </row>
    <row r="5265" spans="1:11" x14ac:dyDescent="0.25">
      <c r="A5265" s="163"/>
      <c r="B5265" s="106"/>
      <c r="C5265" s="73" t="s">
        <v>54</v>
      </c>
      <c r="D5265" s="73"/>
      <c r="E5265" s="73"/>
      <c r="F5265" s="74" t="s">
        <v>3</v>
      </c>
      <c r="G5265" s="72">
        <f>0.03*0.031*4*8</f>
        <v>2.9759999999999998E-2</v>
      </c>
    </row>
    <row r="5266" spans="1:11" x14ac:dyDescent="0.25">
      <c r="A5266" s="163"/>
      <c r="B5266" s="106"/>
      <c r="C5266" s="73"/>
      <c r="D5266" s="73"/>
      <c r="E5266" s="73"/>
      <c r="F5266" s="74"/>
      <c r="G5266" s="72"/>
    </row>
    <row r="5267" spans="1:11" x14ac:dyDescent="0.25">
      <c r="A5267" s="163"/>
      <c r="B5267" s="106"/>
      <c r="C5267" s="75" t="s">
        <v>2541</v>
      </c>
      <c r="D5267" s="73"/>
      <c r="E5267" s="73"/>
      <c r="F5267" s="74"/>
      <c r="G5267" s="72"/>
    </row>
    <row r="5268" spans="1:11" x14ac:dyDescent="0.25">
      <c r="A5268" s="163"/>
      <c r="B5268" s="106"/>
      <c r="C5268" s="73" t="s">
        <v>2588</v>
      </c>
      <c r="D5268" s="73"/>
      <c r="E5268" s="73"/>
      <c r="F5268" s="74" t="s">
        <v>3</v>
      </c>
      <c r="G5268" s="72">
        <f>0.025*0.025*2*8</f>
        <v>1.0000000000000002E-2</v>
      </c>
      <c r="K5268" s="313"/>
    </row>
    <row r="5269" spans="1:11" x14ac:dyDescent="0.25">
      <c r="A5269" s="163"/>
      <c r="B5269" s="106"/>
      <c r="C5269" s="73"/>
      <c r="D5269" s="73"/>
      <c r="E5269" s="73"/>
      <c r="F5269" s="74"/>
      <c r="G5269" s="72"/>
      <c r="K5269" s="313"/>
    </row>
    <row r="5270" spans="1:11" x14ac:dyDescent="0.25">
      <c r="A5270" s="163"/>
      <c r="B5270" s="106"/>
      <c r="C5270" s="75" t="s">
        <v>2542</v>
      </c>
      <c r="D5270" s="73"/>
      <c r="E5270" s="73"/>
      <c r="F5270" s="74"/>
      <c r="G5270" s="72"/>
    </row>
    <row r="5271" spans="1:11" x14ac:dyDescent="0.25">
      <c r="A5271" s="163"/>
      <c r="B5271" s="106"/>
      <c r="C5271" s="73" t="s">
        <v>2589</v>
      </c>
      <c r="D5271" s="73"/>
      <c r="E5271" s="73"/>
      <c r="F5271" s="74" t="s">
        <v>3</v>
      </c>
      <c r="G5271" s="72">
        <f>0.035*0.035*0.5*8</f>
        <v>4.9000000000000007E-3</v>
      </c>
      <c r="K5271" s="313"/>
    </row>
    <row r="5272" spans="1:11" x14ac:dyDescent="0.25">
      <c r="A5272" s="163"/>
      <c r="B5272" s="106"/>
      <c r="C5272" s="73"/>
      <c r="D5272" s="73"/>
      <c r="E5272" s="73"/>
      <c r="F5272" s="74"/>
      <c r="G5272" s="72"/>
      <c r="K5272" s="313"/>
    </row>
    <row r="5273" spans="1:11" x14ac:dyDescent="0.25">
      <c r="A5273" s="163"/>
      <c r="B5273" s="106"/>
      <c r="C5273" s="75" t="s">
        <v>2587</v>
      </c>
      <c r="D5273" s="73"/>
      <c r="E5273" s="73"/>
      <c r="F5273" s="74"/>
      <c r="G5273" s="72"/>
    </row>
    <row r="5274" spans="1:11" x14ac:dyDescent="0.25">
      <c r="A5274" s="163"/>
      <c r="B5274" s="106"/>
      <c r="C5274" s="73" t="s">
        <v>2589</v>
      </c>
      <c r="D5274" s="73"/>
      <c r="E5274" s="73"/>
      <c r="F5274" s="74" t="s">
        <v>3</v>
      </c>
      <c r="G5274" s="72">
        <f>0.035*0.035*0.5*8</f>
        <v>4.9000000000000007E-3</v>
      </c>
      <c r="K5274" s="313"/>
    </row>
    <row r="5275" spans="1:11" x14ac:dyDescent="0.25">
      <c r="A5275" s="163"/>
      <c r="B5275" s="106"/>
      <c r="C5275" s="73"/>
      <c r="D5275" s="73"/>
      <c r="E5275" s="73"/>
      <c r="F5275" s="74"/>
      <c r="G5275" s="72"/>
      <c r="K5275" s="313"/>
    </row>
    <row r="5276" spans="1:11" x14ac:dyDescent="0.25">
      <c r="A5276" s="163"/>
      <c r="B5276" s="106"/>
      <c r="C5276" s="75" t="s">
        <v>2595</v>
      </c>
      <c r="D5276" s="73"/>
      <c r="E5276" s="73"/>
      <c r="F5276" s="74"/>
      <c r="G5276" s="72"/>
    </row>
    <row r="5277" spans="1:11" x14ac:dyDescent="0.25">
      <c r="A5277" s="163"/>
      <c r="B5277" s="106"/>
      <c r="C5277" s="73" t="s">
        <v>1858</v>
      </c>
      <c r="D5277" s="73"/>
      <c r="E5277" s="73"/>
      <c r="F5277" s="74" t="s">
        <v>3</v>
      </c>
      <c r="G5277" s="72">
        <f>0.045*0.048*1.5*8/2*1.12</f>
        <v>1.4515200000000001E-2</v>
      </c>
      <c r="K5277" s="313"/>
    </row>
    <row r="5278" spans="1:11" x14ac:dyDescent="0.25">
      <c r="A5278" s="163"/>
      <c r="B5278" s="106"/>
      <c r="C5278" s="73"/>
      <c r="D5278" s="73"/>
      <c r="E5278" s="73"/>
      <c r="F5278" s="74"/>
      <c r="G5278" s="72"/>
      <c r="K5278" s="313"/>
    </row>
    <row r="5279" spans="1:11" x14ac:dyDescent="0.25">
      <c r="A5279" s="163"/>
      <c r="B5279" s="106"/>
      <c r="C5279" s="75" t="s">
        <v>2594</v>
      </c>
      <c r="D5279" s="73"/>
      <c r="E5279" s="73"/>
      <c r="F5279" s="74"/>
      <c r="G5279" s="72"/>
    </row>
    <row r="5280" spans="1:11" x14ac:dyDescent="0.25">
      <c r="A5280" s="163"/>
      <c r="B5280" s="106"/>
      <c r="C5280" s="73" t="s">
        <v>1858</v>
      </c>
      <c r="D5280" s="73"/>
      <c r="E5280" s="73"/>
      <c r="F5280" s="74" t="s">
        <v>3</v>
      </c>
      <c r="G5280" s="72">
        <f>0.108*0.041*1.5*8/2*1.12</f>
        <v>2.9756160000000004E-2</v>
      </c>
      <c r="K5280" s="313"/>
    </row>
    <row r="5281" spans="1:11" x14ac:dyDescent="0.25">
      <c r="A5281" s="163"/>
      <c r="B5281" s="106"/>
      <c r="C5281" s="73"/>
      <c r="D5281" s="73"/>
      <c r="E5281" s="73"/>
      <c r="F5281" s="74"/>
      <c r="G5281" s="72"/>
      <c r="K5281" s="313"/>
    </row>
    <row r="5282" spans="1:11" x14ac:dyDescent="0.25">
      <c r="A5282" s="163"/>
      <c r="B5282" s="106"/>
      <c r="C5282" s="75" t="s">
        <v>2596</v>
      </c>
      <c r="D5282" s="73"/>
      <c r="E5282" s="73"/>
      <c r="F5282" s="74"/>
      <c r="G5282" s="72"/>
    </row>
    <row r="5283" spans="1:11" x14ac:dyDescent="0.25">
      <c r="A5283" s="163"/>
      <c r="B5283" s="106"/>
      <c r="C5283" s="73" t="s">
        <v>140</v>
      </c>
      <c r="D5283" s="73"/>
      <c r="E5283" s="73"/>
      <c r="F5283" s="74" t="s">
        <v>3</v>
      </c>
      <c r="G5283" s="72">
        <f>0.032*3*0.08*1.15</f>
        <v>8.8319999999999996E-3</v>
      </c>
      <c r="K5283" s="313"/>
    </row>
    <row r="5284" spans="1:11" ht="17.25" x14ac:dyDescent="0.25">
      <c r="A5284" s="163"/>
      <c r="B5284" s="106"/>
      <c r="C5284" s="73" t="s">
        <v>23</v>
      </c>
      <c r="D5284" s="73"/>
      <c r="E5284" s="73"/>
      <c r="F5284" s="74" t="s">
        <v>596</v>
      </c>
      <c r="G5284" s="72">
        <f>G5283*1.5</f>
        <v>1.3247999999999999E-2</v>
      </c>
    </row>
    <row r="5285" spans="1:11" x14ac:dyDescent="0.25">
      <c r="A5285" s="163"/>
      <c r="B5285" s="106"/>
      <c r="C5285" s="73" t="s">
        <v>142</v>
      </c>
      <c r="D5285" s="73"/>
      <c r="E5285" s="73"/>
      <c r="F5285" s="74" t="s">
        <v>3</v>
      </c>
      <c r="G5285" s="72">
        <f>G5283/4</f>
        <v>2.2079999999999999E-3</v>
      </c>
    </row>
    <row r="5286" spans="1:11" x14ac:dyDescent="0.25">
      <c r="A5286" s="163"/>
      <c r="B5286" s="106"/>
      <c r="C5286" s="77" t="s">
        <v>114</v>
      </c>
      <c r="D5286" s="73"/>
      <c r="E5286" s="73"/>
      <c r="F5286" s="74" t="s">
        <v>3</v>
      </c>
      <c r="G5286" s="72">
        <f>G5288*0.8</f>
        <v>8.0960000000000008E-3</v>
      </c>
    </row>
    <row r="5287" spans="1:11" x14ac:dyDescent="0.25">
      <c r="A5287" s="163"/>
      <c r="B5287" s="106"/>
      <c r="C5287" s="77" t="s">
        <v>164</v>
      </c>
      <c r="D5287" s="73"/>
      <c r="E5287" s="73"/>
      <c r="F5287" s="74" t="s">
        <v>3</v>
      </c>
      <c r="G5287" s="72">
        <f>0.3*G5286</f>
        <v>2.4288000000000001E-3</v>
      </c>
      <c r="K5287" s="313"/>
    </row>
    <row r="5288" spans="1:11" x14ac:dyDescent="0.25">
      <c r="A5288" s="163"/>
      <c r="B5288" s="106"/>
      <c r="C5288" s="77" t="s">
        <v>649</v>
      </c>
      <c r="D5288" s="73"/>
      <c r="E5288" s="73"/>
      <c r="F5288" s="74" t="s">
        <v>3</v>
      </c>
      <c r="G5288" s="72">
        <f>0.4*0.011*2*1.15</f>
        <v>1.0120000000000001E-2</v>
      </c>
    </row>
    <row r="5289" spans="1:11" x14ac:dyDescent="0.25">
      <c r="A5289" s="163"/>
      <c r="B5289" s="106"/>
      <c r="C5289" s="77" t="s">
        <v>325</v>
      </c>
      <c r="D5289" s="73"/>
      <c r="E5289" s="73"/>
      <c r="F5289" s="74" t="s">
        <v>3</v>
      </c>
      <c r="G5289" s="72">
        <v>1E-3</v>
      </c>
    </row>
    <row r="5290" spans="1:11" x14ac:dyDescent="0.25">
      <c r="A5290" s="163"/>
      <c r="B5290" s="106"/>
      <c r="C5290" s="77" t="s">
        <v>12</v>
      </c>
      <c r="D5290" s="73"/>
      <c r="E5290" s="73"/>
      <c r="F5290" s="74" t="s">
        <v>3</v>
      </c>
      <c r="G5290" s="72">
        <f>0.3*(G5289+G5288)</f>
        <v>3.3360000000000004E-3</v>
      </c>
    </row>
    <row r="5291" spans="1:11" x14ac:dyDescent="0.25">
      <c r="A5291" s="163"/>
      <c r="B5291" s="106"/>
      <c r="C5291" s="77" t="s">
        <v>2599</v>
      </c>
      <c r="D5291" s="73"/>
      <c r="E5291" s="73"/>
      <c r="F5291" s="74" t="s">
        <v>3</v>
      </c>
      <c r="G5291" s="72">
        <f>0.0013*1.2</f>
        <v>1.56E-3</v>
      </c>
      <c r="I5291" t="s">
        <v>2600</v>
      </c>
      <c r="K5291" s="313"/>
    </row>
    <row r="5292" spans="1:11" x14ac:dyDescent="0.25">
      <c r="A5292" s="163"/>
      <c r="B5292" s="106"/>
      <c r="C5292" s="73"/>
      <c r="D5292" s="75" t="s">
        <v>2597</v>
      </c>
      <c r="E5292" s="73"/>
      <c r="F5292" s="74"/>
      <c r="G5292" s="72"/>
    </row>
    <row r="5293" spans="1:11" x14ac:dyDescent="0.25">
      <c r="A5293" s="163"/>
      <c r="B5293" s="106"/>
      <c r="C5293" s="73"/>
      <c r="D5293" s="73" t="s">
        <v>2265</v>
      </c>
      <c r="E5293" s="73"/>
      <c r="F5293" s="74" t="s">
        <v>3</v>
      </c>
      <c r="G5293" s="72">
        <v>2.5000000000000001E-2</v>
      </c>
      <c r="I5293" t="s">
        <v>2463</v>
      </c>
    </row>
    <row r="5294" spans="1:11" x14ac:dyDescent="0.25">
      <c r="A5294" s="163"/>
      <c r="B5294" s="106"/>
      <c r="C5294" s="73"/>
      <c r="D5294" s="75" t="s">
        <v>2598</v>
      </c>
      <c r="E5294" s="73"/>
      <c r="F5294" s="74"/>
      <c r="G5294" s="72"/>
    </row>
    <row r="5295" spans="1:11" x14ac:dyDescent="0.25">
      <c r="A5295" s="163"/>
      <c r="B5295" s="106"/>
      <c r="C5295" s="73"/>
      <c r="D5295" s="73" t="s">
        <v>2265</v>
      </c>
      <c r="E5295" s="73"/>
      <c r="F5295" s="74" t="s">
        <v>3</v>
      </c>
      <c r="G5295" s="72">
        <v>9.0999999999999998E-2</v>
      </c>
      <c r="I5295" t="s">
        <v>2601</v>
      </c>
    </row>
    <row r="5296" spans="1:11" x14ac:dyDescent="0.25">
      <c r="A5296" s="163"/>
      <c r="B5296" s="106"/>
      <c r="C5296" s="73"/>
      <c r="D5296" s="73"/>
      <c r="E5296" s="73"/>
      <c r="F5296" s="74"/>
      <c r="G5296" s="72"/>
    </row>
    <row r="5297" spans="1:11" x14ac:dyDescent="0.25">
      <c r="A5297" s="163"/>
      <c r="B5297" s="106"/>
      <c r="C5297" s="75" t="s">
        <v>2602</v>
      </c>
      <c r="D5297" s="73"/>
      <c r="E5297" s="73"/>
      <c r="F5297" s="74"/>
      <c r="G5297" s="72"/>
    </row>
    <row r="5298" spans="1:11" x14ac:dyDescent="0.25">
      <c r="A5298" s="163"/>
      <c r="B5298" s="106"/>
      <c r="C5298" s="73" t="s">
        <v>140</v>
      </c>
      <c r="D5298" s="73"/>
      <c r="E5298" s="73"/>
      <c r="F5298" s="74" t="s">
        <v>3</v>
      </c>
      <c r="G5298" s="72">
        <f>0.008*3.14*6*0.08*1.25</f>
        <v>1.5072E-2</v>
      </c>
    </row>
    <row r="5299" spans="1:11" ht="17.25" x14ac:dyDescent="0.25">
      <c r="A5299" s="163"/>
      <c r="B5299" s="106"/>
      <c r="C5299" s="73" t="s">
        <v>23</v>
      </c>
      <c r="D5299" s="73"/>
      <c r="E5299" s="73"/>
      <c r="F5299" s="74" t="s">
        <v>596</v>
      </c>
      <c r="G5299" s="72">
        <f>G5298*1.5</f>
        <v>2.2608E-2</v>
      </c>
    </row>
    <row r="5300" spans="1:11" x14ac:dyDescent="0.25">
      <c r="A5300" s="163"/>
      <c r="B5300" s="106"/>
      <c r="C5300" s="73" t="s">
        <v>142</v>
      </c>
      <c r="D5300" s="73"/>
      <c r="E5300" s="73"/>
      <c r="F5300" s="74" t="s">
        <v>3</v>
      </c>
      <c r="G5300" s="72">
        <f>G5298/4</f>
        <v>3.7680000000000001E-3</v>
      </c>
    </row>
    <row r="5301" spans="1:11" x14ac:dyDescent="0.25">
      <c r="A5301" s="163"/>
      <c r="B5301" s="106"/>
      <c r="C5301" s="77" t="s">
        <v>152</v>
      </c>
      <c r="D5301" s="73"/>
      <c r="E5301" s="73"/>
      <c r="F5301" s="74" t="s">
        <v>3</v>
      </c>
      <c r="G5301" s="72">
        <f>1.7*0.011*2*1.2</f>
        <v>4.4879999999999996E-2</v>
      </c>
      <c r="K5301" s="313"/>
    </row>
    <row r="5302" spans="1:11" x14ac:dyDescent="0.25">
      <c r="A5302" s="163"/>
      <c r="B5302" s="106"/>
      <c r="C5302" s="77" t="s">
        <v>8</v>
      </c>
      <c r="D5302" s="73"/>
      <c r="E5302" s="73"/>
      <c r="F5302" s="74" t="s">
        <v>3</v>
      </c>
      <c r="G5302" s="72">
        <f>0.8*G5301</f>
        <v>3.5903999999999998E-2</v>
      </c>
      <c r="K5302" s="313"/>
    </row>
    <row r="5303" spans="1:11" x14ac:dyDescent="0.25">
      <c r="A5303" s="163"/>
      <c r="B5303" s="106"/>
      <c r="C5303" s="77" t="s">
        <v>12</v>
      </c>
      <c r="D5303" s="73"/>
      <c r="E5303" s="73"/>
      <c r="F5303" s="74" t="s">
        <v>3</v>
      </c>
      <c r="G5303" s="72">
        <f>0.3*(G5302+G5301)</f>
        <v>2.4235199999999998E-2</v>
      </c>
      <c r="K5303" s="313"/>
    </row>
    <row r="5304" spans="1:11" x14ac:dyDescent="0.25">
      <c r="A5304" s="163"/>
      <c r="B5304" s="106"/>
      <c r="C5304" s="73"/>
      <c r="D5304" s="75" t="s">
        <v>2603</v>
      </c>
      <c r="E5304" s="73"/>
      <c r="F5304" s="74"/>
      <c r="G5304" s="72"/>
    </row>
    <row r="5305" spans="1:11" x14ac:dyDescent="0.25">
      <c r="A5305" s="163"/>
      <c r="B5305" s="106"/>
      <c r="C5305" s="73"/>
      <c r="D5305" s="73" t="s">
        <v>2609</v>
      </c>
      <c r="E5305" s="73"/>
      <c r="F5305" s="74" t="s">
        <v>3</v>
      </c>
      <c r="G5305" s="72">
        <v>0.28499999999999998</v>
      </c>
      <c r="I5305" t="s">
        <v>2606</v>
      </c>
    </row>
    <row r="5306" spans="1:11" x14ac:dyDescent="0.25">
      <c r="A5306" s="163"/>
      <c r="B5306" s="106"/>
      <c r="C5306" s="73"/>
      <c r="D5306" s="75" t="s">
        <v>2604</v>
      </c>
      <c r="E5306" s="73"/>
      <c r="F5306" s="74"/>
      <c r="G5306" s="72"/>
    </row>
    <row r="5307" spans="1:11" x14ac:dyDescent="0.25">
      <c r="A5307" s="163"/>
      <c r="B5307" s="106"/>
      <c r="C5307" s="73"/>
      <c r="D5307" s="73" t="s">
        <v>2609</v>
      </c>
      <c r="E5307" s="73"/>
      <c r="F5307" s="74" t="s">
        <v>3</v>
      </c>
      <c r="G5307" s="72">
        <v>3.1E-2</v>
      </c>
      <c r="I5307" t="s">
        <v>2607</v>
      </c>
    </row>
    <row r="5308" spans="1:11" x14ac:dyDescent="0.25">
      <c r="A5308" s="163"/>
      <c r="B5308" s="106"/>
      <c r="C5308" s="73"/>
      <c r="D5308" s="75" t="s">
        <v>2605</v>
      </c>
      <c r="E5308" s="73"/>
      <c r="F5308" s="74"/>
      <c r="G5308" s="72"/>
    </row>
    <row r="5309" spans="1:11" x14ac:dyDescent="0.25">
      <c r="A5309" s="163"/>
      <c r="B5309" s="106"/>
      <c r="C5309" s="73"/>
      <c r="D5309" s="73" t="s">
        <v>2609</v>
      </c>
      <c r="E5309" s="73"/>
      <c r="F5309" s="74" t="s">
        <v>3</v>
      </c>
      <c r="G5309" s="72">
        <v>4.4999999999999998E-2</v>
      </c>
      <c r="I5309" t="s">
        <v>2608</v>
      </c>
    </row>
    <row r="5310" spans="1:11" x14ac:dyDescent="0.25">
      <c r="A5310" s="163"/>
      <c r="B5310" s="106"/>
      <c r="C5310" s="73"/>
      <c r="D5310" s="73"/>
      <c r="E5310" s="73"/>
      <c r="F5310" s="74"/>
      <c r="G5310" s="72"/>
    </row>
    <row r="5311" spans="1:11" x14ac:dyDescent="0.25">
      <c r="A5311" s="163"/>
      <c r="B5311" s="106"/>
      <c r="C5311" s="75" t="s">
        <v>2610</v>
      </c>
      <c r="D5311" s="73"/>
      <c r="E5311" s="73"/>
      <c r="F5311" s="74"/>
      <c r="G5311" s="72"/>
    </row>
    <row r="5312" spans="1:11" x14ac:dyDescent="0.25">
      <c r="A5312" s="163"/>
      <c r="B5312" s="106"/>
      <c r="C5312" s="73" t="s">
        <v>143</v>
      </c>
      <c r="D5312" s="73"/>
      <c r="E5312" s="73"/>
      <c r="F5312" s="74" t="s">
        <v>3</v>
      </c>
      <c r="G5312" s="72">
        <f>G5313</f>
        <v>2.4895199999999996E-2</v>
      </c>
    </row>
    <row r="5313" spans="1:9" x14ac:dyDescent="0.25">
      <c r="A5313" s="163"/>
      <c r="B5313" s="106"/>
      <c r="C5313" s="73" t="s">
        <v>8</v>
      </c>
      <c r="D5313" s="73"/>
      <c r="E5313" s="73"/>
      <c r="F5313" s="74" t="s">
        <v>3</v>
      </c>
      <c r="G5313" s="72">
        <f>G5314*0.82</f>
        <v>2.4895199999999996E-2</v>
      </c>
    </row>
    <row r="5314" spans="1:9" x14ac:dyDescent="0.25">
      <c r="A5314" s="163"/>
      <c r="B5314" s="106"/>
      <c r="C5314" s="73" t="s">
        <v>152</v>
      </c>
      <c r="D5314" s="73"/>
      <c r="E5314" s="73"/>
      <c r="F5314" s="74" t="s">
        <v>3</v>
      </c>
      <c r="G5314" s="72">
        <f>1.2*0.011*2*1.15</f>
        <v>3.0359999999999995E-2</v>
      </c>
    </row>
    <row r="5315" spans="1:9" x14ac:dyDescent="0.25">
      <c r="A5315" s="163"/>
      <c r="B5315" s="106"/>
      <c r="C5315" s="73" t="s">
        <v>12</v>
      </c>
      <c r="D5315" s="73"/>
      <c r="E5315" s="73"/>
      <c r="F5315" s="74" t="s">
        <v>3</v>
      </c>
      <c r="G5315" s="72">
        <f>0.3*(G5314+G5313+G5312)</f>
        <v>2.4045119999999993E-2</v>
      </c>
    </row>
    <row r="5316" spans="1:9" x14ac:dyDescent="0.25">
      <c r="A5316" s="163"/>
      <c r="B5316" s="106"/>
      <c r="C5316" s="73" t="s">
        <v>140</v>
      </c>
      <c r="D5316" s="73"/>
      <c r="E5316" s="73"/>
      <c r="F5316" s="74" t="s">
        <v>3</v>
      </c>
      <c r="G5316" s="72">
        <f>0.01*3.14*2*0.08*1.1</f>
        <v>5.5264000000000016E-3</v>
      </c>
    </row>
    <row r="5317" spans="1:9" ht="17.25" x14ac:dyDescent="0.25">
      <c r="A5317" s="163"/>
      <c r="B5317" s="106"/>
      <c r="C5317" s="73" t="s">
        <v>23</v>
      </c>
      <c r="D5317" s="73"/>
      <c r="E5317" s="73"/>
      <c r="F5317" s="74" t="s">
        <v>596</v>
      </c>
      <c r="G5317" s="72">
        <f>G5316*1.5</f>
        <v>8.2896000000000029E-3</v>
      </c>
    </row>
    <row r="5318" spans="1:9" x14ac:dyDescent="0.25">
      <c r="A5318" s="163"/>
      <c r="B5318" s="106"/>
      <c r="C5318" s="73" t="s">
        <v>142</v>
      </c>
      <c r="D5318" s="73"/>
      <c r="E5318" s="73"/>
      <c r="F5318" s="74" t="s">
        <v>3</v>
      </c>
      <c r="G5318" s="72">
        <f>G5316/4</f>
        <v>1.3816000000000004E-3</v>
      </c>
    </row>
    <row r="5319" spans="1:9" x14ac:dyDescent="0.25">
      <c r="A5319" s="163"/>
      <c r="B5319" s="106"/>
      <c r="C5319" s="73"/>
      <c r="D5319" s="75" t="s">
        <v>2611</v>
      </c>
      <c r="E5319" s="73"/>
      <c r="F5319" s="74"/>
      <c r="G5319" s="72"/>
    </row>
    <row r="5320" spans="1:9" x14ac:dyDescent="0.25">
      <c r="A5320" s="163"/>
      <c r="B5320" s="106"/>
      <c r="C5320" s="73"/>
      <c r="D5320" s="73" t="s">
        <v>154</v>
      </c>
      <c r="E5320" s="73"/>
      <c r="F5320" s="74" t="s">
        <v>3</v>
      </c>
      <c r="G5320" s="72">
        <v>8.9999999999999993E-3</v>
      </c>
      <c r="I5320" t="s">
        <v>2613</v>
      </c>
    </row>
    <row r="5321" spans="1:9" x14ac:dyDescent="0.25">
      <c r="A5321" s="163"/>
      <c r="B5321" s="106"/>
      <c r="C5321" s="73"/>
      <c r="D5321" s="75" t="s">
        <v>2612</v>
      </c>
      <c r="E5321" s="73"/>
      <c r="F5321" s="74"/>
      <c r="G5321" s="72"/>
    </row>
    <row r="5322" spans="1:9" x14ac:dyDescent="0.25">
      <c r="A5322" s="163"/>
      <c r="B5322" s="106"/>
      <c r="C5322" s="73"/>
      <c r="D5322" s="73" t="s">
        <v>159</v>
      </c>
      <c r="E5322" s="73"/>
      <c r="F5322" s="74" t="s">
        <v>3</v>
      </c>
      <c r="G5322" s="72">
        <v>0.312</v>
      </c>
      <c r="I5322" t="s">
        <v>2614</v>
      </c>
    </row>
    <row r="5323" spans="1:9" x14ac:dyDescent="0.25">
      <c r="A5323" s="163"/>
      <c r="B5323" s="106"/>
      <c r="C5323" s="73"/>
      <c r="D5323" s="73"/>
      <c r="E5323" s="73"/>
      <c r="F5323" s="74"/>
      <c r="G5323" s="72"/>
    </row>
    <row r="5324" spans="1:9" x14ac:dyDescent="0.25">
      <c r="A5324" s="163"/>
      <c r="B5324" s="106"/>
      <c r="C5324" s="75" t="s">
        <v>2615</v>
      </c>
      <c r="D5324" s="73"/>
      <c r="E5324" s="73"/>
      <c r="F5324" s="74"/>
      <c r="G5324" s="72"/>
    </row>
    <row r="5325" spans="1:9" x14ac:dyDescent="0.25">
      <c r="A5325" s="163"/>
      <c r="B5325" s="106"/>
      <c r="C5325" s="73" t="s">
        <v>140</v>
      </c>
      <c r="D5325" s="73"/>
      <c r="E5325" s="73"/>
      <c r="F5325" s="74" t="s">
        <v>3</v>
      </c>
      <c r="G5325" s="72">
        <f>0.01*3.14*0.08*1.1</f>
        <v>2.7632000000000008E-3</v>
      </c>
    </row>
    <row r="5326" spans="1:9" ht="17.25" x14ac:dyDescent="0.25">
      <c r="A5326" s="163"/>
      <c r="B5326" s="106"/>
      <c r="C5326" s="73" t="s">
        <v>23</v>
      </c>
      <c r="D5326" s="73"/>
      <c r="E5326" s="73"/>
      <c r="F5326" s="74" t="s">
        <v>596</v>
      </c>
      <c r="G5326" s="72">
        <f>G5325*1.5</f>
        <v>4.1448000000000014E-3</v>
      </c>
    </row>
    <row r="5327" spans="1:9" x14ac:dyDescent="0.25">
      <c r="A5327" s="163"/>
      <c r="B5327" s="106"/>
      <c r="C5327" s="73" t="s">
        <v>142</v>
      </c>
      <c r="D5327" s="73"/>
      <c r="E5327" s="73"/>
      <c r="F5327" s="74" t="s">
        <v>3</v>
      </c>
      <c r="G5327" s="72">
        <f>G5325/4</f>
        <v>6.908000000000002E-4</v>
      </c>
    </row>
    <row r="5328" spans="1:9" x14ac:dyDescent="0.25">
      <c r="A5328" s="163"/>
      <c r="B5328" s="106"/>
      <c r="C5328" s="77" t="s">
        <v>114</v>
      </c>
      <c r="D5328" s="73"/>
      <c r="E5328" s="73"/>
      <c r="F5328" s="74" t="s">
        <v>3</v>
      </c>
      <c r="G5328" s="72">
        <f>G5330*0.8</f>
        <v>1.1616000000000001E-2</v>
      </c>
    </row>
    <row r="5329" spans="1:9" x14ac:dyDescent="0.25">
      <c r="A5329" s="163"/>
      <c r="B5329" s="106"/>
      <c r="C5329" s="77" t="s">
        <v>164</v>
      </c>
      <c r="D5329" s="73"/>
      <c r="E5329" s="73"/>
      <c r="F5329" s="74" t="s">
        <v>3</v>
      </c>
      <c r="G5329" s="72">
        <f>0.3*G5328</f>
        <v>3.4848000000000001E-3</v>
      </c>
    </row>
    <row r="5330" spans="1:9" x14ac:dyDescent="0.25">
      <c r="A5330" s="163"/>
      <c r="B5330" s="106"/>
      <c r="C5330" s="73" t="s">
        <v>649</v>
      </c>
      <c r="D5330" s="73"/>
      <c r="E5330" s="73"/>
      <c r="F5330" s="74" t="s">
        <v>3</v>
      </c>
      <c r="G5330" s="72">
        <f>0.6*0.011*2*1.1</f>
        <v>1.452E-2</v>
      </c>
    </row>
    <row r="5331" spans="1:9" x14ac:dyDescent="0.25">
      <c r="A5331" s="163"/>
      <c r="B5331" s="106"/>
      <c r="C5331" s="73" t="s">
        <v>12</v>
      </c>
      <c r="D5331" s="73"/>
      <c r="E5331" s="73"/>
      <c r="F5331" s="74" t="s">
        <v>3</v>
      </c>
      <c r="G5331" s="72">
        <f>0.3*G5330</f>
        <v>4.3559999999999996E-3</v>
      </c>
    </row>
    <row r="5332" spans="1:9" x14ac:dyDescent="0.25">
      <c r="A5332" s="163"/>
      <c r="B5332" s="106"/>
      <c r="C5332" s="73"/>
      <c r="D5332" s="75" t="s">
        <v>2616</v>
      </c>
      <c r="E5332" s="73"/>
      <c r="F5332" s="74"/>
      <c r="G5332" s="72"/>
    </row>
    <row r="5333" spans="1:9" x14ac:dyDescent="0.25">
      <c r="A5333" s="163"/>
      <c r="B5333" s="106"/>
      <c r="C5333" s="73"/>
      <c r="D5333" s="73" t="s">
        <v>2265</v>
      </c>
      <c r="E5333" s="73"/>
      <c r="F5333" s="74" t="s">
        <v>3</v>
      </c>
      <c r="G5333" s="72">
        <v>0.16500000000000001</v>
      </c>
      <c r="I5333" t="s">
        <v>2473</v>
      </c>
    </row>
    <row r="5334" spans="1:9" x14ac:dyDescent="0.25">
      <c r="A5334" s="163"/>
      <c r="B5334" s="106"/>
      <c r="C5334" s="73"/>
      <c r="D5334" s="73"/>
      <c r="E5334" s="73"/>
      <c r="F5334" s="74"/>
      <c r="G5334" s="72"/>
    </row>
    <row r="5335" spans="1:9" x14ac:dyDescent="0.25">
      <c r="A5335" s="163"/>
      <c r="B5335" s="106"/>
      <c r="C5335" s="75" t="s">
        <v>2617</v>
      </c>
      <c r="D5335" s="73"/>
      <c r="E5335" s="73"/>
      <c r="F5335" s="74"/>
      <c r="G5335" s="72"/>
    </row>
    <row r="5336" spans="1:9" x14ac:dyDescent="0.25">
      <c r="A5336" s="163"/>
      <c r="B5336" s="106"/>
      <c r="C5336" s="73" t="s">
        <v>1357</v>
      </c>
      <c r="D5336" s="73"/>
      <c r="E5336" s="73"/>
      <c r="F5336" s="74" t="s">
        <v>3</v>
      </c>
      <c r="G5336" s="72">
        <f>0.105*0.105</f>
        <v>1.1024999999999998E-2</v>
      </c>
    </row>
    <row r="5337" spans="1:9" x14ac:dyDescent="0.25">
      <c r="A5337" s="163"/>
      <c r="B5337" s="106"/>
      <c r="C5337" s="73"/>
      <c r="D5337" s="73"/>
      <c r="E5337" s="73"/>
      <c r="F5337" s="74"/>
      <c r="G5337" s="72"/>
    </row>
    <row r="5338" spans="1:9" x14ac:dyDescent="0.25">
      <c r="A5338" s="163"/>
      <c r="B5338" s="106"/>
      <c r="C5338" s="75" t="s">
        <v>2618</v>
      </c>
      <c r="D5338" s="73"/>
      <c r="E5338" s="73"/>
      <c r="F5338" s="74"/>
      <c r="G5338" s="72"/>
    </row>
    <row r="5339" spans="1:9" x14ac:dyDescent="0.25">
      <c r="A5339" s="163"/>
      <c r="B5339" s="106"/>
      <c r="C5339" s="73" t="s">
        <v>140</v>
      </c>
      <c r="D5339" s="73"/>
      <c r="E5339" s="73"/>
      <c r="F5339" s="74" t="s">
        <v>3</v>
      </c>
      <c r="G5339" s="72">
        <f>0.01*3.14*8*0.08*1.15</f>
        <v>2.31104E-2</v>
      </c>
    </row>
    <row r="5340" spans="1:9" ht="17.25" x14ac:dyDescent="0.25">
      <c r="A5340" s="163"/>
      <c r="B5340" s="106"/>
      <c r="C5340" s="73" t="s">
        <v>23</v>
      </c>
      <c r="D5340" s="73"/>
      <c r="E5340" s="73"/>
      <c r="F5340" s="74" t="s">
        <v>596</v>
      </c>
      <c r="G5340" s="72">
        <f>G5339*1.5</f>
        <v>3.4665599999999998E-2</v>
      </c>
    </row>
    <row r="5341" spans="1:9" x14ac:dyDescent="0.25">
      <c r="A5341" s="163"/>
      <c r="B5341" s="106"/>
      <c r="C5341" s="73" t="s">
        <v>142</v>
      </c>
      <c r="D5341" s="73"/>
      <c r="E5341" s="73"/>
      <c r="F5341" s="74" t="s">
        <v>3</v>
      </c>
      <c r="G5341" s="72">
        <f>G5339/4</f>
        <v>5.7775999999999999E-3</v>
      </c>
    </row>
    <row r="5342" spans="1:9" x14ac:dyDescent="0.25">
      <c r="A5342" s="163"/>
      <c r="B5342" s="106"/>
      <c r="C5342" s="77" t="s">
        <v>114</v>
      </c>
      <c r="D5342" s="73"/>
      <c r="E5342" s="73"/>
      <c r="F5342" s="74" t="s">
        <v>3</v>
      </c>
      <c r="G5342" s="72">
        <f>G5344*0.8</f>
        <v>2.2263999999999999E-2</v>
      </c>
    </row>
    <row r="5343" spans="1:9" x14ac:dyDescent="0.25">
      <c r="A5343" s="163"/>
      <c r="B5343" s="106"/>
      <c r="C5343" s="77" t="s">
        <v>164</v>
      </c>
      <c r="D5343" s="73"/>
      <c r="E5343" s="73"/>
      <c r="F5343" s="74" t="s">
        <v>3</v>
      </c>
      <c r="G5343" s="72">
        <f>0.3*G5342</f>
        <v>6.6791999999999997E-3</v>
      </c>
    </row>
    <row r="5344" spans="1:9" x14ac:dyDescent="0.25">
      <c r="A5344" s="163"/>
      <c r="B5344" s="106"/>
      <c r="C5344" s="73" t="s">
        <v>649</v>
      </c>
      <c r="D5344" s="73"/>
      <c r="E5344" s="73"/>
      <c r="F5344" s="74" t="s">
        <v>3</v>
      </c>
      <c r="G5344" s="72">
        <f>1.1*0.011*2*1.15</f>
        <v>2.7829999999999997E-2</v>
      </c>
    </row>
    <row r="5345" spans="1:9" x14ac:dyDescent="0.25">
      <c r="A5345" s="163"/>
      <c r="B5345" s="106"/>
      <c r="C5345" s="73" t="s">
        <v>12</v>
      </c>
      <c r="D5345" s="73"/>
      <c r="E5345" s="73"/>
      <c r="F5345" s="74" t="s">
        <v>3</v>
      </c>
      <c r="G5345" s="72">
        <f>0.3*G5344</f>
        <v>8.3489999999999988E-3</v>
      </c>
    </row>
    <row r="5346" spans="1:9" x14ac:dyDescent="0.25">
      <c r="A5346" s="163"/>
      <c r="B5346" s="106"/>
      <c r="C5346" s="73"/>
      <c r="D5346" s="75" t="s">
        <v>2619</v>
      </c>
      <c r="E5346" s="73"/>
      <c r="F5346" s="74"/>
      <c r="G5346" s="72"/>
    </row>
    <row r="5347" spans="1:9" x14ac:dyDescent="0.25">
      <c r="A5347" s="163"/>
      <c r="B5347" s="106"/>
      <c r="C5347" s="73"/>
      <c r="D5347" s="73" t="s">
        <v>2265</v>
      </c>
      <c r="E5347" s="73"/>
      <c r="F5347" s="74" t="s">
        <v>3</v>
      </c>
      <c r="G5347" s="72">
        <v>0.14000000000000001</v>
      </c>
      <c r="I5347" t="s">
        <v>2628</v>
      </c>
    </row>
    <row r="5348" spans="1:9" x14ac:dyDescent="0.25">
      <c r="A5348" s="163"/>
      <c r="B5348" s="106"/>
      <c r="C5348" s="73"/>
      <c r="D5348" s="75" t="s">
        <v>2620</v>
      </c>
      <c r="E5348" s="73"/>
      <c r="F5348" s="74"/>
      <c r="G5348" s="72"/>
    </row>
    <row r="5349" spans="1:9" x14ac:dyDescent="0.25">
      <c r="A5349" s="163"/>
      <c r="B5349" s="106"/>
      <c r="C5349" s="73"/>
      <c r="D5349" s="73" t="s">
        <v>2265</v>
      </c>
      <c r="E5349" s="73"/>
      <c r="F5349" s="74" t="s">
        <v>3</v>
      </c>
      <c r="G5349" s="72">
        <v>4.4999999999999998E-2</v>
      </c>
      <c r="I5349" t="s">
        <v>2629</v>
      </c>
    </row>
    <row r="5350" spans="1:9" x14ac:dyDescent="0.25">
      <c r="A5350" s="163"/>
      <c r="B5350" s="106"/>
      <c r="C5350" s="73"/>
      <c r="D5350" s="75" t="s">
        <v>2621</v>
      </c>
      <c r="E5350" s="73"/>
      <c r="F5350" s="74"/>
      <c r="G5350" s="72"/>
    </row>
    <row r="5351" spans="1:9" x14ac:dyDescent="0.25">
      <c r="A5351" s="163"/>
      <c r="B5351" s="106"/>
      <c r="C5351" s="73"/>
      <c r="D5351" s="73" t="s">
        <v>2265</v>
      </c>
      <c r="E5351" s="73"/>
      <c r="F5351" s="74" t="s">
        <v>3</v>
      </c>
      <c r="G5351" s="72">
        <v>4.4999999999999998E-2</v>
      </c>
      <c r="I5351" t="s">
        <v>2629</v>
      </c>
    </row>
    <row r="5352" spans="1:9" x14ac:dyDescent="0.25">
      <c r="A5352" s="163"/>
      <c r="B5352" s="106"/>
      <c r="C5352" s="73"/>
      <c r="D5352" s="75" t="s">
        <v>2622</v>
      </c>
      <c r="E5352" s="73"/>
      <c r="F5352" s="74"/>
      <c r="G5352" s="72"/>
    </row>
    <row r="5353" spans="1:9" x14ac:dyDescent="0.25">
      <c r="A5353" s="163"/>
      <c r="B5353" s="106"/>
      <c r="C5353" s="73"/>
      <c r="D5353" s="73" t="s">
        <v>2265</v>
      </c>
      <c r="E5353" s="73"/>
      <c r="F5353" s="74" t="s">
        <v>3</v>
      </c>
      <c r="G5353" s="72">
        <v>4.4999999999999998E-2</v>
      </c>
      <c r="I5353" t="s">
        <v>2629</v>
      </c>
    </row>
    <row r="5354" spans="1:9" x14ac:dyDescent="0.25">
      <c r="A5354" s="163"/>
      <c r="B5354" s="106"/>
      <c r="C5354" s="73"/>
      <c r="D5354" s="75" t="s">
        <v>2623</v>
      </c>
      <c r="E5354" s="73"/>
      <c r="F5354" s="74"/>
      <c r="G5354" s="72"/>
    </row>
    <row r="5355" spans="1:9" x14ac:dyDescent="0.25">
      <c r="A5355" s="163"/>
      <c r="B5355" s="106"/>
      <c r="C5355" s="73"/>
      <c r="D5355" s="73" t="s">
        <v>2265</v>
      </c>
      <c r="E5355" s="73"/>
      <c r="F5355" s="74" t="s">
        <v>3</v>
      </c>
      <c r="G5355" s="72">
        <v>3.3000000000000002E-2</v>
      </c>
      <c r="I5355" t="s">
        <v>2630</v>
      </c>
    </row>
    <row r="5356" spans="1:9" x14ac:dyDescent="0.25">
      <c r="A5356" s="163"/>
      <c r="B5356" s="106"/>
      <c r="C5356" s="73"/>
      <c r="D5356" s="75" t="s">
        <v>2624</v>
      </c>
      <c r="E5356" s="73"/>
      <c r="F5356" s="74"/>
      <c r="G5356" s="72"/>
    </row>
    <row r="5357" spans="1:9" x14ac:dyDescent="0.25">
      <c r="A5357" s="163"/>
      <c r="B5357" s="106"/>
      <c r="C5357" s="73"/>
      <c r="D5357" s="73" t="s">
        <v>2265</v>
      </c>
      <c r="E5357" s="73"/>
      <c r="F5357" s="74" t="s">
        <v>3</v>
      </c>
      <c r="G5357" s="72">
        <v>7.5999999999999998E-2</v>
      </c>
      <c r="I5357" t="s">
        <v>2631</v>
      </c>
    </row>
    <row r="5358" spans="1:9" x14ac:dyDescent="0.25">
      <c r="A5358" s="163"/>
      <c r="B5358" s="106"/>
      <c r="C5358" s="73"/>
      <c r="D5358" s="73"/>
      <c r="E5358" s="73"/>
      <c r="F5358" s="74"/>
      <c r="G5358" s="72"/>
    </row>
    <row r="5359" spans="1:9" x14ac:dyDescent="0.25">
      <c r="A5359" s="163"/>
      <c r="B5359" s="106"/>
      <c r="C5359" s="75" t="s">
        <v>2632</v>
      </c>
      <c r="D5359" s="73"/>
      <c r="E5359" s="73"/>
      <c r="F5359" s="74"/>
      <c r="G5359" s="72"/>
    </row>
    <row r="5360" spans="1:9" x14ac:dyDescent="0.25">
      <c r="A5360" s="163"/>
      <c r="B5360" s="106"/>
      <c r="C5360" s="77" t="s">
        <v>114</v>
      </c>
      <c r="D5360" s="73"/>
      <c r="E5360" s="73"/>
      <c r="F5360" s="74" t="s">
        <v>3</v>
      </c>
      <c r="G5360" s="72">
        <f>G5362*0.8</f>
        <v>3.2911999999999997E-2</v>
      </c>
    </row>
    <row r="5361" spans="1:11" x14ac:dyDescent="0.25">
      <c r="A5361" s="163"/>
      <c r="B5361" s="106"/>
      <c r="C5361" s="77" t="s">
        <v>164</v>
      </c>
      <c r="D5361" s="73"/>
      <c r="E5361" s="73"/>
      <c r="F5361" s="74" t="s">
        <v>3</v>
      </c>
      <c r="G5361" s="72">
        <f>0.3*G5360</f>
        <v>9.873599999999998E-3</v>
      </c>
    </row>
    <row r="5362" spans="1:11" x14ac:dyDescent="0.25">
      <c r="A5362" s="163"/>
      <c r="B5362" s="106"/>
      <c r="C5362" s="73" t="s">
        <v>649</v>
      </c>
      <c r="D5362" s="73"/>
      <c r="E5362" s="73"/>
      <c r="F5362" s="74" t="s">
        <v>3</v>
      </c>
      <c r="G5362" s="72">
        <f>1.7*0.011*2*1.1</f>
        <v>4.1139999999999996E-2</v>
      </c>
    </row>
    <row r="5363" spans="1:11" x14ac:dyDescent="0.25">
      <c r="A5363" s="163"/>
      <c r="B5363" s="106"/>
      <c r="C5363" s="73" t="s">
        <v>12</v>
      </c>
      <c r="D5363" s="73"/>
      <c r="E5363" s="73"/>
      <c r="F5363" s="74" t="s">
        <v>3</v>
      </c>
      <c r="G5363" s="72">
        <f>0.3*G5362</f>
        <v>1.2341999999999999E-2</v>
      </c>
    </row>
    <row r="5364" spans="1:11" x14ac:dyDescent="0.25">
      <c r="A5364" s="163"/>
      <c r="B5364" s="106"/>
      <c r="C5364" s="73"/>
      <c r="D5364" s="75" t="s">
        <v>2633</v>
      </c>
      <c r="E5364" s="73"/>
      <c r="F5364" s="74"/>
      <c r="G5364" s="72"/>
    </row>
    <row r="5365" spans="1:11" x14ac:dyDescent="0.25">
      <c r="A5365" s="163"/>
      <c r="B5365" s="106"/>
      <c r="C5365" s="73"/>
      <c r="D5365" s="73" t="s">
        <v>2265</v>
      </c>
      <c r="E5365" s="73"/>
      <c r="F5365" s="74" t="s">
        <v>3</v>
      </c>
      <c r="G5365" s="72">
        <v>0.47</v>
      </c>
      <c r="I5365" t="s">
        <v>2634</v>
      </c>
    </row>
    <row r="5366" spans="1:11" x14ac:dyDescent="0.25">
      <c r="A5366" s="163"/>
      <c r="B5366" s="106"/>
      <c r="C5366" s="73"/>
      <c r="D5366" s="73"/>
      <c r="E5366" s="73"/>
      <c r="F5366" s="74"/>
      <c r="G5366" s="72"/>
    </row>
    <row r="5367" spans="1:11" x14ac:dyDescent="0.25">
      <c r="A5367" s="163"/>
      <c r="B5367" s="106"/>
      <c r="C5367" s="75" t="s">
        <v>2635</v>
      </c>
      <c r="D5367" s="73"/>
      <c r="E5367" s="73"/>
      <c r="F5367" s="74"/>
      <c r="G5367" s="72"/>
    </row>
    <row r="5368" spans="1:11" x14ac:dyDescent="0.25">
      <c r="A5368" s="163"/>
      <c r="B5368" s="106"/>
      <c r="C5368" s="73" t="s">
        <v>140</v>
      </c>
      <c r="D5368" s="73"/>
      <c r="E5368" s="73"/>
      <c r="F5368" s="74" t="s">
        <v>3</v>
      </c>
      <c r="G5368" s="72">
        <f>0.006*3.14*2*0.08*1.1</f>
        <v>3.3158400000000009E-3</v>
      </c>
    </row>
    <row r="5369" spans="1:11" ht="17.25" x14ac:dyDescent="0.25">
      <c r="A5369" s="163"/>
      <c r="B5369" s="106"/>
      <c r="C5369" s="73" t="s">
        <v>23</v>
      </c>
      <c r="D5369" s="73"/>
      <c r="E5369" s="73"/>
      <c r="F5369" s="74" t="s">
        <v>596</v>
      </c>
      <c r="G5369" s="72">
        <f>G5368*1.5</f>
        <v>4.9737600000000015E-3</v>
      </c>
    </row>
    <row r="5370" spans="1:11" x14ac:dyDescent="0.25">
      <c r="A5370" s="163"/>
      <c r="B5370" s="106"/>
      <c r="C5370" s="73" t="s">
        <v>142</v>
      </c>
      <c r="D5370" s="73"/>
      <c r="E5370" s="73"/>
      <c r="F5370" s="74" t="s">
        <v>3</v>
      </c>
      <c r="G5370" s="72">
        <f>G5368/4</f>
        <v>8.2896000000000022E-4</v>
      </c>
    </row>
    <row r="5371" spans="1:11" x14ac:dyDescent="0.25">
      <c r="A5371" s="163"/>
      <c r="B5371" s="106"/>
      <c r="C5371" s="77" t="s">
        <v>8</v>
      </c>
      <c r="D5371" s="73"/>
      <c r="E5371" s="73"/>
      <c r="F5371" s="74" t="s">
        <v>3</v>
      </c>
      <c r="G5371" s="72">
        <f>G5372*0.8</f>
        <v>7.7000000000000002E-3</v>
      </c>
    </row>
    <row r="5372" spans="1:11" x14ac:dyDescent="0.25">
      <c r="A5372" s="163"/>
      <c r="B5372" s="106"/>
      <c r="C5372" s="73" t="s">
        <v>152</v>
      </c>
      <c r="D5372" s="73"/>
      <c r="E5372" s="73"/>
      <c r="F5372" s="74" t="s">
        <v>3</v>
      </c>
      <c r="G5372" s="72">
        <f>0.35*0.011*2*1.25</f>
        <v>9.6249999999999999E-3</v>
      </c>
      <c r="K5372" s="316"/>
    </row>
    <row r="5373" spans="1:11" x14ac:dyDescent="0.25">
      <c r="A5373" s="163"/>
      <c r="B5373" s="106"/>
      <c r="C5373" s="73" t="s">
        <v>12</v>
      </c>
      <c r="D5373" s="73"/>
      <c r="E5373" s="73"/>
      <c r="F5373" s="74" t="s">
        <v>3</v>
      </c>
      <c r="G5373" s="72">
        <f>0.3*(G5372+G5371)</f>
        <v>5.1974999999999999E-3</v>
      </c>
    </row>
    <row r="5374" spans="1:11" x14ac:dyDescent="0.25">
      <c r="A5374" s="163"/>
      <c r="B5374" s="106"/>
      <c r="C5374" s="73"/>
      <c r="D5374" s="75" t="s">
        <v>2636</v>
      </c>
      <c r="E5374" s="73"/>
      <c r="F5374" s="74"/>
      <c r="G5374" s="72"/>
    </row>
    <row r="5375" spans="1:11" x14ac:dyDescent="0.25">
      <c r="A5375" s="163"/>
      <c r="B5375" s="106"/>
      <c r="C5375" s="73"/>
      <c r="D5375" s="73" t="s">
        <v>2218</v>
      </c>
      <c r="E5375" s="73"/>
      <c r="F5375" s="74" t="s">
        <v>3</v>
      </c>
      <c r="G5375" s="80">
        <v>0.08</v>
      </c>
      <c r="I5375" t="s">
        <v>2638</v>
      </c>
    </row>
    <row r="5376" spans="1:11" x14ac:dyDescent="0.25">
      <c r="A5376" s="163"/>
      <c r="B5376" s="106"/>
      <c r="C5376" s="73"/>
      <c r="D5376" s="73"/>
      <c r="E5376" s="73"/>
      <c r="F5376" s="74"/>
      <c r="G5376" s="72"/>
    </row>
    <row r="5377" spans="1:11" x14ac:dyDescent="0.25">
      <c r="A5377" s="163"/>
      <c r="B5377" s="106"/>
      <c r="C5377" s="75" t="s">
        <v>2637</v>
      </c>
      <c r="D5377" s="73"/>
      <c r="E5377" s="73"/>
      <c r="F5377" s="74"/>
      <c r="G5377" s="72"/>
    </row>
    <row r="5378" spans="1:11" x14ac:dyDescent="0.25">
      <c r="A5378" s="163"/>
      <c r="B5378" s="106"/>
      <c r="C5378" s="73" t="s">
        <v>167</v>
      </c>
      <c r="D5378" s="73"/>
      <c r="E5378" s="73"/>
      <c r="F5378" s="74" t="s">
        <v>3</v>
      </c>
      <c r="G5378" s="72">
        <f>0.4*0.07*1.08</f>
        <v>3.0240000000000006E-2</v>
      </c>
    </row>
    <row r="5379" spans="1:11" x14ac:dyDescent="0.25">
      <c r="A5379" s="163"/>
      <c r="B5379" s="106"/>
      <c r="C5379" s="73" t="s">
        <v>168</v>
      </c>
      <c r="D5379" s="73"/>
      <c r="E5379" s="73"/>
      <c r="F5379" s="74" t="s">
        <v>3</v>
      </c>
      <c r="G5379" s="72">
        <f>1.1*G5378</f>
        <v>3.3264000000000009E-2</v>
      </c>
    </row>
    <row r="5380" spans="1:11" x14ac:dyDescent="0.25">
      <c r="A5380" s="163"/>
      <c r="B5380" s="106"/>
      <c r="C5380" s="73"/>
      <c r="D5380" s="73"/>
      <c r="E5380" s="73"/>
      <c r="F5380" s="74"/>
      <c r="G5380" s="72"/>
    </row>
    <row r="5381" spans="1:11" x14ac:dyDescent="0.25">
      <c r="A5381" s="163"/>
      <c r="B5381" s="106"/>
      <c r="C5381" s="75" t="s">
        <v>2639</v>
      </c>
      <c r="D5381" s="73"/>
      <c r="E5381" s="73"/>
      <c r="F5381" s="74"/>
      <c r="G5381" s="72"/>
    </row>
    <row r="5382" spans="1:11" x14ac:dyDescent="0.25">
      <c r="A5382" s="163"/>
      <c r="B5382" s="106"/>
      <c r="C5382" s="73" t="s">
        <v>2640</v>
      </c>
      <c r="D5382" s="73"/>
      <c r="E5382" s="73"/>
      <c r="F5382" s="74" t="s">
        <v>3</v>
      </c>
      <c r="G5382" s="72">
        <f>0.04*0.04*0.25*8</f>
        <v>3.2000000000000002E-3</v>
      </c>
    </row>
    <row r="5383" spans="1:11" x14ac:dyDescent="0.25">
      <c r="A5383" s="163"/>
      <c r="B5383" s="106"/>
      <c r="C5383" s="73"/>
      <c r="D5383" s="73"/>
      <c r="E5383" s="73"/>
      <c r="F5383" s="74"/>
      <c r="G5383" s="72"/>
    </row>
    <row r="5384" spans="1:11" x14ac:dyDescent="0.25">
      <c r="A5384" s="163"/>
      <c r="B5384" s="106"/>
      <c r="C5384" s="75" t="s">
        <v>2641</v>
      </c>
      <c r="D5384" s="73"/>
      <c r="E5384" s="73"/>
      <c r="F5384" s="74"/>
      <c r="G5384" s="72"/>
    </row>
    <row r="5385" spans="1:11" x14ac:dyDescent="0.25">
      <c r="A5385" s="163"/>
      <c r="B5385" s="106"/>
      <c r="C5385" s="77" t="s">
        <v>1054</v>
      </c>
      <c r="D5385" s="73"/>
      <c r="E5385" s="73"/>
      <c r="F5385" s="152" t="s">
        <v>3</v>
      </c>
      <c r="G5385" s="72">
        <f>0.02*0.08*1.2</f>
        <v>1.92E-3</v>
      </c>
      <c r="K5385" s="316"/>
    </row>
    <row r="5386" spans="1:11" ht="17.25" x14ac:dyDescent="0.25">
      <c r="A5386" s="163"/>
      <c r="B5386" s="106"/>
      <c r="C5386" s="77" t="s">
        <v>1055</v>
      </c>
      <c r="D5386" s="73"/>
      <c r="E5386" s="73"/>
      <c r="F5386" s="152" t="s">
        <v>596</v>
      </c>
      <c r="G5386" s="72">
        <f>G5385*1.1</f>
        <v>2.1120000000000002E-3</v>
      </c>
      <c r="K5386" s="316"/>
    </row>
    <row r="5387" spans="1:11" x14ac:dyDescent="0.25">
      <c r="A5387" s="163"/>
      <c r="B5387" s="106"/>
      <c r="C5387" s="73"/>
      <c r="D5387" s="75" t="s">
        <v>2642</v>
      </c>
      <c r="E5387" s="73"/>
      <c r="F5387" s="74"/>
      <c r="G5387" s="72"/>
    </row>
    <row r="5388" spans="1:11" x14ac:dyDescent="0.25">
      <c r="A5388" s="163"/>
      <c r="B5388" s="106"/>
      <c r="C5388" s="73"/>
      <c r="D5388" s="73" t="s">
        <v>55</v>
      </c>
      <c r="E5388" s="73"/>
      <c r="F5388" s="74" t="s">
        <v>3</v>
      </c>
      <c r="G5388" s="72">
        <f>0.045*0.032*3*8*1.1</f>
        <v>3.8015999999999994E-2</v>
      </c>
    </row>
    <row r="5389" spans="1:11" x14ac:dyDescent="0.25">
      <c r="A5389" s="163"/>
      <c r="B5389" s="106"/>
      <c r="C5389" s="73"/>
      <c r="D5389" s="75" t="s">
        <v>2643</v>
      </c>
      <c r="E5389" s="73"/>
      <c r="F5389" s="74"/>
      <c r="G5389" s="72"/>
    </row>
    <row r="5390" spans="1:11" x14ac:dyDescent="0.25">
      <c r="A5390" s="163"/>
      <c r="B5390" s="106"/>
      <c r="C5390" s="73"/>
      <c r="D5390" s="73" t="s">
        <v>1143</v>
      </c>
      <c r="E5390" s="73"/>
      <c r="F5390" s="74" t="s">
        <v>3</v>
      </c>
      <c r="G5390" s="72">
        <f>0.025*0.025*3*8*1.2</f>
        <v>1.8000000000000002E-2</v>
      </c>
    </row>
    <row r="5391" spans="1:11" x14ac:dyDescent="0.25">
      <c r="A5391" s="163"/>
      <c r="B5391" s="106"/>
      <c r="C5391" s="73"/>
      <c r="D5391" s="73"/>
      <c r="E5391" s="73"/>
      <c r="F5391" s="74"/>
      <c r="G5391" s="72"/>
    </row>
    <row r="5392" spans="1:11" x14ac:dyDescent="0.25">
      <c r="A5392" s="163"/>
      <c r="B5392" s="106"/>
      <c r="C5392" s="75" t="s">
        <v>2644</v>
      </c>
      <c r="D5392" s="73"/>
      <c r="E5392" s="73"/>
      <c r="F5392" s="74"/>
      <c r="G5392" s="72"/>
    </row>
    <row r="5393" spans="1:11" x14ac:dyDescent="0.25">
      <c r="A5393" s="163"/>
      <c r="B5393" s="106"/>
      <c r="C5393" s="77" t="s">
        <v>1054</v>
      </c>
      <c r="D5393" s="73"/>
      <c r="E5393" s="73"/>
      <c r="F5393" s="152" t="s">
        <v>3</v>
      </c>
      <c r="G5393" s="72">
        <f>0.05*0.08*1.2</f>
        <v>4.7999999999999996E-3</v>
      </c>
    </row>
    <row r="5394" spans="1:11" ht="17.25" x14ac:dyDescent="0.25">
      <c r="A5394" s="163"/>
      <c r="B5394" s="106"/>
      <c r="C5394" s="77" t="s">
        <v>1055</v>
      </c>
      <c r="D5394" s="73"/>
      <c r="E5394" s="73"/>
      <c r="F5394" s="152" t="s">
        <v>596</v>
      </c>
      <c r="G5394" s="72">
        <f>G5393*1.1</f>
        <v>5.28E-3</v>
      </c>
    </row>
    <row r="5395" spans="1:11" x14ac:dyDescent="0.25">
      <c r="A5395" s="163"/>
      <c r="B5395" s="106"/>
      <c r="C5395" s="73"/>
      <c r="D5395" s="75" t="s">
        <v>2645</v>
      </c>
      <c r="E5395" s="73"/>
      <c r="F5395" s="74"/>
      <c r="G5395" s="72"/>
    </row>
    <row r="5396" spans="1:11" x14ac:dyDescent="0.25">
      <c r="A5396" s="163"/>
      <c r="B5396" s="106"/>
      <c r="C5396" s="73"/>
      <c r="D5396" s="73" t="s">
        <v>227</v>
      </c>
      <c r="E5396" s="73"/>
      <c r="F5396" s="74" t="s">
        <v>3</v>
      </c>
      <c r="G5396" s="72">
        <f>0.06*0.055*5*8*1.135</f>
        <v>0.14982000000000001</v>
      </c>
    </row>
    <row r="5397" spans="1:11" x14ac:dyDescent="0.25">
      <c r="A5397" s="163"/>
      <c r="B5397" s="106"/>
      <c r="C5397" s="73"/>
      <c r="D5397" s="75" t="s">
        <v>2646</v>
      </c>
      <c r="E5397" s="73"/>
      <c r="F5397" s="74"/>
      <c r="G5397" s="224" t="s">
        <v>624</v>
      </c>
    </row>
    <row r="5398" spans="1:11" x14ac:dyDescent="0.25">
      <c r="A5398" s="163"/>
      <c r="B5398" s="106"/>
      <c r="C5398" s="73"/>
      <c r="D5398" s="73" t="s">
        <v>2647</v>
      </c>
      <c r="E5398" s="73"/>
      <c r="F5398" s="74" t="s">
        <v>3</v>
      </c>
      <c r="G5398" s="72">
        <f>0.17*0.06*6*8*1.102</f>
        <v>0.53953920000000011</v>
      </c>
    </row>
    <row r="5399" spans="1:11" ht="15.75" thickBot="1" x14ac:dyDescent="0.3">
      <c r="A5399" s="67"/>
      <c r="B5399" s="86"/>
      <c r="C5399" s="68"/>
      <c r="D5399" s="68"/>
      <c r="E5399" s="68"/>
      <c r="F5399" s="82"/>
      <c r="G5399" s="83"/>
    </row>
    <row r="5400" spans="1:11" x14ac:dyDescent="0.25">
      <c r="A5400" s="159"/>
      <c r="B5400" s="181"/>
      <c r="C5400" s="93"/>
      <c r="D5400" s="93"/>
      <c r="E5400" s="93"/>
      <c r="F5400" s="175" t="s">
        <v>2792</v>
      </c>
      <c r="G5400" s="176"/>
    </row>
    <row r="5401" spans="1:11" ht="18.75" x14ac:dyDescent="0.3">
      <c r="A5401" s="163"/>
      <c r="B5401" s="106"/>
      <c r="C5401" s="73"/>
      <c r="D5401" s="73"/>
      <c r="E5401" s="290" t="s">
        <v>2649</v>
      </c>
      <c r="F5401" s="106"/>
      <c r="G5401" s="80"/>
      <c r="K5401" s="325"/>
    </row>
    <row r="5402" spans="1:11" x14ac:dyDescent="0.25">
      <c r="A5402" s="163"/>
      <c r="B5402" s="106"/>
      <c r="C5402" s="73"/>
      <c r="D5402" s="330" t="s">
        <v>2793</v>
      </c>
      <c r="E5402" s="73"/>
      <c r="F5402" s="74"/>
      <c r="G5402" s="72"/>
    </row>
    <row r="5403" spans="1:11" x14ac:dyDescent="0.25">
      <c r="A5403" s="163"/>
      <c r="B5403" s="106"/>
      <c r="C5403" s="73"/>
      <c r="D5403" s="330"/>
      <c r="E5403" s="73"/>
      <c r="F5403" s="74"/>
      <c r="G5403" s="72"/>
      <c r="K5403" s="325"/>
    </row>
    <row r="5404" spans="1:11" x14ac:dyDescent="0.25">
      <c r="A5404" s="193"/>
      <c r="B5404" s="106">
        <v>1</v>
      </c>
      <c r="C5404" s="75" t="s">
        <v>2079</v>
      </c>
      <c r="D5404" s="73"/>
      <c r="E5404" s="73"/>
      <c r="F5404" s="74"/>
      <c r="G5404" s="72"/>
    </row>
    <row r="5405" spans="1:11" x14ac:dyDescent="0.25">
      <c r="A5405" s="163"/>
      <c r="B5405" s="106"/>
      <c r="C5405" s="73" t="s">
        <v>1902</v>
      </c>
      <c r="D5405" s="73"/>
      <c r="E5405" s="73"/>
      <c r="F5405" s="74" t="s">
        <v>3</v>
      </c>
      <c r="G5405" s="72">
        <f>0.005</f>
        <v>5.0000000000000001E-3</v>
      </c>
    </row>
    <row r="5406" spans="1:11" x14ac:dyDescent="0.25">
      <c r="A5406" s="163"/>
      <c r="B5406" s="106"/>
      <c r="C5406" s="73" t="s">
        <v>1021</v>
      </c>
      <c r="D5406" s="73"/>
      <c r="E5406" s="73"/>
      <c r="F5406" s="74" t="s">
        <v>3</v>
      </c>
      <c r="G5406" s="72">
        <f>G5409</f>
        <v>0.39969377280000007</v>
      </c>
      <c r="H5406" s="10"/>
    </row>
    <row r="5407" spans="1:11" x14ac:dyDescent="0.25">
      <c r="A5407" s="163"/>
      <c r="B5407" s="106"/>
      <c r="C5407" s="73" t="s">
        <v>661</v>
      </c>
      <c r="D5407" s="73"/>
      <c r="E5407" s="73"/>
      <c r="F5407" s="74" t="s">
        <v>3</v>
      </c>
      <c r="G5407" s="72">
        <f>G5406*0.4*0.85</f>
        <v>0.13589588275200004</v>
      </c>
      <c r="H5407" s="10"/>
      <c r="I5407" t="s">
        <v>2663</v>
      </c>
    </row>
    <row r="5408" spans="1:11" x14ac:dyDescent="0.25">
      <c r="A5408" s="163"/>
      <c r="B5408" s="106"/>
      <c r="C5408" s="73" t="s">
        <v>1993</v>
      </c>
      <c r="D5408" s="73"/>
      <c r="E5408" s="73"/>
      <c r="F5408" s="74" t="s">
        <v>3</v>
      </c>
      <c r="G5408" s="72">
        <f>0.177*G5407</f>
        <v>2.4053571247104007E-2</v>
      </c>
      <c r="H5408" s="10"/>
      <c r="I5408" t="s">
        <v>2662</v>
      </c>
      <c r="K5408" s="6"/>
    </row>
    <row r="5409" spans="1:11" x14ac:dyDescent="0.25">
      <c r="A5409" s="163"/>
      <c r="B5409" s="106"/>
      <c r="C5409" s="73" t="s">
        <v>8</v>
      </c>
      <c r="D5409" s="73"/>
      <c r="E5409" s="73"/>
      <c r="F5409" s="74" t="s">
        <v>3</v>
      </c>
      <c r="G5409" s="72">
        <f>G5411*0.888</f>
        <v>0.39969377280000007</v>
      </c>
      <c r="H5409" s="2"/>
      <c r="K5409" s="318"/>
    </row>
    <row r="5410" spans="1:11" x14ac:dyDescent="0.25">
      <c r="A5410" s="163"/>
      <c r="B5410" s="106"/>
      <c r="C5410" s="73" t="s">
        <v>12</v>
      </c>
      <c r="D5410" s="73"/>
      <c r="E5410" s="73"/>
      <c r="F5410" s="74" t="s">
        <v>3</v>
      </c>
      <c r="G5410" s="72">
        <f>0.3*G5409</f>
        <v>0.11990813184000002</v>
      </c>
      <c r="K5410" s="318"/>
    </row>
    <row r="5411" spans="1:11" x14ac:dyDescent="0.25">
      <c r="A5411" s="163"/>
      <c r="B5411" s="106"/>
      <c r="C5411" s="73" t="s">
        <v>72</v>
      </c>
      <c r="D5411" s="73"/>
      <c r="E5411" s="73"/>
      <c r="F5411" s="74" t="s">
        <v>3</v>
      </c>
      <c r="G5411" s="72">
        <f>(0.93*0.56*2+0.1*(0.93*2+0.56*2))*0.15*2*1.12</f>
        <v>0.45010560000000005</v>
      </c>
      <c r="K5411" s="318"/>
    </row>
    <row r="5412" spans="1:11" x14ac:dyDescent="0.25">
      <c r="A5412" s="163"/>
      <c r="B5412" s="106"/>
      <c r="C5412" s="73" t="s">
        <v>11</v>
      </c>
      <c r="D5412" s="73"/>
      <c r="E5412" s="73"/>
      <c r="F5412" s="74" t="s">
        <v>3</v>
      </c>
      <c r="G5412" s="72">
        <f>0.3*G5411</f>
        <v>0.13503168000000002</v>
      </c>
      <c r="K5412" s="318"/>
    </row>
    <row r="5413" spans="1:11" x14ac:dyDescent="0.25">
      <c r="A5413" s="163"/>
      <c r="B5413" s="106"/>
      <c r="C5413" s="73" t="s">
        <v>147</v>
      </c>
      <c r="D5413" s="73"/>
      <c r="E5413" s="73"/>
      <c r="F5413" s="74" t="s">
        <v>3</v>
      </c>
      <c r="G5413" s="72">
        <v>0.1</v>
      </c>
    </row>
    <row r="5414" spans="1:11" x14ac:dyDescent="0.25">
      <c r="A5414" s="163"/>
      <c r="B5414" s="106"/>
      <c r="C5414" s="73" t="s">
        <v>2749</v>
      </c>
      <c r="D5414" s="73"/>
      <c r="E5414" s="73"/>
      <c r="F5414" s="74" t="s">
        <v>3</v>
      </c>
      <c r="G5414" s="72">
        <v>0.8</v>
      </c>
    </row>
    <row r="5415" spans="1:11" x14ac:dyDescent="0.25">
      <c r="A5415" s="163"/>
      <c r="B5415" s="106"/>
      <c r="C5415" s="77" t="s">
        <v>1054</v>
      </c>
      <c r="D5415" s="73"/>
      <c r="E5415" s="73"/>
      <c r="F5415" s="152" t="s">
        <v>3</v>
      </c>
      <c r="G5415" s="72">
        <f>(0.56*4+0.065*2+0.15*2+0.85*2*0.1*3.14+0.12+0.025*3.14*2+0.12+0.8+0.8+1.5)*0.08*1.12</f>
        <v>0.60039168000000009</v>
      </c>
      <c r="K5415" s="318"/>
    </row>
    <row r="5416" spans="1:11" ht="17.25" x14ac:dyDescent="0.25">
      <c r="A5416" s="163"/>
      <c r="B5416" s="106"/>
      <c r="C5416" s="77" t="s">
        <v>1055</v>
      </c>
      <c r="D5416" s="73"/>
      <c r="E5416" s="73"/>
      <c r="F5416" s="152" t="s">
        <v>596</v>
      </c>
      <c r="G5416" s="72">
        <f>G5415*1.1</f>
        <v>0.66043084800000018</v>
      </c>
      <c r="K5416" s="318"/>
    </row>
    <row r="5417" spans="1:11" x14ac:dyDescent="0.25">
      <c r="A5417" s="163"/>
      <c r="B5417" s="106"/>
      <c r="C5417" s="73"/>
      <c r="D5417" s="75" t="s">
        <v>2650</v>
      </c>
      <c r="E5417" s="73"/>
      <c r="F5417" s="74"/>
      <c r="G5417" s="72"/>
    </row>
    <row r="5418" spans="1:11" x14ac:dyDescent="0.25">
      <c r="A5418" s="163"/>
      <c r="B5418" s="106"/>
      <c r="C5418" s="73"/>
      <c r="D5418" s="73" t="s">
        <v>2669</v>
      </c>
      <c r="E5418" s="73"/>
      <c r="F5418" s="74" t="s">
        <v>3</v>
      </c>
      <c r="G5418" s="72">
        <f>(0.53*0.865+0.865*0.68)*1.5*8*1.1784</f>
        <v>14.80046832</v>
      </c>
      <c r="K5418" s="319"/>
    </row>
    <row r="5419" spans="1:11" x14ac:dyDescent="0.25">
      <c r="A5419" s="163"/>
      <c r="B5419" s="106"/>
      <c r="C5419" s="73"/>
      <c r="D5419" s="75" t="s">
        <v>2651</v>
      </c>
      <c r="E5419" s="73"/>
      <c r="F5419" s="74"/>
      <c r="G5419" s="72"/>
    </row>
    <row r="5420" spans="1:11" x14ac:dyDescent="0.25">
      <c r="A5420" s="163"/>
      <c r="B5420" s="106"/>
      <c r="C5420" s="73"/>
      <c r="D5420" s="73" t="s">
        <v>2669</v>
      </c>
      <c r="E5420" s="73"/>
      <c r="F5420" s="74" t="s">
        <v>3</v>
      </c>
      <c r="G5420" s="72">
        <f>0.23*0.865*1.5*8*1.152</f>
        <v>2.7502848000000002</v>
      </c>
      <c r="K5420" s="319"/>
    </row>
    <row r="5421" spans="1:11" x14ac:dyDescent="0.25">
      <c r="A5421" s="163"/>
      <c r="B5421" s="106"/>
      <c r="C5421" s="73"/>
      <c r="D5421" s="75" t="s">
        <v>2652</v>
      </c>
      <c r="E5421" s="73"/>
      <c r="F5421" s="74"/>
      <c r="G5421" s="72"/>
    </row>
    <row r="5422" spans="1:11" x14ac:dyDescent="0.25">
      <c r="A5422" s="163"/>
      <c r="B5422" s="106"/>
      <c r="C5422" s="73"/>
      <c r="D5422" s="73" t="s">
        <v>2669</v>
      </c>
      <c r="E5422" s="73"/>
      <c r="F5422" s="74" t="s">
        <v>3</v>
      </c>
      <c r="G5422" s="72">
        <f>0.61*0.13*1.5*8*1.13</f>
        <v>1.0753079999999999</v>
      </c>
      <c r="K5422" s="319"/>
    </row>
    <row r="5423" spans="1:11" x14ac:dyDescent="0.25">
      <c r="A5423" s="163"/>
      <c r="B5423" s="106"/>
      <c r="C5423" s="73"/>
      <c r="D5423" s="75" t="s">
        <v>2653</v>
      </c>
      <c r="E5423" s="73"/>
      <c r="F5423" s="74"/>
      <c r="G5423" s="72"/>
    </row>
    <row r="5424" spans="1:11" x14ac:dyDescent="0.25">
      <c r="A5424" s="163"/>
      <c r="B5424" s="106"/>
      <c r="C5424" s="73"/>
      <c r="D5424" s="73" t="s">
        <v>2669</v>
      </c>
      <c r="E5424" s="73"/>
      <c r="F5424" s="74" t="s">
        <v>3</v>
      </c>
      <c r="G5424" s="72">
        <f>0.655*0.25*1.5*8*1.155</f>
        <v>2.2695750000000001</v>
      </c>
      <c r="K5424" s="319"/>
    </row>
    <row r="5425" spans="1:11" x14ac:dyDescent="0.25">
      <c r="A5425" s="163"/>
      <c r="B5425" s="106"/>
      <c r="C5425" s="73"/>
      <c r="D5425" s="75" t="s">
        <v>2654</v>
      </c>
      <c r="E5425" s="73"/>
      <c r="F5425" s="74"/>
      <c r="G5425" s="72"/>
    </row>
    <row r="5426" spans="1:11" x14ac:dyDescent="0.25">
      <c r="A5426" s="163"/>
      <c r="B5426" s="106"/>
      <c r="C5426" s="73"/>
      <c r="D5426" s="73" t="s">
        <v>2669</v>
      </c>
      <c r="E5426" s="73"/>
      <c r="F5426" s="74" t="s">
        <v>3</v>
      </c>
      <c r="G5426" s="72">
        <f>0.505*0.145*1.5*8*1.138</f>
        <v>0.99996059999999998</v>
      </c>
      <c r="K5426" s="319"/>
    </row>
    <row r="5427" spans="1:11" x14ac:dyDescent="0.25">
      <c r="A5427" s="163"/>
      <c r="B5427" s="106"/>
      <c r="C5427" s="73"/>
      <c r="D5427" s="75" t="s">
        <v>2655</v>
      </c>
      <c r="E5427" s="73"/>
      <c r="F5427" s="74"/>
      <c r="G5427" s="72"/>
    </row>
    <row r="5428" spans="1:11" x14ac:dyDescent="0.25">
      <c r="A5428" s="163"/>
      <c r="B5428" s="106"/>
      <c r="C5428" s="73"/>
      <c r="D5428" s="73" t="s">
        <v>2664</v>
      </c>
      <c r="E5428" s="73"/>
      <c r="F5428" s="74" t="s">
        <v>3</v>
      </c>
      <c r="G5428" s="72">
        <v>0.125</v>
      </c>
      <c r="I5428" t="s">
        <v>2665</v>
      </c>
      <c r="K5428" s="319"/>
    </row>
    <row r="5429" spans="1:11" x14ac:dyDescent="0.25">
      <c r="A5429" s="163"/>
      <c r="B5429" s="106"/>
      <c r="C5429" s="73"/>
      <c r="D5429" s="75" t="s">
        <v>2656</v>
      </c>
      <c r="E5429" s="73"/>
      <c r="F5429" s="74"/>
      <c r="G5429" s="72"/>
    </row>
    <row r="5430" spans="1:11" x14ac:dyDescent="0.25">
      <c r="A5430" s="163"/>
      <c r="B5430" s="106"/>
      <c r="C5430" s="73"/>
      <c r="D5430" s="73" t="s">
        <v>2669</v>
      </c>
      <c r="E5430" s="73"/>
      <c r="F5430" s="74" t="s">
        <v>3</v>
      </c>
      <c r="G5430" s="72">
        <f>0.135*0.26*1.5*8*1.151</f>
        <v>0.4848012000000001</v>
      </c>
      <c r="K5430" s="319"/>
    </row>
    <row r="5431" spans="1:11" x14ac:dyDescent="0.25">
      <c r="A5431" s="163"/>
      <c r="B5431" s="106"/>
      <c r="C5431" s="73"/>
      <c r="D5431" s="75" t="s">
        <v>2657</v>
      </c>
      <c r="E5431" s="73"/>
      <c r="F5431" s="74"/>
      <c r="G5431" s="72"/>
    </row>
    <row r="5432" spans="1:11" x14ac:dyDescent="0.25">
      <c r="A5432" s="163"/>
      <c r="B5432" s="106"/>
      <c r="C5432" s="73"/>
      <c r="D5432" s="73" t="s">
        <v>2669</v>
      </c>
      <c r="E5432" s="73"/>
      <c r="F5432" s="74" t="s">
        <v>3</v>
      </c>
      <c r="G5432" s="72">
        <f>0.17*0.275*1.5*8*1.123</f>
        <v>0.63000300000000009</v>
      </c>
      <c r="K5432" s="319"/>
    </row>
    <row r="5433" spans="1:11" x14ac:dyDescent="0.25">
      <c r="A5433" s="163"/>
      <c r="B5433" s="106"/>
      <c r="C5433" s="73"/>
      <c r="D5433" s="75" t="s">
        <v>2658</v>
      </c>
      <c r="E5433" s="73"/>
      <c r="F5433" s="74"/>
      <c r="G5433" s="72"/>
    </row>
    <row r="5434" spans="1:11" x14ac:dyDescent="0.25">
      <c r="A5434" s="163"/>
      <c r="B5434" s="106"/>
      <c r="C5434" s="73"/>
      <c r="D5434" s="73" t="s">
        <v>1001</v>
      </c>
      <c r="E5434" s="73"/>
      <c r="F5434" s="74" t="s">
        <v>3</v>
      </c>
      <c r="G5434" s="72">
        <f>0.07*0.03*3*8*1.1</f>
        <v>5.544000000000001E-2</v>
      </c>
      <c r="K5434" s="319"/>
    </row>
    <row r="5435" spans="1:11" x14ac:dyDescent="0.25">
      <c r="A5435" s="163"/>
      <c r="B5435" s="106"/>
      <c r="C5435" s="73"/>
      <c r="D5435" s="75" t="s">
        <v>2659</v>
      </c>
      <c r="E5435" s="73"/>
      <c r="F5435" s="74"/>
      <c r="G5435" s="72"/>
    </row>
    <row r="5436" spans="1:11" x14ac:dyDescent="0.25">
      <c r="A5436" s="163"/>
      <c r="B5436" s="106"/>
      <c r="C5436" s="73"/>
      <c r="D5436" s="73" t="s">
        <v>2664</v>
      </c>
      <c r="E5436" s="73"/>
      <c r="F5436" s="74" t="s">
        <v>3</v>
      </c>
      <c r="G5436" s="72">
        <v>0.96499999999999997</v>
      </c>
      <c r="I5436" t="s">
        <v>2668</v>
      </c>
      <c r="K5436" s="319"/>
    </row>
    <row r="5437" spans="1:11" x14ac:dyDescent="0.25">
      <c r="A5437" s="163"/>
      <c r="B5437" s="106"/>
      <c r="C5437" s="73"/>
      <c r="D5437" s="75" t="s">
        <v>2660</v>
      </c>
      <c r="E5437" s="73"/>
      <c r="F5437" s="74"/>
      <c r="G5437" s="72"/>
    </row>
    <row r="5438" spans="1:11" x14ac:dyDescent="0.25">
      <c r="A5438" s="163"/>
      <c r="B5438" s="106"/>
      <c r="C5438" s="73"/>
      <c r="D5438" s="73" t="s">
        <v>2669</v>
      </c>
      <c r="E5438" s="73"/>
      <c r="F5438" s="74" t="s">
        <v>3</v>
      </c>
      <c r="G5438" s="72">
        <f>0.05*0.02*1.5*8*1.12</f>
        <v>1.3440000000000002E-2</v>
      </c>
      <c r="K5438" s="319"/>
    </row>
    <row r="5439" spans="1:11" x14ac:dyDescent="0.25">
      <c r="A5439" s="163"/>
      <c r="B5439" s="106"/>
      <c r="C5439" s="73"/>
      <c r="D5439" s="75" t="s">
        <v>2661</v>
      </c>
      <c r="E5439" s="73"/>
      <c r="F5439" s="74"/>
      <c r="G5439" s="72"/>
    </row>
    <row r="5440" spans="1:11" x14ac:dyDescent="0.25">
      <c r="A5440" s="163"/>
      <c r="B5440" s="106"/>
      <c r="C5440" s="73"/>
      <c r="D5440" s="73" t="s">
        <v>2669</v>
      </c>
      <c r="E5440" s="73"/>
      <c r="F5440" s="74" t="s">
        <v>3</v>
      </c>
      <c r="G5440" s="72">
        <f>0.085*0.015*1.5*8*1.12</f>
        <v>1.7136000000000002E-2</v>
      </c>
    </row>
    <row r="5441" spans="1:11" x14ac:dyDescent="0.25">
      <c r="A5441" s="163"/>
      <c r="B5441" s="106"/>
      <c r="C5441" s="73"/>
      <c r="D5441" s="73"/>
      <c r="E5441" s="73"/>
      <c r="F5441" s="74"/>
      <c r="G5441" s="72"/>
      <c r="H5441" s="2">
        <f>G5440+G5438+G5432+G5430+G5426+G5422+G5420+G5418</f>
        <v>20.771401920000002</v>
      </c>
    </row>
    <row r="5442" spans="1:11" x14ac:dyDescent="0.25">
      <c r="A5442" s="193"/>
      <c r="B5442" s="106">
        <v>2</v>
      </c>
      <c r="C5442" s="75" t="s">
        <v>2080</v>
      </c>
      <c r="D5442" s="73"/>
      <c r="E5442" s="73"/>
      <c r="F5442" s="74"/>
      <c r="G5442" s="72"/>
    </row>
    <row r="5443" spans="1:11" x14ac:dyDescent="0.25">
      <c r="A5443" s="163"/>
      <c r="B5443" s="106"/>
      <c r="C5443" s="73" t="s">
        <v>1902</v>
      </c>
      <c r="D5443" s="73"/>
      <c r="E5443" s="73"/>
      <c r="F5443" s="74" t="s">
        <v>3</v>
      </c>
      <c r="G5443" s="80">
        <f>0.005</f>
        <v>5.0000000000000001E-3</v>
      </c>
    </row>
    <row r="5444" spans="1:11" x14ac:dyDescent="0.25">
      <c r="A5444" s="163"/>
      <c r="B5444" s="106"/>
      <c r="C5444" s="73" t="s">
        <v>1021</v>
      </c>
      <c r="D5444" s="73"/>
      <c r="E5444" s="73"/>
      <c r="F5444" s="74" t="s">
        <v>3</v>
      </c>
      <c r="G5444" s="72">
        <f>G5447</f>
        <v>0.56999167949999996</v>
      </c>
      <c r="K5444" s="319"/>
    </row>
    <row r="5445" spans="1:11" x14ac:dyDescent="0.25">
      <c r="A5445" s="163"/>
      <c r="B5445" s="106"/>
      <c r="C5445" s="73" t="s">
        <v>661</v>
      </c>
      <c r="D5445" s="73"/>
      <c r="E5445" s="73"/>
      <c r="F5445" s="74" t="s">
        <v>3</v>
      </c>
      <c r="G5445" s="72">
        <f>G5444*0.4*0.85</f>
        <v>0.19379717102999999</v>
      </c>
      <c r="K5445" s="319"/>
    </row>
    <row r="5446" spans="1:11" x14ac:dyDescent="0.25">
      <c r="A5446" s="163"/>
      <c r="B5446" s="106"/>
      <c r="C5446" s="73" t="s">
        <v>1993</v>
      </c>
      <c r="D5446" s="73"/>
      <c r="E5446" s="73"/>
      <c r="F5446" s="74" t="s">
        <v>3</v>
      </c>
      <c r="G5446" s="72">
        <f>0.177*G5445</f>
        <v>3.4302099272309997E-2</v>
      </c>
      <c r="K5446" s="319"/>
    </row>
    <row r="5447" spans="1:11" x14ac:dyDescent="0.25">
      <c r="A5447" s="163"/>
      <c r="B5447" s="106"/>
      <c r="C5447" s="73" t="s">
        <v>8</v>
      </c>
      <c r="D5447" s="73"/>
      <c r="E5447" s="73"/>
      <c r="F5447" s="74" t="s">
        <v>3</v>
      </c>
      <c r="G5447" s="72">
        <f>G5449*0.877</f>
        <v>0.56999167949999996</v>
      </c>
      <c r="K5447" s="319"/>
    </row>
    <row r="5448" spans="1:11" x14ac:dyDescent="0.25">
      <c r="A5448" s="163"/>
      <c r="B5448" s="106"/>
      <c r="C5448" s="73" t="s">
        <v>12</v>
      </c>
      <c r="D5448" s="73"/>
      <c r="E5448" s="73"/>
      <c r="F5448" s="74" t="s">
        <v>3</v>
      </c>
      <c r="G5448" s="72">
        <f>0.3*G5447</f>
        <v>0.17099750384999998</v>
      </c>
      <c r="K5448" s="319"/>
    </row>
    <row r="5449" spans="1:11" x14ac:dyDescent="0.25">
      <c r="A5449" s="163"/>
      <c r="B5449" s="106"/>
      <c r="C5449" s="73" t="s">
        <v>72</v>
      </c>
      <c r="D5449" s="73"/>
      <c r="E5449" s="73"/>
      <c r="F5449" s="74" t="s">
        <v>3</v>
      </c>
      <c r="G5449" s="72">
        <f>(1.2*0.55*2+0.175*(1.23*2+0.55*2))*0.15*2*1.115</f>
        <v>0.64993349999999994</v>
      </c>
      <c r="K5449" s="319"/>
    </row>
    <row r="5450" spans="1:11" x14ac:dyDescent="0.25">
      <c r="A5450" s="163"/>
      <c r="B5450" s="106"/>
      <c r="C5450" s="73" t="s">
        <v>11</v>
      </c>
      <c r="D5450" s="73"/>
      <c r="E5450" s="73"/>
      <c r="F5450" s="74" t="s">
        <v>3</v>
      </c>
      <c r="G5450" s="72">
        <f>0.3*G5449</f>
        <v>0.19498004999999999</v>
      </c>
      <c r="K5450" s="319"/>
    </row>
    <row r="5451" spans="1:11" x14ac:dyDescent="0.25">
      <c r="A5451" s="163"/>
      <c r="B5451" s="106"/>
      <c r="C5451" s="73" t="s">
        <v>147</v>
      </c>
      <c r="D5451" s="73"/>
      <c r="E5451" s="73"/>
      <c r="F5451" s="74" t="s">
        <v>3</v>
      </c>
      <c r="G5451" s="72">
        <v>0.12</v>
      </c>
      <c r="K5451" s="319"/>
    </row>
    <row r="5452" spans="1:11" x14ac:dyDescent="0.25">
      <c r="A5452" s="163"/>
      <c r="B5452" s="106"/>
      <c r="C5452" s="73" t="s">
        <v>13</v>
      </c>
      <c r="D5452" s="73"/>
      <c r="E5452" s="73"/>
      <c r="F5452" s="74" t="s">
        <v>3</v>
      </c>
      <c r="G5452" s="72">
        <v>0.85</v>
      </c>
    </row>
    <row r="5453" spans="1:11" x14ac:dyDescent="0.25">
      <c r="A5453" s="163"/>
      <c r="B5453" s="106"/>
      <c r="C5453" s="77" t="s">
        <v>1054</v>
      </c>
      <c r="D5453" s="73"/>
      <c r="E5453" s="73"/>
      <c r="F5453" s="152" t="s">
        <v>3</v>
      </c>
      <c r="G5453" s="72">
        <f>(0.335*2+0.2*2+0.56*2+0.15*2+0.1*3.14+0.025*3.14*2+0.07*4+0.1+1.3*2+1.3+0.6+2.6)*0.08*1.078</f>
        <v>0.90043184000000009</v>
      </c>
      <c r="K5453"/>
    </row>
    <row r="5454" spans="1:11" ht="17.25" x14ac:dyDescent="0.25">
      <c r="A5454" s="163"/>
      <c r="B5454" s="106"/>
      <c r="C5454" s="77" t="s">
        <v>1055</v>
      </c>
      <c r="D5454" s="73"/>
      <c r="E5454" s="73"/>
      <c r="F5454" s="152" t="s">
        <v>596</v>
      </c>
      <c r="G5454" s="72">
        <f>G5453*1.1</f>
        <v>0.9904750240000002</v>
      </c>
      <c r="K5454"/>
    </row>
    <row r="5455" spans="1:11" x14ac:dyDescent="0.25">
      <c r="A5455" s="163"/>
      <c r="B5455" s="106"/>
      <c r="C5455" s="73"/>
      <c r="D5455" s="75" t="s">
        <v>2670</v>
      </c>
      <c r="E5455" s="73"/>
      <c r="F5455" s="74"/>
      <c r="G5455" s="72"/>
      <c r="J5455" s="10"/>
      <c r="K5455"/>
    </row>
    <row r="5456" spans="1:11" x14ac:dyDescent="0.25">
      <c r="A5456" s="163"/>
      <c r="B5456" s="106"/>
      <c r="C5456" s="73"/>
      <c r="D5456" s="73" t="s">
        <v>2669</v>
      </c>
      <c r="E5456" s="73"/>
      <c r="F5456" s="74" t="s">
        <v>3</v>
      </c>
      <c r="G5456" s="72">
        <f>(1.15*(0.485*2+0.195))*1.5*8*1.1507</f>
        <v>18.4998039</v>
      </c>
      <c r="J5456" s="10"/>
      <c r="K5456"/>
    </row>
    <row r="5457" spans="1:11" x14ac:dyDescent="0.25">
      <c r="A5457" s="163"/>
      <c r="B5457" s="106"/>
      <c r="C5457" s="73"/>
      <c r="D5457" s="75" t="s">
        <v>2671</v>
      </c>
      <c r="E5457" s="73"/>
      <c r="F5457" s="74"/>
      <c r="G5457" s="72"/>
      <c r="K5457" s="318"/>
    </row>
    <row r="5458" spans="1:11" x14ac:dyDescent="0.25">
      <c r="A5458" s="163"/>
      <c r="B5458" s="106"/>
      <c r="C5458" s="73"/>
      <c r="D5458" s="73" t="s">
        <v>2669</v>
      </c>
      <c r="E5458" s="73"/>
      <c r="F5458" s="74" t="s">
        <v>3</v>
      </c>
      <c r="G5458" s="72">
        <f>1.2*0.36*1.5*8*1.12-0.006</f>
        <v>5.8000800000000003</v>
      </c>
      <c r="K5458" s="319"/>
    </row>
    <row r="5459" spans="1:11" x14ac:dyDescent="0.25">
      <c r="A5459" s="163"/>
      <c r="B5459" s="106"/>
      <c r="C5459" s="73"/>
      <c r="D5459" s="75" t="s">
        <v>2672</v>
      </c>
      <c r="E5459" s="73"/>
      <c r="F5459" s="74"/>
      <c r="G5459" s="72"/>
      <c r="K5459" s="318"/>
    </row>
    <row r="5460" spans="1:11" x14ac:dyDescent="0.25">
      <c r="A5460" s="163"/>
      <c r="B5460" s="106"/>
      <c r="C5460" s="73"/>
      <c r="D5460" s="73" t="s">
        <v>2669</v>
      </c>
      <c r="E5460" s="73"/>
      <c r="F5460" s="74" t="s">
        <v>3</v>
      </c>
      <c r="G5460" s="72">
        <f>0.655*0.25*1.5*8*1.12-0.001</f>
        <v>2.1998000000000002</v>
      </c>
      <c r="K5460" s="319"/>
    </row>
    <row r="5461" spans="1:11" x14ac:dyDescent="0.25">
      <c r="A5461" s="163"/>
      <c r="B5461" s="106"/>
      <c r="C5461" s="73"/>
      <c r="D5461" s="75" t="s">
        <v>2673</v>
      </c>
      <c r="E5461" s="73"/>
      <c r="F5461" s="74"/>
      <c r="G5461" s="72"/>
      <c r="K5461" s="318"/>
    </row>
    <row r="5462" spans="1:11" x14ac:dyDescent="0.25">
      <c r="A5462" s="163"/>
      <c r="B5462" s="106"/>
      <c r="C5462" s="73"/>
      <c r="D5462" s="73" t="s">
        <v>2669</v>
      </c>
      <c r="E5462" s="73"/>
      <c r="F5462" s="74" t="s">
        <v>3</v>
      </c>
      <c r="G5462" s="72">
        <f>0.45*0.29*1.5*8*1.124</f>
        <v>1.7601840000000002</v>
      </c>
      <c r="K5462" s="319"/>
    </row>
    <row r="5463" spans="1:11" x14ac:dyDescent="0.25">
      <c r="A5463" s="163"/>
      <c r="B5463" s="106"/>
      <c r="C5463" s="73"/>
      <c r="D5463" s="75" t="s">
        <v>2674</v>
      </c>
      <c r="E5463" s="73"/>
      <c r="F5463" s="74"/>
      <c r="G5463" s="72"/>
      <c r="K5463" s="318"/>
    </row>
    <row r="5464" spans="1:11" x14ac:dyDescent="0.25">
      <c r="A5464" s="163"/>
      <c r="B5464" s="106"/>
      <c r="C5464" s="73"/>
      <c r="D5464" s="73" t="s">
        <v>2669</v>
      </c>
      <c r="E5464" s="73"/>
      <c r="F5464" s="74" t="s">
        <v>3</v>
      </c>
      <c r="G5464" s="72">
        <f>0.46*0.2*1.5*8*1.123</f>
        <v>1.239792</v>
      </c>
      <c r="K5464" s="319"/>
    </row>
    <row r="5465" spans="1:11" x14ac:dyDescent="0.25">
      <c r="A5465" s="163"/>
      <c r="B5465" s="106"/>
      <c r="C5465" s="73"/>
      <c r="D5465" s="75" t="s">
        <v>2675</v>
      </c>
      <c r="E5465" s="73"/>
      <c r="F5465" s="74"/>
      <c r="G5465" s="72"/>
      <c r="K5465" s="318"/>
    </row>
    <row r="5466" spans="1:11" x14ac:dyDescent="0.25">
      <c r="A5466" s="163"/>
      <c r="B5466" s="106"/>
      <c r="C5466" s="73"/>
      <c r="D5466" s="73" t="s">
        <v>2669</v>
      </c>
      <c r="E5466" s="73"/>
      <c r="F5466" s="74" t="s">
        <v>3</v>
      </c>
      <c r="G5466" s="72">
        <f>0.46*0.23*1.5*8*1.126</f>
        <v>1.4295696</v>
      </c>
      <c r="K5466" s="319"/>
    </row>
    <row r="5467" spans="1:11" x14ac:dyDescent="0.25">
      <c r="A5467" s="163"/>
      <c r="B5467" s="106"/>
      <c r="C5467" s="73"/>
      <c r="D5467" s="75" t="s">
        <v>2676</v>
      </c>
      <c r="E5467" s="73"/>
      <c r="F5467" s="74"/>
      <c r="G5467" s="72"/>
      <c r="K5467" s="318"/>
    </row>
    <row r="5468" spans="1:11" x14ac:dyDescent="0.25">
      <c r="A5468" s="163"/>
      <c r="B5468" s="106"/>
      <c r="C5468" s="73"/>
      <c r="D5468" s="73" t="s">
        <v>2669</v>
      </c>
      <c r="E5468" s="73"/>
      <c r="F5468" s="74" t="s">
        <v>3</v>
      </c>
      <c r="G5468" s="72">
        <f>0.44*0.21*1.5*8*1.127</f>
        <v>1.2496176000000001</v>
      </c>
      <c r="K5468" s="319"/>
    </row>
    <row r="5469" spans="1:11" x14ac:dyDescent="0.25">
      <c r="A5469" s="163"/>
      <c r="B5469" s="106"/>
      <c r="C5469" s="73"/>
      <c r="D5469" s="75" t="s">
        <v>2677</v>
      </c>
      <c r="E5469" s="73"/>
      <c r="F5469" s="74"/>
      <c r="G5469" s="72"/>
      <c r="K5469" s="318"/>
    </row>
    <row r="5470" spans="1:11" x14ac:dyDescent="0.25">
      <c r="A5470" s="163"/>
      <c r="B5470" s="106"/>
      <c r="C5470" s="73"/>
      <c r="D5470" s="73" t="s">
        <v>2664</v>
      </c>
      <c r="E5470" s="73"/>
      <c r="F5470" s="74" t="s">
        <v>3</v>
      </c>
      <c r="G5470" s="72">
        <v>1.35</v>
      </c>
      <c r="I5470" t="s">
        <v>2679</v>
      </c>
      <c r="K5470" s="319"/>
    </row>
    <row r="5471" spans="1:11" x14ac:dyDescent="0.25">
      <c r="A5471" s="163"/>
      <c r="B5471" s="106"/>
      <c r="C5471" s="73"/>
      <c r="D5471" s="75" t="s">
        <v>2678</v>
      </c>
      <c r="E5471" s="73"/>
      <c r="F5471" s="74"/>
      <c r="G5471" s="72"/>
      <c r="K5471" s="318"/>
    </row>
    <row r="5472" spans="1:11" x14ac:dyDescent="0.25">
      <c r="A5472" s="163"/>
      <c r="B5472" s="106"/>
      <c r="C5472" s="73"/>
      <c r="D5472" s="73" t="s">
        <v>2669</v>
      </c>
      <c r="E5472" s="73"/>
      <c r="F5472" s="74" t="s">
        <v>3</v>
      </c>
      <c r="G5472" s="72">
        <f>0.035*0.015*1.5*8*1.12</f>
        <v>7.0560000000000015E-3</v>
      </c>
      <c r="K5472" s="318"/>
    </row>
    <row r="5473" spans="1:11" x14ac:dyDescent="0.25">
      <c r="A5473" s="163"/>
      <c r="B5473" s="106"/>
      <c r="C5473" s="73"/>
      <c r="D5473" s="73"/>
      <c r="E5473" s="73"/>
      <c r="F5473" s="74"/>
      <c r="G5473" s="72">
        <f>SUM(G5456:G5472)-G5470</f>
        <v>32.185903099999997</v>
      </c>
      <c r="H5473">
        <f>43/4*3</f>
        <v>32.25</v>
      </c>
      <c r="K5473" s="318"/>
    </row>
    <row r="5474" spans="1:11" x14ac:dyDescent="0.25">
      <c r="A5474" s="193"/>
      <c r="B5474" s="106">
        <v>3</v>
      </c>
      <c r="C5474" s="75" t="s">
        <v>2081</v>
      </c>
      <c r="D5474" s="73"/>
      <c r="E5474" s="73"/>
      <c r="F5474" s="74"/>
      <c r="G5474" s="72"/>
      <c r="K5474" s="318"/>
    </row>
    <row r="5475" spans="1:11" x14ac:dyDescent="0.25">
      <c r="A5475" s="163"/>
      <c r="B5475" s="106"/>
      <c r="C5475" s="73" t="s">
        <v>1902</v>
      </c>
      <c r="D5475" s="73"/>
      <c r="E5475" s="73"/>
      <c r="F5475" s="74" t="s">
        <v>3</v>
      </c>
      <c r="G5475" s="80">
        <f>0.005</f>
        <v>5.0000000000000001E-3</v>
      </c>
      <c r="K5475" s="318"/>
    </row>
    <row r="5476" spans="1:11" x14ac:dyDescent="0.25">
      <c r="A5476" s="163"/>
      <c r="B5476" s="106"/>
      <c r="C5476" s="73" t="s">
        <v>1021</v>
      </c>
      <c r="D5476" s="73"/>
      <c r="E5476" s="73"/>
      <c r="F5476" s="74" t="s">
        <v>3</v>
      </c>
      <c r="G5476" s="72">
        <f>G5479</f>
        <v>0.63045105020000003</v>
      </c>
      <c r="K5476" s="318"/>
    </row>
    <row r="5477" spans="1:11" x14ac:dyDescent="0.25">
      <c r="A5477" s="163"/>
      <c r="B5477" s="106"/>
      <c r="C5477" s="73" t="s">
        <v>661</v>
      </c>
      <c r="D5477" s="73"/>
      <c r="E5477" s="73"/>
      <c r="F5477" s="74" t="s">
        <v>3</v>
      </c>
      <c r="G5477" s="72">
        <f>G5476*0.4*0.85+0.001</f>
        <v>0.21535335706800002</v>
      </c>
      <c r="K5477" s="318"/>
    </row>
    <row r="5478" spans="1:11" x14ac:dyDescent="0.25">
      <c r="A5478" s="163"/>
      <c r="B5478" s="106"/>
      <c r="C5478" s="73" t="s">
        <v>1993</v>
      </c>
      <c r="D5478" s="73"/>
      <c r="E5478" s="73"/>
      <c r="F5478" s="74" t="s">
        <v>3</v>
      </c>
      <c r="G5478" s="72">
        <f>0.177*G5477</f>
        <v>3.8117544201036004E-2</v>
      </c>
      <c r="K5478" s="318"/>
    </row>
    <row r="5479" spans="1:11" x14ac:dyDescent="0.25">
      <c r="A5479" s="163"/>
      <c r="B5479" s="106"/>
      <c r="C5479" s="73" t="s">
        <v>8</v>
      </c>
      <c r="D5479" s="73"/>
      <c r="E5479" s="73"/>
      <c r="F5479" s="74" t="s">
        <v>3</v>
      </c>
      <c r="G5479" s="72">
        <f>G5481*0.877-0.001</f>
        <v>0.63045105020000003</v>
      </c>
    </row>
    <row r="5480" spans="1:11" x14ac:dyDescent="0.25">
      <c r="A5480" s="163"/>
      <c r="B5480" s="106"/>
      <c r="C5480" s="73" t="s">
        <v>12</v>
      </c>
      <c r="D5480" s="73"/>
      <c r="E5480" s="73"/>
      <c r="F5480" s="74" t="s">
        <v>3</v>
      </c>
      <c r="G5480" s="72">
        <f>0.3*G5479+0.001</f>
        <v>0.19013531506</v>
      </c>
    </row>
    <row r="5481" spans="1:11" x14ac:dyDescent="0.25">
      <c r="A5481" s="163"/>
      <c r="B5481" s="106"/>
      <c r="C5481" s="73" t="s">
        <v>72</v>
      </c>
      <c r="D5481" s="73"/>
      <c r="E5481" s="73"/>
      <c r="F5481" s="74" t="s">
        <v>3</v>
      </c>
      <c r="G5481" s="72">
        <f>(1.24*0.5*2+0.265*(1.24*2+0.5*2))*0.15*2*1.11</f>
        <v>0.7200126</v>
      </c>
      <c r="H5481" s="10"/>
    </row>
    <row r="5482" spans="1:11" x14ac:dyDescent="0.25">
      <c r="A5482" s="163"/>
      <c r="B5482" s="106"/>
      <c r="C5482" s="73" t="s">
        <v>11</v>
      </c>
      <c r="D5482" s="73"/>
      <c r="E5482" s="73"/>
      <c r="F5482" s="74" t="s">
        <v>3</v>
      </c>
      <c r="G5482" s="72">
        <f>0.3*G5481</f>
        <v>0.21600378000000001</v>
      </c>
    </row>
    <row r="5483" spans="1:11" x14ac:dyDescent="0.25">
      <c r="A5483" s="163"/>
      <c r="B5483" s="106"/>
      <c r="C5483" s="73" t="s">
        <v>147</v>
      </c>
      <c r="D5483" s="73"/>
      <c r="E5483" s="73"/>
      <c r="F5483" s="74" t="s">
        <v>3</v>
      </c>
      <c r="G5483" s="72">
        <v>0.12</v>
      </c>
    </row>
    <row r="5484" spans="1:11" x14ac:dyDescent="0.25">
      <c r="A5484" s="163"/>
      <c r="B5484" s="106"/>
      <c r="C5484" s="73" t="s">
        <v>13</v>
      </c>
      <c r="D5484" s="73"/>
      <c r="E5484" s="73"/>
      <c r="F5484" s="74" t="s">
        <v>3</v>
      </c>
      <c r="G5484" s="72">
        <v>0.85</v>
      </c>
    </row>
    <row r="5485" spans="1:11" x14ac:dyDescent="0.25">
      <c r="A5485" s="163"/>
      <c r="B5485" s="106"/>
      <c r="C5485" s="77" t="s">
        <v>1054</v>
      </c>
      <c r="D5485" s="73"/>
      <c r="E5485" s="73"/>
      <c r="F5485" s="152" t="s">
        <v>3</v>
      </c>
      <c r="G5485" s="72">
        <f>(0.55*2+0.235*2+0.195*2+0.4*2+0.1*3.14+0.07*4+0.025*3.14+0.1+0.84*2+1.3*2+0.6+2)*0.08*1.08</f>
        <v>0.89964</v>
      </c>
    </row>
    <row r="5486" spans="1:11" ht="17.25" x14ac:dyDescent="0.25">
      <c r="A5486" s="163"/>
      <c r="B5486" s="106"/>
      <c r="C5486" s="77" t="s">
        <v>1055</v>
      </c>
      <c r="D5486" s="73"/>
      <c r="E5486" s="73"/>
      <c r="F5486" s="152" t="s">
        <v>596</v>
      </c>
      <c r="G5486" s="72">
        <f>G5485*1.1</f>
        <v>0.98960400000000004</v>
      </c>
    </row>
    <row r="5487" spans="1:11" x14ac:dyDescent="0.25">
      <c r="A5487" s="163"/>
      <c r="B5487" s="106"/>
      <c r="C5487" s="73"/>
      <c r="D5487" s="78" t="s">
        <v>2680</v>
      </c>
      <c r="E5487" s="73"/>
      <c r="F5487" s="74"/>
      <c r="G5487" s="72"/>
    </row>
    <row r="5488" spans="1:11" x14ac:dyDescent="0.25">
      <c r="A5488" s="163"/>
      <c r="B5488" s="106"/>
      <c r="C5488" s="73"/>
      <c r="D5488" s="73" t="s">
        <v>2669</v>
      </c>
      <c r="E5488" s="73"/>
      <c r="F5488" s="152" t="s">
        <v>3</v>
      </c>
      <c r="G5488" s="72">
        <f>(1.16*(0.55+0.45+0.235))*1.5*8*1.1634</f>
        <v>20.000242079999992</v>
      </c>
      <c r="K5488" s="319"/>
    </row>
    <row r="5489" spans="1:11" x14ac:dyDescent="0.25">
      <c r="A5489" s="163"/>
      <c r="B5489" s="106"/>
      <c r="C5489" s="73"/>
      <c r="D5489" s="78" t="s">
        <v>2681</v>
      </c>
      <c r="E5489" s="73"/>
      <c r="F5489" s="74"/>
      <c r="G5489" s="72"/>
    </row>
    <row r="5490" spans="1:11" x14ac:dyDescent="0.25">
      <c r="A5490" s="163"/>
      <c r="B5490" s="106"/>
      <c r="C5490" s="73"/>
      <c r="D5490" s="73" t="s">
        <v>2669</v>
      </c>
      <c r="E5490" s="73"/>
      <c r="F5490" s="152" t="s">
        <v>3</v>
      </c>
      <c r="G5490" s="72">
        <f>1.2*0.27*1.5*8*1.1318</f>
        <v>4.4004383999999996</v>
      </c>
      <c r="K5490" s="319"/>
    </row>
    <row r="5491" spans="1:11" x14ac:dyDescent="0.25">
      <c r="A5491" s="163"/>
      <c r="B5491" s="106"/>
      <c r="C5491" s="73"/>
      <c r="D5491" s="78" t="s">
        <v>2682</v>
      </c>
      <c r="E5491" s="73"/>
      <c r="F5491" s="74"/>
      <c r="G5491" s="72"/>
    </row>
    <row r="5492" spans="1:11" x14ac:dyDescent="0.25">
      <c r="A5492" s="163"/>
      <c r="B5492" s="106"/>
      <c r="C5492" s="73"/>
      <c r="D5492" s="73" t="s">
        <v>2669</v>
      </c>
      <c r="E5492" s="73"/>
      <c r="F5492" s="152" t="s">
        <v>3</v>
      </c>
      <c r="G5492" s="72">
        <f>0.49*0.29*1.5*8*1.173</f>
        <v>2.0001995999999997</v>
      </c>
      <c r="K5492" s="319"/>
    </row>
    <row r="5493" spans="1:11" x14ac:dyDescent="0.25">
      <c r="A5493" s="163"/>
      <c r="B5493" s="106"/>
      <c r="C5493" s="73"/>
      <c r="D5493" s="78" t="s">
        <v>2683</v>
      </c>
      <c r="E5493" s="73"/>
      <c r="F5493" s="74"/>
      <c r="G5493" s="72"/>
    </row>
    <row r="5494" spans="1:11" x14ac:dyDescent="0.25">
      <c r="A5494" s="163"/>
      <c r="B5494" s="106"/>
      <c r="C5494" s="73"/>
      <c r="D5494" s="73" t="s">
        <v>2669</v>
      </c>
      <c r="E5494" s="73"/>
      <c r="F5494" s="152" t="s">
        <v>3</v>
      </c>
      <c r="G5494" s="72">
        <f>0.65*0.33*1.5*8*1.1655</f>
        <v>2.9999970000000005</v>
      </c>
      <c r="K5494" s="319"/>
    </row>
    <row r="5495" spans="1:11" x14ac:dyDescent="0.25">
      <c r="A5495" s="163"/>
      <c r="B5495" s="106"/>
      <c r="C5495" s="73"/>
      <c r="D5495" s="78" t="s">
        <v>2684</v>
      </c>
      <c r="E5495" s="73"/>
      <c r="F5495" s="74"/>
      <c r="G5495" s="72"/>
    </row>
    <row r="5496" spans="1:11" x14ac:dyDescent="0.25">
      <c r="A5496" s="163"/>
      <c r="B5496" s="106"/>
      <c r="C5496" s="73"/>
      <c r="D5496" s="73" t="s">
        <v>2669</v>
      </c>
      <c r="E5496" s="73"/>
      <c r="F5496" s="152" t="s">
        <v>3</v>
      </c>
      <c r="G5496" s="72">
        <f>0.35*0.24*1.5*8*1.19</f>
        <v>1.1995199999999999</v>
      </c>
      <c r="K5496" s="319"/>
    </row>
    <row r="5497" spans="1:11" x14ac:dyDescent="0.25">
      <c r="A5497" s="163"/>
      <c r="B5497" s="106"/>
      <c r="C5497" s="73"/>
      <c r="D5497" s="78" t="s">
        <v>2685</v>
      </c>
      <c r="E5497" s="73"/>
      <c r="F5497" s="74"/>
      <c r="G5497" s="72"/>
    </row>
    <row r="5498" spans="1:11" x14ac:dyDescent="0.25">
      <c r="A5498" s="163"/>
      <c r="B5498" s="106"/>
      <c r="C5498" s="73"/>
      <c r="D5498" s="73" t="s">
        <v>2669</v>
      </c>
      <c r="E5498" s="73"/>
      <c r="F5498" s="152" t="s">
        <v>3</v>
      </c>
      <c r="G5498" s="72">
        <f>0.45*0.26*1.5*8*1.175</f>
        <v>1.6497000000000002</v>
      </c>
      <c r="K5498" s="319"/>
    </row>
    <row r="5499" spans="1:11" x14ac:dyDescent="0.25">
      <c r="A5499" s="163"/>
      <c r="B5499" s="106"/>
      <c r="C5499" s="73"/>
      <c r="D5499" s="78" t="s">
        <v>2686</v>
      </c>
      <c r="E5499" s="73"/>
      <c r="F5499" s="74"/>
      <c r="G5499" s="72"/>
    </row>
    <row r="5500" spans="1:11" x14ac:dyDescent="0.25">
      <c r="A5500" s="163"/>
      <c r="B5500" s="106"/>
      <c r="C5500" s="73"/>
      <c r="D5500" s="73" t="s">
        <v>2669</v>
      </c>
      <c r="E5500" s="73"/>
      <c r="F5500" s="152" t="s">
        <v>3</v>
      </c>
      <c r="G5500" s="72">
        <f>0.44*0.26*1.5*8*1.1655</f>
        <v>1.5999984</v>
      </c>
      <c r="K5500" s="319"/>
    </row>
    <row r="5501" spans="1:11" x14ac:dyDescent="0.25">
      <c r="A5501" s="163"/>
      <c r="B5501" s="106"/>
      <c r="C5501" s="73"/>
      <c r="D5501" s="78" t="s">
        <v>2687</v>
      </c>
      <c r="E5501" s="73"/>
      <c r="F5501" s="74"/>
      <c r="G5501" s="72"/>
    </row>
    <row r="5502" spans="1:11" x14ac:dyDescent="0.25">
      <c r="A5502" s="163"/>
      <c r="B5502" s="106"/>
      <c r="C5502" s="73"/>
      <c r="D5502" s="73" t="s">
        <v>2664</v>
      </c>
      <c r="E5502" s="73"/>
      <c r="F5502" s="152" t="s">
        <v>3</v>
      </c>
      <c r="G5502" s="72">
        <v>1.3</v>
      </c>
      <c r="I5502" t="s">
        <v>2688</v>
      </c>
    </row>
    <row r="5503" spans="1:11" x14ac:dyDescent="0.25">
      <c r="A5503" s="163"/>
      <c r="B5503" s="106"/>
      <c r="C5503" s="73"/>
      <c r="D5503" s="73"/>
      <c r="E5503" s="73"/>
      <c r="F5503" s="74"/>
      <c r="G5503" s="72">
        <f>G5500+G5498+G5496+G5494+G5492+G5490+G5488</f>
        <v>33.850095479999993</v>
      </c>
    </row>
    <row r="5504" spans="1:11" x14ac:dyDescent="0.25">
      <c r="A5504" s="193"/>
      <c r="B5504" s="106">
        <v>4</v>
      </c>
      <c r="C5504" s="75" t="s">
        <v>2105</v>
      </c>
      <c r="D5504" s="73"/>
      <c r="E5504" s="73"/>
      <c r="F5504" s="74"/>
      <c r="G5504" s="72"/>
    </row>
    <row r="5505" spans="1:11" x14ac:dyDescent="0.25">
      <c r="A5505" s="163"/>
      <c r="B5505" s="106"/>
      <c r="C5505" s="73" t="s">
        <v>1902</v>
      </c>
      <c r="D5505" s="73"/>
      <c r="E5505" s="73"/>
      <c r="F5505" s="74" t="s">
        <v>3</v>
      </c>
      <c r="G5505" s="80">
        <f>0.005</f>
        <v>5.0000000000000001E-3</v>
      </c>
    </row>
    <row r="5506" spans="1:11" x14ac:dyDescent="0.25">
      <c r="A5506" s="163"/>
      <c r="B5506" s="106"/>
      <c r="C5506" s="73" t="s">
        <v>1021</v>
      </c>
      <c r="D5506" s="73"/>
      <c r="E5506" s="73"/>
      <c r="F5506" s="74" t="s">
        <v>3</v>
      </c>
      <c r="G5506" s="72">
        <f>G5509</f>
        <v>0.55952952202000006</v>
      </c>
    </row>
    <row r="5507" spans="1:11" x14ac:dyDescent="0.25">
      <c r="A5507" s="163"/>
      <c r="B5507" s="106"/>
      <c r="C5507" s="73" t="s">
        <v>661</v>
      </c>
      <c r="D5507" s="73"/>
      <c r="E5507" s="73"/>
      <c r="F5507" s="74" t="s">
        <v>3</v>
      </c>
      <c r="G5507" s="72">
        <f>G5506*0.4*0.85</f>
        <v>0.19024003748680002</v>
      </c>
    </row>
    <row r="5508" spans="1:11" x14ac:dyDescent="0.25">
      <c r="A5508" s="163"/>
      <c r="B5508" s="106"/>
      <c r="C5508" s="73" t="s">
        <v>1993</v>
      </c>
      <c r="D5508" s="73"/>
      <c r="E5508" s="73"/>
      <c r="F5508" s="74" t="s">
        <v>3</v>
      </c>
      <c r="G5508" s="72">
        <f>0.177*G5507</f>
        <v>3.3672486635163604E-2</v>
      </c>
    </row>
    <row r="5509" spans="1:11" x14ac:dyDescent="0.25">
      <c r="A5509" s="163"/>
      <c r="B5509" s="106"/>
      <c r="C5509" s="73" t="s">
        <v>8</v>
      </c>
      <c r="D5509" s="73"/>
      <c r="E5509" s="73"/>
      <c r="F5509" s="74" t="s">
        <v>3</v>
      </c>
      <c r="G5509" s="72">
        <f>G5511*0.877+0.007</f>
        <v>0.55952952202000006</v>
      </c>
    </row>
    <row r="5510" spans="1:11" x14ac:dyDescent="0.25">
      <c r="A5510" s="163"/>
      <c r="B5510" s="106"/>
      <c r="C5510" s="73" t="s">
        <v>12</v>
      </c>
      <c r="D5510" s="73"/>
      <c r="E5510" s="73"/>
      <c r="F5510" s="74" t="s">
        <v>3</v>
      </c>
      <c r="G5510" s="72">
        <f>0.3*G5509+0.002</f>
        <v>0.169858856606</v>
      </c>
    </row>
    <row r="5511" spans="1:11" x14ac:dyDescent="0.25">
      <c r="A5511" s="163"/>
      <c r="B5511" s="106"/>
      <c r="C5511" s="73" t="s">
        <v>72</v>
      </c>
      <c r="D5511" s="73"/>
      <c r="E5511" s="73"/>
      <c r="F5511" s="74" t="s">
        <v>3</v>
      </c>
      <c r="G5511" s="72">
        <f>(0.98*0.56*2+0.235*(0.98*2+0.56*2))*0.15*2*1.153</f>
        <v>0.63002226000000006</v>
      </c>
    </row>
    <row r="5512" spans="1:11" x14ac:dyDescent="0.25">
      <c r="A5512" s="163"/>
      <c r="B5512" s="106"/>
      <c r="C5512" s="73" t="s">
        <v>11</v>
      </c>
      <c r="D5512" s="73"/>
      <c r="E5512" s="73"/>
      <c r="F5512" s="74" t="s">
        <v>3</v>
      </c>
      <c r="G5512" s="72">
        <f>0.3*G5511+0.001</f>
        <v>0.19000667800000001</v>
      </c>
    </row>
    <row r="5513" spans="1:11" x14ac:dyDescent="0.25">
      <c r="A5513" s="163"/>
      <c r="B5513" s="106"/>
      <c r="C5513" s="73" t="s">
        <v>147</v>
      </c>
      <c r="D5513" s="73"/>
      <c r="E5513" s="73"/>
      <c r="F5513" s="74" t="s">
        <v>3</v>
      </c>
      <c r="G5513" s="72">
        <v>0.1</v>
      </c>
    </row>
    <row r="5514" spans="1:11" x14ac:dyDescent="0.25">
      <c r="A5514" s="163"/>
      <c r="B5514" s="106"/>
      <c r="C5514" s="73" t="s">
        <v>13</v>
      </c>
      <c r="D5514" s="73"/>
      <c r="E5514" s="73"/>
      <c r="F5514" s="74" t="s">
        <v>3</v>
      </c>
      <c r="G5514" s="72">
        <v>0.8</v>
      </c>
    </row>
    <row r="5515" spans="1:11" x14ac:dyDescent="0.25">
      <c r="A5515" s="163"/>
      <c r="B5515" s="106"/>
      <c r="C5515" s="77" t="s">
        <v>1054</v>
      </c>
      <c r="D5515" s="73"/>
      <c r="E5515" s="73"/>
      <c r="F5515" s="152" t="s">
        <v>3</v>
      </c>
      <c r="G5515" s="72">
        <f>(0.56*4+0.235*4+0.1*3.14+0.3+0.25*3.14*2+0.1+2+2)*0.08*1.056</f>
        <v>0.79951871999999991</v>
      </c>
    </row>
    <row r="5516" spans="1:11" ht="17.25" x14ac:dyDescent="0.25">
      <c r="A5516" s="163"/>
      <c r="B5516" s="106"/>
      <c r="C5516" s="77" t="s">
        <v>1055</v>
      </c>
      <c r="D5516" s="73"/>
      <c r="E5516" s="73"/>
      <c r="F5516" s="74" t="s">
        <v>596</v>
      </c>
      <c r="G5516" s="72">
        <f>G5515*1.1+0.001</f>
        <v>0.880470592</v>
      </c>
    </row>
    <row r="5517" spans="1:11" x14ac:dyDescent="0.25">
      <c r="A5517" s="163"/>
      <c r="B5517" s="106"/>
      <c r="C5517" s="73"/>
      <c r="D5517" s="75" t="s">
        <v>2690</v>
      </c>
      <c r="E5517" s="73"/>
      <c r="F5517" s="96"/>
      <c r="G5517" s="72"/>
    </row>
    <row r="5518" spans="1:11" x14ac:dyDescent="0.25">
      <c r="A5518" s="163"/>
      <c r="B5518" s="106"/>
      <c r="C5518" s="73"/>
      <c r="D5518" s="73" t="s">
        <v>2669</v>
      </c>
      <c r="E5518" s="73"/>
      <c r="F5518" s="74" t="s">
        <v>3</v>
      </c>
      <c r="G5518" s="72">
        <f>1.25*0.9*1.5*8*1.14815</f>
        <v>15.500025000000001</v>
      </c>
      <c r="K5518" s="323"/>
    </row>
    <row r="5519" spans="1:11" x14ac:dyDescent="0.25">
      <c r="A5519" s="163"/>
      <c r="B5519" s="106"/>
      <c r="C5519" s="73"/>
      <c r="D5519" s="75" t="s">
        <v>2691</v>
      </c>
      <c r="E5519" s="73"/>
      <c r="F5519" s="96"/>
      <c r="G5519" s="72"/>
    </row>
    <row r="5520" spans="1:11" x14ac:dyDescent="0.25">
      <c r="A5520" s="163"/>
      <c r="B5520" s="106"/>
      <c r="C5520" s="73"/>
      <c r="D5520" s="73" t="s">
        <v>2669</v>
      </c>
      <c r="E5520" s="73"/>
      <c r="F5520" s="74" t="s">
        <v>3</v>
      </c>
      <c r="G5520" s="72">
        <f>0.655*0.34*1.5*8*1.1225</f>
        <v>2.9997690000000006</v>
      </c>
      <c r="K5520" s="323"/>
    </row>
    <row r="5521" spans="1:11" x14ac:dyDescent="0.25">
      <c r="A5521" s="163"/>
      <c r="B5521" s="106"/>
      <c r="C5521" s="73"/>
      <c r="D5521" s="75" t="s">
        <v>2692</v>
      </c>
      <c r="E5521" s="73"/>
      <c r="F5521" s="96"/>
      <c r="G5521" s="72"/>
    </row>
    <row r="5522" spans="1:11" x14ac:dyDescent="0.25">
      <c r="A5522" s="163"/>
      <c r="B5522" s="106"/>
      <c r="C5522" s="73"/>
      <c r="D5522" s="73" t="s">
        <v>2669</v>
      </c>
      <c r="E5522" s="73"/>
      <c r="F5522" s="74" t="s">
        <v>3</v>
      </c>
      <c r="G5522" s="72">
        <f>0.34*0.9*1.5*8*1.1437</f>
        <v>4.1996664000000008</v>
      </c>
      <c r="K5522" s="323"/>
    </row>
    <row r="5523" spans="1:11" x14ac:dyDescent="0.25">
      <c r="A5523" s="163"/>
      <c r="B5523" s="106"/>
      <c r="C5523" s="73"/>
      <c r="D5523" s="75" t="s">
        <v>2693</v>
      </c>
      <c r="E5523" s="73"/>
      <c r="F5523" s="96"/>
      <c r="G5523" s="72"/>
    </row>
    <row r="5524" spans="1:11" x14ac:dyDescent="0.25">
      <c r="A5524" s="163"/>
      <c r="B5524" s="106"/>
      <c r="C5524" s="73"/>
      <c r="D5524" s="73" t="s">
        <v>2669</v>
      </c>
      <c r="E5524" s="73"/>
      <c r="F5524" s="74" t="s">
        <v>3</v>
      </c>
      <c r="G5524" s="72">
        <f>0.655*0.34*1.5*8*1.1225</f>
        <v>2.9997690000000006</v>
      </c>
      <c r="K5524" s="323"/>
    </row>
    <row r="5525" spans="1:11" x14ac:dyDescent="0.25">
      <c r="A5525" s="163"/>
      <c r="B5525" s="106"/>
      <c r="C5525" s="73"/>
      <c r="D5525" s="75" t="s">
        <v>2694</v>
      </c>
      <c r="E5525" s="73"/>
      <c r="F5525" s="96"/>
      <c r="G5525" s="72"/>
    </row>
    <row r="5526" spans="1:11" x14ac:dyDescent="0.25">
      <c r="A5526" s="163"/>
      <c r="B5526" s="106"/>
      <c r="C5526" s="73"/>
      <c r="D5526" s="73" t="s">
        <v>2669</v>
      </c>
      <c r="E5526" s="73"/>
      <c r="F5526" s="74" t="s">
        <v>3</v>
      </c>
      <c r="G5526" s="72">
        <f>0.335*0.28*1.5*8*1.155</f>
        <v>1.3000680000000002</v>
      </c>
      <c r="K5526" s="323"/>
    </row>
    <row r="5527" spans="1:11" x14ac:dyDescent="0.25">
      <c r="A5527" s="163"/>
      <c r="B5527" s="106"/>
      <c r="C5527" s="73"/>
      <c r="D5527" s="75" t="s">
        <v>2695</v>
      </c>
      <c r="E5527" s="73"/>
      <c r="F5527" s="96"/>
      <c r="G5527" s="72"/>
    </row>
    <row r="5528" spans="1:11" x14ac:dyDescent="0.25">
      <c r="A5528" s="163"/>
      <c r="B5528" s="106"/>
      <c r="C5528" s="73"/>
      <c r="D5528" s="73" t="s">
        <v>2669</v>
      </c>
      <c r="E5528" s="73"/>
      <c r="F5528" s="74" t="s">
        <v>3</v>
      </c>
      <c r="G5528" s="72">
        <f>0.34*0.275*1.5*8*1.15</f>
        <v>1.2903</v>
      </c>
      <c r="K5528" s="323"/>
    </row>
    <row r="5529" spans="1:11" x14ac:dyDescent="0.25">
      <c r="A5529" s="163"/>
      <c r="B5529" s="106"/>
      <c r="C5529" s="73"/>
      <c r="D5529" s="75" t="s">
        <v>2696</v>
      </c>
      <c r="E5529" s="73"/>
      <c r="F5529" s="96"/>
      <c r="G5529" s="72"/>
    </row>
    <row r="5530" spans="1:11" x14ac:dyDescent="0.25">
      <c r="A5530" s="163"/>
      <c r="B5530" s="106"/>
      <c r="C5530" s="73"/>
      <c r="D5530" s="73" t="s">
        <v>2669</v>
      </c>
      <c r="E5530" s="73"/>
      <c r="F5530" s="74" t="s">
        <v>3</v>
      </c>
      <c r="G5530" s="72">
        <f>0.44*0.275*1.5*8*1.1365</f>
        <v>1.6501980000000003</v>
      </c>
    </row>
    <row r="5531" spans="1:11" x14ac:dyDescent="0.25">
      <c r="A5531" s="163"/>
      <c r="B5531" s="106"/>
      <c r="C5531" s="73"/>
      <c r="D5531" s="75" t="s">
        <v>2697</v>
      </c>
      <c r="E5531" s="73"/>
      <c r="F5531" s="74"/>
      <c r="G5531" s="72"/>
      <c r="K5531" s="323"/>
    </row>
    <row r="5532" spans="1:11" x14ac:dyDescent="0.25">
      <c r="A5532" s="163"/>
      <c r="B5532" s="106"/>
      <c r="C5532" s="73"/>
      <c r="D5532" s="73" t="s">
        <v>2664</v>
      </c>
      <c r="E5532" s="73"/>
      <c r="F5532" s="74" t="s">
        <v>3</v>
      </c>
      <c r="G5532" s="72">
        <v>1.105</v>
      </c>
      <c r="I5532" t="s">
        <v>2698</v>
      </c>
      <c r="K5532" s="323"/>
    </row>
    <row r="5533" spans="1:11" x14ac:dyDescent="0.25">
      <c r="A5533" s="163"/>
      <c r="B5533" s="106"/>
      <c r="C5533" s="73"/>
      <c r="D5533" s="73"/>
      <c r="E5533" s="73"/>
      <c r="F5533" s="74"/>
      <c r="G5533" s="457">
        <f>G5530+G5528+G5526+G5524+G5522+G5520+G5518</f>
        <v>29.939795400000001</v>
      </c>
      <c r="K5533" s="323"/>
    </row>
    <row r="5534" spans="1:11" x14ac:dyDescent="0.25">
      <c r="A5534" s="193"/>
      <c r="B5534" s="106">
        <v>5</v>
      </c>
      <c r="C5534" s="75" t="s">
        <v>2689</v>
      </c>
      <c r="D5534" s="73"/>
      <c r="E5534" s="73"/>
      <c r="F5534" s="74"/>
      <c r="G5534" s="72"/>
    </row>
    <row r="5535" spans="1:11" x14ac:dyDescent="0.25">
      <c r="A5535" s="163"/>
      <c r="B5535" s="106"/>
      <c r="C5535" s="73" t="s">
        <v>1902</v>
      </c>
      <c r="D5535" s="73"/>
      <c r="E5535" s="73"/>
      <c r="F5535" s="74" t="s">
        <v>3</v>
      </c>
      <c r="G5535" s="80">
        <f>0.005</f>
        <v>5.0000000000000001E-3</v>
      </c>
    </row>
    <row r="5536" spans="1:11" x14ac:dyDescent="0.25">
      <c r="A5536" s="163"/>
      <c r="B5536" s="106"/>
      <c r="C5536" s="73" t="s">
        <v>1021</v>
      </c>
      <c r="D5536" s="73"/>
      <c r="E5536" s="73"/>
      <c r="F5536" s="74" t="s">
        <v>3</v>
      </c>
      <c r="G5536" s="72">
        <f>G5539</f>
        <v>0.48475413914000004</v>
      </c>
    </row>
    <row r="5537" spans="1:11" x14ac:dyDescent="0.25">
      <c r="A5537" s="163"/>
      <c r="B5537" s="106"/>
      <c r="C5537" s="73" t="s">
        <v>661</v>
      </c>
      <c r="D5537" s="73"/>
      <c r="E5537" s="73"/>
      <c r="F5537" s="74" t="s">
        <v>3</v>
      </c>
      <c r="G5537" s="72">
        <f>G5536*0.4*0.85</f>
        <v>0.16481640730760003</v>
      </c>
    </row>
    <row r="5538" spans="1:11" x14ac:dyDescent="0.25">
      <c r="A5538" s="163"/>
      <c r="B5538" s="106"/>
      <c r="C5538" s="73" t="s">
        <v>1993</v>
      </c>
      <c r="D5538" s="73"/>
      <c r="E5538" s="73"/>
      <c r="F5538" s="74" t="s">
        <v>3</v>
      </c>
      <c r="G5538" s="72">
        <f>0.177*G5537</f>
        <v>2.9172504093445205E-2</v>
      </c>
    </row>
    <row r="5539" spans="1:11" x14ac:dyDescent="0.25">
      <c r="A5539" s="163"/>
      <c r="B5539" s="106"/>
      <c r="C5539" s="73" t="s">
        <v>8</v>
      </c>
      <c r="D5539" s="73"/>
      <c r="E5539" s="73"/>
      <c r="F5539" s="74" t="s">
        <v>3</v>
      </c>
      <c r="G5539" s="72">
        <f>G5541*0.877+0.002</f>
        <v>0.48475413914000004</v>
      </c>
    </row>
    <row r="5540" spans="1:11" x14ac:dyDescent="0.25">
      <c r="A5540" s="163"/>
      <c r="B5540" s="106"/>
      <c r="C5540" s="73" t="s">
        <v>12</v>
      </c>
      <c r="D5540" s="73"/>
      <c r="E5540" s="73"/>
      <c r="F5540" s="74" t="s">
        <v>3</v>
      </c>
      <c r="G5540" s="72">
        <f>0.3*G5539</f>
        <v>0.145426241742</v>
      </c>
    </row>
    <row r="5541" spans="1:11" x14ac:dyDescent="0.25">
      <c r="A5541" s="163"/>
      <c r="B5541" s="106"/>
      <c r="C5541" s="73" t="s">
        <v>72</v>
      </c>
      <c r="D5541" s="73"/>
      <c r="E5541" s="73"/>
      <c r="F5541" s="74" t="s">
        <v>3</v>
      </c>
      <c r="G5541" s="72">
        <f>(1.05*0.56*2+0.225*(0.56*2+1.05*2))*0.13*2*1.114</f>
        <v>0.55046082000000007</v>
      </c>
    </row>
    <row r="5542" spans="1:11" x14ac:dyDescent="0.25">
      <c r="A5542" s="163"/>
      <c r="B5542" s="106"/>
      <c r="C5542" s="73" t="s">
        <v>11</v>
      </c>
      <c r="D5542" s="73"/>
      <c r="E5542" s="73"/>
      <c r="F5542" s="74" t="s">
        <v>3</v>
      </c>
      <c r="G5542" s="72">
        <f>0.3*G5541</f>
        <v>0.16513824600000002</v>
      </c>
    </row>
    <row r="5543" spans="1:11" x14ac:dyDescent="0.25">
      <c r="A5543" s="163"/>
      <c r="B5543" s="106"/>
      <c r="C5543" s="73" t="s">
        <v>147</v>
      </c>
      <c r="D5543" s="73"/>
      <c r="E5543" s="73"/>
      <c r="F5543" s="74" t="s">
        <v>3</v>
      </c>
      <c r="G5543" s="72">
        <v>0.1</v>
      </c>
    </row>
    <row r="5544" spans="1:11" x14ac:dyDescent="0.25">
      <c r="A5544" s="163"/>
      <c r="B5544" s="106"/>
      <c r="C5544" s="73" t="s">
        <v>13</v>
      </c>
      <c r="D5544" s="73"/>
      <c r="E5544" s="73"/>
      <c r="F5544" s="74" t="s">
        <v>3</v>
      </c>
      <c r="G5544" s="72">
        <v>0.8</v>
      </c>
    </row>
    <row r="5545" spans="1:11" x14ac:dyDescent="0.25">
      <c r="A5545" s="163"/>
      <c r="B5545" s="106"/>
      <c r="C5545" s="77" t="s">
        <v>1054</v>
      </c>
      <c r="D5545" s="73"/>
      <c r="E5545" s="73"/>
      <c r="F5545" s="152" t="s">
        <v>3</v>
      </c>
      <c r="G5545" s="72">
        <f>(0.245*0.56*2+2+1.5+0.15+0.1+0.1*3.14+0.1*3.14+0.025*3.14+0.2+0.2*2+0.15*2+0.06+0.3*2+0.28*2+0.3*2+0.25)*0.08*1.136</f>
        <v>0.69985779199999987</v>
      </c>
    </row>
    <row r="5546" spans="1:11" ht="17.25" x14ac:dyDescent="0.25">
      <c r="A5546" s="163"/>
      <c r="B5546" s="106"/>
      <c r="C5546" s="77" t="s">
        <v>1055</v>
      </c>
      <c r="D5546" s="73"/>
      <c r="E5546" s="73"/>
      <c r="F5546" s="74" t="s">
        <v>596</v>
      </c>
      <c r="G5546" s="72">
        <f>G5545*1.1</f>
        <v>0.76984357119999991</v>
      </c>
    </row>
    <row r="5547" spans="1:11" x14ac:dyDescent="0.25">
      <c r="A5547" s="163"/>
      <c r="B5547" s="106"/>
      <c r="C5547" s="73"/>
      <c r="D5547" s="75" t="s">
        <v>2699</v>
      </c>
      <c r="E5547" s="73"/>
      <c r="F5547" s="73"/>
      <c r="G5547" s="164"/>
      <c r="H5547" s="74"/>
      <c r="I5547" s="153"/>
      <c r="K5547" s="323"/>
    </row>
    <row r="5548" spans="1:11" x14ac:dyDescent="0.25">
      <c r="A5548" s="163"/>
      <c r="B5548" s="106"/>
      <c r="C5548" s="73"/>
      <c r="D5548" s="77" t="s">
        <v>1054</v>
      </c>
      <c r="E5548" s="73"/>
      <c r="F5548" s="152" t="s">
        <v>3</v>
      </c>
      <c r="G5548" s="80">
        <f>0.025*3.14*0.08*1.2</f>
        <v>7.536000000000001E-3</v>
      </c>
      <c r="K5548" s="323"/>
    </row>
    <row r="5549" spans="1:11" ht="17.25" x14ac:dyDescent="0.25">
      <c r="A5549" s="163"/>
      <c r="B5549" s="106"/>
      <c r="C5549" s="73"/>
      <c r="D5549" s="77" t="s">
        <v>1055</v>
      </c>
      <c r="E5549" s="73"/>
      <c r="F5549" s="152" t="s">
        <v>596</v>
      </c>
      <c r="G5549" s="72">
        <f>1.09*G5548</f>
        <v>8.2142400000000011E-3</v>
      </c>
      <c r="K5549" s="323"/>
    </row>
    <row r="5550" spans="1:11" x14ac:dyDescent="0.25">
      <c r="A5550" s="163"/>
      <c r="B5550" s="106"/>
      <c r="C5550" s="73"/>
      <c r="D5550" s="73"/>
      <c r="E5550" s="75" t="s">
        <v>2700</v>
      </c>
      <c r="F5550" s="73"/>
      <c r="G5550" s="164"/>
      <c r="H5550" s="74"/>
      <c r="I5550" s="153"/>
      <c r="K5550" s="323"/>
    </row>
    <row r="5551" spans="1:11" x14ac:dyDescent="0.25">
      <c r="A5551" s="163"/>
      <c r="B5551" s="106"/>
      <c r="C5551" s="73"/>
      <c r="D5551" s="73"/>
      <c r="E5551" s="73" t="s">
        <v>2664</v>
      </c>
      <c r="F5551" s="73" t="s">
        <v>3</v>
      </c>
      <c r="G5551" s="72">
        <v>0.87</v>
      </c>
      <c r="H5551" s="74"/>
      <c r="I5551" t="s">
        <v>2701</v>
      </c>
      <c r="K5551" s="323"/>
    </row>
    <row r="5552" spans="1:11" x14ac:dyDescent="0.25">
      <c r="A5552" s="163"/>
      <c r="B5552" s="106"/>
      <c r="C5552" s="73"/>
      <c r="D5552" s="75" t="s">
        <v>2702</v>
      </c>
      <c r="E5552" s="73"/>
      <c r="F5552" s="74"/>
      <c r="G5552" s="72"/>
      <c r="H5552" s="74"/>
    </row>
    <row r="5553" spans="1:11" x14ac:dyDescent="0.25">
      <c r="A5553" s="163"/>
      <c r="B5553" s="106"/>
      <c r="C5553" s="73"/>
      <c r="D5553" s="73" t="s">
        <v>2669</v>
      </c>
      <c r="E5553" s="73"/>
      <c r="F5553" s="74" t="s">
        <v>3</v>
      </c>
      <c r="G5553" s="72">
        <f>0.38*0.26*1.5*8*1.139</f>
        <v>1.3503984</v>
      </c>
      <c r="H5553" s="74"/>
      <c r="K5553" s="323"/>
    </row>
    <row r="5554" spans="1:11" x14ac:dyDescent="0.25">
      <c r="A5554" s="163"/>
      <c r="B5554" s="106"/>
      <c r="C5554" s="73"/>
      <c r="D5554" s="75" t="s">
        <v>2703</v>
      </c>
      <c r="E5554" s="73"/>
      <c r="F5554" s="74"/>
      <c r="G5554" s="72"/>
      <c r="H5554" s="74"/>
    </row>
    <row r="5555" spans="1:11" x14ac:dyDescent="0.25">
      <c r="A5555" s="163"/>
      <c r="B5555" s="106"/>
      <c r="C5555" s="73"/>
      <c r="D5555" s="73" t="s">
        <v>2669</v>
      </c>
      <c r="E5555" s="73"/>
      <c r="F5555" s="74" t="s">
        <v>3</v>
      </c>
      <c r="G5555" s="72">
        <f>1.25*0.99*1.5*8*1.17845</f>
        <v>17.499982500000002</v>
      </c>
      <c r="H5555" s="74"/>
      <c r="K5555" s="323"/>
    </row>
    <row r="5556" spans="1:11" x14ac:dyDescent="0.25">
      <c r="A5556" s="163"/>
      <c r="B5556" s="106"/>
      <c r="C5556" s="73"/>
      <c r="D5556" s="75" t="s">
        <v>2704</v>
      </c>
      <c r="E5556" s="73"/>
      <c r="F5556" s="74"/>
      <c r="G5556" s="72"/>
      <c r="H5556" s="74"/>
    </row>
    <row r="5557" spans="1:11" x14ac:dyDescent="0.25">
      <c r="A5557" s="163"/>
      <c r="B5557" s="106"/>
      <c r="C5557" s="73"/>
      <c r="D5557" s="73" t="s">
        <v>2669</v>
      </c>
      <c r="E5557" s="73"/>
      <c r="F5557" s="74" t="s">
        <v>3</v>
      </c>
      <c r="G5557" s="72">
        <f>0.655*0.34*1.5*8*1.16</f>
        <v>3.0999840000000005</v>
      </c>
      <c r="H5557" s="74"/>
      <c r="K5557" s="323"/>
    </row>
    <row r="5558" spans="1:11" x14ac:dyDescent="0.25">
      <c r="A5558" s="163"/>
      <c r="B5558" s="106"/>
      <c r="C5558" s="73"/>
      <c r="D5558" s="75" t="s">
        <v>2705</v>
      </c>
      <c r="E5558" s="73"/>
      <c r="F5558" s="74"/>
      <c r="G5558" s="72"/>
      <c r="H5558" s="74"/>
    </row>
    <row r="5559" spans="1:11" x14ac:dyDescent="0.25">
      <c r="A5559" s="163"/>
      <c r="B5559" s="106"/>
      <c r="C5559" s="73"/>
      <c r="D5559" s="73" t="s">
        <v>2669</v>
      </c>
      <c r="E5559" s="73"/>
      <c r="F5559" s="74" t="s">
        <v>3</v>
      </c>
      <c r="G5559" s="72">
        <f>0.33*0.99*1.5*8*1.1733</f>
        <v>4.5998053199999998</v>
      </c>
      <c r="H5559" s="74"/>
      <c r="K5559" s="323"/>
    </row>
    <row r="5560" spans="1:11" x14ac:dyDescent="0.25">
      <c r="A5560" s="163"/>
      <c r="B5560" s="106"/>
      <c r="C5560" s="73"/>
      <c r="D5560" s="75" t="s">
        <v>2707</v>
      </c>
      <c r="E5560" s="73"/>
      <c r="F5560" s="74"/>
      <c r="G5560" s="72"/>
      <c r="H5560" s="74"/>
    </row>
    <row r="5561" spans="1:11" x14ac:dyDescent="0.25">
      <c r="A5561" s="163"/>
      <c r="B5561" s="106"/>
      <c r="C5561" s="73"/>
      <c r="D5561" s="73" t="s">
        <v>2669</v>
      </c>
      <c r="E5561" s="73"/>
      <c r="F5561" s="74" t="s">
        <v>3</v>
      </c>
      <c r="G5561" s="72">
        <f>0.655*0.3*1.5*8*1.145</f>
        <v>2.69991</v>
      </c>
      <c r="H5561" s="74"/>
      <c r="K5561" s="323"/>
    </row>
    <row r="5562" spans="1:11" x14ac:dyDescent="0.25">
      <c r="A5562" s="163"/>
      <c r="B5562" s="106"/>
      <c r="C5562" s="73"/>
      <c r="D5562" s="75" t="s">
        <v>2706</v>
      </c>
      <c r="E5562" s="73"/>
      <c r="F5562" s="74"/>
      <c r="G5562" s="72"/>
      <c r="H5562" s="74"/>
    </row>
    <row r="5563" spans="1:11" x14ac:dyDescent="0.25">
      <c r="A5563" s="163"/>
      <c r="B5563" s="106"/>
      <c r="C5563" s="73"/>
      <c r="D5563" s="73" t="s">
        <v>2669</v>
      </c>
      <c r="E5563" s="73"/>
      <c r="F5563" s="74" t="s">
        <v>3</v>
      </c>
      <c r="G5563" s="72">
        <f>0.32*0.275*1.5*8*1.136</f>
        <v>1.199616</v>
      </c>
      <c r="H5563" s="74"/>
      <c r="K5563" s="323"/>
    </row>
    <row r="5564" spans="1:11" x14ac:dyDescent="0.25">
      <c r="A5564" s="163"/>
      <c r="B5564" s="106"/>
      <c r="C5564" s="73"/>
      <c r="D5564" s="75" t="s">
        <v>2708</v>
      </c>
      <c r="E5564" s="73"/>
      <c r="F5564" s="74"/>
      <c r="G5564" s="72"/>
      <c r="H5564" s="74"/>
    </row>
    <row r="5565" spans="1:11" x14ac:dyDescent="0.25">
      <c r="A5565" s="163"/>
      <c r="B5565" s="106"/>
      <c r="C5565" s="73"/>
      <c r="D5565" s="73" t="s">
        <v>2669</v>
      </c>
      <c r="E5565" s="73"/>
      <c r="F5565" s="74" t="s">
        <v>3</v>
      </c>
      <c r="G5565" s="72">
        <f>0.415*0.265*1.5*8*1.137</f>
        <v>1.5004989000000002</v>
      </c>
      <c r="H5565" s="74"/>
      <c r="K5565" s="323"/>
    </row>
    <row r="5566" spans="1:11" x14ac:dyDescent="0.25">
      <c r="A5566" s="163"/>
      <c r="B5566" s="106"/>
      <c r="C5566" s="73"/>
      <c r="D5566" s="75" t="s">
        <v>2709</v>
      </c>
      <c r="E5566" s="73"/>
      <c r="F5566" s="74"/>
      <c r="G5566" s="72"/>
      <c r="H5566" s="74"/>
    </row>
    <row r="5567" spans="1:11" x14ac:dyDescent="0.25">
      <c r="A5567" s="163"/>
      <c r="B5567" s="106"/>
      <c r="C5567" s="73"/>
      <c r="D5567" s="73" t="s">
        <v>1001</v>
      </c>
      <c r="E5567" s="73"/>
      <c r="F5567" s="74" t="s">
        <v>3</v>
      </c>
      <c r="G5567" s="72">
        <f>0.03*0.03*3*8*1.1</f>
        <v>2.3760000000000003E-2</v>
      </c>
      <c r="H5567" s="74"/>
      <c r="K5567" s="323"/>
    </row>
    <row r="5568" spans="1:11" x14ac:dyDescent="0.25">
      <c r="A5568" s="163"/>
      <c r="B5568" s="106"/>
      <c r="C5568" s="73"/>
      <c r="D5568" s="75" t="s">
        <v>2710</v>
      </c>
      <c r="E5568" s="73"/>
      <c r="F5568" s="74"/>
      <c r="G5568" s="72"/>
      <c r="H5568" s="74"/>
    </row>
    <row r="5569" spans="1:11" x14ac:dyDescent="0.25">
      <c r="A5569" s="163"/>
      <c r="B5569" s="106"/>
      <c r="C5569" s="73"/>
      <c r="D5569" s="73" t="s">
        <v>2664</v>
      </c>
      <c r="E5569" s="73"/>
      <c r="F5569" s="74" t="s">
        <v>3</v>
      </c>
      <c r="G5569" s="72">
        <v>0.13</v>
      </c>
      <c r="H5569" s="74"/>
      <c r="I5569" t="s">
        <v>2713</v>
      </c>
      <c r="K5569" s="323"/>
    </row>
    <row r="5570" spans="1:11" x14ac:dyDescent="0.25">
      <c r="A5570" s="163"/>
      <c r="B5570" s="106"/>
      <c r="C5570" s="73"/>
      <c r="D5570" s="75" t="s">
        <v>2711</v>
      </c>
      <c r="E5570" s="73"/>
      <c r="F5570" s="74"/>
      <c r="G5570" s="72"/>
      <c r="H5570" s="74"/>
    </row>
    <row r="5571" spans="1:11" x14ac:dyDescent="0.25">
      <c r="A5571" s="163"/>
      <c r="B5571" s="106"/>
      <c r="C5571" s="73"/>
      <c r="D5571" s="77" t="s">
        <v>2712</v>
      </c>
      <c r="E5571" s="73"/>
      <c r="F5571" s="74" t="s">
        <v>3</v>
      </c>
      <c r="G5571" s="72">
        <f>0.22*0.156*4*8*1.093</f>
        <v>1.2003763200000002</v>
      </c>
      <c r="H5571" s="74"/>
    </row>
    <row r="5572" spans="1:11" x14ac:dyDescent="0.25">
      <c r="A5572" s="163"/>
      <c r="B5572" s="106"/>
      <c r="C5572" s="73"/>
      <c r="D5572" s="73"/>
      <c r="E5572" s="73"/>
      <c r="F5572" s="74"/>
      <c r="G5572" s="72">
        <f>G5565+G5563+G5561+G5559+G5557+G5555+G5553</f>
        <v>31.95019512</v>
      </c>
    </row>
    <row r="5573" spans="1:11" x14ac:dyDescent="0.25">
      <c r="A5573" s="193"/>
      <c r="B5573" s="106">
        <v>6</v>
      </c>
      <c r="C5573" s="75" t="s">
        <v>2078</v>
      </c>
      <c r="D5573" s="73"/>
      <c r="E5573" s="73"/>
      <c r="F5573" s="74"/>
      <c r="G5573" s="72"/>
    </row>
    <row r="5574" spans="1:11" x14ac:dyDescent="0.25">
      <c r="A5574" s="163"/>
      <c r="B5574" s="106"/>
      <c r="C5574" s="73" t="s">
        <v>1902</v>
      </c>
      <c r="D5574" s="73"/>
      <c r="E5574" s="73"/>
      <c r="F5574" s="74" t="s">
        <v>3</v>
      </c>
      <c r="G5574" s="80">
        <v>1.2E-2</v>
      </c>
    </row>
    <row r="5575" spans="1:11" x14ac:dyDescent="0.25">
      <c r="A5575" s="163"/>
      <c r="B5575" s="106"/>
      <c r="C5575" s="73" t="s">
        <v>1021</v>
      </c>
      <c r="D5575" s="73"/>
      <c r="E5575" s="73"/>
      <c r="F5575" s="74" t="s">
        <v>3</v>
      </c>
      <c r="G5575" s="72">
        <f>G5578</f>
        <v>0.25997076705599997</v>
      </c>
    </row>
    <row r="5576" spans="1:11" x14ac:dyDescent="0.25">
      <c r="A5576" s="163"/>
      <c r="B5576" s="106"/>
      <c r="C5576" s="73" t="s">
        <v>661</v>
      </c>
      <c r="D5576" s="73"/>
      <c r="E5576" s="73"/>
      <c r="F5576" s="74" t="s">
        <v>3</v>
      </c>
      <c r="G5576" s="72">
        <f>G5575*0.4*0.85+0.002</f>
        <v>9.0390060799039995E-2</v>
      </c>
      <c r="K5576" s="323"/>
    </row>
    <row r="5577" spans="1:11" x14ac:dyDescent="0.25">
      <c r="A5577" s="163"/>
      <c r="B5577" s="106"/>
      <c r="C5577" s="73" t="s">
        <v>1993</v>
      </c>
      <c r="D5577" s="73"/>
      <c r="E5577" s="73"/>
      <c r="F5577" s="74" t="s">
        <v>3</v>
      </c>
      <c r="G5577" s="72">
        <f>0.177*G5576</f>
        <v>1.5999040761430078E-2</v>
      </c>
      <c r="K5577" s="323"/>
    </row>
    <row r="5578" spans="1:11" x14ac:dyDescent="0.25">
      <c r="A5578" s="163"/>
      <c r="B5578" s="106"/>
      <c r="C5578" s="73" t="s">
        <v>8</v>
      </c>
      <c r="D5578" s="73"/>
      <c r="E5578" s="73"/>
      <c r="F5578" s="74" t="s">
        <v>3</v>
      </c>
      <c r="G5578" s="72">
        <f>G5580*0.868</f>
        <v>0.25997076705599997</v>
      </c>
      <c r="K5578" s="323"/>
    </row>
    <row r="5579" spans="1:11" x14ac:dyDescent="0.25">
      <c r="A5579" s="163"/>
      <c r="B5579" s="106"/>
      <c r="C5579" s="73" t="s">
        <v>12</v>
      </c>
      <c r="D5579" s="73"/>
      <c r="E5579" s="73"/>
      <c r="F5579" s="74" t="s">
        <v>3</v>
      </c>
      <c r="G5579" s="72">
        <f>0.3*G5578+0.002</f>
        <v>7.9991230116799997E-2</v>
      </c>
      <c r="K5579" s="323"/>
    </row>
    <row r="5580" spans="1:11" x14ac:dyDescent="0.25">
      <c r="A5580" s="163"/>
      <c r="B5580" s="106"/>
      <c r="C5580" s="73" t="s">
        <v>72</v>
      </c>
      <c r="D5580" s="73"/>
      <c r="E5580" s="73"/>
      <c r="F5580" s="74" t="s">
        <v>3</v>
      </c>
      <c r="G5580" s="72">
        <f>(0.84*0.46*2+0.13*(0.84*1.5+0.4*2))*0.135*2*1.066</f>
        <v>0.29950549199999998</v>
      </c>
      <c r="K5580" s="323"/>
    </row>
    <row r="5581" spans="1:11" x14ac:dyDescent="0.25">
      <c r="A5581" s="163"/>
      <c r="B5581" s="106"/>
      <c r="C5581" s="73" t="s">
        <v>11</v>
      </c>
      <c r="D5581" s="73"/>
      <c r="E5581" s="73"/>
      <c r="F5581" s="74" t="s">
        <v>3</v>
      </c>
      <c r="G5581" s="72">
        <f>0.3*G5580</f>
        <v>8.9851647599999987E-2</v>
      </c>
      <c r="K5581" s="323"/>
    </row>
    <row r="5582" spans="1:11" x14ac:dyDescent="0.25">
      <c r="A5582" s="163"/>
      <c r="B5582" s="106"/>
      <c r="C5582" s="73" t="s">
        <v>147</v>
      </c>
      <c r="D5582" s="73"/>
      <c r="E5582" s="73"/>
      <c r="F5582" s="74" t="s">
        <v>3</v>
      </c>
      <c r="G5582" s="72">
        <v>0.1</v>
      </c>
      <c r="K5582" s="323"/>
    </row>
    <row r="5583" spans="1:11" x14ac:dyDescent="0.25">
      <c r="A5583" s="163"/>
      <c r="B5583" s="106"/>
      <c r="C5583" s="73" t="s">
        <v>13</v>
      </c>
      <c r="D5583" s="73"/>
      <c r="E5583" s="73"/>
      <c r="F5583" s="74" t="s">
        <v>3</v>
      </c>
      <c r="G5583" s="72">
        <v>0.55000000000000004</v>
      </c>
      <c r="K5583" s="323"/>
    </row>
    <row r="5584" spans="1:11" x14ac:dyDescent="0.25">
      <c r="A5584" s="163"/>
      <c r="B5584" s="106"/>
      <c r="C5584" s="77" t="s">
        <v>1054</v>
      </c>
      <c r="D5584" s="73"/>
      <c r="E5584" s="73"/>
      <c r="F5584" s="152" t="s">
        <v>3</v>
      </c>
      <c r="G5584" s="72">
        <f>(0.13*4+0.4*4+0.8*2+0.1*3.14+0.3+0.15+0.08+0.34*2+0.3*4)*0.08*1.086</f>
        <v>0.55985472000000014</v>
      </c>
    </row>
    <row r="5585" spans="1:11" ht="17.25" x14ac:dyDescent="0.25">
      <c r="A5585" s="163"/>
      <c r="B5585" s="106"/>
      <c r="C5585" s="77" t="s">
        <v>1055</v>
      </c>
      <c r="D5585" s="73"/>
      <c r="E5585" s="73"/>
      <c r="F5585" s="74" t="s">
        <v>596</v>
      </c>
      <c r="G5585" s="72">
        <f>G5584*1.1</f>
        <v>0.61584019200000018</v>
      </c>
    </row>
    <row r="5586" spans="1:11" x14ac:dyDescent="0.25">
      <c r="A5586" s="163"/>
      <c r="B5586" s="106"/>
      <c r="C5586" s="73"/>
      <c r="D5586" s="75" t="s">
        <v>2714</v>
      </c>
      <c r="E5586" s="73"/>
      <c r="F5586" s="74"/>
      <c r="G5586" s="72"/>
    </row>
    <row r="5587" spans="1:11" x14ac:dyDescent="0.25">
      <c r="A5587" s="163"/>
      <c r="B5587" s="106"/>
      <c r="C5587" s="73"/>
      <c r="D5587" s="73" t="s">
        <v>2669</v>
      </c>
      <c r="E5587" s="73"/>
      <c r="F5587" s="152" t="s">
        <v>3</v>
      </c>
      <c r="G5587" s="72">
        <f>0.23*0.764*1.5*8*1.138</f>
        <v>2.3996323200000003</v>
      </c>
      <c r="K5587" s="323"/>
    </row>
    <row r="5588" spans="1:11" x14ac:dyDescent="0.25">
      <c r="A5588" s="163"/>
      <c r="B5588" s="106"/>
      <c r="C5588" s="73"/>
      <c r="D5588" s="75" t="s">
        <v>2715</v>
      </c>
      <c r="E5588" s="73"/>
      <c r="F5588" s="74"/>
      <c r="G5588" s="72"/>
    </row>
    <row r="5589" spans="1:11" x14ac:dyDescent="0.25">
      <c r="A5589" s="163"/>
      <c r="B5589" s="106"/>
      <c r="C5589" s="73"/>
      <c r="D5589" s="73" t="s">
        <v>2669</v>
      </c>
      <c r="E5589" s="73"/>
      <c r="F5589" s="152" t="s">
        <v>3</v>
      </c>
      <c r="G5589" s="72">
        <f>0.555*0.225*1.5*8*1.1345</f>
        <v>1.7000482500000003</v>
      </c>
      <c r="K5589" s="323"/>
    </row>
    <row r="5590" spans="1:11" x14ac:dyDescent="0.25">
      <c r="A5590" s="163"/>
      <c r="B5590" s="106"/>
      <c r="C5590" s="73"/>
      <c r="D5590" s="75" t="s">
        <v>2716</v>
      </c>
      <c r="E5590" s="73"/>
      <c r="F5590" s="74"/>
      <c r="G5590" s="72"/>
    </row>
    <row r="5591" spans="1:11" x14ac:dyDescent="0.25">
      <c r="A5591" s="163"/>
      <c r="B5591" s="106"/>
      <c r="C5591" s="73"/>
      <c r="D5591" s="73" t="s">
        <v>2669</v>
      </c>
      <c r="E5591" s="73"/>
      <c r="F5591" s="152" t="s">
        <v>3</v>
      </c>
      <c r="G5591" s="72">
        <f>0.555*0.225*1.5*8*1.1345</f>
        <v>1.7000482500000003</v>
      </c>
      <c r="K5591" s="323"/>
    </row>
    <row r="5592" spans="1:11" x14ac:dyDescent="0.25">
      <c r="A5592" s="163"/>
      <c r="B5592" s="106"/>
      <c r="C5592" s="73"/>
      <c r="D5592" s="75" t="s">
        <v>2717</v>
      </c>
      <c r="E5592" s="73"/>
      <c r="F5592" s="74"/>
      <c r="G5592" s="72"/>
    </row>
    <row r="5593" spans="1:11" x14ac:dyDescent="0.25">
      <c r="A5593" s="163"/>
      <c r="B5593" s="106"/>
      <c r="C5593" s="73"/>
      <c r="D5593" s="73" t="s">
        <v>2669</v>
      </c>
      <c r="E5593" s="73"/>
      <c r="F5593" s="152" t="s">
        <v>3</v>
      </c>
      <c r="G5593" s="72">
        <f>0.325*0.165*1.5*8*1.119</f>
        <v>0.72007650000000012</v>
      </c>
      <c r="K5593" s="323"/>
    </row>
    <row r="5594" spans="1:11" x14ac:dyDescent="0.25">
      <c r="A5594" s="163"/>
      <c r="B5594" s="106"/>
      <c r="C5594" s="73"/>
      <c r="D5594" s="75" t="s">
        <v>2718</v>
      </c>
      <c r="E5594" s="73"/>
      <c r="F5594" s="74"/>
      <c r="G5594" s="72"/>
    </row>
    <row r="5595" spans="1:11" x14ac:dyDescent="0.25">
      <c r="A5595" s="163"/>
      <c r="B5595" s="106"/>
      <c r="C5595" s="73"/>
      <c r="D5595" s="73" t="s">
        <v>2669</v>
      </c>
      <c r="E5595" s="73"/>
      <c r="F5595" s="152" t="s">
        <v>3</v>
      </c>
      <c r="G5595" s="72">
        <f>0.39*0.165*1.5*8*1.127</f>
        <v>0.87026939999999997</v>
      </c>
      <c r="K5595" s="323"/>
    </row>
    <row r="5596" spans="1:11" x14ac:dyDescent="0.25">
      <c r="A5596" s="163"/>
      <c r="B5596" s="106"/>
      <c r="C5596" s="73"/>
      <c r="D5596" s="75" t="s">
        <v>2719</v>
      </c>
      <c r="E5596" s="73"/>
      <c r="F5596" s="74"/>
      <c r="G5596" s="72"/>
    </row>
    <row r="5597" spans="1:11" x14ac:dyDescent="0.25">
      <c r="A5597" s="163"/>
      <c r="B5597" s="106"/>
      <c r="C5597" s="73"/>
      <c r="D5597" s="73" t="s">
        <v>2669</v>
      </c>
      <c r="E5597" s="73"/>
      <c r="F5597" s="152" t="s">
        <v>3</v>
      </c>
      <c r="G5597" s="72">
        <f>(0.44+0.13+0.32)*0.765*1.5*8*1.126</f>
        <v>9.1996452000000009</v>
      </c>
    </row>
    <row r="5598" spans="1:11" x14ac:dyDescent="0.25">
      <c r="A5598" s="163"/>
      <c r="B5598" s="106"/>
      <c r="C5598" s="73"/>
      <c r="D5598" s="73"/>
      <c r="E5598" s="73"/>
      <c r="F5598" s="74"/>
      <c r="G5598" s="72">
        <f>G5597+G5595+G5593+G5591+G5589+G5587</f>
        <v>16.58971992</v>
      </c>
    </row>
    <row r="5599" spans="1:11" x14ac:dyDescent="0.25">
      <c r="A5599" s="193"/>
      <c r="B5599" s="106">
        <v>7</v>
      </c>
      <c r="C5599" s="75" t="s">
        <v>2720</v>
      </c>
      <c r="D5599" s="73"/>
      <c r="E5599" s="73"/>
      <c r="F5599" s="74"/>
      <c r="G5599" s="72"/>
    </row>
    <row r="5600" spans="1:11" x14ac:dyDescent="0.25">
      <c r="A5600" s="163"/>
      <c r="B5600" s="106"/>
      <c r="C5600" s="77" t="s">
        <v>1054</v>
      </c>
      <c r="D5600" s="73"/>
      <c r="E5600" s="73"/>
      <c r="F5600" s="152" t="s">
        <v>3</v>
      </c>
      <c r="G5600" s="80">
        <f>0.4*0.08*1.25</f>
        <v>0.04</v>
      </c>
      <c r="K5600" s="323"/>
    </row>
    <row r="5601" spans="1:11" ht="17.25" x14ac:dyDescent="0.25">
      <c r="A5601" s="163"/>
      <c r="B5601" s="106"/>
      <c r="C5601" s="77" t="s">
        <v>1055</v>
      </c>
      <c r="D5601" s="73"/>
      <c r="E5601" s="73"/>
      <c r="F5601" s="74" t="s">
        <v>596</v>
      </c>
      <c r="G5601" s="72">
        <f>G5600*1.1</f>
        <v>4.4000000000000004E-2</v>
      </c>
      <c r="K5601" s="323"/>
    </row>
    <row r="5602" spans="1:11" x14ac:dyDescent="0.25">
      <c r="A5602" s="163"/>
      <c r="B5602" s="106"/>
      <c r="C5602" s="77" t="s">
        <v>13</v>
      </c>
      <c r="D5602" s="73"/>
      <c r="E5602" s="73"/>
      <c r="F5602" s="74" t="s">
        <v>3</v>
      </c>
      <c r="G5602" s="72">
        <v>0.4</v>
      </c>
      <c r="K5602" s="323"/>
    </row>
    <row r="5603" spans="1:11" x14ac:dyDescent="0.25">
      <c r="A5603" s="163"/>
      <c r="B5603" s="106"/>
      <c r="C5603" s="77" t="s">
        <v>8</v>
      </c>
      <c r="D5603" s="73"/>
      <c r="E5603" s="73"/>
      <c r="F5603" s="74" t="s">
        <v>3</v>
      </c>
      <c r="G5603" s="72">
        <f>G5605*0.81</f>
        <v>0.2998572900525</v>
      </c>
      <c r="K5603" s="323"/>
    </row>
    <row r="5604" spans="1:11" x14ac:dyDescent="0.25">
      <c r="A5604" s="163"/>
      <c r="B5604" s="106"/>
      <c r="C5604" s="77" t="s">
        <v>12</v>
      </c>
      <c r="D5604" s="73"/>
      <c r="E5604" s="73"/>
      <c r="F5604" s="74" t="s">
        <v>3</v>
      </c>
      <c r="G5604" s="72">
        <f>0.3*G5603</f>
        <v>8.9957187015749993E-2</v>
      </c>
      <c r="K5604" s="323"/>
    </row>
    <row r="5605" spans="1:11" x14ac:dyDescent="0.25">
      <c r="A5605" s="163"/>
      <c r="B5605" s="106"/>
      <c r="C5605" s="77" t="s">
        <v>72</v>
      </c>
      <c r="D5605" s="73"/>
      <c r="E5605" s="73"/>
      <c r="F5605" s="74" t="s">
        <v>3</v>
      </c>
      <c r="G5605" s="72">
        <f>(0.93*0.565*2+0.115*0.565+0.06*0.93*2)*0.135*2*1.117</f>
        <v>0.37019418524999997</v>
      </c>
      <c r="K5605" s="323"/>
    </row>
    <row r="5606" spans="1:11" x14ac:dyDescent="0.25">
      <c r="A5606" s="163"/>
      <c r="B5606" s="106"/>
      <c r="C5606" s="77" t="s">
        <v>11</v>
      </c>
      <c r="D5606" s="73"/>
      <c r="E5606" s="73"/>
      <c r="F5606" s="74" t="s">
        <v>3</v>
      </c>
      <c r="G5606" s="72">
        <f>0.3*G5605-0.001</f>
        <v>0.11005825557499999</v>
      </c>
      <c r="K5606" s="323"/>
    </row>
    <row r="5607" spans="1:11" x14ac:dyDescent="0.25">
      <c r="A5607" s="163"/>
      <c r="B5607" s="106"/>
      <c r="C5607" s="77" t="s">
        <v>1420</v>
      </c>
      <c r="D5607" s="73"/>
      <c r="E5607" s="73"/>
      <c r="F5607" s="74" t="s">
        <v>3</v>
      </c>
      <c r="G5607" s="72">
        <f>G5603</f>
        <v>0.2998572900525</v>
      </c>
      <c r="K5607" s="323"/>
    </row>
    <row r="5608" spans="1:11" x14ac:dyDescent="0.25">
      <c r="A5608" s="163"/>
      <c r="B5608" s="106"/>
      <c r="C5608" s="77" t="s">
        <v>313</v>
      </c>
      <c r="D5608" s="73"/>
      <c r="E5608" s="73"/>
      <c r="F5608" s="74" t="s">
        <v>3</v>
      </c>
      <c r="G5608" s="72">
        <f>0.3*G5607</f>
        <v>8.9957187015749993E-2</v>
      </c>
      <c r="K5608" s="323"/>
    </row>
    <row r="5609" spans="1:11" x14ac:dyDescent="0.25">
      <c r="A5609" s="163"/>
      <c r="B5609" s="106"/>
      <c r="C5609" s="77" t="s">
        <v>1931</v>
      </c>
      <c r="D5609" s="73"/>
      <c r="E5609" s="73"/>
      <c r="F5609" s="74" t="s">
        <v>3</v>
      </c>
      <c r="G5609" s="72">
        <f>G5607/16+0.001</f>
        <v>1.9741080628281251E-2</v>
      </c>
      <c r="K5609" s="323"/>
    </row>
    <row r="5610" spans="1:11" x14ac:dyDescent="0.25">
      <c r="A5610" s="163"/>
      <c r="B5610" s="106"/>
      <c r="C5610" s="77" t="s">
        <v>147</v>
      </c>
      <c r="D5610" s="73"/>
      <c r="E5610" s="73"/>
      <c r="F5610" s="74" t="s">
        <v>3</v>
      </c>
      <c r="G5610" s="72">
        <v>0.1</v>
      </c>
      <c r="K5610" s="323"/>
    </row>
    <row r="5611" spans="1:11" x14ac:dyDescent="0.25">
      <c r="A5611" s="163"/>
      <c r="B5611" s="106"/>
      <c r="C5611" s="73"/>
      <c r="D5611" s="75" t="s">
        <v>2721</v>
      </c>
      <c r="E5611" s="73"/>
      <c r="F5611" s="74"/>
      <c r="G5611" s="72"/>
    </row>
    <row r="5612" spans="1:11" x14ac:dyDescent="0.25">
      <c r="A5612" s="163"/>
      <c r="B5612" s="106"/>
      <c r="C5612" s="73"/>
      <c r="D5612" s="77" t="s">
        <v>1054</v>
      </c>
      <c r="E5612" s="73"/>
      <c r="F5612" s="152" t="s">
        <v>3</v>
      </c>
      <c r="G5612" s="80">
        <f>(0.55*4+0.115*2+0.19*4+0.15*2+0.9*2+0.1)*0.08*1.16</f>
        <v>0.50019199999999997</v>
      </c>
      <c r="K5612" s="323"/>
    </row>
    <row r="5613" spans="1:11" ht="17.25" x14ac:dyDescent="0.25">
      <c r="A5613" s="163"/>
      <c r="B5613" s="106"/>
      <c r="C5613" s="73"/>
      <c r="D5613" s="77" t="s">
        <v>1055</v>
      </c>
      <c r="E5613" s="73"/>
      <c r="F5613" s="74" t="s">
        <v>596</v>
      </c>
      <c r="G5613" s="72">
        <f>G5612*1.2</f>
        <v>0.60023039999999994</v>
      </c>
      <c r="K5613" s="323"/>
    </row>
    <row r="5614" spans="1:11" x14ac:dyDescent="0.25">
      <c r="A5614" s="163"/>
      <c r="B5614" s="106"/>
      <c r="C5614" s="73"/>
      <c r="D5614" s="73"/>
      <c r="E5614" s="75" t="s">
        <v>2722</v>
      </c>
      <c r="F5614" s="74"/>
      <c r="G5614" s="72"/>
    </row>
    <row r="5615" spans="1:11" x14ac:dyDescent="0.25">
      <c r="A5615" s="163"/>
      <c r="B5615" s="106"/>
      <c r="C5615" s="73"/>
      <c r="D5615" s="73"/>
      <c r="E5615" s="73" t="s">
        <v>2669</v>
      </c>
      <c r="F5615" s="152" t="s">
        <v>3</v>
      </c>
      <c r="G5615" s="72">
        <f>(0.57+0.088*2)*0.88*1.5*8*1.1424</f>
        <v>8.9995530240000008</v>
      </c>
      <c r="K5615" s="323"/>
    </row>
    <row r="5616" spans="1:11" x14ac:dyDescent="0.25">
      <c r="A5616" s="163"/>
      <c r="B5616" s="106"/>
      <c r="C5616" s="73"/>
      <c r="D5616" s="73"/>
      <c r="E5616" s="75" t="s">
        <v>2723</v>
      </c>
      <c r="F5616" s="74"/>
      <c r="G5616" s="72"/>
    </row>
    <row r="5617" spans="1:11" x14ac:dyDescent="0.25">
      <c r="A5617" s="163"/>
      <c r="B5617" s="106"/>
      <c r="C5617" s="73"/>
      <c r="D5617" s="73"/>
      <c r="E5617" s="73" t="s">
        <v>2751</v>
      </c>
      <c r="F5617" s="152" t="s">
        <v>3</v>
      </c>
      <c r="G5617" s="72">
        <f>0.9*0.615*2*8*1.0727</f>
        <v>9.4998311999999991</v>
      </c>
      <c r="K5617" s="323"/>
    </row>
    <row r="5618" spans="1:11" x14ac:dyDescent="0.25">
      <c r="A5618" s="163"/>
      <c r="B5618" s="106"/>
      <c r="C5618" s="73"/>
      <c r="D5618" s="73"/>
      <c r="E5618" s="75" t="s">
        <v>2724</v>
      </c>
      <c r="F5618" s="74"/>
      <c r="G5618" s="72"/>
    </row>
    <row r="5619" spans="1:11" x14ac:dyDescent="0.25">
      <c r="A5619" s="163"/>
      <c r="B5619" s="106"/>
      <c r="C5619" s="73"/>
      <c r="D5619" s="73"/>
      <c r="E5619" s="73" t="s">
        <v>2669</v>
      </c>
      <c r="F5619" s="152" t="s">
        <v>3</v>
      </c>
      <c r="G5619" s="72">
        <f>0.034*0.77*1.5*8*1.15-0.001</f>
        <v>0.36028399999999994</v>
      </c>
      <c r="K5619" s="323"/>
    </row>
    <row r="5620" spans="1:11" x14ac:dyDescent="0.25">
      <c r="A5620" s="163"/>
      <c r="B5620" s="106"/>
      <c r="C5620" s="73"/>
      <c r="D5620" s="73"/>
      <c r="E5620" s="75" t="s">
        <v>2725</v>
      </c>
      <c r="F5620" s="74"/>
      <c r="G5620" s="72"/>
    </row>
    <row r="5621" spans="1:11" x14ac:dyDescent="0.25">
      <c r="A5621" s="163"/>
      <c r="B5621" s="106"/>
      <c r="C5621" s="73"/>
      <c r="D5621" s="73"/>
      <c r="E5621" s="73" t="s">
        <v>2669</v>
      </c>
      <c r="F5621" s="152" t="s">
        <v>3</v>
      </c>
      <c r="G5621" s="72">
        <f>0.58*0.061*1.5*8*1.18-0.001</f>
        <v>0.49998079999999989</v>
      </c>
      <c r="K5621" s="323"/>
    </row>
    <row r="5622" spans="1:11" x14ac:dyDescent="0.25">
      <c r="A5622" s="163"/>
      <c r="B5622" s="106"/>
      <c r="C5622" s="73"/>
      <c r="D5622" s="73"/>
      <c r="E5622" s="75" t="s">
        <v>2726</v>
      </c>
      <c r="F5622" s="74"/>
      <c r="G5622" s="72"/>
    </row>
    <row r="5623" spans="1:11" x14ac:dyDescent="0.25">
      <c r="A5623" s="163"/>
      <c r="B5623" s="106"/>
      <c r="C5623" s="73"/>
      <c r="D5623" s="73"/>
      <c r="E5623" s="73" t="s">
        <v>2669</v>
      </c>
      <c r="F5623" s="152" t="s">
        <v>3</v>
      </c>
      <c r="G5623" s="72">
        <f>0.655*0.21*1.5*8*1.151</f>
        <v>1.8998406000000001</v>
      </c>
      <c r="K5623" s="323"/>
    </row>
    <row r="5624" spans="1:11" x14ac:dyDescent="0.25">
      <c r="A5624" s="163"/>
      <c r="B5624" s="106"/>
      <c r="C5624" s="73"/>
      <c r="D5624" s="73"/>
      <c r="E5624" s="75" t="s">
        <v>2727</v>
      </c>
      <c r="F5624" s="74"/>
      <c r="G5624" s="72"/>
    </row>
    <row r="5625" spans="1:11" x14ac:dyDescent="0.25">
      <c r="A5625" s="163"/>
      <c r="B5625" s="106"/>
      <c r="C5625" s="73"/>
      <c r="D5625" s="73"/>
      <c r="E5625" s="73" t="s">
        <v>2669</v>
      </c>
      <c r="F5625" s="152" t="s">
        <v>3</v>
      </c>
      <c r="G5625" s="72">
        <f>0.165*0.067*1.5*8*1.13</f>
        <v>0.14990579999999998</v>
      </c>
      <c r="K5625" s="323"/>
    </row>
    <row r="5626" spans="1:11" x14ac:dyDescent="0.25">
      <c r="A5626" s="163"/>
      <c r="B5626" s="106"/>
      <c r="C5626" s="73"/>
      <c r="D5626" s="73"/>
      <c r="E5626" s="75" t="s">
        <v>2728</v>
      </c>
      <c r="F5626" s="74"/>
      <c r="G5626" s="72"/>
    </row>
    <row r="5627" spans="1:11" x14ac:dyDescent="0.25">
      <c r="A5627" s="163"/>
      <c r="B5627" s="106"/>
      <c r="C5627" s="73"/>
      <c r="D5627" s="73"/>
      <c r="E5627" s="73" t="s">
        <v>2669</v>
      </c>
      <c r="F5627" s="152" t="s">
        <v>3</v>
      </c>
      <c r="G5627" s="72">
        <f>0.065*0.19*1.5*8*1.15</f>
        <v>0.17043</v>
      </c>
      <c r="K5627" s="323"/>
    </row>
    <row r="5628" spans="1:11" x14ac:dyDescent="0.25">
      <c r="A5628" s="163"/>
      <c r="B5628" s="106"/>
      <c r="C5628" s="73"/>
      <c r="D5628" s="75" t="s">
        <v>2734</v>
      </c>
      <c r="E5628" s="73"/>
      <c r="F5628" s="74"/>
      <c r="G5628" s="72"/>
    </row>
    <row r="5629" spans="1:11" x14ac:dyDescent="0.25">
      <c r="A5629" s="163"/>
      <c r="B5629" s="106"/>
      <c r="C5629" s="73"/>
      <c r="D5629" s="100" t="s">
        <v>37</v>
      </c>
      <c r="E5629" s="73"/>
      <c r="F5629" s="152" t="s">
        <v>3</v>
      </c>
      <c r="G5629" s="72">
        <f>2.1*0.022*0.2*2*1.35</f>
        <v>2.4948000000000001E-2</v>
      </c>
      <c r="K5629" s="323"/>
    </row>
    <row r="5630" spans="1:11" x14ac:dyDescent="0.25">
      <c r="A5630" s="163"/>
      <c r="B5630" s="106"/>
      <c r="C5630" s="73"/>
      <c r="D5630" s="77" t="s">
        <v>1054</v>
      </c>
      <c r="E5630" s="73"/>
      <c r="F5630" s="152" t="s">
        <v>3</v>
      </c>
      <c r="G5630" s="80">
        <f>(2/0.25*0.1+0.3+1.8+0.3)*0.08*1.17</f>
        <v>0.29952000000000001</v>
      </c>
      <c r="K5630" s="324"/>
    </row>
    <row r="5631" spans="1:11" x14ac:dyDescent="0.25">
      <c r="A5631" s="163"/>
      <c r="B5631" s="106"/>
      <c r="C5631" s="73"/>
      <c r="D5631" s="77" t="s">
        <v>1055</v>
      </c>
      <c r="E5631" s="73"/>
      <c r="F5631" s="152" t="s">
        <v>3</v>
      </c>
      <c r="G5631" s="72">
        <f>G5630*1.1+0.001</f>
        <v>0.33047200000000004</v>
      </c>
      <c r="K5631" s="324"/>
    </row>
    <row r="5632" spans="1:11" x14ac:dyDescent="0.25">
      <c r="A5632" s="163"/>
      <c r="B5632" s="106"/>
      <c r="C5632" s="73"/>
      <c r="D5632" s="73"/>
      <c r="E5632" s="75" t="s">
        <v>2729</v>
      </c>
      <c r="F5632" s="74"/>
      <c r="G5632" s="72"/>
    </row>
    <row r="5633" spans="1:11" x14ac:dyDescent="0.25">
      <c r="A5633" s="163"/>
      <c r="B5633" s="106"/>
      <c r="C5633" s="73"/>
      <c r="D5633" s="73"/>
      <c r="E5633" s="73" t="s">
        <v>2735</v>
      </c>
      <c r="F5633" s="152" t="s">
        <v>3</v>
      </c>
      <c r="G5633" s="72">
        <f>0.31*0.02*3*8*1.14</f>
        <v>0.16963199999999998</v>
      </c>
      <c r="K5633" s="323"/>
    </row>
    <row r="5634" spans="1:11" x14ac:dyDescent="0.25">
      <c r="A5634" s="163"/>
      <c r="B5634" s="106"/>
      <c r="C5634" s="73"/>
      <c r="D5634" s="73"/>
      <c r="E5634" s="75" t="s">
        <v>2730</v>
      </c>
      <c r="F5634" s="74"/>
      <c r="G5634" s="72"/>
    </row>
    <row r="5635" spans="1:11" x14ac:dyDescent="0.25">
      <c r="A5635" s="163"/>
      <c r="B5635" s="106"/>
      <c r="C5635" s="73"/>
      <c r="D5635" s="73"/>
      <c r="E5635" s="73" t="s">
        <v>2735</v>
      </c>
      <c r="F5635" s="152" t="s">
        <v>3</v>
      </c>
      <c r="G5635" s="72">
        <f>0.615*0.02*3*8*1.152</f>
        <v>0.34007039999999999</v>
      </c>
      <c r="K5635" s="323"/>
    </row>
    <row r="5636" spans="1:11" x14ac:dyDescent="0.25">
      <c r="A5636" s="163"/>
      <c r="B5636" s="106"/>
      <c r="C5636" s="73"/>
      <c r="D5636" s="73"/>
      <c r="E5636" s="75" t="s">
        <v>2731</v>
      </c>
      <c r="F5636" s="74"/>
      <c r="G5636" s="72"/>
    </row>
    <row r="5637" spans="1:11" x14ac:dyDescent="0.25">
      <c r="A5637" s="163"/>
      <c r="B5637" s="106"/>
      <c r="C5637" s="73"/>
      <c r="D5637" s="73"/>
      <c r="E5637" s="73" t="s">
        <v>2750</v>
      </c>
      <c r="F5637" s="152" t="s">
        <v>3</v>
      </c>
      <c r="G5637" s="80">
        <f>0.765*0.35*2*8*1.1437</f>
        <v>4.8996107999999996</v>
      </c>
      <c r="I5637">
        <f>0.765*0.035*3*8</f>
        <v>0.64260000000000006</v>
      </c>
      <c r="K5637" s="323">
        <v>615</v>
      </c>
    </row>
    <row r="5638" spans="1:11" x14ac:dyDescent="0.25">
      <c r="A5638" s="163"/>
      <c r="B5638" s="106"/>
      <c r="C5638" s="73"/>
      <c r="D5638" s="73"/>
      <c r="E5638" s="75" t="s">
        <v>2732</v>
      </c>
      <c r="F5638" s="74"/>
      <c r="G5638" s="72"/>
    </row>
    <row r="5639" spans="1:11" x14ac:dyDescent="0.25">
      <c r="A5639" s="163"/>
      <c r="B5639" s="106"/>
      <c r="C5639" s="73"/>
      <c r="D5639" s="73"/>
      <c r="E5639" s="73" t="s">
        <v>2735</v>
      </c>
      <c r="F5639" s="152" t="s">
        <v>3</v>
      </c>
      <c r="G5639" s="72">
        <f>0.31*0.022*3*8*1.159</f>
        <v>0.18970512</v>
      </c>
      <c r="K5639" s="323"/>
    </row>
    <row r="5640" spans="1:11" x14ac:dyDescent="0.25">
      <c r="A5640" s="163"/>
      <c r="B5640" s="106"/>
      <c r="C5640" s="73"/>
      <c r="D5640" s="73"/>
      <c r="E5640" s="75" t="s">
        <v>2733</v>
      </c>
      <c r="F5640" s="74"/>
      <c r="G5640" s="72"/>
    </row>
    <row r="5641" spans="1:11" x14ac:dyDescent="0.25">
      <c r="A5641" s="163"/>
      <c r="B5641" s="106"/>
      <c r="C5641" s="73"/>
      <c r="D5641" s="73"/>
      <c r="E5641" s="73" t="s">
        <v>2735</v>
      </c>
      <c r="F5641" s="152" t="s">
        <v>3</v>
      </c>
      <c r="G5641" s="72">
        <f>0.112*0.022*3*8*1.15</f>
        <v>6.8006399999999995E-2</v>
      </c>
      <c r="K5641" s="323"/>
    </row>
    <row r="5642" spans="1:11" x14ac:dyDescent="0.25">
      <c r="A5642" s="163"/>
      <c r="B5642" s="106"/>
      <c r="C5642" s="73"/>
      <c r="D5642" s="75" t="s">
        <v>870</v>
      </c>
      <c r="E5642" s="73"/>
      <c r="F5642" s="74"/>
      <c r="G5642" s="72"/>
    </row>
    <row r="5643" spans="1:11" x14ac:dyDescent="0.25">
      <c r="A5643" s="163"/>
      <c r="B5643" s="106"/>
      <c r="C5643" s="73"/>
      <c r="D5643" s="73" t="s">
        <v>2751</v>
      </c>
      <c r="E5643" s="73"/>
      <c r="F5643" s="152" t="s">
        <v>3</v>
      </c>
      <c r="G5643" s="72">
        <f>0.015*3/2*1.1</f>
        <v>2.4750000000000001E-2</v>
      </c>
    </row>
    <row r="5644" spans="1:11" x14ac:dyDescent="0.25">
      <c r="A5644" s="163"/>
      <c r="B5644" s="106"/>
      <c r="C5644" s="73"/>
      <c r="D5644" s="73"/>
      <c r="E5644" s="73"/>
      <c r="F5644" s="74"/>
      <c r="G5644" s="72"/>
    </row>
    <row r="5645" spans="1:11" x14ac:dyDescent="0.25">
      <c r="A5645" s="193"/>
      <c r="B5645" s="106">
        <v>8</v>
      </c>
      <c r="C5645" s="75" t="s">
        <v>2736</v>
      </c>
      <c r="D5645" s="73"/>
      <c r="E5645" s="73"/>
      <c r="F5645" s="74"/>
      <c r="G5645" s="72"/>
    </row>
    <row r="5646" spans="1:11" ht="15" customHeight="1" x14ac:dyDescent="0.25">
      <c r="A5646" s="163"/>
      <c r="B5646" s="106"/>
      <c r="C5646" s="100" t="s">
        <v>8</v>
      </c>
      <c r="D5646" s="73"/>
      <c r="E5646" s="73"/>
      <c r="F5646" s="74" t="s">
        <v>3</v>
      </c>
      <c r="G5646" s="72">
        <f>0.9*G5648</f>
        <v>0.45042980580000003</v>
      </c>
      <c r="K5646" s="324"/>
    </row>
    <row r="5647" spans="1:11" ht="15" customHeight="1" x14ac:dyDescent="0.25">
      <c r="A5647" s="163"/>
      <c r="B5647" s="106"/>
      <c r="C5647" s="100" t="s">
        <v>12</v>
      </c>
      <c r="D5647" s="73"/>
      <c r="E5647" s="73"/>
      <c r="F5647" s="74" t="s">
        <v>3</v>
      </c>
      <c r="G5647" s="72">
        <f>0.3*G5646</f>
        <v>0.13512894174000001</v>
      </c>
      <c r="K5647" s="324"/>
    </row>
    <row r="5648" spans="1:11" ht="15" customHeight="1" x14ac:dyDescent="0.25">
      <c r="A5648" s="163"/>
      <c r="B5648" s="106"/>
      <c r="C5648" s="100" t="s">
        <v>72</v>
      </c>
      <c r="D5648" s="73"/>
      <c r="E5648" s="73"/>
      <c r="F5648" s="74" t="s">
        <v>3</v>
      </c>
      <c r="G5648" s="72">
        <f>(1.226*0.47*2+0.15*3.4)*0.135*2*1.115</f>
        <v>0.50047756200000004</v>
      </c>
      <c r="K5648" s="324"/>
    </row>
    <row r="5649" spans="1:11" ht="15" customHeight="1" x14ac:dyDescent="0.25">
      <c r="A5649" s="163"/>
      <c r="B5649" s="106"/>
      <c r="C5649" s="100" t="s">
        <v>11</v>
      </c>
      <c r="D5649" s="73"/>
      <c r="E5649" s="73"/>
      <c r="F5649" s="74" t="s">
        <v>3</v>
      </c>
      <c r="G5649" s="72">
        <f>0.3*G5648</f>
        <v>0.15014326860000002</v>
      </c>
      <c r="K5649" s="324"/>
    </row>
    <row r="5650" spans="1:11" ht="15" customHeight="1" x14ac:dyDescent="0.25">
      <c r="A5650" s="163"/>
      <c r="B5650" s="106"/>
      <c r="C5650" s="77" t="s">
        <v>1420</v>
      </c>
      <c r="D5650" s="73"/>
      <c r="E5650" s="73"/>
      <c r="F5650" s="74" t="s">
        <v>3</v>
      </c>
      <c r="G5650" s="72">
        <f>G5646</f>
        <v>0.45042980580000003</v>
      </c>
      <c r="K5650" s="324"/>
    </row>
    <row r="5651" spans="1:11" ht="15" customHeight="1" x14ac:dyDescent="0.25">
      <c r="A5651" s="163"/>
      <c r="B5651" s="106"/>
      <c r="C5651" s="77" t="s">
        <v>313</v>
      </c>
      <c r="D5651" s="73"/>
      <c r="E5651" s="73"/>
      <c r="F5651" s="74" t="s">
        <v>3</v>
      </c>
      <c r="G5651" s="72">
        <f>0.3*G5650</f>
        <v>0.13512894174000001</v>
      </c>
      <c r="K5651" s="324"/>
    </row>
    <row r="5652" spans="1:11" ht="15" customHeight="1" x14ac:dyDescent="0.25">
      <c r="A5652" s="163"/>
      <c r="B5652" s="106"/>
      <c r="C5652" s="77" t="s">
        <v>1931</v>
      </c>
      <c r="D5652" s="73"/>
      <c r="E5652" s="73"/>
      <c r="F5652" s="74" t="s">
        <v>3</v>
      </c>
      <c r="G5652" s="72">
        <f>G5650/16</f>
        <v>2.8151862862500002E-2</v>
      </c>
      <c r="K5652" s="324"/>
    </row>
    <row r="5653" spans="1:11" ht="15" customHeight="1" x14ac:dyDescent="0.25">
      <c r="A5653" s="163"/>
      <c r="B5653" s="106"/>
      <c r="C5653" s="77" t="s">
        <v>13</v>
      </c>
      <c r="D5653" s="73"/>
      <c r="E5653" s="73"/>
      <c r="F5653" s="74" t="s">
        <v>3</v>
      </c>
      <c r="G5653" s="72">
        <v>0.4</v>
      </c>
      <c r="K5653" s="324"/>
    </row>
    <row r="5654" spans="1:11" ht="15" customHeight="1" x14ac:dyDescent="0.25">
      <c r="A5654" s="163"/>
      <c r="B5654" s="106"/>
      <c r="C5654" s="77" t="s">
        <v>1054</v>
      </c>
      <c r="D5654" s="73"/>
      <c r="E5654" s="73"/>
      <c r="F5654" s="152" t="s">
        <v>3</v>
      </c>
      <c r="G5654" s="80">
        <f>(0.05*14*2)*0.08*1.159</f>
        <v>0.12980800000000003</v>
      </c>
      <c r="K5654" s="324"/>
    </row>
    <row r="5655" spans="1:11" ht="15" customHeight="1" x14ac:dyDescent="0.25">
      <c r="A5655" s="163"/>
      <c r="B5655" s="106"/>
      <c r="C5655" s="77" t="s">
        <v>1055</v>
      </c>
      <c r="D5655" s="73"/>
      <c r="E5655" s="73"/>
      <c r="F5655" s="74" t="s">
        <v>596</v>
      </c>
      <c r="G5655" s="72">
        <f>G5654*1.23</f>
        <v>0.15966384000000003</v>
      </c>
      <c r="K5655" s="324"/>
    </row>
    <row r="5656" spans="1:11" ht="15" customHeight="1" x14ac:dyDescent="0.25">
      <c r="A5656" s="163"/>
      <c r="B5656" s="106"/>
      <c r="C5656" s="77" t="s">
        <v>147</v>
      </c>
      <c r="D5656" s="73"/>
      <c r="E5656" s="73"/>
      <c r="F5656" s="74" t="s">
        <v>3</v>
      </c>
      <c r="G5656" s="72">
        <v>0.1</v>
      </c>
      <c r="K5656" s="324"/>
    </row>
    <row r="5657" spans="1:11" x14ac:dyDescent="0.25">
      <c r="A5657" s="163"/>
      <c r="B5657" s="106"/>
      <c r="C5657" s="73"/>
      <c r="D5657" s="75" t="s">
        <v>2737</v>
      </c>
      <c r="E5657" s="73"/>
      <c r="F5657" s="74"/>
      <c r="G5657" s="72"/>
    </row>
    <row r="5658" spans="1:11" x14ac:dyDescent="0.25">
      <c r="A5658" s="163"/>
      <c r="B5658" s="106"/>
      <c r="C5658" s="73"/>
      <c r="D5658" s="100" t="s">
        <v>37</v>
      </c>
      <c r="E5658" s="73"/>
      <c r="F5658" s="74" t="s">
        <v>3</v>
      </c>
      <c r="G5658" s="72">
        <f>(1*2+0.23*2)*0.022*0.2*2*1.2</f>
        <v>2.59776E-2</v>
      </c>
      <c r="K5658" s="324"/>
    </row>
    <row r="5659" spans="1:11" x14ac:dyDescent="0.25">
      <c r="A5659" s="163"/>
      <c r="B5659" s="106"/>
      <c r="C5659" s="73"/>
      <c r="D5659" s="77" t="s">
        <v>1054</v>
      </c>
      <c r="E5659" s="73"/>
      <c r="F5659" s="152" t="s">
        <v>3</v>
      </c>
      <c r="G5659" s="80">
        <f>((1*2+0.23*2)/0.25*0.1+0.04*15+0.2)*0.08*1.19</f>
        <v>0.16983680000000001</v>
      </c>
      <c r="K5659" s="324"/>
    </row>
    <row r="5660" spans="1:11" ht="17.25" x14ac:dyDescent="0.25">
      <c r="A5660" s="163"/>
      <c r="B5660" s="106"/>
      <c r="C5660" s="73"/>
      <c r="D5660" s="77" t="s">
        <v>1055</v>
      </c>
      <c r="E5660" s="73"/>
      <c r="F5660" s="74" t="s">
        <v>596</v>
      </c>
      <c r="G5660" s="72">
        <f>G5659*1.1</f>
        <v>0.18682048000000004</v>
      </c>
      <c r="K5660" s="324"/>
    </row>
    <row r="5661" spans="1:11" x14ac:dyDescent="0.25">
      <c r="A5661" s="163"/>
      <c r="B5661" s="106"/>
      <c r="C5661" s="73"/>
      <c r="D5661" s="73"/>
      <c r="E5661" s="75" t="s">
        <v>2738</v>
      </c>
      <c r="F5661" s="74"/>
      <c r="G5661" s="72"/>
    </row>
    <row r="5662" spans="1:11" x14ac:dyDescent="0.25">
      <c r="A5662" s="163"/>
      <c r="B5662" s="106"/>
      <c r="C5662" s="73"/>
      <c r="D5662" s="73"/>
      <c r="E5662" s="73" t="s">
        <v>2750</v>
      </c>
      <c r="F5662" s="74" t="s">
        <v>3</v>
      </c>
      <c r="G5662" s="72">
        <f>1.13*0.275*2*8*1.1465</f>
        <v>5.7003979999999999</v>
      </c>
      <c r="K5662" s="324"/>
    </row>
    <row r="5663" spans="1:11" x14ac:dyDescent="0.25">
      <c r="A5663" s="163"/>
      <c r="B5663" s="106"/>
      <c r="C5663" s="73"/>
      <c r="D5663" s="73"/>
      <c r="E5663" s="75" t="s">
        <v>2739</v>
      </c>
      <c r="F5663" s="74"/>
      <c r="G5663" s="72"/>
    </row>
    <row r="5664" spans="1:11" x14ac:dyDescent="0.25">
      <c r="A5664" s="163"/>
      <c r="B5664" s="106"/>
      <c r="C5664" s="73"/>
      <c r="D5664" s="73"/>
      <c r="E5664" s="73" t="s">
        <v>2735</v>
      </c>
      <c r="F5664" s="74" t="s">
        <v>3</v>
      </c>
      <c r="G5664" s="72">
        <f>0.24*0.022*3*8*1.145</f>
        <v>0.14509439999999996</v>
      </c>
      <c r="K5664" s="324"/>
    </row>
    <row r="5665" spans="1:11" x14ac:dyDescent="0.25">
      <c r="A5665" s="163"/>
      <c r="B5665" s="106"/>
      <c r="C5665" s="73"/>
      <c r="D5665" s="73"/>
      <c r="E5665" s="75" t="s">
        <v>2740</v>
      </c>
      <c r="F5665" s="74"/>
      <c r="G5665" s="72"/>
    </row>
    <row r="5666" spans="1:11" x14ac:dyDescent="0.25">
      <c r="A5666" s="163"/>
      <c r="B5666" s="106"/>
      <c r="C5666" s="73"/>
      <c r="D5666" s="73"/>
      <c r="E5666" s="73" t="s">
        <v>2750</v>
      </c>
      <c r="F5666" s="74" t="s">
        <v>3</v>
      </c>
      <c r="G5666" s="80">
        <f>0.235*0.02*2*8*1.15</f>
        <v>8.6480000000000001E-2</v>
      </c>
      <c r="K5666" s="324"/>
    </row>
    <row r="5667" spans="1:11" x14ac:dyDescent="0.25">
      <c r="A5667" s="163"/>
      <c r="B5667" s="106"/>
      <c r="C5667" s="73"/>
      <c r="D5667" s="73"/>
      <c r="E5667" s="75" t="s">
        <v>2741</v>
      </c>
      <c r="F5667" s="74"/>
      <c r="G5667" s="72"/>
    </row>
    <row r="5668" spans="1:11" x14ac:dyDescent="0.25">
      <c r="A5668" s="163"/>
      <c r="B5668" s="106"/>
      <c r="C5668" s="73"/>
      <c r="D5668" s="73"/>
      <c r="E5668" s="73" t="s">
        <v>2750</v>
      </c>
      <c r="F5668" s="74" t="s">
        <v>3</v>
      </c>
      <c r="G5668" s="72">
        <f>0.98*0.02*2*8*1.133</f>
        <v>0.35530879999999998</v>
      </c>
      <c r="K5668" s="324"/>
    </row>
    <row r="5669" spans="1:11" x14ac:dyDescent="0.25">
      <c r="A5669" s="163"/>
      <c r="B5669" s="106"/>
      <c r="C5669" s="73"/>
      <c r="D5669" s="75" t="s">
        <v>2742</v>
      </c>
      <c r="E5669" s="73"/>
      <c r="F5669" s="74"/>
      <c r="G5669" s="72"/>
    </row>
    <row r="5670" spans="1:11" x14ac:dyDescent="0.25">
      <c r="A5670" s="163"/>
      <c r="B5670" s="106"/>
      <c r="C5670" s="73"/>
      <c r="D5670" s="77" t="s">
        <v>1054</v>
      </c>
      <c r="E5670" s="73"/>
      <c r="F5670" s="152" t="s">
        <v>3</v>
      </c>
      <c r="G5670" s="80">
        <f>(0.385*2+0.175*2+0.115*2+0.555*2+1.25*2+1.1+0.15+1.25/0.25*0.1*2+0.5)*0.08*1.216</f>
        <v>0.75002880000000016</v>
      </c>
      <c r="K5670" s="324"/>
    </row>
    <row r="5671" spans="1:11" ht="17.25" x14ac:dyDescent="0.25">
      <c r="A5671" s="163"/>
      <c r="B5671" s="106"/>
      <c r="C5671" s="73"/>
      <c r="D5671" s="77" t="s">
        <v>1055</v>
      </c>
      <c r="E5671" s="73"/>
      <c r="F5671" s="74" t="s">
        <v>596</v>
      </c>
      <c r="G5671" s="72">
        <f>G5670*1.1</f>
        <v>0.82503168000000027</v>
      </c>
      <c r="K5671" s="324"/>
    </row>
    <row r="5672" spans="1:11" x14ac:dyDescent="0.25">
      <c r="A5672" s="163"/>
      <c r="B5672" s="106"/>
      <c r="C5672" s="73"/>
      <c r="D5672" s="73"/>
      <c r="E5672" s="75" t="s">
        <v>2743</v>
      </c>
      <c r="F5672" s="74"/>
      <c r="G5672" s="72"/>
    </row>
    <row r="5673" spans="1:11" x14ac:dyDescent="0.25">
      <c r="A5673" s="163"/>
      <c r="B5673" s="106"/>
      <c r="C5673" s="73"/>
      <c r="D5673" s="73"/>
      <c r="E5673" s="73" t="s">
        <v>2669</v>
      </c>
      <c r="F5673" s="74" t="s">
        <v>3</v>
      </c>
      <c r="G5673" s="72">
        <f>1.15*0.75*1.5*8*1.10145</f>
        <v>11.400007499999999</v>
      </c>
      <c r="I5673">
        <f>3.92/2.5*1.5*3</f>
        <v>7.0560000000000009</v>
      </c>
      <c r="K5673" s="324"/>
    </row>
    <row r="5674" spans="1:11" x14ac:dyDescent="0.25">
      <c r="A5674" s="163"/>
      <c r="B5674" s="106"/>
      <c r="C5674" s="73"/>
      <c r="D5674" s="73"/>
      <c r="E5674" s="75" t="s">
        <v>2744</v>
      </c>
      <c r="F5674" s="74"/>
      <c r="G5674" s="72"/>
    </row>
    <row r="5675" spans="1:11" x14ac:dyDescent="0.25">
      <c r="A5675" s="163"/>
      <c r="B5675" s="106"/>
      <c r="C5675" s="73"/>
      <c r="D5675" s="73"/>
      <c r="E5675" s="73" t="s">
        <v>2669</v>
      </c>
      <c r="F5675" s="74" t="s">
        <v>3</v>
      </c>
      <c r="G5675" s="72">
        <f>1.25*0.25*1.5*8*1.12</f>
        <v>4.2</v>
      </c>
      <c r="K5675" s="324"/>
    </row>
    <row r="5676" spans="1:11" x14ac:dyDescent="0.25">
      <c r="A5676" s="163"/>
      <c r="B5676" s="106"/>
      <c r="C5676" s="73"/>
      <c r="D5676" s="73"/>
      <c r="E5676" s="75" t="s">
        <v>2745</v>
      </c>
      <c r="F5676" s="74"/>
      <c r="G5676" s="72"/>
    </row>
    <row r="5677" spans="1:11" x14ac:dyDescent="0.25">
      <c r="A5677" s="163"/>
      <c r="B5677" s="106"/>
      <c r="C5677" s="73"/>
      <c r="D5677" s="73"/>
      <c r="E5677" s="73" t="s">
        <v>2669</v>
      </c>
      <c r="F5677" s="74" t="s">
        <v>3</v>
      </c>
      <c r="G5677" s="72">
        <f>0.655*0.21*1.5*8*1.151</f>
        <v>1.8998406000000001</v>
      </c>
      <c r="K5677" s="324"/>
    </row>
    <row r="5678" spans="1:11" x14ac:dyDescent="0.25">
      <c r="A5678" s="163"/>
      <c r="B5678" s="106"/>
      <c r="C5678" s="73"/>
      <c r="D5678" s="73"/>
      <c r="E5678" s="75" t="s">
        <v>2746</v>
      </c>
      <c r="F5678" s="74"/>
      <c r="G5678" s="72"/>
    </row>
    <row r="5679" spans="1:11" x14ac:dyDescent="0.25">
      <c r="A5679" s="163"/>
      <c r="B5679" s="106"/>
      <c r="C5679" s="73"/>
      <c r="D5679" s="73"/>
      <c r="E5679" s="73" t="s">
        <v>2669</v>
      </c>
      <c r="F5679" s="74" t="s">
        <v>3</v>
      </c>
      <c r="G5679" s="72">
        <f>0.48*0.27*1.5*8*1.1572</f>
        <v>1.79967744</v>
      </c>
      <c r="K5679" s="324"/>
    </row>
    <row r="5680" spans="1:11" x14ac:dyDescent="0.25">
      <c r="A5680" s="163"/>
      <c r="B5680" s="106"/>
      <c r="C5680" s="73"/>
      <c r="D5680" s="73"/>
      <c r="E5680" s="75" t="s">
        <v>2747</v>
      </c>
      <c r="F5680" s="74"/>
      <c r="G5680" s="72"/>
    </row>
    <row r="5681" spans="1:11" x14ac:dyDescent="0.25">
      <c r="A5681" s="163"/>
      <c r="B5681" s="106"/>
      <c r="C5681" s="73"/>
      <c r="D5681" s="73"/>
      <c r="E5681" s="73" t="s">
        <v>2750</v>
      </c>
      <c r="F5681" s="74" t="s">
        <v>3</v>
      </c>
      <c r="G5681" s="72">
        <f>0.34*1.15*2*8*1.151-0.001</f>
        <v>7.1996560000000001</v>
      </c>
      <c r="K5681" s="324"/>
    </row>
    <row r="5682" spans="1:11" x14ac:dyDescent="0.25">
      <c r="A5682" s="163"/>
      <c r="B5682" s="106"/>
      <c r="C5682" s="73"/>
      <c r="D5682" s="73"/>
      <c r="E5682" s="75" t="s">
        <v>2748</v>
      </c>
      <c r="F5682" s="74"/>
      <c r="G5682" s="72"/>
    </row>
    <row r="5683" spans="1:11" x14ac:dyDescent="0.25">
      <c r="A5683" s="163"/>
      <c r="B5683" s="106"/>
      <c r="C5683" s="73"/>
      <c r="D5683" s="73"/>
      <c r="E5683" s="73" t="s">
        <v>2669</v>
      </c>
      <c r="F5683" s="74" t="s">
        <v>3</v>
      </c>
      <c r="G5683" s="72">
        <f>0.035*1.11*1.5*8*1.12</f>
        <v>0.52214400000000016</v>
      </c>
    </row>
    <row r="5684" spans="1:11" x14ac:dyDescent="0.25">
      <c r="A5684" s="163"/>
      <c r="B5684" s="106"/>
      <c r="C5684" s="73"/>
      <c r="D5684" s="73"/>
      <c r="E5684" s="73"/>
      <c r="F5684" s="74"/>
      <c r="G5684" s="72"/>
      <c r="K5684" s="324"/>
    </row>
    <row r="5685" spans="1:11" x14ac:dyDescent="0.25">
      <c r="A5685" s="193"/>
      <c r="B5685" s="106">
        <v>9</v>
      </c>
      <c r="C5685" s="75" t="s">
        <v>2762</v>
      </c>
      <c r="D5685" s="73"/>
      <c r="E5685" s="73"/>
      <c r="F5685" s="74"/>
      <c r="G5685" s="72"/>
      <c r="K5685" s="324"/>
    </row>
    <row r="5686" spans="1:11" x14ac:dyDescent="0.25">
      <c r="A5686" s="163"/>
      <c r="B5686" s="106"/>
      <c r="C5686" s="100" t="s">
        <v>8</v>
      </c>
      <c r="D5686" s="73"/>
      <c r="E5686" s="73"/>
      <c r="F5686" s="74" t="s">
        <v>3</v>
      </c>
      <c r="G5686" s="72">
        <f>0.9*G5688+0.005</f>
        <v>0.5</v>
      </c>
      <c r="K5686" s="324"/>
    </row>
    <row r="5687" spans="1:11" x14ac:dyDescent="0.25">
      <c r="A5687" s="163"/>
      <c r="B5687" s="106"/>
      <c r="C5687" s="100" t="s">
        <v>12</v>
      </c>
      <c r="D5687" s="73"/>
      <c r="E5687" s="73"/>
      <c r="F5687" s="74" t="s">
        <v>3</v>
      </c>
      <c r="G5687" s="72">
        <f>0.3*G5686</f>
        <v>0.15</v>
      </c>
      <c r="K5687" s="324"/>
    </row>
    <row r="5688" spans="1:11" x14ac:dyDescent="0.25">
      <c r="A5688" s="163"/>
      <c r="B5688" s="106"/>
      <c r="C5688" s="100" t="s">
        <v>72</v>
      </c>
      <c r="D5688" s="73"/>
      <c r="E5688" s="73"/>
      <c r="F5688" s="74" t="s">
        <v>3</v>
      </c>
      <c r="G5688" s="72">
        <v>0.55000000000000004</v>
      </c>
      <c r="K5688" s="324"/>
    </row>
    <row r="5689" spans="1:11" x14ac:dyDescent="0.25">
      <c r="A5689" s="163"/>
      <c r="B5689" s="106"/>
      <c r="C5689" s="100" t="s">
        <v>11</v>
      </c>
      <c r="D5689" s="73"/>
      <c r="E5689" s="73"/>
      <c r="F5689" s="74" t="s">
        <v>3</v>
      </c>
      <c r="G5689" s="72">
        <f>0.3*G5688</f>
        <v>0.16500000000000001</v>
      </c>
      <c r="K5689" s="324"/>
    </row>
    <row r="5690" spans="1:11" x14ac:dyDescent="0.25">
      <c r="A5690" s="163"/>
      <c r="B5690" s="106"/>
      <c r="C5690" s="77" t="s">
        <v>1420</v>
      </c>
      <c r="D5690" s="73"/>
      <c r="E5690" s="73"/>
      <c r="F5690" s="74" t="s">
        <v>3</v>
      </c>
      <c r="G5690" s="72">
        <f>G5686</f>
        <v>0.5</v>
      </c>
      <c r="K5690" s="324"/>
    </row>
    <row r="5691" spans="1:11" x14ac:dyDescent="0.25">
      <c r="A5691" s="163"/>
      <c r="B5691" s="106"/>
      <c r="C5691" s="77" t="s">
        <v>313</v>
      </c>
      <c r="D5691" s="73"/>
      <c r="E5691" s="73"/>
      <c r="F5691" s="74" t="s">
        <v>3</v>
      </c>
      <c r="G5691" s="72">
        <f>0.3*G5690</f>
        <v>0.15</v>
      </c>
      <c r="K5691" s="324"/>
    </row>
    <row r="5692" spans="1:11" x14ac:dyDescent="0.25">
      <c r="A5692" s="163"/>
      <c r="B5692" s="106"/>
      <c r="C5692" s="77" t="s">
        <v>1931</v>
      </c>
      <c r="D5692" s="73"/>
      <c r="E5692" s="73"/>
      <c r="F5692" s="74" t="s">
        <v>3</v>
      </c>
      <c r="G5692" s="72">
        <f>G5690/16</f>
        <v>3.125E-2</v>
      </c>
      <c r="K5692" s="324"/>
    </row>
    <row r="5693" spans="1:11" x14ac:dyDescent="0.25">
      <c r="A5693" s="163"/>
      <c r="B5693" s="106"/>
      <c r="C5693" s="77" t="s">
        <v>13</v>
      </c>
      <c r="D5693" s="73"/>
      <c r="E5693" s="73"/>
      <c r="F5693" s="74" t="s">
        <v>3</v>
      </c>
      <c r="G5693" s="72">
        <v>0.4</v>
      </c>
      <c r="K5693" s="324"/>
    </row>
    <row r="5694" spans="1:11" x14ac:dyDescent="0.25">
      <c r="A5694" s="163"/>
      <c r="B5694" s="106"/>
      <c r="C5694" s="77" t="s">
        <v>1054</v>
      </c>
      <c r="D5694" s="73"/>
      <c r="E5694" s="73"/>
      <c r="F5694" s="152" t="s">
        <v>3</v>
      </c>
      <c r="G5694" s="80">
        <f>(0.05*14*2)*0.08*1.159</f>
        <v>0.12980800000000003</v>
      </c>
      <c r="K5694" s="324"/>
    </row>
    <row r="5695" spans="1:11" ht="17.25" x14ac:dyDescent="0.25">
      <c r="A5695" s="163"/>
      <c r="B5695" s="106"/>
      <c r="C5695" s="77" t="s">
        <v>1055</v>
      </c>
      <c r="D5695" s="73"/>
      <c r="E5695" s="73"/>
      <c r="F5695" s="74" t="s">
        <v>596</v>
      </c>
      <c r="G5695" s="72">
        <f>G5694*1.23</f>
        <v>0.15966384000000003</v>
      </c>
      <c r="K5695" s="324"/>
    </row>
    <row r="5696" spans="1:11" x14ac:dyDescent="0.25">
      <c r="A5696" s="163"/>
      <c r="B5696" s="106"/>
      <c r="C5696" s="77" t="s">
        <v>147</v>
      </c>
      <c r="D5696" s="73"/>
      <c r="E5696" s="73"/>
      <c r="F5696" s="74" t="s">
        <v>3</v>
      </c>
      <c r="G5696" s="72">
        <v>0.1</v>
      </c>
      <c r="K5696" s="324"/>
    </row>
    <row r="5697" spans="1:11" x14ac:dyDescent="0.25">
      <c r="A5697" s="163"/>
      <c r="B5697" s="106"/>
      <c r="C5697" s="73"/>
      <c r="D5697" s="75" t="s">
        <v>2763</v>
      </c>
      <c r="E5697" s="73"/>
      <c r="F5697" s="74"/>
      <c r="G5697" s="72"/>
      <c r="K5697" s="324"/>
    </row>
    <row r="5698" spans="1:11" x14ac:dyDescent="0.25">
      <c r="A5698" s="163"/>
      <c r="B5698" s="106"/>
      <c r="C5698" s="73"/>
      <c r="D5698" s="77" t="s">
        <v>1054</v>
      </c>
      <c r="E5698" s="73"/>
      <c r="F5698" s="152" t="s">
        <v>3</v>
      </c>
      <c r="G5698" s="80">
        <f>(0.195*2+0.175*2+0.55*2+0.375*2+1.625+1.8*2+0.15*2+0.2+2)*0.08*1.212</f>
        <v>1.0001423999999999</v>
      </c>
      <c r="I5698">
        <v>750</v>
      </c>
      <c r="K5698" s="324"/>
    </row>
    <row r="5699" spans="1:11" ht="17.25" x14ac:dyDescent="0.25">
      <c r="A5699" s="163"/>
      <c r="B5699" s="106"/>
      <c r="C5699" s="73"/>
      <c r="D5699" s="77" t="s">
        <v>1055</v>
      </c>
      <c r="E5699" s="73"/>
      <c r="F5699" s="74" t="s">
        <v>596</v>
      </c>
      <c r="G5699" s="72">
        <f>G5698*1.1</f>
        <v>1.10015664</v>
      </c>
      <c r="K5699" s="324"/>
    </row>
    <row r="5700" spans="1:11" x14ac:dyDescent="0.25">
      <c r="A5700" s="163"/>
      <c r="B5700" s="106"/>
      <c r="C5700" s="73"/>
      <c r="D5700" s="73"/>
      <c r="E5700" s="75" t="s">
        <v>2765</v>
      </c>
      <c r="F5700" s="74"/>
      <c r="G5700" s="72"/>
      <c r="K5700" s="324"/>
    </row>
    <row r="5701" spans="1:11" x14ac:dyDescent="0.25">
      <c r="A5701" s="163"/>
      <c r="B5701" s="106"/>
      <c r="C5701" s="73"/>
      <c r="D5701" s="73"/>
      <c r="E5701" s="73" t="s">
        <v>2669</v>
      </c>
      <c r="F5701" s="74" t="s">
        <v>3</v>
      </c>
      <c r="G5701" s="72">
        <f>0.75*1.55*1.5*8*1.1541</f>
        <v>16.099695000000001</v>
      </c>
      <c r="K5701" s="324"/>
    </row>
    <row r="5702" spans="1:11" x14ac:dyDescent="0.25">
      <c r="A5702" s="163"/>
      <c r="B5702" s="106"/>
      <c r="C5702" s="73"/>
      <c r="D5702" s="73"/>
      <c r="E5702" s="75" t="s">
        <v>2764</v>
      </c>
      <c r="F5702" s="74"/>
      <c r="G5702" s="72"/>
      <c r="K5702" s="324"/>
    </row>
    <row r="5703" spans="1:11" x14ac:dyDescent="0.25">
      <c r="A5703" s="163"/>
      <c r="B5703" s="106"/>
      <c r="C5703" s="73"/>
      <c r="D5703" s="73"/>
      <c r="E5703" s="73" t="s">
        <v>2669</v>
      </c>
      <c r="F5703" s="74" t="s">
        <v>3</v>
      </c>
      <c r="G5703" s="72">
        <f>0.645*0.3*1.5*8*1.163</f>
        <v>2.7004860000000002</v>
      </c>
      <c r="K5703" s="324"/>
    </row>
    <row r="5704" spans="1:11" x14ac:dyDescent="0.25">
      <c r="A5704" s="163"/>
      <c r="B5704" s="106"/>
      <c r="C5704" s="73"/>
      <c r="D5704" s="73"/>
      <c r="E5704" s="75" t="s">
        <v>2766</v>
      </c>
      <c r="F5704" s="74"/>
      <c r="G5704" s="72"/>
      <c r="K5704" s="324"/>
    </row>
    <row r="5705" spans="1:11" x14ac:dyDescent="0.25">
      <c r="A5705" s="163"/>
      <c r="B5705" s="106"/>
      <c r="C5705" s="73"/>
      <c r="D5705" s="73"/>
      <c r="E5705" s="73" t="s">
        <v>2669</v>
      </c>
      <c r="F5705" s="74" t="s">
        <v>3</v>
      </c>
      <c r="G5705" s="72">
        <f>0.47*0.27*1.5*8*1.15-0.001</f>
        <v>1.7502200000000001</v>
      </c>
      <c r="K5705" s="324"/>
    </row>
    <row r="5706" spans="1:11" x14ac:dyDescent="0.25">
      <c r="A5706" s="163"/>
      <c r="B5706" s="106"/>
      <c r="C5706" s="73"/>
      <c r="D5706" s="73"/>
      <c r="E5706" s="75" t="s">
        <v>2767</v>
      </c>
      <c r="F5706" s="74"/>
      <c r="G5706" s="72"/>
      <c r="K5706" s="324"/>
    </row>
    <row r="5707" spans="1:11" x14ac:dyDescent="0.25">
      <c r="A5707" s="163"/>
      <c r="B5707" s="106"/>
      <c r="C5707" s="73"/>
      <c r="D5707" s="73"/>
      <c r="E5707" s="73" t="s">
        <v>2750</v>
      </c>
      <c r="F5707" s="74" t="s">
        <v>3</v>
      </c>
      <c r="G5707" s="72">
        <f>(0.27*1.5+0.35*0.37)*1.5*8*1.1538</f>
        <v>7.4004731999999995</v>
      </c>
      <c r="K5707" s="324"/>
    </row>
    <row r="5708" spans="1:11" x14ac:dyDescent="0.25">
      <c r="A5708" s="163"/>
      <c r="B5708" s="106"/>
      <c r="C5708" s="73"/>
      <c r="D5708" s="73"/>
      <c r="E5708" s="75" t="s">
        <v>2768</v>
      </c>
      <c r="F5708" s="74"/>
      <c r="G5708" s="72"/>
      <c r="K5708" s="324"/>
    </row>
    <row r="5709" spans="1:11" x14ac:dyDescent="0.25">
      <c r="A5709" s="163"/>
      <c r="B5709" s="106"/>
      <c r="C5709" s="73"/>
      <c r="D5709" s="73"/>
      <c r="E5709" s="73" t="s">
        <v>2669</v>
      </c>
      <c r="F5709" s="74" t="s">
        <v>3</v>
      </c>
      <c r="G5709" s="72">
        <f>(1.6*0.26)*1.5*8*1.1418</f>
        <v>5.6998656000000008</v>
      </c>
      <c r="K5709" s="324"/>
    </row>
    <row r="5710" spans="1:11" x14ac:dyDescent="0.25">
      <c r="A5710" s="163"/>
      <c r="B5710" s="106"/>
      <c r="C5710" s="73"/>
      <c r="D5710" s="73"/>
      <c r="E5710" s="75" t="s">
        <v>2769</v>
      </c>
      <c r="F5710" s="74"/>
      <c r="G5710" s="72"/>
      <c r="K5710" s="324"/>
    </row>
    <row r="5711" spans="1:11" x14ac:dyDescent="0.25">
      <c r="A5711" s="163"/>
      <c r="B5711" s="106"/>
      <c r="C5711" s="73"/>
      <c r="D5711" s="73"/>
      <c r="E5711" s="73" t="s">
        <v>2750</v>
      </c>
      <c r="F5711" s="74" t="s">
        <v>3</v>
      </c>
      <c r="G5711" s="72">
        <f>0.025*0.02*2*8*1.1</f>
        <v>8.8000000000000005E-3</v>
      </c>
      <c r="K5711" s="324"/>
    </row>
    <row r="5712" spans="1:11" x14ac:dyDescent="0.25">
      <c r="A5712" s="163"/>
      <c r="B5712" s="106"/>
      <c r="C5712" s="73"/>
      <c r="D5712" s="73"/>
      <c r="E5712" s="75" t="s">
        <v>2770</v>
      </c>
      <c r="F5712" s="74"/>
      <c r="G5712" s="72"/>
      <c r="K5712" s="324"/>
    </row>
    <row r="5713" spans="1:11" x14ac:dyDescent="0.25">
      <c r="A5713" s="163"/>
      <c r="B5713" s="106"/>
      <c r="C5713" s="73"/>
      <c r="D5713" s="73"/>
      <c r="E5713" s="73" t="s">
        <v>2669</v>
      </c>
      <c r="F5713" s="74" t="s">
        <v>3</v>
      </c>
      <c r="G5713" s="72">
        <f>0.77*0.035*1.5*8*1.15</f>
        <v>0.37191000000000002</v>
      </c>
      <c r="K5713" s="324"/>
    </row>
    <row r="5714" spans="1:11" x14ac:dyDescent="0.25">
      <c r="A5714" s="163"/>
      <c r="B5714" s="106"/>
      <c r="C5714" s="73"/>
      <c r="D5714" s="73"/>
      <c r="E5714" s="75" t="s">
        <v>2771</v>
      </c>
      <c r="F5714" s="74"/>
      <c r="G5714" s="72"/>
      <c r="K5714" s="324"/>
    </row>
    <row r="5715" spans="1:11" x14ac:dyDescent="0.25">
      <c r="A5715" s="163"/>
      <c r="B5715" s="106"/>
      <c r="C5715" s="73"/>
      <c r="D5715" s="73"/>
      <c r="E5715" s="73" t="s">
        <v>2669</v>
      </c>
      <c r="F5715" s="74" t="s">
        <v>3</v>
      </c>
      <c r="G5715" s="72">
        <f>0.245*0.035*1.5*8*1.15</f>
        <v>0.11833500000000001</v>
      </c>
      <c r="K5715" s="324"/>
    </row>
    <row r="5716" spans="1:11" x14ac:dyDescent="0.25">
      <c r="A5716" s="163"/>
      <c r="B5716" s="106"/>
      <c r="C5716" s="73"/>
      <c r="D5716" s="75" t="s">
        <v>2772</v>
      </c>
      <c r="E5716" s="73"/>
      <c r="F5716" s="74"/>
      <c r="G5716" s="72"/>
      <c r="K5716" s="324"/>
    </row>
    <row r="5717" spans="1:11" x14ac:dyDescent="0.25">
      <c r="A5717" s="163"/>
      <c r="B5717" s="106"/>
      <c r="C5717" s="73"/>
      <c r="D5717" s="100" t="s">
        <v>37</v>
      </c>
      <c r="E5717" s="73"/>
      <c r="F5717" s="74" t="s">
        <v>3</v>
      </c>
      <c r="G5717" s="72">
        <f>(1.2*2+0.35*2)*0.022*0.2*2*1.3</f>
        <v>3.5463999999999996E-2</v>
      </c>
      <c r="K5717" s="324"/>
    </row>
    <row r="5718" spans="1:11" x14ac:dyDescent="0.25">
      <c r="A5718" s="163"/>
      <c r="B5718" s="106"/>
      <c r="C5718" s="73"/>
      <c r="D5718" s="77" t="s">
        <v>1054</v>
      </c>
      <c r="E5718" s="73"/>
      <c r="F5718" s="152" t="s">
        <v>3</v>
      </c>
      <c r="G5718" s="72">
        <f>((1.2*2+0.35*2)/0.15*0.05+0.05*12+0.15+0.3*12)*0.08*1.208</f>
        <v>0.52024533333333334</v>
      </c>
      <c r="H5718" s="10"/>
      <c r="K5718" s="324"/>
    </row>
    <row r="5719" spans="1:11" ht="17.25" x14ac:dyDescent="0.25">
      <c r="A5719" s="163"/>
      <c r="B5719" s="106"/>
      <c r="C5719" s="73"/>
      <c r="D5719" s="77" t="s">
        <v>1055</v>
      </c>
      <c r="E5719" s="73"/>
      <c r="F5719" s="74" t="s">
        <v>596</v>
      </c>
      <c r="G5719" s="72">
        <f>G5718*1.1</f>
        <v>0.57226986666666668</v>
      </c>
      <c r="K5719" s="324"/>
    </row>
    <row r="5720" spans="1:11" x14ac:dyDescent="0.25">
      <c r="A5720" s="163"/>
      <c r="B5720" s="106"/>
      <c r="C5720" s="73"/>
      <c r="D5720" s="73"/>
      <c r="E5720" s="75" t="s">
        <v>2773</v>
      </c>
      <c r="F5720" s="74"/>
      <c r="G5720" s="72"/>
      <c r="K5720" s="324"/>
    </row>
    <row r="5721" spans="1:11" x14ac:dyDescent="0.25">
      <c r="A5721" s="163"/>
      <c r="B5721" s="106"/>
      <c r="C5721" s="73"/>
      <c r="D5721" s="73"/>
      <c r="E5721" s="73" t="s">
        <v>2777</v>
      </c>
      <c r="F5721" s="74" t="s">
        <v>1516</v>
      </c>
      <c r="G5721" s="72">
        <v>8</v>
      </c>
      <c r="K5721" s="324"/>
    </row>
    <row r="5722" spans="1:11" x14ac:dyDescent="0.25">
      <c r="A5722" s="163"/>
      <c r="B5722" s="106"/>
      <c r="C5722" s="73"/>
      <c r="D5722" s="73"/>
      <c r="E5722" s="78" t="s">
        <v>2776</v>
      </c>
      <c r="F5722" s="74"/>
      <c r="G5722" s="72"/>
      <c r="K5722" s="324"/>
    </row>
    <row r="5723" spans="1:11" x14ac:dyDescent="0.25">
      <c r="A5723" s="163"/>
      <c r="B5723" s="106"/>
      <c r="C5723" s="73"/>
      <c r="D5723" s="73"/>
      <c r="E5723" s="73" t="s">
        <v>2751</v>
      </c>
      <c r="F5723" s="74" t="s">
        <v>3</v>
      </c>
      <c r="G5723" s="72">
        <f>1*0.05*2*8*1.125</f>
        <v>0.9</v>
      </c>
      <c r="K5723" s="324"/>
    </row>
    <row r="5724" spans="1:11" x14ac:dyDescent="0.25">
      <c r="A5724" s="163"/>
      <c r="B5724" s="106"/>
      <c r="C5724" s="73"/>
      <c r="D5724" s="73"/>
      <c r="E5724" s="75" t="s">
        <v>2774</v>
      </c>
      <c r="F5724" s="74"/>
      <c r="G5724" s="72"/>
      <c r="K5724" s="324"/>
    </row>
    <row r="5725" spans="1:11" x14ac:dyDescent="0.25">
      <c r="A5725" s="163"/>
      <c r="B5725" s="106"/>
      <c r="C5725" s="73"/>
      <c r="D5725" s="73"/>
      <c r="E5725" s="73" t="s">
        <v>2750</v>
      </c>
      <c r="F5725" s="74" t="s">
        <v>3</v>
      </c>
      <c r="G5725" s="72">
        <f>1.2*0.35*2*8*1.146-0.001</f>
        <v>7.7001199999999992</v>
      </c>
      <c r="K5725" s="324"/>
    </row>
    <row r="5726" spans="1:11" x14ac:dyDescent="0.25">
      <c r="A5726" s="163"/>
      <c r="B5726" s="106"/>
      <c r="C5726" s="73"/>
      <c r="D5726" s="73"/>
      <c r="E5726" s="75" t="s">
        <v>2775</v>
      </c>
      <c r="F5726" s="74"/>
      <c r="G5726" s="72"/>
      <c r="K5726" s="324"/>
    </row>
    <row r="5727" spans="1:11" x14ac:dyDescent="0.25">
      <c r="A5727" s="163"/>
      <c r="B5727" s="106"/>
      <c r="C5727" s="73"/>
      <c r="D5727" s="73"/>
      <c r="E5727" s="73" t="s">
        <v>2750</v>
      </c>
      <c r="F5727" s="74" t="s">
        <v>3</v>
      </c>
      <c r="G5727" s="72">
        <f>1.05*0.02*2*8*1.16</f>
        <v>0.38976</v>
      </c>
      <c r="K5727" s="324"/>
    </row>
    <row r="5728" spans="1:11" x14ac:dyDescent="0.25">
      <c r="A5728" s="163"/>
      <c r="B5728" s="106"/>
      <c r="C5728" s="73"/>
      <c r="D5728" s="73"/>
      <c r="E5728" s="73"/>
      <c r="F5728" s="74"/>
      <c r="G5728" s="72"/>
      <c r="K5728" s="324"/>
    </row>
    <row r="5729" spans="1:11" x14ac:dyDescent="0.25">
      <c r="A5729" s="193">
        <v>10</v>
      </c>
      <c r="B5729" s="106"/>
      <c r="C5729" s="75" t="s">
        <v>2778</v>
      </c>
      <c r="D5729" s="73"/>
      <c r="E5729" s="73"/>
      <c r="F5729" s="74"/>
      <c r="G5729" s="72"/>
      <c r="K5729" s="324"/>
    </row>
    <row r="5730" spans="1:11" x14ac:dyDescent="0.25">
      <c r="A5730" s="163"/>
      <c r="B5730" s="106"/>
      <c r="C5730" s="100" t="s">
        <v>8</v>
      </c>
      <c r="D5730" s="73"/>
      <c r="E5730" s="73"/>
      <c r="F5730" s="74" t="s">
        <v>3</v>
      </c>
      <c r="G5730" s="72">
        <f>0.9*G5732+0.002</f>
        <v>0.38037169999999998</v>
      </c>
      <c r="K5730" s="325"/>
    </row>
    <row r="5731" spans="1:11" x14ac:dyDescent="0.25">
      <c r="A5731" s="163"/>
      <c r="B5731" s="106"/>
      <c r="C5731" s="100" t="s">
        <v>12</v>
      </c>
      <c r="D5731" s="73"/>
      <c r="E5731" s="73"/>
      <c r="F5731" s="74" t="s">
        <v>3</v>
      </c>
      <c r="G5731" s="72">
        <f>0.3*G5730+0.001</f>
        <v>0.11511150999999999</v>
      </c>
      <c r="K5731" s="325"/>
    </row>
    <row r="5732" spans="1:11" x14ac:dyDescent="0.25">
      <c r="A5732" s="163"/>
      <c r="B5732" s="106"/>
      <c r="C5732" s="100" t="s">
        <v>72</v>
      </c>
      <c r="D5732" s="73"/>
      <c r="E5732" s="73"/>
      <c r="F5732" s="74" t="s">
        <v>3</v>
      </c>
      <c r="G5732" s="72">
        <f>(0.82*0.56*2+0.185*(0.82*2+0.56*2))*0.135*2*1.1-0.004</f>
        <v>0.42041299999999998</v>
      </c>
      <c r="K5732" s="325"/>
    </row>
    <row r="5733" spans="1:11" x14ac:dyDescent="0.25">
      <c r="A5733" s="163"/>
      <c r="B5733" s="106"/>
      <c r="C5733" s="100" t="s">
        <v>11</v>
      </c>
      <c r="D5733" s="73"/>
      <c r="E5733" s="73"/>
      <c r="F5733" s="74" t="s">
        <v>3</v>
      </c>
      <c r="G5733" s="72">
        <f>0.3*G5732</f>
        <v>0.12612389999999998</v>
      </c>
      <c r="K5733" s="325"/>
    </row>
    <row r="5734" spans="1:11" x14ac:dyDescent="0.25">
      <c r="A5734" s="163"/>
      <c r="B5734" s="106"/>
      <c r="C5734" s="77" t="s">
        <v>1420</v>
      </c>
      <c r="D5734" s="73"/>
      <c r="E5734" s="73"/>
      <c r="F5734" s="74" t="s">
        <v>3</v>
      </c>
      <c r="G5734" s="72">
        <f>G5730</f>
        <v>0.38037169999999998</v>
      </c>
      <c r="K5734" s="325"/>
    </row>
    <row r="5735" spans="1:11" x14ac:dyDescent="0.25">
      <c r="A5735" s="163"/>
      <c r="B5735" s="106"/>
      <c r="C5735" s="77" t="s">
        <v>313</v>
      </c>
      <c r="D5735" s="73"/>
      <c r="E5735" s="73"/>
      <c r="F5735" s="74" t="s">
        <v>3</v>
      </c>
      <c r="G5735" s="72">
        <f>0.3*G5734</f>
        <v>0.11411150999999999</v>
      </c>
      <c r="K5735" s="325"/>
    </row>
    <row r="5736" spans="1:11" x14ac:dyDescent="0.25">
      <c r="A5736" s="163"/>
      <c r="B5736" s="106"/>
      <c r="C5736" s="77" t="s">
        <v>1931</v>
      </c>
      <c r="D5736" s="73"/>
      <c r="E5736" s="73"/>
      <c r="F5736" s="74" t="s">
        <v>3</v>
      </c>
      <c r="G5736" s="72">
        <f>G5734/16</f>
        <v>2.3773231249999999E-2</v>
      </c>
      <c r="K5736" s="325"/>
    </row>
    <row r="5737" spans="1:11" x14ac:dyDescent="0.25">
      <c r="A5737" s="163"/>
      <c r="B5737" s="106"/>
      <c r="C5737" s="77" t="s">
        <v>13</v>
      </c>
      <c r="D5737" s="73"/>
      <c r="E5737" s="73"/>
      <c r="F5737" s="74" t="s">
        <v>3</v>
      </c>
      <c r="G5737" s="72">
        <v>0.4</v>
      </c>
      <c r="K5737" s="325"/>
    </row>
    <row r="5738" spans="1:11" x14ac:dyDescent="0.25">
      <c r="A5738" s="163"/>
      <c r="B5738" s="106"/>
      <c r="C5738" s="77" t="s">
        <v>1054</v>
      </c>
      <c r="D5738" s="73"/>
      <c r="E5738" s="73"/>
      <c r="F5738" s="152" t="s">
        <v>3</v>
      </c>
      <c r="G5738" s="80">
        <f>(0.08*4+0.052*4)*0.08*1.18</f>
        <v>4.9843199999999997E-2</v>
      </c>
      <c r="K5738" s="325"/>
    </row>
    <row r="5739" spans="1:11" ht="17.25" x14ac:dyDescent="0.25">
      <c r="A5739" s="163"/>
      <c r="B5739" s="106"/>
      <c r="C5739" s="77" t="s">
        <v>1055</v>
      </c>
      <c r="D5739" s="73"/>
      <c r="E5739" s="73"/>
      <c r="F5739" s="74" t="s">
        <v>596</v>
      </c>
      <c r="G5739" s="72">
        <f>G5738*1.23</f>
        <v>6.1307135999999998E-2</v>
      </c>
      <c r="K5739" s="325"/>
    </row>
    <row r="5740" spans="1:11" x14ac:dyDescent="0.25">
      <c r="A5740" s="163"/>
      <c r="B5740" s="106"/>
      <c r="C5740" s="77" t="s">
        <v>147</v>
      </c>
      <c r="D5740" s="73"/>
      <c r="E5740" s="73"/>
      <c r="F5740" s="74" t="s">
        <v>3</v>
      </c>
      <c r="G5740" s="72">
        <v>0.1</v>
      </c>
      <c r="K5740" s="325"/>
    </row>
    <row r="5741" spans="1:11" x14ac:dyDescent="0.25">
      <c r="A5741" s="163"/>
      <c r="B5741" s="106"/>
      <c r="C5741" s="73"/>
      <c r="D5741" s="75" t="s">
        <v>2779</v>
      </c>
      <c r="E5741" s="73"/>
      <c r="F5741" s="74"/>
      <c r="G5741" s="72"/>
      <c r="K5741" s="324"/>
    </row>
    <row r="5742" spans="1:11" x14ac:dyDescent="0.25">
      <c r="A5742" s="163"/>
      <c r="B5742" s="106"/>
      <c r="C5742" s="73"/>
      <c r="D5742" s="100" t="s">
        <v>37</v>
      </c>
      <c r="E5742" s="73"/>
      <c r="F5742" s="74" t="s">
        <v>3</v>
      </c>
      <c r="G5742" s="72">
        <f>(0.54*2+0.27*2)*0.022*0.2*2*1.2</f>
        <v>1.7107199999999999E-2</v>
      </c>
      <c r="K5742" s="324"/>
    </row>
    <row r="5743" spans="1:11" x14ac:dyDescent="0.25">
      <c r="A5743" s="163"/>
      <c r="B5743" s="106"/>
      <c r="C5743" s="73"/>
      <c r="D5743" s="77" t="s">
        <v>1054</v>
      </c>
      <c r="E5743" s="73"/>
      <c r="F5743" s="152" t="s">
        <v>3</v>
      </c>
      <c r="G5743" s="72">
        <f>((0.54*2+0.27*2)/0.25*0.1+0.06*6+0.31*6+0.1+0.1)*0.08*1.224</f>
        <v>0.30041856</v>
      </c>
      <c r="K5743" s="324"/>
    </row>
    <row r="5744" spans="1:11" ht="17.25" x14ac:dyDescent="0.25">
      <c r="A5744" s="163"/>
      <c r="B5744" s="106"/>
      <c r="C5744" s="73"/>
      <c r="D5744" s="77" t="s">
        <v>1055</v>
      </c>
      <c r="E5744" s="73"/>
      <c r="F5744" s="74" t="s">
        <v>596</v>
      </c>
      <c r="G5744" s="72">
        <f>G5743*1.1</f>
        <v>0.33046041600000003</v>
      </c>
      <c r="K5744" s="324"/>
    </row>
    <row r="5745" spans="1:11" x14ac:dyDescent="0.25">
      <c r="A5745" s="163"/>
      <c r="B5745" s="106"/>
      <c r="C5745" s="73"/>
      <c r="D5745" s="73"/>
      <c r="E5745" s="75" t="s">
        <v>2780</v>
      </c>
      <c r="F5745" s="74"/>
      <c r="G5745" s="72"/>
      <c r="K5745" s="324"/>
    </row>
    <row r="5746" spans="1:11" x14ac:dyDescent="0.25">
      <c r="A5746" s="163"/>
      <c r="B5746" s="106"/>
      <c r="C5746" s="73"/>
      <c r="D5746" s="73"/>
      <c r="E5746" s="73" t="s">
        <v>2750</v>
      </c>
      <c r="F5746" s="74" t="s">
        <v>3</v>
      </c>
      <c r="G5746" s="72">
        <f>0.62*0.35*2*8*1.152</f>
        <v>3.9997439999999997</v>
      </c>
      <c r="K5746" s="324"/>
    </row>
    <row r="5747" spans="1:11" x14ac:dyDescent="0.25">
      <c r="A5747" s="163"/>
      <c r="B5747" s="106"/>
      <c r="C5747" s="73"/>
      <c r="D5747" s="73"/>
      <c r="E5747" s="75" t="s">
        <v>2781</v>
      </c>
      <c r="F5747" s="74"/>
      <c r="G5747" s="72"/>
      <c r="K5747" s="324"/>
    </row>
    <row r="5748" spans="1:11" x14ac:dyDescent="0.25">
      <c r="A5748" s="163"/>
      <c r="B5748" s="106"/>
      <c r="C5748" s="73"/>
      <c r="D5748" s="73"/>
      <c r="E5748" s="73" t="s">
        <v>2735</v>
      </c>
      <c r="F5748" s="74" t="s">
        <v>3</v>
      </c>
      <c r="G5748" s="72">
        <f>0.14*0.022*3*8*1.12+0.002</f>
        <v>8.479040000000003E-2</v>
      </c>
      <c r="K5748" s="324"/>
    </row>
    <row r="5749" spans="1:11" x14ac:dyDescent="0.25">
      <c r="A5749" s="163"/>
      <c r="B5749" s="106"/>
      <c r="C5749" s="73"/>
      <c r="D5749" s="73"/>
      <c r="E5749" s="75" t="s">
        <v>2782</v>
      </c>
      <c r="F5749" s="74"/>
      <c r="G5749" s="72"/>
      <c r="K5749" s="324"/>
    </row>
    <row r="5750" spans="1:11" x14ac:dyDescent="0.25">
      <c r="A5750" s="163"/>
      <c r="B5750" s="106"/>
      <c r="C5750" s="73"/>
      <c r="D5750" s="73"/>
      <c r="E5750" s="73" t="s">
        <v>2750</v>
      </c>
      <c r="F5750" s="74" t="s">
        <v>3</v>
      </c>
      <c r="G5750" s="72">
        <f>0.47*0.02*2*8*1.15+0.002</f>
        <v>0.17496</v>
      </c>
      <c r="K5750" s="324"/>
    </row>
    <row r="5751" spans="1:11" x14ac:dyDescent="0.25">
      <c r="A5751" s="163"/>
      <c r="B5751" s="106"/>
      <c r="C5751" s="73"/>
      <c r="D5751" s="73"/>
      <c r="E5751" s="75" t="s">
        <v>2732</v>
      </c>
      <c r="F5751" s="74"/>
      <c r="G5751" s="72"/>
      <c r="K5751" s="324"/>
    </row>
    <row r="5752" spans="1:11" x14ac:dyDescent="0.25">
      <c r="A5752" s="163"/>
      <c r="B5752" s="106"/>
      <c r="C5752" s="73"/>
      <c r="D5752" s="73"/>
      <c r="E5752" s="73" t="s">
        <v>2735</v>
      </c>
      <c r="F5752" s="74" t="s">
        <v>3</v>
      </c>
      <c r="G5752" s="72">
        <f>0.31*0.022*3*8*1.15+0.002</f>
        <v>0.19023199999999998</v>
      </c>
      <c r="K5752" s="324"/>
    </row>
    <row r="5753" spans="1:11" x14ac:dyDescent="0.25">
      <c r="A5753" s="163"/>
      <c r="B5753" s="106"/>
      <c r="C5753" s="73"/>
      <c r="D5753" s="75" t="s">
        <v>2783</v>
      </c>
      <c r="E5753" s="73"/>
      <c r="F5753" s="74"/>
      <c r="G5753" s="72"/>
      <c r="K5753" s="324"/>
    </row>
    <row r="5754" spans="1:11" x14ac:dyDescent="0.25">
      <c r="A5754" s="163"/>
      <c r="B5754" s="106"/>
      <c r="C5754" s="73"/>
      <c r="D5754" s="77" t="s">
        <v>1054</v>
      </c>
      <c r="E5754" s="73"/>
      <c r="F5754" s="152" t="s">
        <v>3</v>
      </c>
      <c r="G5754" s="72">
        <f>(0.195*2+0.25*2+0.56*4+0.63*2+0.36*2+0.8*2+(0.548*2+0.279*2)/2+0.3+0.82+0.02*3.14*6+0.45+1)*0.08*1.11-0.001</f>
        <v>0.92996143999999992</v>
      </c>
      <c r="H5754" s="2"/>
      <c r="K5754" s="324"/>
    </row>
    <row r="5755" spans="1:11" ht="17.25" x14ac:dyDescent="0.25">
      <c r="A5755" s="163"/>
      <c r="B5755" s="106"/>
      <c r="C5755" s="73"/>
      <c r="D5755" s="77" t="s">
        <v>1055</v>
      </c>
      <c r="E5755" s="73"/>
      <c r="F5755" s="74" t="s">
        <v>596</v>
      </c>
      <c r="G5755" s="72">
        <f>G5754*1.1</f>
        <v>1.022957584</v>
      </c>
      <c r="K5755" s="324"/>
    </row>
    <row r="5756" spans="1:11" x14ac:dyDescent="0.25">
      <c r="A5756" s="163"/>
      <c r="B5756" s="106"/>
      <c r="C5756" s="73"/>
      <c r="D5756" s="73"/>
      <c r="E5756" s="75" t="s">
        <v>2784</v>
      </c>
      <c r="F5756" s="74"/>
      <c r="G5756" s="72"/>
      <c r="K5756" s="324"/>
    </row>
    <row r="5757" spans="1:11" x14ac:dyDescent="0.25">
      <c r="A5757" s="163"/>
      <c r="B5757" s="106"/>
      <c r="C5757" s="73"/>
      <c r="D5757" s="73"/>
      <c r="E5757" s="77" t="s">
        <v>1054</v>
      </c>
      <c r="F5757" s="152" t="s">
        <v>3</v>
      </c>
      <c r="G5757" s="72">
        <f>0.5*0.08</f>
        <v>0.04</v>
      </c>
      <c r="K5757" s="324"/>
    </row>
    <row r="5758" spans="1:11" ht="17.25" x14ac:dyDescent="0.25">
      <c r="A5758" s="163"/>
      <c r="B5758" s="106"/>
      <c r="C5758" s="73"/>
      <c r="D5758" s="73"/>
      <c r="E5758" s="77" t="s">
        <v>1055</v>
      </c>
      <c r="F5758" s="74" t="s">
        <v>596</v>
      </c>
      <c r="G5758" s="72">
        <f>G5757*1.1</f>
        <v>4.4000000000000004E-2</v>
      </c>
      <c r="K5758" s="324"/>
    </row>
    <row r="5759" spans="1:11" x14ac:dyDescent="0.25">
      <c r="A5759" s="163"/>
      <c r="B5759" s="106"/>
      <c r="C5759" s="73"/>
      <c r="D5759" s="73"/>
      <c r="E5759" s="75" t="s">
        <v>2790</v>
      </c>
      <c r="F5759" s="74"/>
      <c r="G5759" s="72"/>
      <c r="K5759" s="324"/>
    </row>
    <row r="5760" spans="1:11" x14ac:dyDescent="0.25">
      <c r="A5760" s="163"/>
      <c r="B5760" s="106"/>
      <c r="C5760" s="73"/>
      <c r="D5760" s="73"/>
      <c r="E5760" s="73" t="s">
        <v>2791</v>
      </c>
      <c r="F5760" s="74" t="s">
        <v>3</v>
      </c>
      <c r="G5760" s="72">
        <f>0.13*0.095*3*8*1.12-0.002</f>
        <v>0.32996800000000004</v>
      </c>
      <c r="K5760" s="324"/>
    </row>
    <row r="5761" spans="1:11" x14ac:dyDescent="0.25">
      <c r="A5761" s="163"/>
      <c r="B5761" s="106"/>
      <c r="C5761" s="73"/>
      <c r="D5761" s="75" t="s">
        <v>2785</v>
      </c>
      <c r="E5761" s="73"/>
      <c r="F5761" s="74"/>
      <c r="G5761" s="72"/>
      <c r="K5761" s="324"/>
    </row>
    <row r="5762" spans="1:11" x14ac:dyDescent="0.25">
      <c r="A5762" s="163"/>
      <c r="B5762" s="106"/>
      <c r="C5762" s="73"/>
      <c r="D5762" s="73" t="s">
        <v>2669</v>
      </c>
      <c r="E5762" s="73"/>
      <c r="F5762" s="74" t="s">
        <v>3</v>
      </c>
      <c r="G5762" s="72">
        <f>1.2*0.765*1.5*8*1.153-0.001</f>
        <v>12.700447999999998</v>
      </c>
      <c r="K5762" s="324"/>
    </row>
    <row r="5763" spans="1:11" x14ac:dyDescent="0.25">
      <c r="A5763" s="163"/>
      <c r="B5763" s="106"/>
      <c r="C5763" s="73"/>
      <c r="D5763" s="75" t="s">
        <v>2786</v>
      </c>
      <c r="E5763" s="73"/>
      <c r="F5763" s="74"/>
      <c r="G5763" s="72"/>
      <c r="K5763" s="324"/>
    </row>
    <row r="5764" spans="1:11" x14ac:dyDescent="0.25">
      <c r="A5764" s="163"/>
      <c r="B5764" s="106"/>
      <c r="C5764" s="73"/>
      <c r="D5764" s="73" t="s">
        <v>2669</v>
      </c>
      <c r="E5764" s="73"/>
      <c r="F5764" s="74" t="s">
        <v>3</v>
      </c>
      <c r="G5764" s="72">
        <f>0.27*0.765*1.5*8*1.15</f>
        <v>2.85039</v>
      </c>
      <c r="K5764" s="324"/>
    </row>
    <row r="5765" spans="1:11" x14ac:dyDescent="0.25">
      <c r="A5765" s="163"/>
      <c r="B5765" s="106"/>
      <c r="C5765" s="73"/>
      <c r="D5765" s="75" t="s">
        <v>2787</v>
      </c>
      <c r="E5765" s="73"/>
      <c r="F5765" s="74"/>
      <c r="G5765" s="72"/>
      <c r="K5765" s="324"/>
    </row>
    <row r="5766" spans="1:11" x14ac:dyDescent="0.25">
      <c r="A5766" s="163"/>
      <c r="B5766" s="106"/>
      <c r="C5766" s="73"/>
      <c r="D5766" s="73" t="s">
        <v>2669</v>
      </c>
      <c r="E5766" s="73"/>
      <c r="F5766" s="74" t="s">
        <v>3</v>
      </c>
      <c r="G5766" s="72">
        <f>0.655*0.3*1.5*8*1.1662</f>
        <v>2.7498996</v>
      </c>
      <c r="K5766" s="324"/>
    </row>
    <row r="5767" spans="1:11" x14ac:dyDescent="0.25">
      <c r="A5767" s="163"/>
      <c r="B5767" s="106"/>
      <c r="C5767" s="73"/>
      <c r="D5767" s="75" t="s">
        <v>2789</v>
      </c>
      <c r="E5767" s="73"/>
      <c r="F5767" s="74"/>
      <c r="G5767" s="72"/>
    </row>
    <row r="5768" spans="1:11" x14ac:dyDescent="0.25">
      <c r="A5768" s="163"/>
      <c r="B5768" s="106"/>
      <c r="C5768" s="73"/>
      <c r="D5768" s="73" t="s">
        <v>2669</v>
      </c>
      <c r="E5768" s="73"/>
      <c r="F5768" s="74" t="s">
        <v>3</v>
      </c>
      <c r="G5768" s="72">
        <f>0.655*0.28*1.5*8*1.136</f>
        <v>2.5001088000000005</v>
      </c>
      <c r="K5768" s="324"/>
    </row>
    <row r="5769" spans="1:11" x14ac:dyDescent="0.25">
      <c r="A5769" s="163"/>
      <c r="B5769" s="106"/>
      <c r="C5769" s="73"/>
      <c r="D5769" s="75" t="s">
        <v>2788</v>
      </c>
      <c r="E5769" s="73"/>
      <c r="F5769" s="74"/>
      <c r="G5769" s="72"/>
    </row>
    <row r="5770" spans="1:11" x14ac:dyDescent="0.25">
      <c r="A5770" s="163"/>
      <c r="B5770" s="106"/>
      <c r="C5770" s="73"/>
      <c r="D5770" s="73" t="s">
        <v>2750</v>
      </c>
      <c r="E5770" s="73"/>
      <c r="F5770" s="74" t="s">
        <v>3</v>
      </c>
      <c r="G5770" s="72">
        <f>(0.63*0.14+0.28*0.12)*1.5*8*1.164-0.001</f>
        <v>1.7003024000000002</v>
      </c>
      <c r="K5770" s="324"/>
    </row>
    <row r="5771" spans="1:11" ht="15.75" thickBot="1" x14ac:dyDescent="0.3">
      <c r="A5771" s="67"/>
      <c r="B5771" s="86"/>
      <c r="C5771" s="68"/>
      <c r="D5771" s="68"/>
      <c r="E5771" s="68"/>
      <c r="F5771" s="82"/>
      <c r="G5771" s="83"/>
      <c r="K5771" s="324"/>
    </row>
    <row r="5772" spans="1:11" x14ac:dyDescent="0.25">
      <c r="A5772" s="163"/>
      <c r="B5772" s="106"/>
      <c r="C5772" s="73"/>
      <c r="D5772" s="73"/>
      <c r="E5772" s="73"/>
      <c r="F5772" s="260" t="s">
        <v>2759</v>
      </c>
      <c r="G5772" s="328"/>
      <c r="H5772" s="163"/>
      <c r="K5772" s="325"/>
    </row>
    <row r="5773" spans="1:11" ht="18.75" x14ac:dyDescent="0.3">
      <c r="A5773" s="163"/>
      <c r="B5773" s="106"/>
      <c r="C5773" s="73"/>
      <c r="D5773" s="73"/>
      <c r="E5773" s="290" t="s">
        <v>2757</v>
      </c>
      <c r="F5773" s="9"/>
      <c r="H5773" s="163"/>
    </row>
    <row r="5774" spans="1:11" x14ac:dyDescent="0.25">
      <c r="A5774" s="163"/>
      <c r="B5774" s="106"/>
      <c r="C5774" s="73"/>
      <c r="D5774" s="73"/>
      <c r="E5774" s="73" t="s">
        <v>2758</v>
      </c>
      <c r="F5774" s="74"/>
      <c r="G5774" s="72"/>
    </row>
    <row r="5775" spans="1:11" x14ac:dyDescent="0.25">
      <c r="A5775" s="163"/>
      <c r="B5775" s="106"/>
      <c r="C5775" s="73"/>
      <c r="D5775" s="73"/>
      <c r="E5775" s="73"/>
      <c r="F5775" s="74"/>
      <c r="G5775" s="72"/>
      <c r="K5775" s="325"/>
    </row>
    <row r="5776" spans="1:11" x14ac:dyDescent="0.25">
      <c r="A5776" s="329"/>
      <c r="B5776" s="73"/>
      <c r="C5776" s="75" t="s">
        <v>2756</v>
      </c>
      <c r="D5776" s="75"/>
      <c r="E5776" s="75"/>
      <c r="F5776" s="73"/>
      <c r="G5776" s="211"/>
      <c r="H5776" s="10"/>
      <c r="J5776" s="370"/>
      <c r="K5776" s="326"/>
    </row>
    <row r="5777" spans="1:11" x14ac:dyDescent="0.25">
      <c r="A5777" s="329"/>
      <c r="B5777" s="73"/>
      <c r="C5777" s="73" t="s">
        <v>37</v>
      </c>
      <c r="D5777" s="73"/>
      <c r="E5777" s="73"/>
      <c r="F5777" s="74" t="s">
        <v>3</v>
      </c>
      <c r="G5777" s="72">
        <f>(0.86*0.02+0.025*0.46)*0.2*1.59</f>
        <v>9.1266000000000021E-3</v>
      </c>
      <c r="J5777" s="370"/>
      <c r="K5777" s="326"/>
    </row>
    <row r="5778" spans="1:11" x14ac:dyDescent="0.25">
      <c r="A5778" s="329"/>
      <c r="B5778" s="73"/>
      <c r="C5778" s="73" t="s">
        <v>114</v>
      </c>
      <c r="D5778" s="73"/>
      <c r="E5778" s="73"/>
      <c r="F5778" s="74" t="s">
        <v>3</v>
      </c>
      <c r="G5778" s="72">
        <v>1.6E-2</v>
      </c>
      <c r="J5778" s="370"/>
      <c r="K5778" s="326"/>
    </row>
    <row r="5779" spans="1:11" x14ac:dyDescent="0.25">
      <c r="A5779" s="329"/>
      <c r="B5779" s="73"/>
      <c r="C5779" s="73" t="s">
        <v>163</v>
      </c>
      <c r="D5779" s="73"/>
      <c r="E5779" s="73"/>
      <c r="F5779" s="74" t="s">
        <v>3</v>
      </c>
      <c r="G5779" s="72">
        <v>1.6E-2</v>
      </c>
      <c r="J5779" s="370"/>
      <c r="K5779" s="326"/>
    </row>
    <row r="5780" spans="1:11" x14ac:dyDescent="0.25">
      <c r="A5780" s="329"/>
      <c r="B5780" s="73"/>
      <c r="C5780" s="73" t="s">
        <v>164</v>
      </c>
      <c r="D5780" s="73"/>
      <c r="E5780" s="73"/>
      <c r="F5780" s="74" t="s">
        <v>3</v>
      </c>
      <c r="G5780" s="72">
        <f>0.3*(G5779+G5778)</f>
        <v>9.5999999999999992E-3</v>
      </c>
      <c r="J5780" s="370"/>
      <c r="K5780" s="326"/>
    </row>
    <row r="5781" spans="1:11" x14ac:dyDescent="0.25">
      <c r="A5781" s="329"/>
      <c r="B5781" s="73"/>
      <c r="C5781" s="73" t="s">
        <v>72</v>
      </c>
      <c r="D5781" s="73"/>
      <c r="E5781" s="73"/>
      <c r="F5781" s="74" t="s">
        <v>3</v>
      </c>
      <c r="G5781" s="72">
        <f>(0.475*0.31-(0.3*0.15))*0.15*2*1.2</f>
        <v>3.6809999999999996E-2</v>
      </c>
      <c r="J5781" s="370"/>
      <c r="K5781" s="326"/>
    </row>
    <row r="5782" spans="1:11" x14ac:dyDescent="0.25">
      <c r="A5782" s="329"/>
      <c r="B5782" s="73"/>
      <c r="C5782" s="73" t="s">
        <v>444</v>
      </c>
      <c r="D5782" s="73"/>
      <c r="E5782" s="73"/>
      <c r="F5782" s="74" t="s">
        <v>3</v>
      </c>
      <c r="G5782" s="72">
        <f>0.3*G5781</f>
        <v>1.1042999999999999E-2</v>
      </c>
      <c r="J5782" s="370"/>
      <c r="K5782" s="326"/>
    </row>
    <row r="5783" spans="1:11" x14ac:dyDescent="0.25">
      <c r="A5783" s="329"/>
      <c r="B5783" s="73"/>
      <c r="C5783" s="73" t="s">
        <v>2755</v>
      </c>
      <c r="D5783" s="73"/>
      <c r="E5783" s="73"/>
      <c r="F5783" s="74" t="s">
        <v>3</v>
      </c>
      <c r="G5783" s="72">
        <f>0.012*3.14*4*0.08*1.25</f>
        <v>1.5072000000000002E-2</v>
      </c>
      <c r="J5783" s="370"/>
      <c r="K5783" s="326"/>
    </row>
    <row r="5784" spans="1:11" ht="17.25" x14ac:dyDescent="0.25">
      <c r="A5784" s="329"/>
      <c r="B5784" s="73"/>
      <c r="C5784" s="73" t="s">
        <v>1055</v>
      </c>
      <c r="D5784" s="73"/>
      <c r="E5784" s="73"/>
      <c r="F5784" s="74" t="s">
        <v>596</v>
      </c>
      <c r="G5784" s="72">
        <f>1.09*G5783</f>
        <v>1.6428480000000002E-2</v>
      </c>
      <c r="J5784" s="370"/>
      <c r="K5784" s="326"/>
    </row>
    <row r="5785" spans="1:11" x14ac:dyDescent="0.25">
      <c r="A5785" s="329"/>
      <c r="B5785" s="73"/>
      <c r="C5785" s="73"/>
      <c r="D5785" s="75" t="s">
        <v>2754</v>
      </c>
      <c r="E5785" s="75"/>
      <c r="F5785" s="74"/>
      <c r="G5785" s="72"/>
      <c r="J5785" s="370"/>
      <c r="K5785" s="326"/>
    </row>
    <row r="5786" spans="1:11" x14ac:dyDescent="0.25">
      <c r="A5786" s="329"/>
      <c r="B5786" s="73"/>
      <c r="C5786" s="73"/>
      <c r="D5786" s="73" t="s">
        <v>2751</v>
      </c>
      <c r="E5786" s="73"/>
      <c r="F5786" s="74" t="s">
        <v>3</v>
      </c>
      <c r="G5786" s="72">
        <f>0.48*0.315*2*8*1.178</f>
        <v>2.8498175999999997</v>
      </c>
      <c r="J5786" s="153"/>
      <c r="K5786" s="326"/>
    </row>
    <row r="5787" spans="1:11" x14ac:dyDescent="0.25">
      <c r="A5787" s="329"/>
      <c r="B5787" s="73"/>
      <c r="C5787" s="73"/>
      <c r="D5787" s="75" t="s">
        <v>2753</v>
      </c>
      <c r="E5787" s="75"/>
      <c r="F5787" s="74"/>
      <c r="G5787" s="72"/>
      <c r="J5787" s="370"/>
      <c r="K5787" s="326"/>
    </row>
    <row r="5788" spans="1:11" x14ac:dyDescent="0.25">
      <c r="A5788" s="329"/>
      <c r="B5788" s="73"/>
      <c r="C5788" s="73"/>
      <c r="D5788" s="73" t="s">
        <v>2752</v>
      </c>
      <c r="E5788" s="75"/>
      <c r="F5788" s="74" t="s">
        <v>3</v>
      </c>
      <c r="G5788" s="72">
        <v>4.0000000000000001E-3</v>
      </c>
      <c r="J5788" s="370"/>
      <c r="K5788" s="326"/>
    </row>
    <row r="5789" spans="1:11" x14ac:dyDescent="0.25">
      <c r="A5789" s="73"/>
      <c r="B5789" s="106"/>
      <c r="C5789" s="73"/>
      <c r="D5789" s="73"/>
      <c r="E5789" s="73"/>
      <c r="F5789" s="74"/>
      <c r="G5789" s="153"/>
      <c r="H5789" s="163"/>
    </row>
    <row r="5790" spans="1:11" x14ac:dyDescent="0.25">
      <c r="C5790" s="4" t="s">
        <v>806</v>
      </c>
      <c r="D5790" s="3"/>
      <c r="F5790"/>
      <c r="G5790" s="72"/>
    </row>
    <row r="5791" spans="1:11" x14ac:dyDescent="0.25">
      <c r="C5791" s="25" t="s">
        <v>140</v>
      </c>
      <c r="D5791" s="3"/>
      <c r="F5791" s="324" t="s">
        <v>3</v>
      </c>
      <c r="G5791" s="72">
        <v>2E-3</v>
      </c>
    </row>
    <row r="5792" spans="1:11" ht="17.25" x14ac:dyDescent="0.25">
      <c r="C5792" s="25" t="s">
        <v>23</v>
      </c>
      <c r="D5792" s="3"/>
      <c r="F5792" s="324" t="s">
        <v>596</v>
      </c>
      <c r="G5792" s="72">
        <f>G5791*2</f>
        <v>4.0000000000000001E-3</v>
      </c>
    </row>
    <row r="5793" spans="3:11" x14ac:dyDescent="0.25">
      <c r="C5793" s="25" t="s">
        <v>142</v>
      </c>
      <c r="D5793" s="3"/>
      <c r="F5793" s="324" t="s">
        <v>3</v>
      </c>
      <c r="G5793" s="72">
        <f>G5791/4</f>
        <v>5.0000000000000001E-4</v>
      </c>
    </row>
    <row r="5794" spans="3:11" x14ac:dyDescent="0.25">
      <c r="C5794" s="4" t="s">
        <v>809</v>
      </c>
      <c r="D5794" s="3"/>
      <c r="F5794"/>
      <c r="G5794" s="72"/>
    </row>
    <row r="5795" spans="3:11" x14ac:dyDescent="0.25">
      <c r="C5795" t="s">
        <v>814</v>
      </c>
      <c r="D5795" s="3"/>
      <c r="F5795" s="324" t="s">
        <v>3</v>
      </c>
      <c r="G5795" s="72">
        <f>0.105*0.02*0.7*8*1.15</f>
        <v>1.3523999999999996E-2</v>
      </c>
    </row>
    <row r="5796" spans="3:11" x14ac:dyDescent="0.25">
      <c r="C5796" s="4" t="s">
        <v>810</v>
      </c>
      <c r="D5796" s="3"/>
      <c r="F5796"/>
      <c r="G5796" s="72"/>
    </row>
    <row r="5797" spans="3:11" x14ac:dyDescent="0.25">
      <c r="C5797" t="s">
        <v>2760</v>
      </c>
      <c r="D5797" s="3"/>
      <c r="F5797" s="324" t="s">
        <v>3</v>
      </c>
      <c r="G5797" s="72">
        <f>0.0054*1.3</f>
        <v>7.0200000000000002E-3</v>
      </c>
    </row>
    <row r="5798" spans="3:11" x14ac:dyDescent="0.25">
      <c r="D5798" s="3"/>
      <c r="F5798" s="324"/>
      <c r="G5798" s="72"/>
      <c r="K5798" s="324"/>
    </row>
    <row r="5799" spans="3:11" x14ac:dyDescent="0.25">
      <c r="C5799" s="3" t="s">
        <v>775</v>
      </c>
      <c r="F5799" s="324"/>
      <c r="G5799" s="72"/>
    </row>
    <row r="5800" spans="3:11" x14ac:dyDescent="0.25">
      <c r="C5800" s="25" t="s">
        <v>8</v>
      </c>
      <c r="F5800" s="324" t="s">
        <v>3</v>
      </c>
      <c r="G5800" s="72">
        <v>6.0000000000000001E-3</v>
      </c>
    </row>
    <row r="5801" spans="3:11" x14ac:dyDescent="0.25">
      <c r="C5801" s="25" t="s">
        <v>12</v>
      </c>
      <c r="F5801" s="324" t="s">
        <v>3</v>
      </c>
      <c r="G5801" s="72">
        <f>0.3*G5800</f>
        <v>1.8E-3</v>
      </c>
    </row>
    <row r="5802" spans="3:11" x14ac:dyDescent="0.25">
      <c r="C5802" s="25" t="s">
        <v>72</v>
      </c>
      <c r="F5802" s="324" t="s">
        <v>3</v>
      </c>
      <c r="G5802" s="72">
        <v>0.01</v>
      </c>
    </row>
    <row r="5803" spans="3:11" x14ac:dyDescent="0.25">
      <c r="C5803" s="25" t="s">
        <v>11</v>
      </c>
      <c r="F5803" s="324" t="s">
        <v>3</v>
      </c>
      <c r="G5803" s="72">
        <f>0.3*G5802</f>
        <v>3.0000000000000001E-3</v>
      </c>
    </row>
    <row r="5804" spans="3:11" x14ac:dyDescent="0.25">
      <c r="C5804" s="25"/>
      <c r="D5804" s="4" t="s">
        <v>803</v>
      </c>
      <c r="F5804" s="324"/>
      <c r="G5804" s="72"/>
    </row>
    <row r="5805" spans="3:11" x14ac:dyDescent="0.25">
      <c r="C5805" s="25"/>
      <c r="D5805" t="s">
        <v>811</v>
      </c>
      <c r="F5805" s="324" t="s">
        <v>3</v>
      </c>
      <c r="G5805" s="72">
        <f>0.082*0.037*2*8*1.23</f>
        <v>5.9709119999999997E-2</v>
      </c>
    </row>
    <row r="5806" spans="3:11" x14ac:dyDescent="0.25">
      <c r="C5806" s="25"/>
      <c r="D5806" s="4" t="s">
        <v>804</v>
      </c>
      <c r="F5806" s="324"/>
      <c r="G5806" s="72"/>
    </row>
    <row r="5807" spans="3:11" x14ac:dyDescent="0.25">
      <c r="C5807" s="25"/>
      <c r="D5807" t="s">
        <v>812</v>
      </c>
      <c r="F5807" s="324" t="s">
        <v>3</v>
      </c>
      <c r="G5807" s="72">
        <f>0.125*0.01*1.5*8*1.12</f>
        <v>1.6800000000000002E-2</v>
      </c>
    </row>
    <row r="5808" spans="3:11" x14ac:dyDescent="0.25">
      <c r="C5808" s="25"/>
      <c r="D5808" s="4" t="s">
        <v>805</v>
      </c>
      <c r="F5808" s="324"/>
      <c r="G5808" s="72"/>
      <c r="K5808" s="324"/>
    </row>
    <row r="5809" spans="1:11" x14ac:dyDescent="0.25">
      <c r="C5809" s="25"/>
      <c r="D5809" t="s">
        <v>812</v>
      </c>
      <c r="F5809" s="324" t="s">
        <v>3</v>
      </c>
      <c r="G5809" s="72">
        <f>0.025*0.033*1.5*8*1.12</f>
        <v>1.1088000000000002E-2</v>
      </c>
    </row>
    <row r="5810" spans="1:11" x14ac:dyDescent="0.25">
      <c r="F5810" s="9"/>
      <c r="G5810" s="72"/>
    </row>
    <row r="5811" spans="1:11" x14ac:dyDescent="0.25">
      <c r="C5811" s="3" t="s">
        <v>778</v>
      </c>
      <c r="E5811" s="18"/>
      <c r="F5811" s="9"/>
      <c r="G5811" s="72"/>
    </row>
    <row r="5812" spans="1:11" x14ac:dyDescent="0.25">
      <c r="C5812" s="25" t="s">
        <v>802</v>
      </c>
      <c r="F5812" s="324" t="s">
        <v>3</v>
      </c>
      <c r="G5812" s="72">
        <f>0.075*0.02*0.75*8*1.29</f>
        <v>1.1610000000000002E-2</v>
      </c>
    </row>
    <row r="5813" spans="1:11" x14ac:dyDescent="0.25">
      <c r="C5813" s="25"/>
      <c r="F5813" s="324"/>
      <c r="G5813" s="72"/>
      <c r="K5813" s="324"/>
    </row>
    <row r="5814" spans="1:11" x14ac:dyDescent="0.25">
      <c r="C5814" s="3" t="s">
        <v>779</v>
      </c>
      <c r="F5814" s="18"/>
      <c r="G5814" s="72"/>
    </row>
    <row r="5815" spans="1:11" x14ac:dyDescent="0.25">
      <c r="C5815" s="25" t="s">
        <v>802</v>
      </c>
      <c r="F5815" s="324" t="s">
        <v>3</v>
      </c>
      <c r="G5815" s="72">
        <f>0.065*0.02*0.75*8*1.15</f>
        <v>8.9700000000000005E-3</v>
      </c>
    </row>
    <row r="5816" spans="1:11" x14ac:dyDescent="0.25">
      <c r="F5816" s="9"/>
      <c r="G5816" s="72"/>
    </row>
    <row r="5817" spans="1:11" x14ac:dyDescent="0.25">
      <c r="C5817" s="3" t="s">
        <v>2761</v>
      </c>
      <c r="F5817" s="9"/>
      <c r="G5817" s="72"/>
    </row>
    <row r="5818" spans="1:11" x14ac:dyDescent="0.25">
      <c r="C5818" t="s">
        <v>1605</v>
      </c>
      <c r="F5818" s="324" t="s">
        <v>3</v>
      </c>
      <c r="G5818" s="72">
        <f>0.015*0.015*0.8*8*1.1</f>
        <v>1.5840000000000001E-3</v>
      </c>
    </row>
    <row r="5819" spans="1:11" ht="15.75" thickBot="1" x14ac:dyDescent="0.3">
      <c r="A5819" s="68"/>
      <c r="B5819" s="86"/>
      <c r="C5819" s="68"/>
      <c r="D5819" s="68"/>
      <c r="E5819" s="68"/>
      <c r="F5819" s="82"/>
      <c r="G5819" s="83"/>
    </row>
    <row r="5820" spans="1:11" x14ac:dyDescent="0.25">
      <c r="A5820" s="159"/>
      <c r="B5820" s="181"/>
      <c r="C5820" s="93"/>
      <c r="D5820" s="93"/>
      <c r="E5820" s="93"/>
      <c r="F5820" s="175" t="s">
        <v>2792</v>
      </c>
      <c r="G5820" s="176"/>
    </row>
    <row r="5821" spans="1:11" ht="18.75" x14ac:dyDescent="0.3">
      <c r="A5821" s="163"/>
      <c r="B5821" s="106"/>
      <c r="C5821" s="73"/>
      <c r="D5821" s="73"/>
      <c r="E5821" s="290" t="s">
        <v>2807</v>
      </c>
      <c r="F5821" s="74"/>
      <c r="G5821" s="72"/>
      <c r="K5821" s="325"/>
    </row>
    <row r="5822" spans="1:11" x14ac:dyDescent="0.25">
      <c r="A5822" s="163"/>
      <c r="B5822" s="106"/>
      <c r="C5822" s="73"/>
      <c r="D5822" s="73"/>
      <c r="E5822" s="73"/>
      <c r="F5822" s="74"/>
      <c r="G5822" s="72"/>
    </row>
    <row r="5823" spans="1:11" x14ac:dyDescent="0.25">
      <c r="A5823" s="163"/>
      <c r="B5823" s="106"/>
      <c r="C5823" s="75" t="s">
        <v>2794</v>
      </c>
      <c r="D5823" s="73"/>
      <c r="E5823" s="73"/>
      <c r="F5823" s="74"/>
      <c r="G5823" s="72"/>
    </row>
    <row r="5824" spans="1:11" x14ac:dyDescent="0.25">
      <c r="A5824" s="163"/>
      <c r="B5824" s="106"/>
      <c r="C5824" s="75"/>
      <c r="D5824" s="73" t="s">
        <v>2798</v>
      </c>
      <c r="E5824" s="73"/>
      <c r="F5824" s="74" t="s">
        <v>3</v>
      </c>
      <c r="G5824" s="72">
        <f>0.71*0.58*0.5*2.8*1.128</f>
        <v>0.65031455999999987</v>
      </c>
      <c r="H5824" s="10"/>
      <c r="I5824" s="10"/>
      <c r="K5824" s="325"/>
    </row>
    <row r="5825" spans="1:11" x14ac:dyDescent="0.25">
      <c r="A5825" s="163"/>
      <c r="B5825" s="106"/>
      <c r="C5825" s="75"/>
      <c r="D5825" s="73" t="s">
        <v>163</v>
      </c>
      <c r="E5825" s="73"/>
      <c r="F5825" s="74" t="s">
        <v>3</v>
      </c>
      <c r="G5825" s="72">
        <f>G5827*0.83</f>
        <v>9.9794419200000012E-2</v>
      </c>
      <c r="H5825" s="10"/>
      <c r="I5825" s="10"/>
      <c r="K5825" s="325"/>
    </row>
    <row r="5826" spans="1:11" x14ac:dyDescent="0.25">
      <c r="A5826" s="163"/>
      <c r="B5826" s="106"/>
      <c r="C5826" s="75"/>
      <c r="D5826" s="73" t="s">
        <v>164</v>
      </c>
      <c r="E5826" s="73"/>
      <c r="F5826" s="74" t="s">
        <v>3</v>
      </c>
      <c r="G5826" s="72">
        <f>0.3*(G5825)</f>
        <v>2.9938325760000002E-2</v>
      </c>
      <c r="H5826" s="10"/>
      <c r="I5826" s="10"/>
      <c r="K5826" s="325"/>
    </row>
    <row r="5827" spans="1:11" x14ac:dyDescent="0.25">
      <c r="A5827" s="163"/>
      <c r="B5827" s="106"/>
      <c r="C5827" s="75"/>
      <c r="D5827" s="73" t="s">
        <v>72</v>
      </c>
      <c r="E5827" s="73"/>
      <c r="F5827" s="74" t="s">
        <v>3</v>
      </c>
      <c r="G5827" s="72">
        <f>0.71*0.56*0.135*2*1.12</f>
        <v>0.12023424000000002</v>
      </c>
      <c r="H5827" s="10"/>
      <c r="K5827" s="325"/>
    </row>
    <row r="5828" spans="1:11" x14ac:dyDescent="0.25">
      <c r="A5828" s="163"/>
      <c r="B5828" s="106"/>
      <c r="C5828" s="75"/>
      <c r="D5828" s="73" t="s">
        <v>11</v>
      </c>
      <c r="E5828" s="73"/>
      <c r="F5828" s="74" t="s">
        <v>3</v>
      </c>
      <c r="G5828" s="72">
        <f>0.3*G5827</f>
        <v>3.6070272000000007E-2</v>
      </c>
      <c r="H5828" s="10"/>
      <c r="K5828" s="325"/>
    </row>
    <row r="5829" spans="1:11" x14ac:dyDescent="0.25">
      <c r="A5829" s="163"/>
      <c r="B5829" s="106"/>
      <c r="C5829" s="75"/>
      <c r="D5829" s="73" t="s">
        <v>649</v>
      </c>
      <c r="E5829" s="73"/>
      <c r="F5829" s="74" t="s">
        <v>3</v>
      </c>
      <c r="G5829" s="72">
        <v>5.0000000000000001E-3</v>
      </c>
      <c r="H5829" s="10"/>
      <c r="K5829" s="325"/>
    </row>
    <row r="5830" spans="1:11" x14ac:dyDescent="0.25">
      <c r="A5830" s="163"/>
      <c r="B5830" s="106"/>
      <c r="C5830" s="75"/>
      <c r="D5830" s="73" t="s">
        <v>2799</v>
      </c>
      <c r="E5830" s="73"/>
      <c r="F5830" s="74" t="s">
        <v>3</v>
      </c>
      <c r="G5830" s="72">
        <v>0.04</v>
      </c>
      <c r="H5830" s="10"/>
      <c r="K5830" s="325"/>
    </row>
    <row r="5831" spans="1:11" x14ac:dyDescent="0.25">
      <c r="A5831" s="163"/>
      <c r="B5831" s="106"/>
      <c r="C5831" s="75"/>
      <c r="D5831" s="73"/>
      <c r="E5831" s="73"/>
      <c r="F5831" s="74"/>
      <c r="G5831" s="72"/>
      <c r="H5831" s="10"/>
      <c r="K5831" s="325"/>
    </row>
    <row r="5832" spans="1:11" x14ac:dyDescent="0.25">
      <c r="A5832" s="163"/>
      <c r="B5832" s="106"/>
      <c r="C5832" s="75" t="s">
        <v>2795</v>
      </c>
      <c r="D5832" s="73"/>
      <c r="E5832" s="73"/>
      <c r="F5832" s="74"/>
      <c r="G5832" s="72"/>
      <c r="H5832" s="10"/>
    </row>
    <row r="5833" spans="1:11" x14ac:dyDescent="0.25">
      <c r="A5833" s="163"/>
      <c r="B5833" s="106"/>
      <c r="C5833" s="75"/>
      <c r="D5833" s="73" t="s">
        <v>2798</v>
      </c>
      <c r="E5833" s="73"/>
      <c r="F5833" s="74" t="s">
        <v>3</v>
      </c>
      <c r="G5833" s="72">
        <f>0.71*(0.565+0.014*2)*0.5*2.8*1.12</f>
        <v>0.66017503999999994</v>
      </c>
      <c r="H5833" s="10"/>
      <c r="I5833" s="10"/>
      <c r="K5833" s="325"/>
    </row>
    <row r="5834" spans="1:11" x14ac:dyDescent="0.25">
      <c r="A5834" s="163"/>
      <c r="B5834" s="106"/>
      <c r="C5834" s="75"/>
      <c r="D5834" s="73" t="s">
        <v>163</v>
      </c>
      <c r="E5834" s="73"/>
      <c r="F5834" s="74" t="s">
        <v>3</v>
      </c>
      <c r="G5834" s="72">
        <f>G5836*0.83</f>
        <v>9.98554408E-2</v>
      </c>
      <c r="H5834" s="10"/>
      <c r="I5834" s="10"/>
      <c r="K5834" s="325"/>
    </row>
    <row r="5835" spans="1:11" x14ac:dyDescent="0.25">
      <c r="A5835" s="163"/>
      <c r="B5835" s="106"/>
      <c r="C5835" s="75"/>
      <c r="D5835" s="73" t="s">
        <v>164</v>
      </c>
      <c r="E5835" s="73"/>
      <c r="F5835" s="74" t="s">
        <v>3</v>
      </c>
      <c r="G5835" s="72">
        <f>0.3*(G5834)</f>
        <v>2.9956632239999999E-2</v>
      </c>
      <c r="H5835" s="10"/>
      <c r="I5835" s="10"/>
      <c r="K5835" s="325"/>
    </row>
    <row r="5836" spans="1:11" x14ac:dyDescent="0.25">
      <c r="A5836" s="163"/>
      <c r="B5836" s="106"/>
      <c r="C5836" s="75"/>
      <c r="D5836" s="73" t="s">
        <v>72</v>
      </c>
      <c r="E5836" s="73"/>
      <c r="F5836" s="74" t="s">
        <v>3</v>
      </c>
      <c r="G5836" s="72">
        <f>0.71*0.565*0.135*2*1.12-0.001</f>
        <v>0.12030776</v>
      </c>
      <c r="H5836" s="10"/>
      <c r="I5836" s="10"/>
      <c r="K5836" s="325"/>
    </row>
    <row r="5837" spans="1:11" x14ac:dyDescent="0.25">
      <c r="A5837" s="163"/>
      <c r="B5837" s="106"/>
      <c r="C5837" s="75"/>
      <c r="D5837" s="73" t="s">
        <v>11</v>
      </c>
      <c r="E5837" s="73"/>
      <c r="F5837" s="74" t="s">
        <v>3</v>
      </c>
      <c r="G5837" s="72">
        <f>0.3*G5836</f>
        <v>3.6092328E-2</v>
      </c>
      <c r="H5837" s="10"/>
      <c r="I5837" s="10"/>
      <c r="K5837" s="325"/>
    </row>
    <row r="5838" spans="1:11" x14ac:dyDescent="0.25">
      <c r="A5838" s="163"/>
      <c r="B5838" s="106"/>
      <c r="C5838" s="75"/>
      <c r="D5838" s="73" t="s">
        <v>649</v>
      </c>
      <c r="E5838" s="73"/>
      <c r="F5838" s="74" t="s">
        <v>3</v>
      </c>
      <c r="G5838" s="72">
        <v>5.0000000000000001E-3</v>
      </c>
      <c r="H5838" s="10"/>
      <c r="I5838" s="10"/>
      <c r="K5838" s="325"/>
    </row>
    <row r="5839" spans="1:11" x14ac:dyDescent="0.25">
      <c r="A5839" s="163"/>
      <c r="B5839" s="106"/>
      <c r="C5839" s="75"/>
      <c r="D5839" s="73" t="s">
        <v>2799</v>
      </c>
      <c r="E5839" s="73"/>
      <c r="F5839" s="74" t="s">
        <v>3</v>
      </c>
      <c r="G5839" s="72">
        <v>0.04</v>
      </c>
      <c r="H5839" s="10"/>
      <c r="I5839" s="10"/>
      <c r="K5839" s="325"/>
    </row>
    <row r="5840" spans="1:11" x14ac:dyDescent="0.25">
      <c r="A5840" s="163"/>
      <c r="B5840" s="106"/>
      <c r="C5840" s="75"/>
      <c r="D5840" s="73"/>
      <c r="E5840" s="73"/>
      <c r="F5840" s="74"/>
      <c r="G5840" s="72"/>
      <c r="H5840" s="10"/>
      <c r="I5840" s="10"/>
      <c r="K5840" s="325"/>
    </row>
    <row r="5841" spans="1:11" x14ac:dyDescent="0.25">
      <c r="A5841" s="163"/>
      <c r="B5841" s="106"/>
      <c r="C5841" s="75" t="s">
        <v>2796</v>
      </c>
      <c r="D5841" s="73"/>
      <c r="E5841" s="73"/>
      <c r="F5841" s="74"/>
      <c r="G5841" s="72"/>
      <c r="H5841" s="10"/>
    </row>
    <row r="5842" spans="1:11" x14ac:dyDescent="0.25">
      <c r="A5842" s="163"/>
      <c r="B5842" s="106"/>
      <c r="C5842" s="75"/>
      <c r="D5842" s="73" t="s">
        <v>2798</v>
      </c>
      <c r="E5842" s="73"/>
      <c r="F5842" s="74" t="s">
        <v>3</v>
      </c>
      <c r="G5842" s="72">
        <f>0.87*(0.65+0.014*2)*0.5*2.8*1.126</f>
        <v>0.92985530399999994</v>
      </c>
      <c r="H5842" s="10"/>
      <c r="K5842" s="325"/>
    </row>
    <row r="5843" spans="1:11" x14ac:dyDescent="0.25">
      <c r="A5843" s="163"/>
      <c r="B5843" s="106"/>
      <c r="C5843" s="75"/>
      <c r="D5843" s="73" t="s">
        <v>163</v>
      </c>
      <c r="E5843" s="73"/>
      <c r="F5843" s="74" t="s">
        <v>3</v>
      </c>
      <c r="G5843" s="72">
        <f>G5845*0.821</f>
        <v>0.13957591120000001</v>
      </c>
      <c r="H5843" s="10"/>
      <c r="K5843" s="325"/>
    </row>
    <row r="5844" spans="1:11" x14ac:dyDescent="0.25">
      <c r="A5844" s="163"/>
      <c r="B5844" s="106"/>
      <c r="C5844" s="75"/>
      <c r="D5844" s="73" t="s">
        <v>164</v>
      </c>
      <c r="E5844" s="73"/>
      <c r="F5844" s="74" t="s">
        <v>3</v>
      </c>
      <c r="G5844" s="72">
        <f>0.3*(G5843)</f>
        <v>4.1872773360000004E-2</v>
      </c>
      <c r="H5844" s="10"/>
      <c r="K5844" s="325"/>
    </row>
    <row r="5845" spans="1:11" x14ac:dyDescent="0.25">
      <c r="A5845" s="163"/>
      <c r="B5845" s="106"/>
      <c r="C5845" s="75"/>
      <c r="D5845" s="73" t="s">
        <v>72</v>
      </c>
      <c r="E5845" s="73"/>
      <c r="F5845" s="74" t="s">
        <v>3</v>
      </c>
      <c r="G5845" s="72">
        <f>0.87*0.65*0.135*2*1.12-0.001</f>
        <v>0.17000720000000002</v>
      </c>
      <c r="H5845" s="10"/>
      <c r="K5845" s="325"/>
    </row>
    <row r="5846" spans="1:11" x14ac:dyDescent="0.25">
      <c r="A5846" s="163"/>
      <c r="B5846" s="106"/>
      <c r="C5846" s="75"/>
      <c r="D5846" s="73" t="s">
        <v>11</v>
      </c>
      <c r="E5846" s="73"/>
      <c r="F5846" s="74" t="s">
        <v>3</v>
      </c>
      <c r="G5846" s="72">
        <f>0.3*G5845</f>
        <v>5.1002160000000005E-2</v>
      </c>
      <c r="H5846" s="10"/>
      <c r="K5846" s="325"/>
    </row>
    <row r="5847" spans="1:11" x14ac:dyDescent="0.25">
      <c r="A5847" s="163"/>
      <c r="B5847" s="106"/>
      <c r="C5847" s="75"/>
      <c r="D5847" s="73" t="s">
        <v>649</v>
      </c>
      <c r="E5847" s="73"/>
      <c r="F5847" s="74" t="s">
        <v>3</v>
      </c>
      <c r="G5847" s="72">
        <v>5.0000000000000001E-3</v>
      </c>
      <c r="H5847" s="10"/>
      <c r="K5847" s="325"/>
    </row>
    <row r="5848" spans="1:11" x14ac:dyDescent="0.25">
      <c r="A5848" s="163"/>
      <c r="B5848" s="106"/>
      <c r="C5848" s="75"/>
      <c r="D5848" s="73" t="s">
        <v>2799</v>
      </c>
      <c r="E5848" s="73"/>
      <c r="F5848" s="74" t="s">
        <v>3</v>
      </c>
      <c r="G5848" s="72">
        <v>0.05</v>
      </c>
      <c r="H5848" s="10"/>
      <c r="K5848" s="325"/>
    </row>
    <row r="5849" spans="1:11" x14ac:dyDescent="0.25">
      <c r="A5849" s="163"/>
      <c r="B5849" s="106"/>
      <c r="C5849" s="75"/>
      <c r="D5849" s="73"/>
      <c r="E5849" s="73"/>
      <c r="F5849" s="74"/>
      <c r="G5849" s="72"/>
      <c r="H5849" s="10"/>
      <c r="K5849" s="325"/>
    </row>
    <row r="5850" spans="1:11" x14ac:dyDescent="0.25">
      <c r="A5850" s="163"/>
      <c r="B5850" s="106"/>
      <c r="C5850" s="75" t="s">
        <v>2797</v>
      </c>
      <c r="D5850" s="73"/>
      <c r="E5850" s="73"/>
      <c r="F5850" s="74"/>
      <c r="G5850" s="72"/>
      <c r="H5850" s="10"/>
    </row>
    <row r="5851" spans="1:11" x14ac:dyDescent="0.25">
      <c r="A5851" s="163"/>
      <c r="B5851" s="106"/>
      <c r="C5851" s="73"/>
      <c r="D5851" s="73" t="s">
        <v>2798</v>
      </c>
      <c r="E5851" s="73"/>
      <c r="F5851" s="74" t="s">
        <v>3</v>
      </c>
      <c r="G5851" s="72">
        <f>0.87*(0.705+0.014*2)*0.5*2.8*1.12</f>
        <v>0.99992928000000003</v>
      </c>
      <c r="H5851" s="10"/>
      <c r="I5851" s="10"/>
    </row>
    <row r="5852" spans="1:11" x14ac:dyDescent="0.25">
      <c r="A5852" s="163"/>
      <c r="B5852" s="106"/>
      <c r="C5852" s="73"/>
      <c r="D5852" s="73" t="s">
        <v>163</v>
      </c>
      <c r="E5852" s="73"/>
      <c r="F5852" s="74" t="s">
        <v>3</v>
      </c>
      <c r="G5852" s="72">
        <f>G5854*0.84</f>
        <v>0.15997394699999998</v>
      </c>
    </row>
    <row r="5853" spans="1:11" x14ac:dyDescent="0.25">
      <c r="A5853" s="163"/>
      <c r="B5853" s="106"/>
      <c r="C5853" s="73"/>
      <c r="D5853" s="73" t="s">
        <v>164</v>
      </c>
      <c r="E5853" s="73"/>
      <c r="F5853" s="74" t="s">
        <v>3</v>
      </c>
      <c r="G5853" s="72">
        <f>0.3*(G5852)</f>
        <v>4.7992184099999995E-2</v>
      </c>
      <c r="H5853" s="73"/>
      <c r="I5853" s="73"/>
      <c r="J5853" s="96"/>
      <c r="K5853" s="74"/>
    </row>
    <row r="5854" spans="1:11" x14ac:dyDescent="0.25">
      <c r="A5854" s="163"/>
      <c r="B5854" s="106"/>
      <c r="C5854" s="73"/>
      <c r="D5854" s="73" t="s">
        <v>72</v>
      </c>
      <c r="E5854" s="73"/>
      <c r="F5854" s="74" t="s">
        <v>3</v>
      </c>
      <c r="G5854" s="72">
        <f>0.87*0.705*0.135*2*1.15</f>
        <v>0.19044517499999997</v>
      </c>
      <c r="H5854" s="73"/>
      <c r="I5854" s="73"/>
      <c r="J5854" s="96"/>
      <c r="K5854" s="74"/>
    </row>
    <row r="5855" spans="1:11" x14ac:dyDescent="0.25">
      <c r="A5855" s="163"/>
      <c r="B5855" s="106"/>
      <c r="C5855" s="73"/>
      <c r="D5855" s="73" t="s">
        <v>11</v>
      </c>
      <c r="E5855" s="73"/>
      <c r="F5855" s="74" t="s">
        <v>3</v>
      </c>
      <c r="G5855" s="72">
        <f>0.3*G5854</f>
        <v>5.713355249999999E-2</v>
      </c>
      <c r="H5855" s="73"/>
      <c r="I5855" s="73"/>
      <c r="J5855" s="96"/>
      <c r="K5855" s="74"/>
    </row>
    <row r="5856" spans="1:11" x14ac:dyDescent="0.25">
      <c r="A5856" s="163"/>
      <c r="B5856" s="106"/>
      <c r="C5856" s="73"/>
      <c r="D5856" s="73" t="s">
        <v>649</v>
      </c>
      <c r="E5856" s="73"/>
      <c r="F5856" s="74" t="s">
        <v>3</v>
      </c>
      <c r="G5856" s="72">
        <v>5.0000000000000001E-3</v>
      </c>
      <c r="H5856" s="73"/>
      <c r="I5856" s="73"/>
      <c r="J5856" s="96"/>
      <c r="K5856" s="74"/>
    </row>
    <row r="5857" spans="1:11" x14ac:dyDescent="0.25">
      <c r="A5857" s="163"/>
      <c r="B5857" s="106"/>
      <c r="C5857" s="73"/>
      <c r="D5857" s="73" t="s">
        <v>2799</v>
      </c>
      <c r="E5857" s="73"/>
      <c r="F5857" s="74" t="s">
        <v>3</v>
      </c>
      <c r="G5857" s="72">
        <v>0.05</v>
      </c>
      <c r="H5857" s="73"/>
      <c r="I5857" s="73"/>
      <c r="J5857" s="96"/>
      <c r="K5857" s="74"/>
    </row>
    <row r="5858" spans="1:11" x14ac:dyDescent="0.25">
      <c r="A5858" s="163"/>
      <c r="B5858" s="106"/>
      <c r="C5858" s="73"/>
      <c r="D5858" s="73"/>
      <c r="E5858" s="73"/>
      <c r="F5858" s="74"/>
      <c r="G5858" s="72"/>
      <c r="H5858" s="99"/>
      <c r="I5858" s="73"/>
      <c r="J5858" s="96"/>
      <c r="K5858" s="74"/>
    </row>
    <row r="5859" spans="1:11" x14ac:dyDescent="0.25">
      <c r="A5859" s="163"/>
      <c r="B5859" s="106"/>
      <c r="C5859" s="75" t="s">
        <v>2800</v>
      </c>
      <c r="D5859" s="73"/>
      <c r="E5859" s="73"/>
      <c r="F5859" s="74"/>
      <c r="G5859" s="72"/>
    </row>
    <row r="5860" spans="1:11" x14ac:dyDescent="0.25">
      <c r="A5860" s="163"/>
      <c r="B5860" s="106"/>
      <c r="C5860" s="73"/>
      <c r="D5860" s="73" t="s">
        <v>2806</v>
      </c>
      <c r="E5860" s="73"/>
      <c r="F5860" s="74" t="s">
        <v>3</v>
      </c>
      <c r="G5860" s="72">
        <f>(0.085*2+0.485)*0.02*8*1.12+0.003</f>
        <v>0.12037600000000002</v>
      </c>
      <c r="H5860" s="10"/>
      <c r="K5860" s="325"/>
    </row>
    <row r="5861" spans="1:11" x14ac:dyDescent="0.25">
      <c r="A5861" s="163"/>
      <c r="B5861" s="106"/>
      <c r="C5861" s="73"/>
      <c r="D5861" s="73"/>
      <c r="E5861" s="73"/>
      <c r="F5861" s="74"/>
      <c r="G5861" s="72"/>
      <c r="K5861" s="325"/>
    </row>
    <row r="5862" spans="1:11" x14ac:dyDescent="0.25">
      <c r="A5862" s="163"/>
      <c r="B5862" s="106"/>
      <c r="C5862" s="75" t="s">
        <v>2801</v>
      </c>
      <c r="D5862" s="73"/>
      <c r="E5862" s="73"/>
      <c r="F5862" s="74"/>
      <c r="G5862" s="72"/>
    </row>
    <row r="5863" spans="1:11" x14ac:dyDescent="0.25">
      <c r="A5863" s="163"/>
      <c r="B5863" s="106"/>
      <c r="C5863" s="73"/>
      <c r="D5863" s="73" t="s">
        <v>2806</v>
      </c>
      <c r="E5863" s="73"/>
      <c r="F5863" s="74" t="s">
        <v>3</v>
      </c>
      <c r="G5863" s="72">
        <f>(0.085*2+0.54)*0.02*8*1.12+0.003</f>
        <v>0.13023200000000004</v>
      </c>
      <c r="H5863" s="10"/>
      <c r="K5863" s="325"/>
    </row>
    <row r="5864" spans="1:11" x14ac:dyDescent="0.25">
      <c r="A5864" s="163"/>
      <c r="B5864" s="106"/>
      <c r="C5864" s="73"/>
      <c r="D5864" s="73"/>
      <c r="E5864" s="73"/>
      <c r="F5864" s="74"/>
      <c r="G5864" s="72"/>
      <c r="H5864" s="10"/>
      <c r="K5864" s="325"/>
    </row>
    <row r="5865" spans="1:11" x14ac:dyDescent="0.25">
      <c r="A5865" s="163"/>
      <c r="B5865" s="106"/>
      <c r="C5865" s="75" t="s">
        <v>2802</v>
      </c>
      <c r="D5865" s="73"/>
      <c r="E5865" s="73"/>
      <c r="F5865" s="74"/>
      <c r="G5865" s="72"/>
      <c r="H5865" s="10"/>
    </row>
    <row r="5866" spans="1:11" x14ac:dyDescent="0.25">
      <c r="A5866" s="163"/>
      <c r="B5866" s="106"/>
      <c r="C5866" s="73"/>
      <c r="D5866" s="73" t="s">
        <v>2806</v>
      </c>
      <c r="E5866" s="73"/>
      <c r="F5866" s="74" t="s">
        <v>3</v>
      </c>
      <c r="G5866" s="72">
        <f>(0.085*2+0.59)*0.02*8*1.12-0.001</f>
        <v>0.13519200000000001</v>
      </c>
      <c r="H5866" s="10"/>
      <c r="K5866" s="325"/>
    </row>
    <row r="5867" spans="1:11" x14ac:dyDescent="0.25">
      <c r="A5867" s="163"/>
      <c r="B5867" s="106"/>
      <c r="C5867" s="73"/>
      <c r="D5867" s="73"/>
      <c r="E5867" s="73"/>
      <c r="F5867" s="74"/>
      <c r="G5867" s="72"/>
      <c r="H5867" s="10"/>
      <c r="K5867" s="325"/>
    </row>
    <row r="5868" spans="1:11" x14ac:dyDescent="0.25">
      <c r="A5868" s="163"/>
      <c r="B5868" s="106"/>
      <c r="C5868" s="75" t="s">
        <v>2803</v>
      </c>
      <c r="D5868" s="73"/>
      <c r="E5868" s="73"/>
      <c r="F5868" s="74"/>
      <c r="G5868" s="72"/>
      <c r="H5868" s="10"/>
    </row>
    <row r="5869" spans="1:11" x14ac:dyDescent="0.25">
      <c r="A5869" s="163"/>
      <c r="B5869" s="106"/>
      <c r="C5869" s="73"/>
      <c r="D5869" s="73" t="s">
        <v>2806</v>
      </c>
      <c r="E5869" s="73"/>
      <c r="F5869" s="74" t="s">
        <v>3</v>
      </c>
      <c r="G5869" s="72">
        <f>(0.085*2+0.435)*0.02*8*1.12+0.002</f>
        <v>0.11041600000000001</v>
      </c>
      <c r="H5869" s="10"/>
      <c r="K5869" s="325"/>
    </row>
    <row r="5870" spans="1:11" x14ac:dyDescent="0.25">
      <c r="A5870" s="163"/>
      <c r="B5870" s="106"/>
      <c r="C5870" s="73"/>
      <c r="D5870" s="73"/>
      <c r="E5870" s="73"/>
      <c r="F5870" s="74"/>
      <c r="G5870" s="72"/>
      <c r="H5870" s="10"/>
      <c r="K5870" s="325"/>
    </row>
    <row r="5871" spans="1:11" x14ac:dyDescent="0.25">
      <c r="A5871" s="163"/>
      <c r="B5871" s="106"/>
      <c r="C5871" s="75" t="s">
        <v>2804</v>
      </c>
      <c r="D5871" s="73"/>
      <c r="E5871" s="73"/>
      <c r="F5871" s="74"/>
      <c r="G5871" s="72"/>
      <c r="H5871" s="10"/>
    </row>
    <row r="5872" spans="1:11" x14ac:dyDescent="0.25">
      <c r="A5872" s="163"/>
      <c r="B5872" s="106"/>
      <c r="C5872" s="73"/>
      <c r="D5872" s="73" t="s">
        <v>2806</v>
      </c>
      <c r="E5872" s="73"/>
      <c r="F5872" s="74" t="s">
        <v>3</v>
      </c>
      <c r="G5872" s="72">
        <f>(0.085*2+0.455)*0.02*8*1.12-0.002</f>
        <v>0.11000000000000001</v>
      </c>
      <c r="H5872" s="10"/>
      <c r="K5872" s="325"/>
    </row>
    <row r="5873" spans="1:11" x14ac:dyDescent="0.25">
      <c r="A5873" s="163"/>
      <c r="B5873" s="106"/>
      <c r="C5873" s="73"/>
      <c r="D5873" s="73"/>
      <c r="E5873" s="73"/>
      <c r="F5873" s="74"/>
      <c r="G5873" s="72"/>
      <c r="H5873" s="10"/>
      <c r="K5873" s="325"/>
    </row>
    <row r="5874" spans="1:11" x14ac:dyDescent="0.25">
      <c r="A5874" s="163"/>
      <c r="B5874" s="106"/>
      <c r="C5874" s="75" t="s">
        <v>2805</v>
      </c>
      <c r="D5874" s="73"/>
      <c r="E5874" s="73"/>
      <c r="F5874" s="74"/>
      <c r="G5874" s="72"/>
      <c r="H5874" s="10"/>
    </row>
    <row r="5875" spans="1:11" x14ac:dyDescent="0.25">
      <c r="A5875" s="163"/>
      <c r="B5875" s="106"/>
      <c r="C5875" s="73"/>
      <c r="D5875" s="73" t="s">
        <v>2806</v>
      </c>
      <c r="E5875" s="73"/>
      <c r="F5875" s="74" t="s">
        <v>3</v>
      </c>
      <c r="G5875" s="72">
        <f>(0.085*2+0.46)*0.02*8*1.12+0.002</f>
        <v>0.11489600000000001</v>
      </c>
      <c r="H5875" s="10"/>
    </row>
    <row r="5876" spans="1:11" ht="15.75" thickBot="1" x14ac:dyDescent="0.3">
      <c r="A5876" s="67"/>
      <c r="B5876" s="86"/>
      <c r="C5876" s="68"/>
      <c r="D5876" s="68"/>
      <c r="E5876" s="68"/>
      <c r="F5876" s="82"/>
      <c r="G5876" s="83"/>
    </row>
    <row r="5877" spans="1:11" x14ac:dyDescent="0.25">
      <c r="A5877" s="159"/>
      <c r="B5877" s="181"/>
      <c r="C5877" s="93"/>
      <c r="D5877" s="93"/>
      <c r="E5877" s="93"/>
      <c r="F5877" s="175" t="s">
        <v>2834</v>
      </c>
      <c r="G5877" s="176"/>
    </row>
    <row r="5878" spans="1:11" ht="18.75" x14ac:dyDescent="0.3">
      <c r="A5878" s="163"/>
      <c r="B5878" s="106"/>
      <c r="C5878" s="73"/>
      <c r="D5878" s="73"/>
      <c r="E5878" s="290" t="s">
        <v>2819</v>
      </c>
      <c r="F5878" s="74"/>
      <c r="G5878" s="72"/>
      <c r="K5878" s="333"/>
    </row>
    <row r="5879" spans="1:11" x14ac:dyDescent="0.25">
      <c r="A5879" s="163"/>
      <c r="B5879" s="106"/>
      <c r="C5879" s="73"/>
      <c r="D5879" s="73"/>
      <c r="E5879" s="73"/>
      <c r="F5879" s="74"/>
      <c r="G5879" s="72"/>
      <c r="K5879" s="333"/>
    </row>
    <row r="5880" spans="1:11" x14ac:dyDescent="0.25">
      <c r="A5880" s="163"/>
      <c r="B5880" s="106"/>
      <c r="C5880" s="75" t="s">
        <v>2820</v>
      </c>
      <c r="D5880" s="73"/>
      <c r="E5880" s="73"/>
      <c r="F5880" s="74"/>
      <c r="G5880" s="72"/>
      <c r="K5880" s="333"/>
    </row>
    <row r="5881" spans="1:11" x14ac:dyDescent="0.25">
      <c r="A5881" s="163"/>
      <c r="B5881" s="106"/>
      <c r="C5881" s="100" t="s">
        <v>8</v>
      </c>
      <c r="D5881" s="73"/>
      <c r="E5881" s="73"/>
      <c r="F5881" s="74" t="s">
        <v>3</v>
      </c>
      <c r="G5881" s="72">
        <f>G5883</f>
        <v>6.6300000000000005E-3</v>
      </c>
      <c r="K5881" s="333"/>
    </row>
    <row r="5882" spans="1:11" x14ac:dyDescent="0.25">
      <c r="A5882" s="163"/>
      <c r="B5882" s="106"/>
      <c r="C5882" s="100" t="s">
        <v>12</v>
      </c>
      <c r="D5882" s="73"/>
      <c r="E5882" s="73"/>
      <c r="F5882" s="74" t="s">
        <v>3</v>
      </c>
      <c r="G5882" s="72">
        <f>0.3*G5881</f>
        <v>1.9889999999999999E-3</v>
      </c>
      <c r="K5882" s="333"/>
    </row>
    <row r="5883" spans="1:11" x14ac:dyDescent="0.25">
      <c r="A5883" s="163"/>
      <c r="B5883" s="106"/>
      <c r="C5883" s="100" t="s">
        <v>72</v>
      </c>
      <c r="D5883" s="73"/>
      <c r="E5883" s="73"/>
      <c r="F5883" s="74" t="s">
        <v>3</v>
      </c>
      <c r="G5883" s="72">
        <f>0.17*0.05*2*0.15*2*1.3</f>
        <v>6.6300000000000005E-3</v>
      </c>
      <c r="K5883" s="333"/>
    </row>
    <row r="5884" spans="1:11" x14ac:dyDescent="0.25">
      <c r="A5884" s="163"/>
      <c r="B5884" s="106"/>
      <c r="C5884" s="100" t="s">
        <v>11</v>
      </c>
      <c r="D5884" s="73"/>
      <c r="E5884" s="73"/>
      <c r="F5884" s="74" t="s">
        <v>3</v>
      </c>
      <c r="G5884" s="72">
        <f>0.3*G5883</f>
        <v>1.9889999999999999E-3</v>
      </c>
      <c r="K5884" s="333"/>
    </row>
    <row r="5885" spans="1:11" x14ac:dyDescent="0.25">
      <c r="A5885" s="163"/>
      <c r="B5885" s="106"/>
      <c r="C5885" s="100"/>
      <c r="D5885" s="75" t="s">
        <v>2824</v>
      </c>
      <c r="E5885" s="73"/>
      <c r="F5885" s="74"/>
      <c r="G5885" s="72"/>
      <c r="K5885" s="333"/>
    </row>
    <row r="5886" spans="1:11" x14ac:dyDescent="0.25">
      <c r="A5886" s="163"/>
      <c r="B5886" s="106"/>
      <c r="C5886" s="100"/>
      <c r="D5886" s="73" t="s">
        <v>300</v>
      </c>
      <c r="E5886" s="73"/>
      <c r="F5886" s="74" t="s">
        <v>3</v>
      </c>
      <c r="G5886" s="72">
        <f>0.125*0.04*3*8*1.125</f>
        <v>0.13500000000000001</v>
      </c>
      <c r="K5886" s="333"/>
    </row>
    <row r="5887" spans="1:11" x14ac:dyDescent="0.25">
      <c r="A5887" s="163"/>
      <c r="B5887" s="106"/>
      <c r="C5887" s="100"/>
      <c r="D5887" s="75" t="s">
        <v>2825</v>
      </c>
      <c r="E5887" s="73"/>
      <c r="F5887" s="74"/>
      <c r="G5887" s="72"/>
      <c r="K5887" s="333"/>
    </row>
    <row r="5888" spans="1:11" x14ac:dyDescent="0.25">
      <c r="A5888" s="163"/>
      <c r="B5888" s="106"/>
      <c r="C5888" s="75"/>
      <c r="D5888" s="73" t="s">
        <v>300</v>
      </c>
      <c r="E5888" s="73"/>
      <c r="F5888" s="74" t="s">
        <v>3</v>
      </c>
      <c r="G5888" s="72">
        <f>0.09*0.04*3*8*1.155</f>
        <v>9.9792000000000006E-2</v>
      </c>
      <c r="K5888" s="333"/>
    </row>
    <row r="5889" spans="1:11" x14ac:dyDescent="0.25">
      <c r="A5889" s="163"/>
      <c r="B5889" s="106"/>
      <c r="C5889" s="73"/>
      <c r="D5889" s="75" t="s">
        <v>2826</v>
      </c>
      <c r="E5889" s="73"/>
      <c r="F5889" s="74"/>
      <c r="G5889" s="72"/>
      <c r="K5889" s="333"/>
    </row>
    <row r="5890" spans="1:11" x14ac:dyDescent="0.25">
      <c r="A5890" s="163"/>
      <c r="B5890" s="106"/>
      <c r="C5890" s="73"/>
      <c r="D5890" s="100" t="s">
        <v>2827</v>
      </c>
      <c r="E5890" s="73"/>
      <c r="F5890" s="74" t="s">
        <v>3</v>
      </c>
      <c r="G5890" s="72">
        <f>0.008</f>
        <v>8.0000000000000002E-3</v>
      </c>
      <c r="K5890" s="333"/>
    </row>
    <row r="5891" spans="1:11" x14ac:dyDescent="0.25">
      <c r="A5891" s="163"/>
      <c r="B5891" s="106"/>
      <c r="C5891" s="73"/>
      <c r="D5891" s="73"/>
      <c r="E5891" s="73"/>
      <c r="F5891" s="74"/>
      <c r="G5891" s="72"/>
      <c r="K5891" s="333"/>
    </row>
    <row r="5892" spans="1:11" x14ac:dyDescent="0.25">
      <c r="A5892" s="163"/>
      <c r="B5892" s="106"/>
      <c r="C5892" s="75" t="s">
        <v>2821</v>
      </c>
      <c r="D5892" s="73"/>
      <c r="E5892" s="73"/>
      <c r="F5892" s="74"/>
      <c r="G5892" s="72"/>
      <c r="K5892" s="333"/>
    </row>
    <row r="5893" spans="1:11" x14ac:dyDescent="0.25">
      <c r="A5893" s="163"/>
      <c r="B5893" s="106"/>
      <c r="C5893" s="100" t="s">
        <v>2830</v>
      </c>
      <c r="D5893" s="73"/>
      <c r="E5893" s="73"/>
      <c r="F5893" s="74" t="s">
        <v>1516</v>
      </c>
      <c r="G5893" s="72">
        <v>1</v>
      </c>
      <c r="K5893" s="333"/>
    </row>
    <row r="5894" spans="1:11" x14ac:dyDescent="0.25">
      <c r="A5894" s="163"/>
      <c r="B5894" s="106"/>
      <c r="C5894" s="73" t="s">
        <v>2755</v>
      </c>
      <c r="D5894" s="73"/>
      <c r="E5894" s="73"/>
      <c r="F5894" s="74" t="s">
        <v>3</v>
      </c>
      <c r="G5894" s="72">
        <f>0.008*3.14*0.08*1.25</f>
        <v>2.5119999999999999E-3</v>
      </c>
      <c r="K5894" s="333"/>
    </row>
    <row r="5895" spans="1:11" ht="17.25" x14ac:dyDescent="0.25">
      <c r="A5895" s="163"/>
      <c r="B5895" s="106"/>
      <c r="C5895" s="73" t="s">
        <v>1055</v>
      </c>
      <c r="D5895" s="73"/>
      <c r="E5895" s="73"/>
      <c r="F5895" s="74" t="s">
        <v>596</v>
      </c>
      <c r="G5895" s="72">
        <f>1.09*G5894</f>
        <v>2.7380799999999999E-3</v>
      </c>
      <c r="K5895" s="333"/>
    </row>
    <row r="5896" spans="1:11" x14ac:dyDescent="0.25">
      <c r="A5896" s="163"/>
      <c r="B5896" s="106"/>
      <c r="C5896" s="100" t="s">
        <v>8</v>
      </c>
      <c r="D5896" s="73"/>
      <c r="E5896" s="73"/>
      <c r="F5896" s="74" t="s">
        <v>3</v>
      </c>
      <c r="G5896" s="72">
        <f>G5898</f>
        <v>3.7500000000000007E-3</v>
      </c>
      <c r="K5896" s="333"/>
    </row>
    <row r="5897" spans="1:11" x14ac:dyDescent="0.25">
      <c r="A5897" s="163"/>
      <c r="B5897" s="106"/>
      <c r="C5897" s="100" t="s">
        <v>12</v>
      </c>
      <c r="D5897" s="73"/>
      <c r="E5897" s="73"/>
      <c r="F5897" s="74" t="s">
        <v>3</v>
      </c>
      <c r="G5897" s="72">
        <f>0.3*G5896</f>
        <v>1.1250000000000001E-3</v>
      </c>
      <c r="K5897" s="333"/>
    </row>
    <row r="5898" spans="1:11" x14ac:dyDescent="0.25">
      <c r="A5898" s="163"/>
      <c r="B5898" s="106"/>
      <c r="C5898" s="100" t="s">
        <v>72</v>
      </c>
      <c r="D5898" s="73"/>
      <c r="E5898" s="73"/>
      <c r="F5898" s="74" t="s">
        <v>3</v>
      </c>
      <c r="G5898" s="72">
        <f>0.1*0.1*0.15*2*1.25</f>
        <v>3.7500000000000007E-3</v>
      </c>
      <c r="K5898" s="333"/>
    </row>
    <row r="5899" spans="1:11" x14ac:dyDescent="0.25">
      <c r="A5899" s="163"/>
      <c r="B5899" s="106"/>
      <c r="C5899" s="100" t="s">
        <v>11</v>
      </c>
      <c r="D5899" s="73"/>
      <c r="E5899" s="73"/>
      <c r="F5899" s="74" t="s">
        <v>3</v>
      </c>
      <c r="G5899" s="72">
        <f>0.3*G5898</f>
        <v>1.1250000000000001E-3</v>
      </c>
      <c r="K5899" s="333"/>
    </row>
    <row r="5900" spans="1:11" x14ac:dyDescent="0.25">
      <c r="A5900" s="163"/>
      <c r="B5900" s="106"/>
      <c r="C5900" s="100"/>
      <c r="D5900" s="75" t="s">
        <v>2828</v>
      </c>
      <c r="E5900" s="73"/>
      <c r="F5900" s="74"/>
      <c r="G5900" s="72"/>
      <c r="K5900" s="333"/>
    </row>
    <row r="5901" spans="1:11" x14ac:dyDescent="0.25">
      <c r="A5901" s="163"/>
      <c r="B5901" s="106"/>
      <c r="C5901" s="100"/>
      <c r="D5901" s="73" t="s">
        <v>55</v>
      </c>
      <c r="E5901" s="73"/>
      <c r="F5901" s="74" t="s">
        <v>3</v>
      </c>
      <c r="G5901" s="72">
        <f>0.05*0.05*3*8*1.17</f>
        <v>7.0200000000000012E-2</v>
      </c>
      <c r="K5901" s="333"/>
    </row>
    <row r="5902" spans="1:11" x14ac:dyDescent="0.25">
      <c r="A5902" s="163"/>
      <c r="B5902" s="106"/>
      <c r="C5902" s="100"/>
      <c r="D5902" s="73"/>
      <c r="E5902" s="73"/>
      <c r="F5902" s="74"/>
      <c r="G5902" s="72"/>
      <c r="K5902" s="333"/>
    </row>
    <row r="5903" spans="1:11" x14ac:dyDescent="0.25">
      <c r="A5903" s="163"/>
      <c r="B5903" s="106"/>
      <c r="C5903" s="75" t="s">
        <v>2822</v>
      </c>
      <c r="D5903" s="73"/>
      <c r="E5903" s="73"/>
      <c r="F5903" s="74"/>
      <c r="G5903" s="72"/>
      <c r="K5903" s="333"/>
    </row>
    <row r="5904" spans="1:11" x14ac:dyDescent="0.25">
      <c r="A5904" s="163"/>
      <c r="B5904" s="106"/>
      <c r="C5904" s="100" t="s">
        <v>2831</v>
      </c>
      <c r="D5904" s="73"/>
      <c r="E5904" s="73"/>
      <c r="F5904" s="74" t="s">
        <v>1516</v>
      </c>
      <c r="G5904" s="72">
        <v>1</v>
      </c>
      <c r="K5904" s="333"/>
    </row>
    <row r="5905" spans="1:11" x14ac:dyDescent="0.25">
      <c r="A5905" s="163"/>
      <c r="B5905" s="106"/>
      <c r="C5905" s="73" t="s">
        <v>2755</v>
      </c>
      <c r="D5905" s="73"/>
      <c r="E5905" s="73"/>
      <c r="F5905" s="74" t="s">
        <v>3</v>
      </c>
      <c r="G5905" s="72">
        <f>0.005*3.14*2*0.08*1.25</f>
        <v>3.1400000000000004E-3</v>
      </c>
      <c r="K5905" s="333"/>
    </row>
    <row r="5906" spans="1:11" ht="17.25" x14ac:dyDescent="0.25">
      <c r="A5906" s="163"/>
      <c r="B5906" s="106"/>
      <c r="C5906" s="73" t="s">
        <v>1055</v>
      </c>
      <c r="D5906" s="73"/>
      <c r="E5906" s="73"/>
      <c r="F5906" s="74" t="s">
        <v>596</v>
      </c>
      <c r="G5906" s="72">
        <f>1.09*G5905</f>
        <v>3.4226000000000009E-3</v>
      </c>
      <c r="K5906" s="333"/>
    </row>
    <row r="5907" spans="1:11" x14ac:dyDescent="0.25">
      <c r="A5907" s="163"/>
      <c r="B5907" s="106"/>
      <c r="C5907" s="100" t="s">
        <v>8</v>
      </c>
      <c r="D5907" s="73"/>
      <c r="E5907" s="73"/>
      <c r="F5907" s="74" t="s">
        <v>3</v>
      </c>
      <c r="G5907" s="72">
        <f>G5909</f>
        <v>6.9374999999999992E-3</v>
      </c>
      <c r="K5907" s="333"/>
    </row>
    <row r="5908" spans="1:11" x14ac:dyDescent="0.25">
      <c r="A5908" s="163"/>
      <c r="B5908" s="106"/>
      <c r="C5908" s="100" t="s">
        <v>12</v>
      </c>
      <c r="D5908" s="73"/>
      <c r="E5908" s="73"/>
      <c r="F5908" s="74" t="s">
        <v>3</v>
      </c>
      <c r="G5908" s="72">
        <f>0.3*G5907</f>
        <v>2.0812499999999998E-3</v>
      </c>
      <c r="K5908" s="333"/>
    </row>
    <row r="5909" spans="1:11" x14ac:dyDescent="0.25">
      <c r="A5909" s="163"/>
      <c r="B5909" s="106"/>
      <c r="C5909" s="100" t="s">
        <v>72</v>
      </c>
      <c r="D5909" s="73"/>
      <c r="E5909" s="73"/>
      <c r="F5909" s="74" t="s">
        <v>3</v>
      </c>
      <c r="G5909" s="72">
        <f>0.185*0.05*2*0.15*2*1.25</f>
        <v>6.9374999999999992E-3</v>
      </c>
      <c r="K5909" s="333"/>
    </row>
    <row r="5910" spans="1:11" x14ac:dyDescent="0.25">
      <c r="A5910" s="163"/>
      <c r="B5910" s="106"/>
      <c r="C5910" s="100" t="s">
        <v>11</v>
      </c>
      <c r="D5910" s="73"/>
      <c r="E5910" s="73"/>
      <c r="F5910" s="74" t="s">
        <v>3</v>
      </c>
      <c r="G5910" s="72">
        <f>0.3*G5909</f>
        <v>2.0812499999999998E-3</v>
      </c>
      <c r="K5910" s="333"/>
    </row>
    <row r="5911" spans="1:11" x14ac:dyDescent="0.25">
      <c r="A5911" s="163"/>
      <c r="B5911" s="106"/>
      <c r="C5911" s="75"/>
      <c r="D5911" s="75" t="s">
        <v>2829</v>
      </c>
      <c r="E5911" s="73"/>
      <c r="F5911" s="74"/>
      <c r="G5911" s="72"/>
      <c r="K5911" s="333"/>
    </row>
    <row r="5912" spans="1:11" x14ac:dyDescent="0.25">
      <c r="A5912" s="163"/>
      <c r="B5912" s="106"/>
      <c r="C5912" s="73"/>
      <c r="D5912" s="73" t="s">
        <v>300</v>
      </c>
      <c r="E5912" s="73"/>
      <c r="F5912" s="74" t="s">
        <v>3</v>
      </c>
      <c r="G5912" s="72">
        <f>0.14*0.045*3*8*1.155</f>
        <v>0.17463600000000001</v>
      </c>
      <c r="K5912" s="333"/>
    </row>
    <row r="5913" spans="1:11" x14ac:dyDescent="0.25">
      <c r="A5913" s="163"/>
      <c r="B5913" s="106"/>
      <c r="C5913" s="73"/>
      <c r="D5913" s="73"/>
      <c r="E5913" s="73"/>
      <c r="F5913" s="74"/>
      <c r="G5913" s="72"/>
      <c r="K5913" s="333"/>
    </row>
    <row r="5914" spans="1:11" x14ac:dyDescent="0.25">
      <c r="A5914" s="163"/>
      <c r="B5914" s="106"/>
      <c r="C5914" s="75" t="s">
        <v>2823</v>
      </c>
      <c r="D5914" s="73"/>
      <c r="E5914" s="73"/>
      <c r="F5914" s="74"/>
      <c r="G5914" s="72"/>
      <c r="K5914" s="333"/>
    </row>
    <row r="5915" spans="1:11" x14ac:dyDescent="0.25">
      <c r="A5915" s="163"/>
      <c r="B5915" s="106"/>
      <c r="C5915" s="73" t="s">
        <v>2832</v>
      </c>
      <c r="D5915" s="73"/>
      <c r="E5915" s="73"/>
      <c r="F5915" s="74" t="s">
        <v>3</v>
      </c>
      <c r="G5915" s="72">
        <f>0.04*0.04*2*8*1.15</f>
        <v>2.9439999999999997E-2</v>
      </c>
      <c r="K5915" s="333"/>
    </row>
    <row r="5916" spans="1:11" x14ac:dyDescent="0.25">
      <c r="A5916" s="163"/>
      <c r="B5916" s="106"/>
      <c r="C5916" s="73"/>
      <c r="D5916" s="73"/>
      <c r="E5916" s="73"/>
      <c r="F5916" s="74"/>
      <c r="G5916" s="72"/>
      <c r="K5916" s="333"/>
    </row>
    <row r="5917" spans="1:11" x14ac:dyDescent="0.25">
      <c r="A5917" s="163"/>
      <c r="B5917" s="106"/>
      <c r="C5917" s="75" t="s">
        <v>2666</v>
      </c>
      <c r="D5917" s="73"/>
      <c r="E5917" s="73"/>
      <c r="F5917" s="74"/>
      <c r="G5917" s="72"/>
      <c r="K5917" s="333"/>
    </row>
    <row r="5918" spans="1:11" x14ac:dyDescent="0.25">
      <c r="A5918" s="163"/>
      <c r="B5918" s="106"/>
      <c r="C5918" s="73" t="s">
        <v>2833</v>
      </c>
      <c r="D5918" s="73"/>
      <c r="E5918" s="73"/>
      <c r="F5918" s="74" t="s">
        <v>3</v>
      </c>
      <c r="G5918" s="72">
        <f>0.045*0.045*3*8*1.1</f>
        <v>5.3460000000000001E-2</v>
      </c>
      <c r="K5918" s="333"/>
    </row>
    <row r="5919" spans="1:11" ht="15.75" thickBot="1" x14ac:dyDescent="0.3">
      <c r="A5919" s="67"/>
      <c r="B5919" s="86"/>
      <c r="C5919" s="68"/>
      <c r="D5919" s="68"/>
      <c r="E5919" s="68"/>
      <c r="F5919" s="82"/>
      <c r="G5919" s="83"/>
      <c r="K5919" s="333"/>
    </row>
    <row r="5920" spans="1:11" x14ac:dyDescent="0.25">
      <c r="A5920" s="159"/>
      <c r="B5920" s="181"/>
      <c r="C5920" s="93"/>
      <c r="D5920" s="93"/>
      <c r="E5920" s="93"/>
      <c r="F5920" s="175" t="s">
        <v>2847</v>
      </c>
      <c r="G5920" s="176"/>
    </row>
    <row r="5921" spans="1:11" x14ac:dyDescent="0.25">
      <c r="A5921" s="163"/>
      <c r="B5921" s="106"/>
      <c r="C5921" s="75" t="s">
        <v>2836</v>
      </c>
      <c r="D5921" s="73"/>
      <c r="E5921" s="73"/>
      <c r="F5921" s="74"/>
      <c r="G5921" s="72"/>
    </row>
    <row r="5922" spans="1:11" x14ac:dyDescent="0.25">
      <c r="A5922" s="163"/>
      <c r="B5922" s="106"/>
      <c r="C5922" s="73" t="s">
        <v>2837</v>
      </c>
      <c r="D5922" s="73"/>
      <c r="E5922" s="73"/>
      <c r="F5922" s="74" t="s">
        <v>3</v>
      </c>
      <c r="G5922" s="72">
        <f>0.11*0.085*2.5*8*1.045</f>
        <v>0.19541499999999998</v>
      </c>
    </row>
    <row r="5923" spans="1:11" x14ac:dyDescent="0.25">
      <c r="A5923" s="163"/>
      <c r="B5923" s="106"/>
      <c r="C5923" s="73"/>
      <c r="D5923" s="73"/>
      <c r="E5923" s="73" t="s">
        <v>2840</v>
      </c>
      <c r="F5923" s="74"/>
      <c r="G5923" s="72"/>
    </row>
    <row r="5924" spans="1:11" x14ac:dyDescent="0.25">
      <c r="A5924" s="163"/>
      <c r="B5924" s="106"/>
      <c r="C5924" s="73" t="s">
        <v>2841</v>
      </c>
      <c r="D5924" s="73"/>
      <c r="E5924" s="73"/>
      <c r="F5924" s="74" t="s">
        <v>3</v>
      </c>
      <c r="G5924" s="72">
        <f>0.11*0.085*3*8*1.048</f>
        <v>0.23517120000000002</v>
      </c>
      <c r="K5924" s="336"/>
    </row>
    <row r="5925" spans="1:11" x14ac:dyDescent="0.25">
      <c r="A5925" s="163"/>
      <c r="B5925" s="106"/>
      <c r="C5925" s="73"/>
      <c r="D5925" s="73"/>
      <c r="E5925" s="73"/>
      <c r="F5925" s="74"/>
      <c r="G5925" s="72"/>
      <c r="K5925" s="336"/>
    </row>
    <row r="5926" spans="1:11" x14ac:dyDescent="0.25">
      <c r="A5926" s="163"/>
      <c r="B5926" s="106"/>
      <c r="C5926" s="75" t="s">
        <v>2838</v>
      </c>
      <c r="D5926" s="73"/>
      <c r="E5926" s="73"/>
      <c r="F5926" s="74"/>
      <c r="G5926" s="72"/>
    </row>
    <row r="5927" spans="1:11" x14ac:dyDescent="0.25">
      <c r="A5927" s="163"/>
      <c r="B5927" s="106"/>
      <c r="C5927" s="73" t="s">
        <v>2839</v>
      </c>
      <c r="D5927" s="73"/>
      <c r="E5927" s="73"/>
      <c r="F5927" s="74" t="s">
        <v>3</v>
      </c>
      <c r="G5927" s="72">
        <f>(0.024+0.0075*2+0.021)*0.06*1.5*8*1.05</f>
        <v>4.5360000000000004E-2</v>
      </c>
    </row>
    <row r="5928" spans="1:11" x14ac:dyDescent="0.25">
      <c r="A5928" s="163"/>
      <c r="B5928" s="106"/>
      <c r="C5928" s="73"/>
      <c r="D5928" s="73"/>
      <c r="E5928" s="73"/>
      <c r="F5928" s="74"/>
      <c r="G5928" s="72"/>
    </row>
    <row r="5929" spans="1:11" x14ac:dyDescent="0.25">
      <c r="A5929" s="163"/>
      <c r="B5929" s="106"/>
      <c r="C5929" s="75" t="s">
        <v>2842</v>
      </c>
      <c r="D5929" s="73"/>
      <c r="E5929" s="73"/>
      <c r="F5929" s="74"/>
      <c r="G5929" s="72"/>
    </row>
    <row r="5930" spans="1:11" x14ac:dyDescent="0.25">
      <c r="A5930" s="163"/>
      <c r="B5930" s="106"/>
      <c r="C5930" s="73" t="s">
        <v>2843</v>
      </c>
      <c r="D5930" s="73"/>
      <c r="E5930" s="73"/>
      <c r="F5930" s="74" t="s">
        <v>3</v>
      </c>
      <c r="G5930" s="72">
        <v>7.0000000000000001E-3</v>
      </c>
    </row>
    <row r="5931" spans="1:11" x14ac:dyDescent="0.25">
      <c r="A5931" s="163"/>
      <c r="B5931" s="106"/>
      <c r="C5931" s="73" t="s">
        <v>672</v>
      </c>
      <c r="D5931" s="73"/>
      <c r="E5931" s="73"/>
      <c r="F5931" s="74" t="s">
        <v>3</v>
      </c>
      <c r="G5931" s="72">
        <f>3*G5930</f>
        <v>2.1000000000000001E-2</v>
      </c>
    </row>
    <row r="5932" spans="1:11" x14ac:dyDescent="0.25">
      <c r="A5932" s="163"/>
      <c r="B5932" s="106"/>
      <c r="C5932" s="73" t="s">
        <v>2846</v>
      </c>
      <c r="D5932" s="73"/>
      <c r="E5932" s="73"/>
      <c r="F5932" s="74" t="s">
        <v>3</v>
      </c>
      <c r="G5932" s="72">
        <v>2E-3</v>
      </c>
    </row>
    <row r="5933" spans="1:11" x14ac:dyDescent="0.25">
      <c r="A5933" s="163"/>
      <c r="B5933" s="106"/>
      <c r="C5933" s="73"/>
      <c r="D5933" s="75" t="s">
        <v>2844</v>
      </c>
      <c r="E5933" s="73"/>
      <c r="F5933" s="74"/>
      <c r="G5933" s="72"/>
    </row>
    <row r="5934" spans="1:11" x14ac:dyDescent="0.25">
      <c r="A5934" s="163"/>
      <c r="B5934" s="106"/>
      <c r="C5934" s="73"/>
      <c r="D5934" s="73" t="s">
        <v>2845</v>
      </c>
      <c r="E5934" s="73"/>
      <c r="F5934" s="74" t="s">
        <v>195</v>
      </c>
      <c r="G5934" s="72">
        <v>1.3</v>
      </c>
    </row>
    <row r="5935" spans="1:11" ht="15.75" thickBot="1" x14ac:dyDescent="0.3">
      <c r="A5935" s="67"/>
      <c r="B5935" s="86"/>
      <c r="C5935" s="68"/>
      <c r="D5935" s="68"/>
      <c r="E5935" s="68"/>
      <c r="F5935" s="82"/>
      <c r="G5935" s="83"/>
    </row>
    <row r="5936" spans="1:11" x14ac:dyDescent="0.25">
      <c r="A5936" s="159"/>
      <c r="B5936" s="181"/>
      <c r="C5936" s="93"/>
      <c r="D5936" s="93"/>
      <c r="E5936" s="93"/>
      <c r="F5936" s="175" t="s">
        <v>2893</v>
      </c>
      <c r="G5936" s="176"/>
    </row>
    <row r="5937" spans="1:11" x14ac:dyDescent="0.25">
      <c r="A5937" s="163"/>
      <c r="B5937" s="106"/>
      <c r="C5937" s="73"/>
      <c r="D5937" s="73"/>
      <c r="E5937" s="73"/>
      <c r="F5937" s="74"/>
      <c r="G5937" s="72"/>
    </row>
    <row r="5938" spans="1:11" ht="18.75" x14ac:dyDescent="0.3">
      <c r="A5938" s="163"/>
      <c r="B5938" s="106"/>
      <c r="C5938" s="73"/>
      <c r="D5938" s="73"/>
      <c r="E5938" s="126" t="s">
        <v>2867</v>
      </c>
      <c r="F5938" s="74"/>
      <c r="G5938" s="72"/>
    </row>
    <row r="5939" spans="1:11" x14ac:dyDescent="0.25">
      <c r="A5939" s="163"/>
      <c r="B5939" s="106"/>
      <c r="C5939" s="73"/>
      <c r="D5939" s="73"/>
      <c r="E5939" s="73"/>
      <c r="F5939" s="74"/>
      <c r="G5939" s="72"/>
    </row>
    <row r="5940" spans="1:11" x14ac:dyDescent="0.25">
      <c r="A5940" s="163"/>
      <c r="B5940" s="106"/>
      <c r="C5940" s="338" t="s">
        <v>2849</v>
      </c>
      <c r="D5940" s="73"/>
      <c r="E5940" s="73"/>
      <c r="F5940" s="74"/>
      <c r="G5940" s="72"/>
    </row>
    <row r="5941" spans="1:11" x14ac:dyDescent="0.25">
      <c r="A5941" s="163"/>
      <c r="B5941" s="106"/>
      <c r="C5941" s="339"/>
      <c r="D5941" s="73" t="s">
        <v>412</v>
      </c>
      <c r="E5941" s="73"/>
      <c r="F5941" s="74" t="s">
        <v>3</v>
      </c>
      <c r="G5941" s="72">
        <f>0.22*0.07*2*8*1.055</f>
        <v>0.25995200000000002</v>
      </c>
      <c r="K5941" s="337"/>
    </row>
    <row r="5942" spans="1:11" x14ac:dyDescent="0.25">
      <c r="A5942" s="163"/>
      <c r="B5942" s="106"/>
      <c r="C5942" s="339"/>
      <c r="D5942" s="73"/>
      <c r="E5942" s="73"/>
      <c r="F5942" s="74"/>
      <c r="G5942" s="72"/>
      <c r="K5942" s="337"/>
    </row>
    <row r="5943" spans="1:11" x14ac:dyDescent="0.25">
      <c r="A5943" s="163"/>
      <c r="B5943" s="106"/>
      <c r="C5943" s="338" t="s">
        <v>2850</v>
      </c>
      <c r="D5943" s="73"/>
      <c r="E5943" s="73"/>
      <c r="F5943" s="74"/>
      <c r="G5943" s="72"/>
    </row>
    <row r="5944" spans="1:11" x14ac:dyDescent="0.25">
      <c r="A5944" s="163"/>
      <c r="B5944" s="106"/>
      <c r="C5944" s="339"/>
      <c r="D5944" s="73" t="s">
        <v>415</v>
      </c>
      <c r="E5944" s="73"/>
      <c r="F5944" s="74" t="s">
        <v>3</v>
      </c>
      <c r="G5944" s="72">
        <f>0.22*0.07*1.5*8*1.055</f>
        <v>0.194964</v>
      </c>
      <c r="K5944" s="337"/>
    </row>
    <row r="5945" spans="1:11" x14ac:dyDescent="0.25">
      <c r="A5945" s="163"/>
      <c r="B5945" s="106"/>
      <c r="C5945" s="339"/>
      <c r="D5945" s="73"/>
      <c r="E5945" s="73"/>
      <c r="F5945" s="74"/>
      <c r="G5945" s="72"/>
      <c r="K5945" s="337"/>
    </row>
    <row r="5946" spans="1:11" x14ac:dyDescent="0.25">
      <c r="A5946" s="163"/>
      <c r="B5946" s="106"/>
      <c r="C5946" s="338" t="s">
        <v>2851</v>
      </c>
      <c r="D5946" s="73"/>
      <c r="E5946" s="73"/>
      <c r="F5946" s="74"/>
      <c r="G5946" s="72"/>
    </row>
    <row r="5947" spans="1:11" x14ac:dyDescent="0.25">
      <c r="A5947" s="163"/>
      <c r="B5947" s="106"/>
      <c r="C5947" s="339"/>
      <c r="D5947" s="73" t="s">
        <v>984</v>
      </c>
      <c r="E5947" s="73"/>
      <c r="F5947" s="74" t="s">
        <v>3</v>
      </c>
      <c r="G5947" s="72">
        <f>0.22*0.07*1*8*1.055</f>
        <v>0.12997600000000001</v>
      </c>
      <c r="K5947" s="337"/>
    </row>
    <row r="5948" spans="1:11" x14ac:dyDescent="0.25">
      <c r="A5948" s="163"/>
      <c r="B5948" s="106"/>
      <c r="C5948" s="339"/>
      <c r="D5948" s="73"/>
      <c r="E5948" s="73"/>
      <c r="F5948" s="74"/>
      <c r="G5948" s="72"/>
      <c r="K5948" s="337"/>
    </row>
    <row r="5949" spans="1:11" x14ac:dyDescent="0.25">
      <c r="A5949" s="163"/>
      <c r="B5949" s="106"/>
      <c r="C5949" s="338" t="s">
        <v>2855</v>
      </c>
      <c r="D5949" s="73"/>
      <c r="E5949" s="73"/>
      <c r="F5949" s="74"/>
      <c r="G5949" s="72"/>
    </row>
    <row r="5950" spans="1:11" x14ac:dyDescent="0.25">
      <c r="A5950" s="163"/>
      <c r="B5950" s="106"/>
      <c r="C5950" s="339"/>
      <c r="D5950" s="73" t="s">
        <v>2854</v>
      </c>
      <c r="E5950" s="73"/>
      <c r="F5950" s="74" t="s">
        <v>3</v>
      </c>
      <c r="G5950" s="72">
        <f>0.22*0.07*0.5*8*1.055</f>
        <v>6.4988000000000004E-2</v>
      </c>
      <c r="K5950" s="337"/>
    </row>
    <row r="5951" spans="1:11" x14ac:dyDescent="0.25">
      <c r="A5951" s="163"/>
      <c r="B5951" s="106"/>
      <c r="C5951" s="339"/>
      <c r="D5951" s="73"/>
      <c r="E5951" s="73"/>
      <c r="F5951" s="74"/>
      <c r="G5951" s="72"/>
      <c r="K5951" s="337"/>
    </row>
    <row r="5952" spans="1:11" x14ac:dyDescent="0.25">
      <c r="A5952" s="163"/>
      <c r="B5952" s="106"/>
      <c r="C5952" s="338" t="s">
        <v>2856</v>
      </c>
      <c r="D5952" s="73"/>
      <c r="E5952" s="73"/>
      <c r="F5952" s="74"/>
      <c r="G5952" s="72"/>
    </row>
    <row r="5953" spans="1:11" x14ac:dyDescent="0.25">
      <c r="A5953" s="163"/>
      <c r="B5953" s="106"/>
      <c r="C5953" s="339"/>
      <c r="D5953" s="73" t="s">
        <v>2852</v>
      </c>
      <c r="E5953" s="73"/>
      <c r="F5953" s="74" t="s">
        <v>3</v>
      </c>
      <c r="G5953" s="72">
        <f>0.22*0.07*0.25*8*1.055</f>
        <v>3.2494000000000002E-2</v>
      </c>
      <c r="K5953" s="337"/>
    </row>
    <row r="5954" spans="1:11" x14ac:dyDescent="0.25">
      <c r="A5954" s="163"/>
      <c r="B5954" s="106"/>
      <c r="C5954" s="339"/>
      <c r="D5954" s="73"/>
      <c r="E5954" s="73"/>
      <c r="F5954" s="74"/>
      <c r="G5954" s="72"/>
      <c r="K5954" s="337"/>
    </row>
    <row r="5955" spans="1:11" x14ac:dyDescent="0.25">
      <c r="A5955" s="163"/>
      <c r="B5955" s="106"/>
      <c r="C5955" s="338" t="s">
        <v>2857</v>
      </c>
      <c r="D5955" s="73"/>
      <c r="E5955" s="73"/>
      <c r="F5955" s="74"/>
      <c r="G5955" s="72"/>
    </row>
    <row r="5956" spans="1:11" x14ac:dyDescent="0.25">
      <c r="A5956" s="163"/>
      <c r="B5956" s="106"/>
      <c r="C5956" s="339"/>
      <c r="D5956" s="73" t="s">
        <v>2853</v>
      </c>
      <c r="E5956" s="73"/>
      <c r="F5956" s="74" t="s">
        <v>3</v>
      </c>
      <c r="G5956" s="72">
        <f>0.22*0.07*0.15*8*1.06</f>
        <v>1.9588800000000003E-2</v>
      </c>
      <c r="K5956" s="337"/>
    </row>
    <row r="5957" spans="1:11" x14ac:dyDescent="0.25">
      <c r="A5957" s="163"/>
      <c r="B5957" s="106"/>
      <c r="C5957" s="339"/>
      <c r="D5957" s="73"/>
      <c r="E5957" s="73"/>
      <c r="F5957" s="74"/>
      <c r="G5957" s="72"/>
      <c r="K5957" s="337"/>
    </row>
    <row r="5958" spans="1:11" x14ac:dyDescent="0.25">
      <c r="A5958" s="163"/>
      <c r="B5958" s="106"/>
      <c r="C5958" s="338" t="s">
        <v>2859</v>
      </c>
      <c r="D5958" s="73"/>
      <c r="E5958" s="73"/>
      <c r="F5958" s="74"/>
      <c r="G5958" s="72"/>
    </row>
    <row r="5959" spans="1:11" x14ac:dyDescent="0.25">
      <c r="A5959" s="163"/>
      <c r="B5959" s="106"/>
      <c r="C5959" s="339"/>
      <c r="D5959" s="73" t="s">
        <v>2858</v>
      </c>
      <c r="E5959" s="73"/>
      <c r="F5959" s="74" t="s">
        <v>3</v>
      </c>
      <c r="G5959" s="72">
        <f>0.21*0.07*0.25*8*1.06</f>
        <v>3.1164000000000004E-2</v>
      </c>
      <c r="K5959" s="337"/>
    </row>
    <row r="5960" spans="1:11" x14ac:dyDescent="0.25">
      <c r="A5960" s="163"/>
      <c r="B5960" s="106"/>
      <c r="C5960" s="339"/>
      <c r="D5960" s="73"/>
      <c r="E5960" s="73"/>
      <c r="F5960" s="74"/>
      <c r="G5960" s="72"/>
      <c r="K5960" s="337"/>
    </row>
    <row r="5961" spans="1:11" x14ac:dyDescent="0.25">
      <c r="A5961" s="163"/>
      <c r="B5961" s="106"/>
      <c r="C5961" s="338" t="s">
        <v>2860</v>
      </c>
      <c r="D5961" s="73"/>
      <c r="E5961" s="73"/>
      <c r="F5961" s="74"/>
      <c r="G5961" s="72"/>
    </row>
    <row r="5962" spans="1:11" x14ac:dyDescent="0.25">
      <c r="A5962" s="163"/>
      <c r="B5962" s="106"/>
      <c r="C5962" s="339"/>
      <c r="D5962" s="73" t="s">
        <v>2854</v>
      </c>
      <c r="E5962" s="73"/>
      <c r="F5962" s="74" t="s">
        <v>3</v>
      </c>
      <c r="G5962" s="72">
        <f>0.21*0.07*0.5*8*1.06</f>
        <v>6.2328000000000008E-2</v>
      </c>
      <c r="K5962" s="337"/>
    </row>
    <row r="5963" spans="1:11" x14ac:dyDescent="0.25">
      <c r="A5963" s="163"/>
      <c r="B5963" s="106"/>
      <c r="C5963" s="339"/>
      <c r="D5963" s="73"/>
      <c r="E5963" s="73"/>
      <c r="F5963" s="74"/>
      <c r="G5963" s="72"/>
      <c r="K5963" s="337"/>
    </row>
    <row r="5964" spans="1:11" x14ac:dyDescent="0.25">
      <c r="A5964" s="163"/>
      <c r="B5964" s="106"/>
      <c r="C5964" s="338" t="s">
        <v>2861</v>
      </c>
      <c r="D5964" s="73"/>
      <c r="E5964" s="73"/>
      <c r="F5964" s="74"/>
      <c r="G5964" s="72"/>
    </row>
    <row r="5965" spans="1:11" x14ac:dyDescent="0.25">
      <c r="A5965" s="163"/>
      <c r="B5965" s="106"/>
      <c r="C5965" s="339"/>
      <c r="D5965" s="73" t="s">
        <v>984</v>
      </c>
      <c r="E5965" s="73"/>
      <c r="F5965" s="74" t="s">
        <v>3</v>
      </c>
      <c r="G5965" s="72">
        <f>0.21*0.07*1*8*1.06</f>
        <v>0.12465600000000002</v>
      </c>
      <c r="K5965" s="337"/>
    </row>
    <row r="5966" spans="1:11" x14ac:dyDescent="0.25">
      <c r="A5966" s="163"/>
      <c r="B5966" s="106"/>
      <c r="C5966" s="339"/>
      <c r="D5966" s="73"/>
      <c r="E5966" s="73"/>
      <c r="F5966" s="74"/>
      <c r="G5966" s="72"/>
      <c r="K5966" s="337"/>
    </row>
    <row r="5967" spans="1:11" x14ac:dyDescent="0.25">
      <c r="A5967" s="163"/>
      <c r="B5967" s="106"/>
      <c r="C5967" s="338" t="s">
        <v>2862</v>
      </c>
      <c r="D5967" s="73"/>
      <c r="E5967" s="73"/>
      <c r="F5967" s="74"/>
      <c r="G5967" s="72"/>
    </row>
    <row r="5968" spans="1:11" x14ac:dyDescent="0.25">
      <c r="A5968" s="163"/>
      <c r="B5968" s="106"/>
      <c r="C5968" s="339"/>
      <c r="D5968" s="73" t="s">
        <v>412</v>
      </c>
      <c r="E5968" s="73"/>
      <c r="F5968" s="74" t="s">
        <v>3</v>
      </c>
      <c r="G5968" s="72">
        <f>0.21*0.07*2*8*1.065</f>
        <v>0.25048799999999999</v>
      </c>
      <c r="K5968" s="337"/>
    </row>
    <row r="5969" spans="1:11" x14ac:dyDescent="0.25">
      <c r="A5969" s="163"/>
      <c r="B5969" s="106"/>
      <c r="C5969" s="339"/>
      <c r="D5969" s="73"/>
      <c r="E5969" s="73"/>
      <c r="F5969" s="74"/>
      <c r="G5969" s="72"/>
      <c r="K5969" s="337"/>
    </row>
    <row r="5970" spans="1:11" x14ac:dyDescent="0.25">
      <c r="A5970" s="163"/>
      <c r="B5970" s="106"/>
      <c r="C5970" s="340" t="s">
        <v>2863</v>
      </c>
      <c r="D5970" s="73"/>
      <c r="E5970" s="73"/>
      <c r="F5970" s="74"/>
      <c r="G5970" s="72"/>
    </row>
    <row r="5971" spans="1:11" x14ac:dyDescent="0.25">
      <c r="A5971" s="163"/>
      <c r="B5971" s="106"/>
      <c r="C5971" s="341"/>
      <c r="D5971" s="73" t="s">
        <v>415</v>
      </c>
      <c r="E5971" s="73"/>
      <c r="F5971" s="74" t="s">
        <v>3</v>
      </c>
      <c r="G5971" s="72">
        <f>0.21*0.07*1.5*8*1.05</f>
        <v>0.18522</v>
      </c>
      <c r="K5971" s="337"/>
    </row>
    <row r="5972" spans="1:11" x14ac:dyDescent="0.25">
      <c r="A5972" s="163"/>
      <c r="B5972" s="106"/>
      <c r="C5972" s="341"/>
      <c r="D5972" s="73"/>
      <c r="E5972" s="73"/>
      <c r="F5972" s="74"/>
      <c r="G5972" s="72"/>
      <c r="K5972" s="337"/>
    </row>
    <row r="5973" spans="1:11" x14ac:dyDescent="0.25">
      <c r="A5973" s="163"/>
      <c r="B5973" s="106"/>
      <c r="C5973" s="340" t="s">
        <v>2864</v>
      </c>
      <c r="D5973" s="73"/>
      <c r="E5973" s="73"/>
      <c r="F5973" s="74"/>
      <c r="G5973" s="72"/>
    </row>
    <row r="5974" spans="1:11" x14ac:dyDescent="0.25">
      <c r="A5974" s="163"/>
      <c r="B5974" s="106"/>
      <c r="C5974" s="341"/>
      <c r="D5974" s="73" t="s">
        <v>2853</v>
      </c>
      <c r="E5974" s="73"/>
      <c r="F5974" s="74" t="s">
        <v>3</v>
      </c>
      <c r="G5974" s="72">
        <f>0.21*0.07*0.15*8*1.05</f>
        <v>1.8522E-2</v>
      </c>
      <c r="K5974" s="337"/>
    </row>
    <row r="5975" spans="1:11" x14ac:dyDescent="0.25">
      <c r="A5975" s="163"/>
      <c r="B5975" s="106"/>
      <c r="C5975" s="341"/>
      <c r="D5975" s="73"/>
      <c r="E5975" s="73"/>
      <c r="F5975" s="74"/>
      <c r="G5975" s="72"/>
      <c r="K5975" s="337"/>
    </row>
    <row r="5976" spans="1:11" x14ac:dyDescent="0.25">
      <c r="A5976" s="163"/>
      <c r="B5976" s="106"/>
      <c r="C5976" s="340" t="s">
        <v>2865</v>
      </c>
      <c r="D5976" s="73"/>
      <c r="E5976" s="73"/>
      <c r="F5976" s="74"/>
      <c r="G5976" s="72"/>
    </row>
    <row r="5977" spans="1:11" ht="15.75" thickBot="1" x14ac:dyDescent="0.3">
      <c r="A5977" s="67"/>
      <c r="B5977" s="86"/>
      <c r="C5977" s="68"/>
      <c r="D5977" s="68" t="s">
        <v>2866</v>
      </c>
      <c r="E5977" s="68"/>
      <c r="F5977" s="82" t="s">
        <v>3</v>
      </c>
      <c r="G5977" s="83">
        <f>0.05*0.05*1*8</f>
        <v>2.0000000000000004E-2</v>
      </c>
    </row>
    <row r="5978" spans="1:11" x14ac:dyDescent="0.25">
      <c r="A5978" s="159"/>
      <c r="B5978" s="181"/>
      <c r="C5978" s="93"/>
      <c r="D5978" s="93"/>
      <c r="E5978" s="93"/>
      <c r="F5978" s="175" t="s">
        <v>2892</v>
      </c>
      <c r="G5978" s="176"/>
    </row>
    <row r="5979" spans="1:11" x14ac:dyDescent="0.25">
      <c r="A5979" s="163"/>
      <c r="B5979" s="106"/>
      <c r="C5979" s="73"/>
      <c r="D5979" s="73"/>
      <c r="E5979" s="73"/>
      <c r="F5979" s="74"/>
      <c r="G5979" s="72"/>
    </row>
    <row r="5980" spans="1:11" x14ac:dyDescent="0.25">
      <c r="A5980" s="163"/>
      <c r="B5980" s="106"/>
      <c r="C5980" s="75" t="s">
        <v>2880</v>
      </c>
      <c r="D5980" s="73"/>
      <c r="E5980" s="73"/>
      <c r="F5980" s="74"/>
      <c r="G5980" s="72"/>
    </row>
    <row r="5981" spans="1:11" x14ac:dyDescent="0.25">
      <c r="A5981" s="163"/>
      <c r="B5981" s="106"/>
      <c r="C5981" s="73" t="s">
        <v>1307</v>
      </c>
      <c r="D5981" s="73"/>
      <c r="E5981" s="73"/>
      <c r="F5981" s="218" t="s">
        <v>3</v>
      </c>
      <c r="G5981" s="72">
        <v>0.01</v>
      </c>
    </row>
    <row r="5982" spans="1:11" x14ac:dyDescent="0.25">
      <c r="A5982" s="163"/>
      <c r="B5982" s="106"/>
      <c r="C5982" s="73" t="s">
        <v>723</v>
      </c>
      <c r="D5982" s="73"/>
      <c r="E5982" s="73"/>
      <c r="F5982" s="218" t="s">
        <v>3</v>
      </c>
      <c r="G5982" s="72">
        <v>1.6E-2</v>
      </c>
    </row>
    <row r="5983" spans="1:11" x14ac:dyDescent="0.25">
      <c r="A5983" s="163"/>
      <c r="B5983" s="106"/>
      <c r="C5983" s="73" t="s">
        <v>2881</v>
      </c>
      <c r="D5983" s="73"/>
      <c r="E5983" s="73"/>
      <c r="F5983" s="74" t="s">
        <v>195</v>
      </c>
      <c r="G5983" s="72">
        <v>0.27500000000000002</v>
      </c>
    </row>
    <row r="5984" spans="1:11" x14ac:dyDescent="0.25">
      <c r="A5984" s="163"/>
      <c r="B5984" s="106"/>
      <c r="C5984" s="73" t="s">
        <v>2882</v>
      </c>
      <c r="D5984" s="73"/>
      <c r="E5984" s="73"/>
      <c r="F5984" s="74" t="s">
        <v>195</v>
      </c>
      <c r="G5984" s="72">
        <v>7.0000000000000007E-2</v>
      </c>
    </row>
    <row r="5985" spans="1:11" x14ac:dyDescent="0.25">
      <c r="A5985" s="163"/>
      <c r="B5985" s="106"/>
      <c r="C5985" s="73" t="s">
        <v>2883</v>
      </c>
      <c r="D5985" s="73"/>
      <c r="E5985" s="73"/>
      <c r="F5985" s="74" t="s">
        <v>3</v>
      </c>
      <c r="G5985" s="72">
        <v>0.01</v>
      </c>
    </row>
    <row r="5986" spans="1:11" x14ac:dyDescent="0.25">
      <c r="A5986" s="163"/>
      <c r="B5986" s="106"/>
      <c r="C5986" s="73"/>
      <c r="D5986" s="73"/>
      <c r="E5986" s="73"/>
      <c r="F5986" s="74"/>
      <c r="G5986" s="72"/>
    </row>
    <row r="5987" spans="1:11" x14ac:dyDescent="0.25">
      <c r="A5987" s="163"/>
      <c r="B5987" s="106"/>
      <c r="C5987" s="75" t="s">
        <v>2884</v>
      </c>
      <c r="D5987" s="73"/>
      <c r="E5987" s="73"/>
      <c r="F5987" s="74"/>
      <c r="G5987" s="72"/>
    </row>
    <row r="5988" spans="1:11" x14ac:dyDescent="0.25">
      <c r="A5988" s="163"/>
      <c r="B5988" s="106"/>
      <c r="C5988" s="73" t="s">
        <v>2755</v>
      </c>
      <c r="D5988" s="73"/>
      <c r="E5988" s="73"/>
      <c r="F5988" s="74" t="s">
        <v>3</v>
      </c>
      <c r="G5988" s="72">
        <f>(0.6+0.012*3.14*3+0.25+0.1)*0.08*1.17</f>
        <v>9.9500543999999996E-2</v>
      </c>
    </row>
    <row r="5989" spans="1:11" ht="17.25" x14ac:dyDescent="0.25">
      <c r="A5989" s="163"/>
      <c r="B5989" s="106"/>
      <c r="C5989" s="73" t="s">
        <v>1055</v>
      </c>
      <c r="D5989" s="73"/>
      <c r="E5989" s="73"/>
      <c r="F5989" s="74" t="s">
        <v>596</v>
      </c>
      <c r="G5989" s="72">
        <f>1.09*G5988</f>
        <v>0.10845559296</v>
      </c>
    </row>
    <row r="5990" spans="1:11" x14ac:dyDescent="0.25">
      <c r="A5990" s="163"/>
      <c r="B5990" s="106"/>
      <c r="C5990" s="77" t="s">
        <v>8</v>
      </c>
      <c r="D5990" s="73"/>
      <c r="E5990" s="73"/>
      <c r="F5990" s="74" t="s">
        <v>3</v>
      </c>
      <c r="G5990" s="72">
        <f>G5991*0.81+0.001</f>
        <v>8.9865100000000003E-2</v>
      </c>
    </row>
    <row r="5991" spans="1:11" x14ac:dyDescent="0.25">
      <c r="A5991" s="163"/>
      <c r="B5991" s="106"/>
      <c r="C5991" s="77" t="s">
        <v>115</v>
      </c>
      <c r="D5991" s="73"/>
      <c r="E5991" s="73"/>
      <c r="F5991" s="74" t="s">
        <v>3</v>
      </c>
      <c r="G5991" s="72">
        <f>(0.65*0.15+0.5*0.15)*2*0.15*2*1.06</f>
        <v>0.10971</v>
      </c>
    </row>
    <row r="5992" spans="1:11" x14ac:dyDescent="0.25">
      <c r="A5992" s="163"/>
      <c r="B5992" s="106"/>
      <c r="C5992" s="77" t="s">
        <v>12</v>
      </c>
      <c r="D5992" s="73"/>
      <c r="E5992" s="73"/>
      <c r="F5992" s="74" t="s">
        <v>3</v>
      </c>
      <c r="G5992" s="72">
        <f>0.3*(G5991+G5990)</f>
        <v>5.987253E-2</v>
      </c>
    </row>
    <row r="5993" spans="1:11" x14ac:dyDescent="0.25">
      <c r="A5993" s="163"/>
      <c r="B5993" s="106"/>
      <c r="C5993" s="73"/>
      <c r="D5993" s="75" t="s">
        <v>2885</v>
      </c>
      <c r="E5993" s="73"/>
      <c r="F5993" s="74"/>
      <c r="G5993" s="72"/>
    </row>
    <row r="5994" spans="1:11" x14ac:dyDescent="0.25">
      <c r="A5994" s="163"/>
      <c r="B5994" s="106"/>
      <c r="C5994" s="73"/>
      <c r="D5994" s="73" t="s">
        <v>412</v>
      </c>
      <c r="E5994" s="73"/>
      <c r="F5994" s="74" t="s">
        <v>3</v>
      </c>
      <c r="G5994" s="72">
        <f>0.65*0.155*2*8*1.15-0.004</f>
        <v>1.8497999999999999</v>
      </c>
    </row>
    <row r="5995" spans="1:11" x14ac:dyDescent="0.25">
      <c r="A5995" s="163"/>
      <c r="B5995" s="106"/>
      <c r="C5995" s="73"/>
      <c r="D5995" s="73" t="s">
        <v>2755</v>
      </c>
      <c r="E5995" s="73"/>
      <c r="F5995" s="74" t="s">
        <v>3</v>
      </c>
      <c r="G5995" s="72">
        <f>0.1*0.08*1.2</f>
        <v>9.5999999999999992E-3</v>
      </c>
      <c r="K5995" s="343"/>
    </row>
    <row r="5996" spans="1:11" ht="17.25" x14ac:dyDescent="0.25">
      <c r="A5996" s="163"/>
      <c r="B5996" s="106"/>
      <c r="C5996" s="73"/>
      <c r="D5996" s="73" t="s">
        <v>1055</v>
      </c>
      <c r="E5996" s="73"/>
      <c r="F5996" s="74" t="s">
        <v>596</v>
      </c>
      <c r="G5996" s="72">
        <f>1.09*G5995</f>
        <v>1.0463999999999999E-2</v>
      </c>
      <c r="K5996" s="343"/>
    </row>
    <row r="5997" spans="1:11" x14ac:dyDescent="0.25">
      <c r="A5997" s="163"/>
      <c r="B5997" s="106"/>
      <c r="C5997" s="73"/>
      <c r="D5997" s="75" t="s">
        <v>2886</v>
      </c>
      <c r="E5997" s="73"/>
      <c r="F5997" s="74"/>
      <c r="G5997" s="72"/>
    </row>
    <row r="5998" spans="1:11" x14ac:dyDescent="0.25">
      <c r="A5998" s="163"/>
      <c r="B5998" s="106"/>
      <c r="C5998" s="73"/>
      <c r="D5998" s="73" t="s">
        <v>412</v>
      </c>
      <c r="E5998" s="73"/>
      <c r="F5998" s="74" t="s">
        <v>3</v>
      </c>
      <c r="G5998" s="72">
        <f>0.515*0.235*2*8*1.136</f>
        <v>2.1997503999999997</v>
      </c>
    </row>
    <row r="5999" spans="1:11" x14ac:dyDescent="0.25">
      <c r="A5999" s="163"/>
      <c r="B5999" s="106"/>
      <c r="C5999" s="73"/>
      <c r="D5999" s="75" t="s">
        <v>2887</v>
      </c>
      <c r="E5999" s="73"/>
      <c r="F5999" s="74"/>
      <c r="G5999" s="72"/>
    </row>
    <row r="6000" spans="1:11" x14ac:dyDescent="0.25">
      <c r="A6000" s="163"/>
      <c r="B6000" s="106"/>
      <c r="C6000" s="73"/>
      <c r="D6000" s="73" t="s">
        <v>54</v>
      </c>
      <c r="E6000" s="73"/>
      <c r="F6000" s="74" t="s">
        <v>3</v>
      </c>
      <c r="G6000" s="72">
        <f>0.115*0.05*4*8*1.14</f>
        <v>0.20976</v>
      </c>
    </row>
    <row r="6001" spans="1:11" x14ac:dyDescent="0.25">
      <c r="A6001" s="163"/>
      <c r="B6001" s="106"/>
      <c r="C6001" s="73"/>
      <c r="D6001" s="75" t="s">
        <v>2888</v>
      </c>
      <c r="E6001" s="73"/>
      <c r="F6001" s="74"/>
      <c r="G6001" s="72"/>
    </row>
    <row r="6002" spans="1:11" x14ac:dyDescent="0.25">
      <c r="A6002" s="163"/>
      <c r="B6002" s="106"/>
      <c r="C6002" s="73"/>
      <c r="D6002" s="73" t="s">
        <v>2890</v>
      </c>
      <c r="E6002" s="73"/>
      <c r="F6002" s="74" t="s">
        <v>3</v>
      </c>
      <c r="G6002" s="72">
        <f>0.12*0.08*3*8*1.128</f>
        <v>0.25989119999999999</v>
      </c>
    </row>
    <row r="6003" spans="1:11" x14ac:dyDescent="0.25">
      <c r="A6003" s="163"/>
      <c r="B6003" s="106"/>
      <c r="C6003" s="73"/>
      <c r="D6003" s="75" t="s">
        <v>2889</v>
      </c>
      <c r="E6003" s="73"/>
      <c r="F6003" s="74"/>
      <c r="G6003" s="72"/>
    </row>
    <row r="6004" spans="1:11" ht="15.75" thickBot="1" x14ac:dyDescent="0.3">
      <c r="A6004" s="67"/>
      <c r="B6004" s="86"/>
      <c r="C6004" s="68"/>
      <c r="D6004" s="68" t="s">
        <v>2891</v>
      </c>
      <c r="E6004" s="68"/>
      <c r="F6004" s="82" t="s">
        <v>3</v>
      </c>
      <c r="G6004" s="83">
        <f>0.39*0.09*2*8*1.121</f>
        <v>0.62955359999999994</v>
      </c>
    </row>
    <row r="6005" spans="1:11" x14ac:dyDescent="0.25">
      <c r="A6005" s="159"/>
      <c r="B6005" s="181"/>
      <c r="C6005" s="93"/>
      <c r="D6005" s="93"/>
      <c r="E6005" s="93"/>
      <c r="F6005" s="175" t="s">
        <v>2898</v>
      </c>
      <c r="G6005" s="176"/>
      <c r="K6005" s="333"/>
    </row>
    <row r="6006" spans="1:11" x14ac:dyDescent="0.25">
      <c r="A6006" s="163"/>
      <c r="B6006" s="106"/>
      <c r="C6006" s="73"/>
      <c r="D6006" s="73"/>
      <c r="E6006" s="73" t="s">
        <v>2894</v>
      </c>
      <c r="F6006" s="74"/>
      <c r="G6006" s="72"/>
      <c r="K6006" s="344"/>
    </row>
    <row r="6007" spans="1:11" x14ac:dyDescent="0.25">
      <c r="A6007" s="163"/>
      <c r="B6007" s="106"/>
      <c r="C6007" s="73"/>
      <c r="D6007" s="73"/>
      <c r="E6007" s="73"/>
      <c r="F6007" s="74"/>
      <c r="G6007" s="72"/>
      <c r="K6007" s="344"/>
    </row>
    <row r="6008" spans="1:11" x14ac:dyDescent="0.25">
      <c r="A6008" s="163"/>
      <c r="B6008" s="106"/>
      <c r="C6008" s="75" t="s">
        <v>2895</v>
      </c>
      <c r="D6008" s="73"/>
      <c r="E6008" s="73"/>
      <c r="F6008" s="74"/>
      <c r="G6008" s="72"/>
      <c r="K6008" s="344"/>
    </row>
    <row r="6009" spans="1:11" x14ac:dyDescent="0.25">
      <c r="A6009" s="163"/>
      <c r="B6009" s="106"/>
      <c r="C6009" s="73"/>
      <c r="D6009" s="73" t="s">
        <v>2896</v>
      </c>
      <c r="E6009" s="73"/>
      <c r="F6009" s="74" t="s">
        <v>2897</v>
      </c>
      <c r="G6009" s="72">
        <v>4</v>
      </c>
      <c r="K6009" s="344"/>
    </row>
    <row r="6010" spans="1:11" x14ac:dyDescent="0.25">
      <c r="A6010" s="163"/>
      <c r="B6010" s="106"/>
      <c r="C6010" s="73"/>
      <c r="D6010" s="73"/>
      <c r="E6010" s="98" t="s">
        <v>2840</v>
      </c>
      <c r="F6010" s="74" t="s">
        <v>3</v>
      </c>
      <c r="G6010" s="72">
        <f>G6009*0.86</f>
        <v>3.44</v>
      </c>
      <c r="K6010" s="344"/>
    </row>
    <row r="6011" spans="1:11" ht="15.75" thickBot="1" x14ac:dyDescent="0.3">
      <c r="A6011" s="67"/>
      <c r="B6011" s="86"/>
      <c r="C6011" s="68"/>
      <c r="D6011" s="68"/>
      <c r="E6011" s="68"/>
      <c r="F6011" s="82"/>
      <c r="G6011" s="83"/>
      <c r="K6011" s="344"/>
    </row>
    <row r="6012" spans="1:11" x14ac:dyDescent="0.25">
      <c r="A6012" s="159"/>
      <c r="B6012" s="181"/>
      <c r="C6012" s="93"/>
      <c r="D6012" s="93"/>
      <c r="E6012" s="93"/>
      <c r="F6012" s="175" t="s">
        <v>2901</v>
      </c>
      <c r="G6012" s="176"/>
      <c r="K6012" s="344"/>
    </row>
    <row r="6013" spans="1:11" x14ac:dyDescent="0.25">
      <c r="A6013" s="193"/>
      <c r="B6013" s="106"/>
      <c r="C6013" s="75" t="s">
        <v>2079</v>
      </c>
      <c r="D6013" s="73"/>
      <c r="E6013" s="73"/>
      <c r="F6013" s="74"/>
      <c r="G6013" s="72"/>
      <c r="K6013" s="344"/>
    </row>
    <row r="6014" spans="1:11" x14ac:dyDescent="0.25">
      <c r="A6014" s="163"/>
      <c r="B6014" s="106"/>
      <c r="C6014" s="73" t="s">
        <v>723</v>
      </c>
      <c r="D6014" s="73"/>
      <c r="E6014" s="73"/>
      <c r="F6014" s="74" t="s">
        <v>3</v>
      </c>
      <c r="G6014" s="72">
        <v>5.0000000000000001E-3</v>
      </c>
      <c r="K6014" s="344"/>
    </row>
    <row r="6015" spans="1:11" x14ac:dyDescent="0.25">
      <c r="A6015" s="163"/>
      <c r="B6015" s="106"/>
      <c r="C6015" s="100" t="s">
        <v>13</v>
      </c>
      <c r="D6015" s="73"/>
      <c r="E6015" s="73"/>
      <c r="F6015" s="74" t="s">
        <v>3</v>
      </c>
      <c r="G6015" s="72">
        <v>0.8</v>
      </c>
      <c r="K6015" s="344"/>
    </row>
    <row r="6016" spans="1:11" x14ac:dyDescent="0.25">
      <c r="A6016" s="163"/>
      <c r="B6016" s="106"/>
      <c r="C6016" s="100" t="s">
        <v>114</v>
      </c>
      <c r="D6016" s="73"/>
      <c r="E6016" s="73"/>
      <c r="F6016" s="74" t="s">
        <v>3</v>
      </c>
      <c r="G6016" s="72">
        <f>G6019/2</f>
        <v>0.22505280000000003</v>
      </c>
      <c r="K6016" s="344"/>
    </row>
    <row r="6017" spans="1:11" x14ac:dyDescent="0.25">
      <c r="A6017" s="163"/>
      <c r="B6017" s="106"/>
      <c r="C6017" s="73" t="s">
        <v>163</v>
      </c>
      <c r="D6017" s="73"/>
      <c r="E6017" s="73"/>
      <c r="F6017" s="74" t="s">
        <v>3</v>
      </c>
      <c r="G6017" s="72">
        <f>G6019/2</f>
        <v>0.22505280000000003</v>
      </c>
      <c r="K6017" s="344"/>
    </row>
    <row r="6018" spans="1:11" x14ac:dyDescent="0.25">
      <c r="A6018" s="163"/>
      <c r="B6018" s="106"/>
      <c r="C6018" s="100" t="s">
        <v>164</v>
      </c>
      <c r="D6018" s="73"/>
      <c r="E6018" s="73"/>
      <c r="F6018" s="74" t="s">
        <v>3</v>
      </c>
      <c r="G6018" s="72">
        <f>0.3*(G6016+G6017)</f>
        <v>0.13503168000000002</v>
      </c>
      <c r="K6018" s="344"/>
    </row>
    <row r="6019" spans="1:11" x14ac:dyDescent="0.25">
      <c r="A6019" s="163"/>
      <c r="B6019" s="106"/>
      <c r="C6019" s="100" t="s">
        <v>72</v>
      </c>
      <c r="D6019" s="73"/>
      <c r="E6019" s="73"/>
      <c r="F6019" s="74" t="s">
        <v>3</v>
      </c>
      <c r="G6019" s="72">
        <f>(0.93*0.56*2+0.1*(0.93*2+0.56*2))*0.15*2*1.12</f>
        <v>0.45010560000000005</v>
      </c>
      <c r="K6019" s="344"/>
    </row>
    <row r="6020" spans="1:11" x14ac:dyDescent="0.25">
      <c r="A6020" s="163"/>
      <c r="B6020" s="106"/>
      <c r="C6020" s="100" t="s">
        <v>11</v>
      </c>
      <c r="D6020" s="73"/>
      <c r="E6020" s="73"/>
      <c r="F6020" s="74" t="s">
        <v>3</v>
      </c>
      <c r="G6020" s="72">
        <f>0.3*G6019</f>
        <v>0.13503168000000002</v>
      </c>
      <c r="K6020" s="344"/>
    </row>
    <row r="6021" spans="1:11" x14ac:dyDescent="0.25">
      <c r="A6021" s="163"/>
      <c r="B6021" s="106"/>
      <c r="C6021" s="100" t="s">
        <v>147</v>
      </c>
      <c r="D6021" s="73"/>
      <c r="E6021" s="73"/>
      <c r="F6021" s="74" t="s">
        <v>3</v>
      </c>
      <c r="G6021" s="72">
        <v>0.1</v>
      </c>
      <c r="K6021" s="344"/>
    </row>
    <row r="6022" spans="1:11" x14ac:dyDescent="0.25">
      <c r="A6022" s="163"/>
      <c r="B6022" s="106"/>
      <c r="C6022" s="73" t="s">
        <v>2107</v>
      </c>
      <c r="D6022" s="73"/>
      <c r="E6022" s="73"/>
      <c r="F6022" s="74" t="s">
        <v>3</v>
      </c>
      <c r="G6022" s="72">
        <f>(0.56*4+0.065*2+0.15*2+0.85*2*0.1*3.14+0.12+0.025*3.14*2+0.12+0.8+0.8+1.5)*0.045*1.3+0.008</f>
        <v>0.39999679999999999</v>
      </c>
      <c r="K6022" s="344"/>
    </row>
    <row r="6023" spans="1:11" ht="17.25" x14ac:dyDescent="0.25">
      <c r="A6023" s="163"/>
      <c r="B6023" s="106"/>
      <c r="C6023" s="73" t="s">
        <v>168</v>
      </c>
      <c r="D6023" s="73"/>
      <c r="E6023" s="73"/>
      <c r="F6023" s="74" t="s">
        <v>596</v>
      </c>
      <c r="G6023" s="72">
        <f>G6022*1.1</f>
        <v>0.43999648000000002</v>
      </c>
      <c r="K6023" s="344"/>
    </row>
    <row r="6024" spans="1:11" x14ac:dyDescent="0.25">
      <c r="A6024" s="163"/>
      <c r="B6024" s="106"/>
      <c r="C6024" s="73"/>
      <c r="D6024" s="75" t="s">
        <v>2650</v>
      </c>
      <c r="E6024" s="73"/>
      <c r="F6024" s="74"/>
      <c r="G6024" s="72"/>
      <c r="K6024" s="344"/>
    </row>
    <row r="6025" spans="1:11" x14ac:dyDescent="0.25">
      <c r="A6025" s="163"/>
      <c r="B6025" s="106"/>
      <c r="C6025" s="73"/>
      <c r="D6025" s="73" t="s">
        <v>598</v>
      </c>
      <c r="E6025" s="73"/>
      <c r="F6025" s="74" t="s">
        <v>3</v>
      </c>
      <c r="G6025" s="72">
        <f>(0.53*0.865+0.865*0.68)*2.5*2.7*1.179</f>
        <v>8.3295023625000013</v>
      </c>
      <c r="K6025" s="344"/>
    </row>
    <row r="6026" spans="1:11" x14ac:dyDescent="0.25">
      <c r="A6026" s="163"/>
      <c r="B6026" s="106"/>
      <c r="C6026" s="73"/>
      <c r="D6026" s="75" t="s">
        <v>2651</v>
      </c>
      <c r="E6026" s="73"/>
      <c r="F6026" s="74"/>
      <c r="G6026" s="72"/>
      <c r="K6026" s="344"/>
    </row>
    <row r="6027" spans="1:11" x14ac:dyDescent="0.25">
      <c r="A6027" s="163"/>
      <c r="B6027" s="106"/>
      <c r="C6027" s="73"/>
      <c r="D6027" s="73" t="s">
        <v>598</v>
      </c>
      <c r="E6027" s="73"/>
      <c r="F6027" s="74" t="s">
        <v>3</v>
      </c>
      <c r="G6027" s="72">
        <f>0.23*0.865*2.5*2.7*1.154</f>
        <v>1.5497210250000002</v>
      </c>
      <c r="K6027" s="344"/>
    </row>
    <row r="6028" spans="1:11" x14ac:dyDescent="0.25">
      <c r="A6028" s="163"/>
      <c r="B6028" s="106"/>
      <c r="C6028" s="73"/>
      <c r="D6028" s="75" t="s">
        <v>2652</v>
      </c>
      <c r="E6028" s="73"/>
      <c r="F6028" s="74"/>
      <c r="G6028" s="72"/>
      <c r="K6028" s="344"/>
    </row>
    <row r="6029" spans="1:11" x14ac:dyDescent="0.25">
      <c r="A6029" s="163"/>
      <c r="B6029" s="106"/>
      <c r="C6029" s="73"/>
      <c r="D6029" s="73" t="s">
        <v>598</v>
      </c>
      <c r="E6029" s="73"/>
      <c r="F6029" s="74" t="s">
        <v>3</v>
      </c>
      <c r="G6029" s="72">
        <f>0.61*0.13*2.5*2.7*1.139</f>
        <v>0.60967822499999991</v>
      </c>
      <c r="K6029" s="344"/>
    </row>
    <row r="6030" spans="1:11" x14ac:dyDescent="0.25">
      <c r="A6030" s="163"/>
      <c r="B6030" s="106"/>
      <c r="C6030" s="73"/>
      <c r="D6030" s="75" t="s">
        <v>2653</v>
      </c>
      <c r="E6030" s="73"/>
      <c r="F6030" s="74"/>
      <c r="G6030" s="72"/>
      <c r="K6030" s="344"/>
    </row>
    <row r="6031" spans="1:11" x14ac:dyDescent="0.25">
      <c r="A6031" s="163"/>
      <c r="B6031" s="106"/>
      <c r="C6031" s="73"/>
      <c r="D6031" s="73" t="s">
        <v>598</v>
      </c>
      <c r="E6031" s="73"/>
      <c r="F6031" s="74" t="s">
        <v>3</v>
      </c>
      <c r="G6031" s="72">
        <f>0.655*0.25*2.5*2.7*1.158</f>
        <v>1.2799518750000001</v>
      </c>
      <c r="K6031" s="344"/>
    </row>
    <row r="6032" spans="1:11" x14ac:dyDescent="0.25">
      <c r="A6032" s="163"/>
      <c r="B6032" s="106"/>
      <c r="C6032" s="73"/>
      <c r="D6032" s="75" t="s">
        <v>2654</v>
      </c>
      <c r="E6032" s="73"/>
      <c r="F6032" s="74"/>
      <c r="G6032" s="72"/>
      <c r="K6032" s="344"/>
    </row>
    <row r="6033" spans="1:11" x14ac:dyDescent="0.25">
      <c r="A6033" s="163"/>
      <c r="B6033" s="106"/>
      <c r="C6033" s="73"/>
      <c r="D6033" s="73" t="s">
        <v>598</v>
      </c>
      <c r="E6033" s="73"/>
      <c r="F6033" s="74" t="s">
        <v>3</v>
      </c>
      <c r="G6033" s="72">
        <f>0.505*0.145*2.5*2.7*1.144</f>
        <v>0.56544344999999996</v>
      </c>
      <c r="K6033" s="344"/>
    </row>
    <row r="6034" spans="1:11" x14ac:dyDescent="0.25">
      <c r="A6034" s="163"/>
      <c r="B6034" s="106"/>
      <c r="C6034" s="73"/>
      <c r="D6034" s="75" t="s">
        <v>2655</v>
      </c>
      <c r="E6034" s="73"/>
      <c r="F6034" s="74"/>
      <c r="G6034" s="72"/>
      <c r="K6034" s="344"/>
    </row>
    <row r="6035" spans="1:11" x14ac:dyDescent="0.25">
      <c r="A6035" s="163"/>
      <c r="B6035" s="106"/>
      <c r="C6035" s="73"/>
      <c r="D6035" s="73" t="s">
        <v>2900</v>
      </c>
      <c r="E6035" s="73"/>
      <c r="F6035" s="74" t="s">
        <v>3</v>
      </c>
      <c r="G6035" s="72">
        <v>4.1000000000000002E-2</v>
      </c>
      <c r="K6035" s="344"/>
    </row>
    <row r="6036" spans="1:11" x14ac:dyDescent="0.25">
      <c r="A6036" s="163"/>
      <c r="B6036" s="106"/>
      <c r="C6036" s="73"/>
      <c r="D6036" s="75" t="s">
        <v>2656</v>
      </c>
      <c r="E6036" s="73"/>
      <c r="F6036" s="74"/>
      <c r="G6036" s="72"/>
      <c r="K6036" s="344"/>
    </row>
    <row r="6037" spans="1:11" x14ac:dyDescent="0.25">
      <c r="A6037" s="163"/>
      <c r="B6037" s="106"/>
      <c r="C6037" s="73"/>
      <c r="D6037" s="73" t="s">
        <v>598</v>
      </c>
      <c r="E6037" s="73"/>
      <c r="F6037" s="74" t="s">
        <v>3</v>
      </c>
      <c r="G6037" s="72">
        <f>0.135*0.26*2.5*2.7*1.159</f>
        <v>0.27459607500000011</v>
      </c>
      <c r="K6037" s="344"/>
    </row>
    <row r="6038" spans="1:11" x14ac:dyDescent="0.25">
      <c r="A6038" s="163"/>
      <c r="B6038" s="106"/>
      <c r="C6038" s="73"/>
      <c r="D6038" s="75" t="s">
        <v>2657</v>
      </c>
      <c r="E6038" s="73"/>
      <c r="F6038" s="74"/>
      <c r="G6038" s="72"/>
      <c r="K6038" s="344"/>
    </row>
    <row r="6039" spans="1:11" x14ac:dyDescent="0.25">
      <c r="A6039" s="163"/>
      <c r="B6039" s="106"/>
      <c r="C6039" s="73"/>
      <c r="D6039" s="73" t="s">
        <v>598</v>
      </c>
      <c r="E6039" s="73"/>
      <c r="F6039" s="74" t="s">
        <v>3</v>
      </c>
      <c r="G6039" s="72">
        <f>0.17*0.275*2.5*2.7*1.14</f>
        <v>0.35974125000000007</v>
      </c>
      <c r="K6039" s="344"/>
    </row>
    <row r="6040" spans="1:11" x14ac:dyDescent="0.25">
      <c r="A6040" s="163"/>
      <c r="B6040" s="106"/>
      <c r="C6040" s="73"/>
      <c r="D6040" s="75" t="s">
        <v>2658</v>
      </c>
      <c r="E6040" s="73"/>
      <c r="F6040" s="74"/>
      <c r="G6040" s="72"/>
      <c r="K6040" s="344"/>
    </row>
    <row r="6041" spans="1:11" x14ac:dyDescent="0.25">
      <c r="A6041" s="163"/>
      <c r="B6041" s="106"/>
      <c r="C6041" s="73"/>
      <c r="D6041" s="73" t="s">
        <v>2899</v>
      </c>
      <c r="E6041" s="73"/>
      <c r="F6041" s="74" t="s">
        <v>3</v>
      </c>
      <c r="G6041" s="72">
        <f>0.07*0.03*4*2.7*1.15</f>
        <v>2.6082000000000004E-2</v>
      </c>
      <c r="K6041" s="344"/>
    </row>
    <row r="6042" spans="1:11" x14ac:dyDescent="0.25">
      <c r="A6042" s="163"/>
      <c r="B6042" s="106"/>
      <c r="C6042" s="73"/>
      <c r="D6042" s="75" t="s">
        <v>2659</v>
      </c>
      <c r="E6042" s="73"/>
      <c r="F6042" s="74"/>
      <c r="G6042" s="72"/>
      <c r="K6042" s="344"/>
    </row>
    <row r="6043" spans="1:11" x14ac:dyDescent="0.25">
      <c r="A6043" s="163"/>
      <c r="B6043" s="106"/>
      <c r="C6043" s="73"/>
      <c r="D6043" s="73" t="s">
        <v>2900</v>
      </c>
      <c r="E6043" s="73"/>
      <c r="F6043" s="74" t="s">
        <v>3</v>
      </c>
      <c r="G6043" s="72">
        <v>0.33</v>
      </c>
      <c r="K6043" s="344"/>
    </row>
    <row r="6044" spans="1:11" x14ac:dyDescent="0.25">
      <c r="A6044" s="163"/>
      <c r="B6044" s="106"/>
      <c r="C6044" s="73"/>
      <c r="D6044" s="75" t="s">
        <v>2660</v>
      </c>
      <c r="E6044" s="73"/>
      <c r="F6044" s="74"/>
      <c r="G6044" s="72"/>
      <c r="K6044" s="344"/>
    </row>
    <row r="6045" spans="1:11" x14ac:dyDescent="0.25">
      <c r="A6045" s="163"/>
      <c r="B6045" s="106"/>
      <c r="C6045" s="73"/>
      <c r="D6045" s="73" t="s">
        <v>598</v>
      </c>
      <c r="E6045" s="73"/>
      <c r="F6045" s="74" t="s">
        <v>3</v>
      </c>
      <c r="G6045" s="72">
        <f>0.05*0.02*2.5*2.7*1.12</f>
        <v>7.5600000000000016E-3</v>
      </c>
      <c r="K6045" s="344"/>
    </row>
    <row r="6046" spans="1:11" x14ac:dyDescent="0.25">
      <c r="A6046" s="163"/>
      <c r="B6046" s="106"/>
      <c r="C6046" s="73"/>
      <c r="D6046" s="75" t="s">
        <v>2661</v>
      </c>
      <c r="E6046" s="73"/>
      <c r="F6046" s="74"/>
      <c r="G6046" s="72"/>
      <c r="K6046" s="344"/>
    </row>
    <row r="6047" spans="1:11" x14ac:dyDescent="0.25">
      <c r="A6047" s="163"/>
      <c r="B6047" s="106"/>
      <c r="C6047" s="73"/>
      <c r="D6047" s="73" t="s">
        <v>598</v>
      </c>
      <c r="E6047" s="73"/>
      <c r="F6047" s="74" t="s">
        <v>3</v>
      </c>
      <c r="G6047" s="72">
        <f>0.085*0.015*2.5*2.7*1.12</f>
        <v>9.6390000000000017E-3</v>
      </c>
      <c r="K6047" s="344"/>
    </row>
    <row r="6048" spans="1:11" x14ac:dyDescent="0.25">
      <c r="A6048" s="163"/>
      <c r="B6048" s="106"/>
      <c r="C6048" s="73"/>
      <c r="D6048" s="73"/>
      <c r="E6048" s="73"/>
      <c r="F6048" s="74"/>
      <c r="G6048" s="72"/>
      <c r="H6048" s="10">
        <f>G6025+G6027+G6029+G6031+G6033+G6037+G6039+G6045</f>
        <v>12.976194262500002</v>
      </c>
      <c r="K6048" s="344"/>
    </row>
    <row r="6049" spans="1:11" x14ac:dyDescent="0.25">
      <c r="A6049" s="193"/>
      <c r="B6049" s="106"/>
      <c r="C6049" s="75" t="s">
        <v>2080</v>
      </c>
      <c r="D6049" s="73"/>
      <c r="E6049" s="73"/>
      <c r="F6049" s="74"/>
      <c r="G6049" s="72"/>
      <c r="K6049" s="344"/>
    </row>
    <row r="6050" spans="1:11" x14ac:dyDescent="0.25">
      <c r="A6050" s="163"/>
      <c r="B6050" s="106"/>
      <c r="C6050" s="73" t="s">
        <v>723</v>
      </c>
      <c r="D6050" s="73"/>
      <c r="E6050" s="73"/>
      <c r="F6050" s="74" t="s">
        <v>3</v>
      </c>
      <c r="G6050" s="72">
        <v>5.0000000000000001E-3</v>
      </c>
      <c r="K6050" s="344"/>
    </row>
    <row r="6051" spans="1:11" x14ac:dyDescent="0.25">
      <c r="A6051" s="163"/>
      <c r="B6051" s="106"/>
      <c r="C6051" s="100" t="s">
        <v>13</v>
      </c>
      <c r="D6051" s="73"/>
      <c r="E6051" s="73"/>
      <c r="F6051" s="74" t="s">
        <v>3</v>
      </c>
      <c r="G6051" s="72">
        <v>0.85</v>
      </c>
      <c r="K6051" s="344"/>
    </row>
    <row r="6052" spans="1:11" x14ac:dyDescent="0.25">
      <c r="A6052" s="163"/>
      <c r="B6052" s="106"/>
      <c r="C6052" s="100" t="s">
        <v>114</v>
      </c>
      <c r="D6052" s="73"/>
      <c r="E6052" s="73"/>
      <c r="F6052" s="74" t="s">
        <v>3</v>
      </c>
      <c r="G6052" s="72">
        <v>0.32500000000000001</v>
      </c>
      <c r="K6052" s="344"/>
    </row>
    <row r="6053" spans="1:11" x14ac:dyDescent="0.25">
      <c r="A6053" s="163"/>
      <c r="B6053" s="106"/>
      <c r="C6053" s="73" t="s">
        <v>163</v>
      </c>
      <c r="D6053" s="73"/>
      <c r="E6053" s="73"/>
      <c r="F6053" s="74" t="s">
        <v>3</v>
      </c>
      <c r="G6053" s="72">
        <v>0.32500000000000001</v>
      </c>
      <c r="K6053" s="344"/>
    </row>
    <row r="6054" spans="1:11" x14ac:dyDescent="0.25">
      <c r="A6054" s="163"/>
      <c r="B6054" s="106"/>
      <c r="C6054" s="100" t="s">
        <v>164</v>
      </c>
      <c r="D6054" s="73"/>
      <c r="E6054" s="73"/>
      <c r="F6054" s="74" t="s">
        <v>3</v>
      </c>
      <c r="G6054" s="72">
        <f>0.3*(G6052+G6053)</f>
        <v>0.19500000000000001</v>
      </c>
      <c r="K6054" s="344"/>
    </row>
    <row r="6055" spans="1:11" x14ac:dyDescent="0.25">
      <c r="A6055" s="163"/>
      <c r="B6055" s="106"/>
      <c r="C6055" s="100" t="s">
        <v>72</v>
      </c>
      <c r="D6055" s="73"/>
      <c r="E6055" s="73"/>
      <c r="F6055" s="74" t="s">
        <v>3</v>
      </c>
      <c r="G6055" s="72">
        <v>0.65</v>
      </c>
      <c r="K6055" s="344"/>
    </row>
    <row r="6056" spans="1:11" x14ac:dyDescent="0.25">
      <c r="A6056" s="163"/>
      <c r="B6056" s="106"/>
      <c r="C6056" s="100" t="s">
        <v>11</v>
      </c>
      <c r="D6056" s="73"/>
      <c r="E6056" s="73"/>
      <c r="F6056" s="74" t="s">
        <v>3</v>
      </c>
      <c r="G6056" s="72">
        <f>0.3*G6055</f>
        <v>0.19500000000000001</v>
      </c>
      <c r="K6056" s="344"/>
    </row>
    <row r="6057" spans="1:11" x14ac:dyDescent="0.25">
      <c r="A6057" s="163"/>
      <c r="B6057" s="106"/>
      <c r="C6057" s="100" t="s">
        <v>324</v>
      </c>
      <c r="D6057" s="73"/>
      <c r="E6057" s="73"/>
      <c r="F6057" s="74" t="s">
        <v>3</v>
      </c>
      <c r="G6057" s="72">
        <v>0.1</v>
      </c>
      <c r="K6057" s="344"/>
    </row>
    <row r="6058" spans="1:11" x14ac:dyDescent="0.25">
      <c r="A6058" s="163"/>
      <c r="B6058" s="106"/>
      <c r="C6058" s="73" t="s">
        <v>2107</v>
      </c>
      <c r="D6058" s="73"/>
      <c r="E6058" s="73"/>
      <c r="F6058" s="74" t="s">
        <v>3</v>
      </c>
      <c r="G6058" s="72">
        <f>(0.335*2+0.2*2+0.56*2+0.15*2+0.1*3.14+0.025*3.14*2+0.07*4+0.1+1.3*2+1.3+0.6+2.6)*0.045*1.32</f>
        <v>0.62019540000000006</v>
      </c>
      <c r="K6058" s="344"/>
    </row>
    <row r="6059" spans="1:11" ht="17.25" x14ac:dyDescent="0.25">
      <c r="A6059" s="163"/>
      <c r="B6059" s="106"/>
      <c r="C6059" s="73" t="s">
        <v>168</v>
      </c>
      <c r="D6059" s="73"/>
      <c r="E6059" s="73"/>
      <c r="F6059" s="74" t="s">
        <v>596</v>
      </c>
      <c r="G6059" s="72">
        <f>G6058*1.1</f>
        <v>0.68221494000000016</v>
      </c>
      <c r="K6059" s="344"/>
    </row>
    <row r="6060" spans="1:11" x14ac:dyDescent="0.25">
      <c r="A6060" s="163"/>
      <c r="B6060" s="106"/>
      <c r="C6060" s="75"/>
      <c r="D6060" s="75" t="s">
        <v>2670</v>
      </c>
      <c r="E6060" s="73"/>
      <c r="F6060" s="74"/>
      <c r="G6060" s="72"/>
      <c r="K6060" s="344"/>
    </row>
    <row r="6061" spans="1:11" x14ac:dyDescent="0.25">
      <c r="A6061" s="163"/>
      <c r="B6061" s="106"/>
      <c r="C6061" s="75"/>
      <c r="D6061" s="73" t="s">
        <v>598</v>
      </c>
      <c r="E6061" s="73"/>
      <c r="F6061" s="74" t="s">
        <v>3</v>
      </c>
      <c r="G6061" s="72">
        <f>(1.15*(0.485*2+0.195))*2.5*2.7*1.15</f>
        <v>10.399809375</v>
      </c>
      <c r="K6061" s="344"/>
    </row>
    <row r="6062" spans="1:11" x14ac:dyDescent="0.25">
      <c r="A6062" s="163"/>
      <c r="B6062" s="106"/>
      <c r="C6062" s="75"/>
      <c r="D6062" s="75" t="s">
        <v>2671</v>
      </c>
      <c r="E6062" s="73"/>
      <c r="F6062" s="74"/>
      <c r="G6062" s="72"/>
      <c r="K6062" s="344"/>
    </row>
    <row r="6063" spans="1:11" x14ac:dyDescent="0.25">
      <c r="A6063" s="163"/>
      <c r="B6063" s="106"/>
      <c r="C6063" s="75"/>
      <c r="D6063" s="73" t="s">
        <v>598</v>
      </c>
      <c r="E6063" s="73"/>
      <c r="F6063" s="74" t="s">
        <v>3</v>
      </c>
      <c r="G6063" s="72">
        <f>1.2*0.36*2.5*2.7*1.12-0.006</f>
        <v>3.259920000000001</v>
      </c>
      <c r="K6063" s="344"/>
    </row>
    <row r="6064" spans="1:11" x14ac:dyDescent="0.25">
      <c r="A6064" s="163"/>
      <c r="B6064" s="106"/>
      <c r="C6064" s="75"/>
      <c r="D6064" s="75" t="s">
        <v>2672</v>
      </c>
      <c r="E6064" s="73"/>
      <c r="F6064" s="74"/>
      <c r="G6064" s="72"/>
      <c r="K6064" s="344"/>
    </row>
    <row r="6065" spans="1:11" x14ac:dyDescent="0.25">
      <c r="A6065" s="163"/>
      <c r="B6065" s="106"/>
      <c r="C6065" s="75"/>
      <c r="D6065" s="73" t="s">
        <v>598</v>
      </c>
      <c r="E6065" s="73"/>
      <c r="F6065" s="74" t="s">
        <v>3</v>
      </c>
      <c r="G6065" s="72">
        <f>0.655*0.25*2.5*2.7*1.14</f>
        <v>1.2600562500000001</v>
      </c>
      <c r="K6065" s="344"/>
    </row>
    <row r="6066" spans="1:11" x14ac:dyDescent="0.25">
      <c r="A6066" s="163"/>
      <c r="B6066" s="106"/>
      <c r="C6066" s="75"/>
      <c r="D6066" s="75" t="s">
        <v>2673</v>
      </c>
      <c r="E6066" s="73"/>
      <c r="F6066" s="74"/>
      <c r="G6066" s="72"/>
      <c r="K6066" s="344"/>
    </row>
    <row r="6067" spans="1:11" x14ac:dyDescent="0.25">
      <c r="A6067" s="163"/>
      <c r="B6067" s="106"/>
      <c r="C6067" s="75"/>
      <c r="D6067" s="73" t="s">
        <v>598</v>
      </c>
      <c r="E6067" s="73"/>
      <c r="F6067" s="74" t="s">
        <v>3</v>
      </c>
      <c r="G6067" s="72">
        <f>0.45*0.29*2.5*2.7*1.135</f>
        <v>0.99979312500000017</v>
      </c>
      <c r="K6067" s="344"/>
    </row>
    <row r="6068" spans="1:11" x14ac:dyDescent="0.25">
      <c r="A6068" s="163"/>
      <c r="B6068" s="106"/>
      <c r="C6068" s="75"/>
      <c r="D6068" s="75" t="s">
        <v>2674</v>
      </c>
      <c r="E6068" s="73"/>
      <c r="F6068" s="74"/>
      <c r="G6068" s="72"/>
      <c r="K6068" s="344"/>
    </row>
    <row r="6069" spans="1:11" x14ac:dyDescent="0.25">
      <c r="A6069" s="163"/>
      <c r="B6069" s="106"/>
      <c r="C6069" s="75"/>
      <c r="D6069" s="73" t="s">
        <v>598</v>
      </c>
      <c r="E6069" s="73"/>
      <c r="F6069" s="74" t="s">
        <v>3</v>
      </c>
      <c r="G6069" s="72">
        <f>0.46*0.2*2.5*2.7*1.123</f>
        <v>0.69738300000000009</v>
      </c>
      <c r="K6069" s="344"/>
    </row>
    <row r="6070" spans="1:11" x14ac:dyDescent="0.25">
      <c r="A6070" s="163"/>
      <c r="B6070" s="106"/>
      <c r="C6070" s="75"/>
      <c r="D6070" s="75" t="s">
        <v>2675</v>
      </c>
      <c r="E6070" s="73"/>
      <c r="F6070" s="74"/>
      <c r="G6070" s="72"/>
      <c r="K6070" s="344"/>
    </row>
    <row r="6071" spans="1:11" x14ac:dyDescent="0.25">
      <c r="A6071" s="163"/>
      <c r="B6071" s="106"/>
      <c r="C6071" s="75"/>
      <c r="D6071" s="73" t="s">
        <v>598</v>
      </c>
      <c r="E6071" s="73"/>
      <c r="F6071" s="74" t="s">
        <v>3</v>
      </c>
      <c r="G6071" s="72">
        <f>0.46*0.23*2.5*2.7*1.126</f>
        <v>0.80413290000000004</v>
      </c>
      <c r="K6071" s="344"/>
    </row>
    <row r="6072" spans="1:11" x14ac:dyDescent="0.25">
      <c r="A6072" s="163"/>
      <c r="B6072" s="106"/>
      <c r="C6072" s="75"/>
      <c r="D6072" s="75" t="s">
        <v>2676</v>
      </c>
      <c r="E6072" s="73"/>
      <c r="F6072" s="74"/>
      <c r="G6072" s="72"/>
      <c r="K6072" s="344"/>
    </row>
    <row r="6073" spans="1:11" x14ac:dyDescent="0.25">
      <c r="A6073" s="163"/>
      <c r="B6073" s="106"/>
      <c r="C6073" s="75"/>
      <c r="D6073" s="73" t="s">
        <v>598</v>
      </c>
      <c r="E6073" s="73"/>
      <c r="F6073" s="74" t="s">
        <v>3</v>
      </c>
      <c r="G6073" s="72">
        <f>0.44*0.21*2.5*2.7*1.138</f>
        <v>0.70977060000000003</v>
      </c>
      <c r="K6073" s="344"/>
    </row>
    <row r="6074" spans="1:11" x14ac:dyDescent="0.25">
      <c r="A6074" s="163"/>
      <c r="B6074" s="106"/>
      <c r="C6074" s="75"/>
      <c r="D6074" s="75" t="s">
        <v>2677</v>
      </c>
      <c r="E6074" s="73"/>
      <c r="F6074" s="74"/>
      <c r="G6074" s="72"/>
      <c r="K6074" s="344"/>
    </row>
    <row r="6075" spans="1:11" x14ac:dyDescent="0.25">
      <c r="A6075" s="163"/>
      <c r="B6075" s="106"/>
      <c r="C6075" s="75"/>
      <c r="D6075" s="73" t="s">
        <v>2900</v>
      </c>
      <c r="E6075" s="73"/>
      <c r="F6075" s="74" t="s">
        <v>3</v>
      </c>
      <c r="G6075" s="72">
        <v>0.45500000000000002</v>
      </c>
      <c r="I6075" t="s">
        <v>2679</v>
      </c>
      <c r="K6075" s="344"/>
    </row>
    <row r="6076" spans="1:11" x14ac:dyDescent="0.25">
      <c r="A6076" s="163"/>
      <c r="B6076" s="106"/>
      <c r="C6076" s="75"/>
      <c r="D6076" s="75" t="s">
        <v>2678</v>
      </c>
      <c r="E6076" s="73"/>
      <c r="F6076" s="74"/>
      <c r="G6076" s="72"/>
      <c r="K6076" s="344"/>
    </row>
    <row r="6077" spans="1:11" x14ac:dyDescent="0.25">
      <c r="A6077" s="163"/>
      <c r="B6077" s="106"/>
      <c r="C6077" s="75"/>
      <c r="D6077" s="73" t="s">
        <v>598</v>
      </c>
      <c r="E6077" s="73"/>
      <c r="F6077" s="74" t="s">
        <v>3</v>
      </c>
      <c r="G6077" s="72">
        <f>0.035*0.015*2.5*2.7*1.12</f>
        <v>3.9690000000000012E-3</v>
      </c>
      <c r="K6077" s="344"/>
    </row>
    <row r="6078" spans="1:11" x14ac:dyDescent="0.25">
      <c r="A6078" s="163"/>
      <c r="B6078" s="106"/>
      <c r="C6078" s="75"/>
      <c r="D6078" s="73"/>
      <c r="E6078" s="73"/>
      <c r="F6078" s="74"/>
      <c r="G6078" s="72"/>
      <c r="H6078" s="2">
        <f>G6061+G6063+G6065+G6067+G6069+G6071+G6073+G6077</f>
        <v>18.134834250000001</v>
      </c>
      <c r="K6078" s="344"/>
    </row>
    <row r="6079" spans="1:11" x14ac:dyDescent="0.25">
      <c r="A6079" s="193"/>
      <c r="B6079" s="106"/>
      <c r="C6079" s="75" t="s">
        <v>2081</v>
      </c>
      <c r="D6079" s="73"/>
      <c r="E6079" s="73"/>
      <c r="F6079" s="74"/>
      <c r="G6079" s="72"/>
      <c r="K6079" s="344"/>
    </row>
    <row r="6080" spans="1:11" x14ac:dyDescent="0.25">
      <c r="A6080" s="163"/>
      <c r="B6080" s="106"/>
      <c r="C6080" s="73" t="s">
        <v>723</v>
      </c>
      <c r="D6080" s="73"/>
      <c r="E6080" s="73"/>
      <c r="F6080" s="74" t="s">
        <v>3</v>
      </c>
      <c r="G6080" s="72">
        <v>5.0000000000000001E-3</v>
      </c>
      <c r="K6080" s="344"/>
    </row>
    <row r="6081" spans="1:11" x14ac:dyDescent="0.25">
      <c r="A6081" s="163"/>
      <c r="B6081" s="106"/>
      <c r="C6081" s="100" t="s">
        <v>13</v>
      </c>
      <c r="D6081" s="73"/>
      <c r="E6081" s="73"/>
      <c r="F6081" s="74" t="s">
        <v>3</v>
      </c>
      <c r="G6081" s="72">
        <v>0.85</v>
      </c>
      <c r="K6081" s="344"/>
    </row>
    <row r="6082" spans="1:11" x14ac:dyDescent="0.25">
      <c r="A6082" s="163"/>
      <c r="B6082" s="106"/>
      <c r="C6082" s="100" t="s">
        <v>114</v>
      </c>
      <c r="D6082" s="73"/>
      <c r="E6082" s="73"/>
      <c r="F6082" s="74" t="s">
        <v>3</v>
      </c>
      <c r="G6082" s="72">
        <v>0.36</v>
      </c>
      <c r="K6082" s="344"/>
    </row>
    <row r="6083" spans="1:11" x14ac:dyDescent="0.25">
      <c r="A6083" s="163"/>
      <c r="B6083" s="106"/>
      <c r="C6083" s="73" t="s">
        <v>163</v>
      </c>
      <c r="D6083" s="73"/>
      <c r="E6083" s="73"/>
      <c r="F6083" s="74" t="s">
        <v>3</v>
      </c>
      <c r="G6083" s="72">
        <v>0.36</v>
      </c>
      <c r="K6083" s="344"/>
    </row>
    <row r="6084" spans="1:11" x14ac:dyDescent="0.25">
      <c r="A6084" s="163"/>
      <c r="B6084" s="106"/>
      <c r="C6084" s="100" t="s">
        <v>164</v>
      </c>
      <c r="D6084" s="73"/>
      <c r="E6084" s="73"/>
      <c r="F6084" s="74" t="s">
        <v>3</v>
      </c>
      <c r="G6084" s="72">
        <f>0.3*(G6082+G6083)</f>
        <v>0.216</v>
      </c>
      <c r="K6084" s="344"/>
    </row>
    <row r="6085" spans="1:11" x14ac:dyDescent="0.25">
      <c r="A6085" s="163"/>
      <c r="B6085" s="106"/>
      <c r="C6085" s="100" t="s">
        <v>72</v>
      </c>
      <c r="D6085" s="73"/>
      <c r="E6085" s="73"/>
      <c r="F6085" s="74" t="s">
        <v>3</v>
      </c>
      <c r="G6085" s="72">
        <v>0.72</v>
      </c>
      <c r="K6085" s="344"/>
    </row>
    <row r="6086" spans="1:11" x14ac:dyDescent="0.25">
      <c r="A6086" s="163"/>
      <c r="B6086" s="106"/>
      <c r="C6086" s="100" t="s">
        <v>11</v>
      </c>
      <c r="D6086" s="73"/>
      <c r="E6086" s="73"/>
      <c r="F6086" s="74" t="s">
        <v>3</v>
      </c>
      <c r="G6086" s="72">
        <f>0.3*G6085</f>
        <v>0.216</v>
      </c>
      <c r="K6086" s="344"/>
    </row>
    <row r="6087" spans="1:11" x14ac:dyDescent="0.25">
      <c r="A6087" s="163"/>
      <c r="B6087" s="106"/>
      <c r="C6087" s="100" t="s">
        <v>147</v>
      </c>
      <c r="D6087" s="73"/>
      <c r="E6087" s="73"/>
      <c r="F6087" s="74" t="s">
        <v>3</v>
      </c>
      <c r="G6087" s="72">
        <v>0.1</v>
      </c>
      <c r="K6087" s="344"/>
    </row>
    <row r="6088" spans="1:11" x14ac:dyDescent="0.25">
      <c r="A6088" s="163"/>
      <c r="B6088" s="106"/>
      <c r="C6088" s="73" t="s">
        <v>2107</v>
      </c>
      <c r="D6088" s="73"/>
      <c r="E6088" s="73"/>
      <c r="F6088" s="74" t="s">
        <v>3</v>
      </c>
      <c r="G6088" s="72">
        <f>(0.55*2+0.235*2+0.195*2+0.4*2+0.1*3.14+0.07*4+0.025*3.14+0.1+0.84*2+1.3*2+0.6+2)*0.045*1.3+0.001</f>
        <v>0.61013125000000001</v>
      </c>
      <c r="K6088" s="344"/>
    </row>
    <row r="6089" spans="1:11" ht="17.25" x14ac:dyDescent="0.25">
      <c r="A6089" s="163"/>
      <c r="B6089" s="106"/>
      <c r="C6089" s="73" t="s">
        <v>168</v>
      </c>
      <c r="D6089" s="73"/>
      <c r="E6089" s="73"/>
      <c r="F6089" s="74" t="s">
        <v>596</v>
      </c>
      <c r="G6089" s="72">
        <f>G6088*1.1</f>
        <v>0.67114437500000002</v>
      </c>
      <c r="K6089" s="344"/>
    </row>
    <row r="6090" spans="1:11" x14ac:dyDescent="0.25">
      <c r="A6090" s="163"/>
      <c r="B6090" s="106"/>
      <c r="C6090" s="75"/>
      <c r="D6090" s="78" t="s">
        <v>2680</v>
      </c>
      <c r="E6090" s="73"/>
      <c r="F6090" s="74"/>
      <c r="G6090" s="72"/>
      <c r="K6090" s="344"/>
    </row>
    <row r="6091" spans="1:11" x14ac:dyDescent="0.25">
      <c r="A6091" s="163"/>
      <c r="B6091" s="106"/>
      <c r="C6091" s="75"/>
      <c r="D6091" s="73" t="s">
        <v>598</v>
      </c>
      <c r="E6091" s="73"/>
      <c r="F6091" s="152" t="s">
        <v>3</v>
      </c>
      <c r="G6091" s="72">
        <f>(1.16*(0.55+0.45+0.235))*2.5*2.7*1.1634</f>
        <v>11.250136169999998</v>
      </c>
      <c r="K6091" s="344"/>
    </row>
    <row r="6092" spans="1:11" x14ac:dyDescent="0.25">
      <c r="A6092" s="163"/>
      <c r="B6092" s="106"/>
      <c r="C6092" s="75"/>
      <c r="D6092" s="78" t="s">
        <v>2681</v>
      </c>
      <c r="E6092" s="73"/>
      <c r="F6092" s="74"/>
      <c r="G6092" s="72"/>
      <c r="K6092" s="344"/>
    </row>
    <row r="6093" spans="1:11" x14ac:dyDescent="0.25">
      <c r="A6093" s="163"/>
      <c r="B6093" s="106"/>
      <c r="C6093" s="75"/>
      <c r="D6093" s="73" t="s">
        <v>598</v>
      </c>
      <c r="E6093" s="73"/>
      <c r="F6093" s="152" t="s">
        <v>3</v>
      </c>
      <c r="G6093" s="72">
        <f>1.2*0.27*2.5*2.7*1.134</f>
        <v>2.4800580000000001</v>
      </c>
      <c r="K6093" s="344"/>
    </row>
    <row r="6094" spans="1:11" x14ac:dyDescent="0.25">
      <c r="A6094" s="163"/>
      <c r="B6094" s="106"/>
      <c r="C6094" s="75"/>
      <c r="D6094" s="78" t="s">
        <v>2682</v>
      </c>
      <c r="E6094" s="73"/>
      <c r="F6094" s="74"/>
      <c r="G6094" s="72"/>
      <c r="K6094" s="344"/>
    </row>
    <row r="6095" spans="1:11" x14ac:dyDescent="0.25">
      <c r="A6095" s="163"/>
      <c r="B6095" s="106"/>
      <c r="C6095" s="75"/>
      <c r="D6095" s="73" t="s">
        <v>598</v>
      </c>
      <c r="E6095" s="73"/>
      <c r="F6095" s="152" t="s">
        <v>3</v>
      </c>
      <c r="G6095" s="72">
        <f>0.49*0.29*2.5*2.7*1.18-0.002</f>
        <v>1.1298264999999998</v>
      </c>
      <c r="K6095" s="344"/>
    </row>
    <row r="6096" spans="1:11" x14ac:dyDescent="0.25">
      <c r="A6096" s="163"/>
      <c r="B6096" s="106"/>
      <c r="C6096" s="75"/>
      <c r="D6096" s="78" t="s">
        <v>2683</v>
      </c>
      <c r="E6096" s="73"/>
      <c r="F6096" s="74"/>
      <c r="G6096" s="72"/>
      <c r="K6096" s="344"/>
    </row>
    <row r="6097" spans="1:11" x14ac:dyDescent="0.25">
      <c r="A6097" s="163"/>
      <c r="B6097" s="106"/>
      <c r="C6097" s="75"/>
      <c r="D6097" s="73" t="s">
        <v>598</v>
      </c>
      <c r="E6097" s="73"/>
      <c r="F6097" s="152" t="s">
        <v>3</v>
      </c>
      <c r="G6097" s="72">
        <f>0.65*0.33*2.5*2.7*1.174</f>
        <v>1.6998052500000005</v>
      </c>
      <c r="K6097" s="344"/>
    </row>
    <row r="6098" spans="1:11" x14ac:dyDescent="0.25">
      <c r="A6098" s="163"/>
      <c r="B6098" s="106"/>
      <c r="C6098" s="75"/>
      <c r="D6098" s="78" t="s">
        <v>2684</v>
      </c>
      <c r="E6098" s="73"/>
      <c r="F6098" s="74"/>
      <c r="G6098" s="72"/>
      <c r="K6098" s="344"/>
    </row>
    <row r="6099" spans="1:11" x14ac:dyDescent="0.25">
      <c r="A6099" s="163"/>
      <c r="B6099" s="106"/>
      <c r="C6099" s="75"/>
      <c r="D6099" s="73" t="s">
        <v>598</v>
      </c>
      <c r="E6099" s="73"/>
      <c r="F6099" s="152" t="s">
        <v>3</v>
      </c>
      <c r="G6099" s="72">
        <f>0.35*0.24*2.5*2.7*1.19</f>
        <v>0.67472999999999994</v>
      </c>
      <c r="K6099" s="344"/>
    </row>
    <row r="6100" spans="1:11" x14ac:dyDescent="0.25">
      <c r="A6100" s="163"/>
      <c r="B6100" s="106"/>
      <c r="C6100" s="75"/>
      <c r="D6100" s="78" t="s">
        <v>2685</v>
      </c>
      <c r="E6100" s="73"/>
      <c r="F6100" s="74"/>
      <c r="G6100" s="72"/>
      <c r="K6100" s="344"/>
    </row>
    <row r="6101" spans="1:11" x14ac:dyDescent="0.25">
      <c r="A6101" s="163"/>
      <c r="B6101" s="106"/>
      <c r="C6101" s="75"/>
      <c r="D6101" s="73" t="s">
        <v>598</v>
      </c>
      <c r="E6101" s="73"/>
      <c r="F6101" s="152" t="s">
        <v>3</v>
      </c>
      <c r="G6101" s="72">
        <f>0.45*0.26*2.5*2.7*1.177</f>
        <v>0.92953575000000022</v>
      </c>
      <c r="K6101" s="344"/>
    </row>
    <row r="6102" spans="1:11" x14ac:dyDescent="0.25">
      <c r="A6102" s="163"/>
      <c r="B6102" s="106"/>
      <c r="C6102" s="75"/>
      <c r="D6102" s="78" t="s">
        <v>2686</v>
      </c>
      <c r="E6102" s="73"/>
      <c r="F6102" s="74"/>
      <c r="G6102" s="72"/>
      <c r="K6102" s="344"/>
    </row>
    <row r="6103" spans="1:11" x14ac:dyDescent="0.25">
      <c r="A6103" s="163"/>
      <c r="B6103" s="106"/>
      <c r="C6103" s="75"/>
      <c r="D6103" s="73" t="s">
        <v>598</v>
      </c>
      <c r="E6103" s="73"/>
      <c r="F6103" s="152" t="s">
        <v>3</v>
      </c>
      <c r="G6103" s="72">
        <f>0.44*0.26*2.5*2.7*1.1655</f>
        <v>0.89999910000000016</v>
      </c>
      <c r="K6103" s="344"/>
    </row>
    <row r="6104" spans="1:11" x14ac:dyDescent="0.25">
      <c r="A6104" s="163"/>
      <c r="B6104" s="106"/>
      <c r="C6104" s="75"/>
      <c r="D6104" s="78" t="s">
        <v>2687</v>
      </c>
      <c r="E6104" s="73"/>
      <c r="F6104" s="74"/>
      <c r="G6104" s="72"/>
      <c r="K6104" s="344"/>
    </row>
    <row r="6105" spans="1:11" x14ac:dyDescent="0.25">
      <c r="A6105" s="163"/>
      <c r="B6105" s="106"/>
      <c r="C6105" s="75"/>
      <c r="D6105" s="73" t="s">
        <v>2900</v>
      </c>
      <c r="E6105" s="73"/>
      <c r="F6105" s="152" t="s">
        <v>3</v>
      </c>
      <c r="G6105" s="72">
        <v>0.44</v>
      </c>
      <c r="I6105" t="s">
        <v>2688</v>
      </c>
      <c r="K6105" s="344"/>
    </row>
    <row r="6106" spans="1:11" x14ac:dyDescent="0.25">
      <c r="A6106" s="163"/>
      <c r="B6106" s="106"/>
      <c r="C6106" s="75"/>
      <c r="D6106" s="73"/>
      <c r="E6106" s="73"/>
      <c r="F6106" s="74"/>
      <c r="G6106" s="72"/>
      <c r="H6106" s="2">
        <f>G6091+G6093+G6095+G6097+G6099+G6101+G6103</f>
        <v>19.064090769999996</v>
      </c>
      <c r="K6106" s="344"/>
    </row>
    <row r="6107" spans="1:11" x14ac:dyDescent="0.25">
      <c r="A6107" s="193"/>
      <c r="B6107" s="106"/>
      <c r="C6107" s="75" t="s">
        <v>2105</v>
      </c>
      <c r="D6107" s="73"/>
      <c r="E6107" s="73"/>
      <c r="F6107" s="74"/>
      <c r="G6107" s="72"/>
      <c r="K6107" s="344"/>
    </row>
    <row r="6108" spans="1:11" x14ac:dyDescent="0.25">
      <c r="A6108" s="163"/>
      <c r="B6108" s="106"/>
      <c r="C6108" s="73" t="s">
        <v>723</v>
      </c>
      <c r="D6108" s="73"/>
      <c r="E6108" s="73"/>
      <c r="F6108" s="74" t="s">
        <v>3</v>
      </c>
      <c r="G6108" s="72">
        <v>5.0000000000000001E-3</v>
      </c>
      <c r="K6108" s="344"/>
    </row>
    <row r="6109" spans="1:11" x14ac:dyDescent="0.25">
      <c r="A6109" s="163"/>
      <c r="B6109" s="106"/>
      <c r="C6109" s="100" t="s">
        <v>13</v>
      </c>
      <c r="D6109" s="73"/>
      <c r="E6109" s="73"/>
      <c r="F6109" s="74" t="s">
        <v>3</v>
      </c>
      <c r="G6109" s="72">
        <v>0.8</v>
      </c>
      <c r="K6109" s="344"/>
    </row>
    <row r="6110" spans="1:11" x14ac:dyDescent="0.25">
      <c r="A6110" s="163"/>
      <c r="B6110" s="106"/>
      <c r="C6110" s="100" t="s">
        <v>114</v>
      </c>
      <c r="D6110" s="73"/>
      <c r="E6110" s="73"/>
      <c r="F6110" s="74" t="s">
        <v>3</v>
      </c>
      <c r="G6110" s="72">
        <f>G6113/2</f>
        <v>0.31501113000000003</v>
      </c>
      <c r="K6110" s="344"/>
    </row>
    <row r="6111" spans="1:11" x14ac:dyDescent="0.25">
      <c r="A6111" s="163"/>
      <c r="B6111" s="106"/>
      <c r="C6111" s="73" t="s">
        <v>163</v>
      </c>
      <c r="D6111" s="73"/>
      <c r="E6111" s="73"/>
      <c r="F6111" s="74" t="s">
        <v>3</v>
      </c>
      <c r="G6111" s="72">
        <f>G6113/2</f>
        <v>0.31501113000000003</v>
      </c>
      <c r="K6111" s="344"/>
    </row>
    <row r="6112" spans="1:11" x14ac:dyDescent="0.25">
      <c r="A6112" s="163"/>
      <c r="B6112" s="106"/>
      <c r="C6112" s="100" t="s">
        <v>164</v>
      </c>
      <c r="D6112" s="73"/>
      <c r="E6112" s="73"/>
      <c r="F6112" s="74" t="s">
        <v>3</v>
      </c>
      <c r="G6112" s="72">
        <f>0.3*(G6110+G6111)+0.001</f>
        <v>0.19000667800000001</v>
      </c>
      <c r="K6112" s="344"/>
    </row>
    <row r="6113" spans="1:11" x14ac:dyDescent="0.25">
      <c r="A6113" s="163"/>
      <c r="B6113" s="106"/>
      <c r="C6113" s="100" t="s">
        <v>72</v>
      </c>
      <c r="D6113" s="73"/>
      <c r="E6113" s="73"/>
      <c r="F6113" s="74" t="s">
        <v>3</v>
      </c>
      <c r="G6113" s="72">
        <f>(0.98*0.56*2+0.235*(0.98*2+0.56*2))*0.15*2*1.153</f>
        <v>0.63002226000000006</v>
      </c>
      <c r="K6113" s="344"/>
    </row>
    <row r="6114" spans="1:11" x14ac:dyDescent="0.25">
      <c r="A6114" s="163"/>
      <c r="B6114" s="106"/>
      <c r="C6114" s="100" t="s">
        <v>11</v>
      </c>
      <c r="D6114" s="73"/>
      <c r="E6114" s="73"/>
      <c r="F6114" s="74" t="s">
        <v>3</v>
      </c>
      <c r="G6114" s="72">
        <f>0.3*G6113+0.001</f>
        <v>0.19000667800000001</v>
      </c>
      <c r="K6114" s="344"/>
    </row>
    <row r="6115" spans="1:11" x14ac:dyDescent="0.25">
      <c r="A6115" s="163"/>
      <c r="B6115" s="106"/>
      <c r="C6115" s="100" t="s">
        <v>147</v>
      </c>
      <c r="D6115" s="73"/>
      <c r="E6115" s="73"/>
      <c r="F6115" s="74" t="s">
        <v>3</v>
      </c>
      <c r="G6115" s="72">
        <v>0.1</v>
      </c>
      <c r="K6115" s="344"/>
    </row>
    <row r="6116" spans="1:11" x14ac:dyDescent="0.25">
      <c r="A6116" s="163"/>
      <c r="B6116" s="106"/>
      <c r="C6116" s="73" t="s">
        <v>2107</v>
      </c>
      <c r="D6116" s="73"/>
      <c r="E6116" s="73"/>
      <c r="F6116" s="74" t="s">
        <v>3</v>
      </c>
      <c r="G6116" s="72">
        <f>(0.56*4+0.235*4+0.1*3.14+0.3+0.25*3.14*2+0.1+2+2)*0.045*1.3+0.001</f>
        <v>0.55464399999999991</v>
      </c>
      <c r="K6116" s="344"/>
    </row>
    <row r="6117" spans="1:11" ht="17.25" x14ac:dyDescent="0.25">
      <c r="A6117" s="163"/>
      <c r="B6117" s="106"/>
      <c r="C6117" s="73" t="s">
        <v>168</v>
      </c>
      <c r="D6117" s="73"/>
      <c r="E6117" s="73"/>
      <c r="F6117" s="74" t="s">
        <v>596</v>
      </c>
      <c r="G6117" s="72">
        <f>G6116*1.1</f>
        <v>0.6101084</v>
      </c>
      <c r="K6117" s="344"/>
    </row>
    <row r="6118" spans="1:11" x14ac:dyDescent="0.25">
      <c r="A6118" s="163"/>
      <c r="B6118" s="106"/>
      <c r="C6118" s="75"/>
      <c r="D6118" s="75" t="s">
        <v>2690</v>
      </c>
      <c r="E6118" s="73"/>
      <c r="F6118" s="96"/>
      <c r="G6118" s="72"/>
      <c r="K6118" s="344"/>
    </row>
    <row r="6119" spans="1:11" x14ac:dyDescent="0.25">
      <c r="A6119" s="163"/>
      <c r="B6119" s="106"/>
      <c r="C6119" s="75"/>
      <c r="D6119" s="73" t="s">
        <v>598</v>
      </c>
      <c r="E6119" s="73"/>
      <c r="F6119" s="74" t="s">
        <v>3</v>
      </c>
      <c r="G6119" s="72">
        <f>1.25*0.9*2.5*2.7*1.1483</f>
        <v>8.7199031250000019</v>
      </c>
      <c r="K6119" s="344"/>
    </row>
    <row r="6120" spans="1:11" x14ac:dyDescent="0.25">
      <c r="A6120" s="163"/>
      <c r="B6120" s="106"/>
      <c r="C6120" s="75"/>
      <c r="D6120" s="75" t="s">
        <v>2691</v>
      </c>
      <c r="E6120" s="73"/>
      <c r="F6120" s="96"/>
      <c r="G6120" s="72"/>
      <c r="K6120" s="344"/>
    </row>
    <row r="6121" spans="1:11" x14ac:dyDescent="0.25">
      <c r="A6121" s="163"/>
      <c r="B6121" s="106"/>
      <c r="C6121" s="75"/>
      <c r="D6121" s="73" t="s">
        <v>598</v>
      </c>
      <c r="E6121" s="73"/>
      <c r="F6121" s="74" t="s">
        <v>3</v>
      </c>
      <c r="G6121" s="72">
        <f>0.655*0.34*2.5*2.7*1.164</f>
        <v>1.7497539000000002</v>
      </c>
      <c r="K6121" s="344"/>
    </row>
    <row r="6122" spans="1:11" x14ac:dyDescent="0.25">
      <c r="A6122" s="163"/>
      <c r="B6122" s="106"/>
      <c r="C6122" s="75"/>
      <c r="D6122" s="75" t="s">
        <v>2692</v>
      </c>
      <c r="E6122" s="73"/>
      <c r="F6122" s="96"/>
      <c r="G6122" s="72"/>
      <c r="K6122" s="344"/>
    </row>
    <row r="6123" spans="1:11" x14ac:dyDescent="0.25">
      <c r="A6123" s="163"/>
      <c r="B6123" s="106"/>
      <c r="C6123" s="75"/>
      <c r="D6123" s="73" t="s">
        <v>598</v>
      </c>
      <c r="E6123" s="73"/>
      <c r="F6123" s="74" t="s">
        <v>3</v>
      </c>
      <c r="G6123" s="72">
        <f>0.34*0.9*2.5*2.7*1.15</f>
        <v>2.3753250000000006</v>
      </c>
      <c r="K6123" s="344"/>
    </row>
    <row r="6124" spans="1:11" x14ac:dyDescent="0.25">
      <c r="A6124" s="163"/>
      <c r="B6124" s="106"/>
      <c r="C6124" s="75"/>
      <c r="D6124" s="75" t="s">
        <v>2693</v>
      </c>
      <c r="E6124" s="73"/>
      <c r="F6124" s="96"/>
      <c r="G6124" s="72"/>
      <c r="K6124" s="344"/>
    </row>
    <row r="6125" spans="1:11" x14ac:dyDescent="0.25">
      <c r="A6125" s="163"/>
      <c r="B6125" s="106"/>
      <c r="C6125" s="75"/>
      <c r="D6125" s="73" t="s">
        <v>598</v>
      </c>
      <c r="E6125" s="73"/>
      <c r="F6125" s="74" t="s">
        <v>3</v>
      </c>
      <c r="G6125" s="72">
        <f>0.655*0.34*2.5*2.7*1.131</f>
        <v>1.7001474750000003</v>
      </c>
      <c r="K6125" s="344"/>
    </row>
    <row r="6126" spans="1:11" x14ac:dyDescent="0.25">
      <c r="A6126" s="163"/>
      <c r="B6126" s="106"/>
      <c r="C6126" s="75"/>
      <c r="D6126" s="75" t="s">
        <v>2694</v>
      </c>
      <c r="E6126" s="73"/>
      <c r="F6126" s="96"/>
      <c r="G6126" s="72"/>
      <c r="K6126" s="344"/>
    </row>
    <row r="6127" spans="1:11" x14ac:dyDescent="0.25">
      <c r="A6127" s="163"/>
      <c r="B6127" s="106"/>
      <c r="C6127" s="75"/>
      <c r="D6127" s="73" t="s">
        <v>598</v>
      </c>
      <c r="E6127" s="73"/>
      <c r="F6127" s="74" t="s">
        <v>3</v>
      </c>
      <c r="G6127" s="72">
        <f>0.335*0.28*2.5*2.7*1.161</f>
        <v>0.73508715000000013</v>
      </c>
      <c r="K6127" s="344"/>
    </row>
    <row r="6128" spans="1:11" x14ac:dyDescent="0.25">
      <c r="A6128" s="163"/>
      <c r="B6128" s="106"/>
      <c r="C6128" s="75"/>
      <c r="D6128" s="75" t="s">
        <v>2695</v>
      </c>
      <c r="E6128" s="73"/>
      <c r="F6128" s="96"/>
      <c r="G6128" s="72"/>
      <c r="K6128" s="344"/>
    </row>
    <row r="6129" spans="1:11" x14ac:dyDescent="0.25">
      <c r="A6129" s="163"/>
      <c r="B6129" s="106"/>
      <c r="C6129" s="75"/>
      <c r="D6129" s="73" t="s">
        <v>598</v>
      </c>
      <c r="E6129" s="73"/>
      <c r="F6129" s="74" t="s">
        <v>3</v>
      </c>
      <c r="G6129" s="72">
        <f>0.34*0.275*2.5*2.7*1.156</f>
        <v>0.72958050000000008</v>
      </c>
      <c r="K6129" s="344"/>
    </row>
    <row r="6130" spans="1:11" x14ac:dyDescent="0.25">
      <c r="A6130" s="163"/>
      <c r="B6130" s="106"/>
      <c r="C6130" s="75"/>
      <c r="D6130" s="75" t="s">
        <v>2696</v>
      </c>
      <c r="E6130" s="73"/>
      <c r="F6130" s="96"/>
      <c r="G6130" s="72"/>
      <c r="K6130" s="344"/>
    </row>
    <row r="6131" spans="1:11" x14ac:dyDescent="0.25">
      <c r="A6131" s="163"/>
      <c r="B6131" s="106"/>
      <c r="C6131" s="75"/>
      <c r="D6131" s="73" t="s">
        <v>598</v>
      </c>
      <c r="E6131" s="73"/>
      <c r="F6131" s="74" t="s">
        <v>3</v>
      </c>
      <c r="G6131" s="72">
        <f>0.44*0.275*2.5*2.7*1.139</f>
        <v>0.9302782500000002</v>
      </c>
      <c r="K6131" s="344"/>
    </row>
    <row r="6132" spans="1:11" x14ac:dyDescent="0.25">
      <c r="A6132" s="163"/>
      <c r="B6132" s="106"/>
      <c r="C6132" s="75"/>
      <c r="D6132" s="75" t="s">
        <v>2697</v>
      </c>
      <c r="E6132" s="73"/>
      <c r="F6132" s="74"/>
      <c r="G6132" s="72"/>
      <c r="K6132" s="344"/>
    </row>
    <row r="6133" spans="1:11" x14ac:dyDescent="0.25">
      <c r="A6133" s="163"/>
      <c r="B6133" s="106"/>
      <c r="C6133" s="73"/>
      <c r="D6133" s="73" t="s">
        <v>2900</v>
      </c>
      <c r="E6133" s="73"/>
      <c r="F6133" s="74" t="s">
        <v>3</v>
      </c>
      <c r="G6133" s="72">
        <v>0.371</v>
      </c>
      <c r="I6133" t="s">
        <v>2698</v>
      </c>
      <c r="K6133" s="344"/>
    </row>
    <row r="6134" spans="1:11" x14ac:dyDescent="0.25">
      <c r="A6134" s="163"/>
      <c r="B6134" s="106"/>
      <c r="C6134" s="73"/>
      <c r="D6134" s="73"/>
      <c r="E6134" s="73"/>
      <c r="F6134" s="74"/>
      <c r="G6134" s="72"/>
      <c r="H6134" s="2">
        <f>G6119+G6121+G6123+G6125+G6127+G6129+G6131</f>
        <v>16.940075400000001</v>
      </c>
      <c r="K6134" s="344"/>
    </row>
    <row r="6135" spans="1:11" x14ac:dyDescent="0.25">
      <c r="A6135" s="193"/>
      <c r="B6135" s="106"/>
      <c r="C6135" s="75" t="s">
        <v>2689</v>
      </c>
      <c r="D6135" s="73"/>
      <c r="E6135" s="73"/>
      <c r="F6135" s="74"/>
      <c r="G6135" s="72"/>
      <c r="K6135" s="344"/>
    </row>
    <row r="6136" spans="1:11" x14ac:dyDescent="0.25">
      <c r="A6136" s="163"/>
      <c r="B6136" s="106"/>
      <c r="C6136" s="73" t="s">
        <v>723</v>
      </c>
      <c r="D6136" s="73"/>
      <c r="E6136" s="73"/>
      <c r="F6136" s="74" t="s">
        <v>3</v>
      </c>
      <c r="G6136" s="72">
        <v>5.0000000000000001E-3</v>
      </c>
      <c r="K6136" s="344"/>
    </row>
    <row r="6137" spans="1:11" x14ac:dyDescent="0.25">
      <c r="A6137" s="163"/>
      <c r="B6137" s="106"/>
      <c r="C6137" s="73" t="s">
        <v>13</v>
      </c>
      <c r="D6137" s="73"/>
      <c r="E6137" s="73"/>
      <c r="F6137" s="74" t="s">
        <v>3</v>
      </c>
      <c r="G6137" s="72">
        <v>0.85</v>
      </c>
      <c r="K6137" s="344"/>
    </row>
    <row r="6138" spans="1:11" x14ac:dyDescent="0.25">
      <c r="A6138" s="163"/>
      <c r="B6138" s="106"/>
      <c r="C6138" s="100" t="s">
        <v>114</v>
      </c>
      <c r="D6138" s="73"/>
      <c r="E6138" s="73"/>
      <c r="F6138" s="74" t="s">
        <v>3</v>
      </c>
      <c r="G6138" s="72">
        <f>G6141/2</f>
        <v>0.27500000000000002</v>
      </c>
      <c r="K6138" s="344"/>
    </row>
    <row r="6139" spans="1:11" x14ac:dyDescent="0.25">
      <c r="A6139" s="163"/>
      <c r="B6139" s="106"/>
      <c r="C6139" s="73" t="s">
        <v>163</v>
      </c>
      <c r="D6139" s="73"/>
      <c r="E6139" s="73"/>
      <c r="F6139" s="74" t="s">
        <v>3</v>
      </c>
      <c r="G6139" s="72">
        <f>G6141/2</f>
        <v>0.27500000000000002</v>
      </c>
      <c r="K6139" s="344"/>
    </row>
    <row r="6140" spans="1:11" x14ac:dyDescent="0.25">
      <c r="A6140" s="163"/>
      <c r="B6140" s="106"/>
      <c r="C6140" s="100" t="s">
        <v>164</v>
      </c>
      <c r="D6140" s="73"/>
      <c r="E6140" s="73"/>
      <c r="F6140" s="74" t="s">
        <v>3</v>
      </c>
      <c r="G6140" s="72">
        <f>0.3*(G6138+G6139)</f>
        <v>0.16500000000000001</v>
      </c>
      <c r="K6140" s="344"/>
    </row>
    <row r="6141" spans="1:11" x14ac:dyDescent="0.25">
      <c r="A6141" s="163"/>
      <c r="B6141" s="106"/>
      <c r="C6141" s="73" t="s">
        <v>72</v>
      </c>
      <c r="D6141" s="73"/>
      <c r="E6141" s="73"/>
      <c r="F6141" s="74" t="s">
        <v>3</v>
      </c>
      <c r="G6141" s="72">
        <v>0.55000000000000004</v>
      </c>
      <c r="K6141" s="344"/>
    </row>
    <row r="6142" spans="1:11" x14ac:dyDescent="0.25">
      <c r="A6142" s="163"/>
      <c r="B6142" s="106"/>
      <c r="C6142" s="73" t="s">
        <v>11</v>
      </c>
      <c r="D6142" s="73"/>
      <c r="E6142" s="73"/>
      <c r="F6142" s="74" t="s">
        <v>3</v>
      </c>
      <c r="G6142" s="72">
        <f>0.3*G6141</f>
        <v>0.16500000000000001</v>
      </c>
      <c r="K6142" s="344"/>
    </row>
    <row r="6143" spans="1:11" x14ac:dyDescent="0.25">
      <c r="A6143" s="163"/>
      <c r="B6143" s="106"/>
      <c r="C6143" s="73" t="s">
        <v>147</v>
      </c>
      <c r="D6143" s="73"/>
      <c r="E6143" s="73"/>
      <c r="F6143" s="74" t="s">
        <v>3</v>
      </c>
      <c r="G6143" s="72">
        <v>0.1</v>
      </c>
      <c r="K6143" s="344"/>
    </row>
    <row r="6144" spans="1:11" x14ac:dyDescent="0.25">
      <c r="A6144" s="163"/>
      <c r="B6144" s="106"/>
      <c r="C6144" s="73" t="s">
        <v>2107</v>
      </c>
      <c r="D6144" s="73"/>
      <c r="E6144" s="73"/>
      <c r="F6144" s="74" t="s">
        <v>3</v>
      </c>
      <c r="G6144" s="72">
        <f>(0.245*0.56*2+2+1.5+0.15+0.1+0.1*3.14+0.1*3.14+0.025*3.14+0.2+0.2*2+0.15*2+0.06+0.3*2+0.28*2+0.3*2+0.25)*0.045*1.3+0.009</f>
        <v>0.4595026499999999</v>
      </c>
      <c r="K6144" s="344"/>
    </row>
    <row r="6145" spans="1:11" ht="17.25" x14ac:dyDescent="0.25">
      <c r="A6145" s="163"/>
      <c r="B6145" s="106"/>
      <c r="C6145" s="73" t="s">
        <v>168</v>
      </c>
      <c r="D6145" s="73"/>
      <c r="E6145" s="73"/>
      <c r="F6145" s="74" t="s">
        <v>596</v>
      </c>
      <c r="G6145" s="72">
        <f>G6144*1.1</f>
        <v>0.50545291499999989</v>
      </c>
      <c r="K6145" s="344"/>
    </row>
    <row r="6146" spans="1:11" x14ac:dyDescent="0.25">
      <c r="A6146" s="163"/>
      <c r="B6146" s="106"/>
      <c r="C6146" s="75"/>
      <c r="D6146" s="75" t="s">
        <v>2699</v>
      </c>
      <c r="E6146" s="73"/>
      <c r="F6146" s="73"/>
      <c r="G6146" s="72"/>
      <c r="K6146" s="344"/>
    </row>
    <row r="6147" spans="1:11" x14ac:dyDescent="0.25">
      <c r="A6147" s="163"/>
      <c r="B6147" s="106"/>
      <c r="C6147" s="75"/>
      <c r="D6147" s="73" t="s">
        <v>2107</v>
      </c>
      <c r="E6147" s="73"/>
      <c r="F6147" s="152" t="s">
        <v>3</v>
      </c>
      <c r="G6147" s="72">
        <f>0.025*3.14*0.045*1.3</f>
        <v>4.5922500000000008E-3</v>
      </c>
      <c r="K6147" s="344"/>
    </row>
    <row r="6148" spans="1:11" ht="17.25" x14ac:dyDescent="0.25">
      <c r="A6148" s="163"/>
      <c r="B6148" s="106"/>
      <c r="C6148" s="75"/>
      <c r="D6148" s="73" t="s">
        <v>168</v>
      </c>
      <c r="E6148" s="73"/>
      <c r="F6148" s="152" t="s">
        <v>596</v>
      </c>
      <c r="G6148" s="72">
        <f>1.09*G6147</f>
        <v>5.0055525000000014E-3</v>
      </c>
      <c r="K6148" s="344"/>
    </row>
    <row r="6149" spans="1:11" x14ac:dyDescent="0.25">
      <c r="A6149" s="163"/>
      <c r="B6149" s="106"/>
      <c r="C6149" s="75"/>
      <c r="D6149" s="73"/>
      <c r="E6149" s="75" t="s">
        <v>2700</v>
      </c>
      <c r="F6149" s="73"/>
      <c r="G6149" s="72"/>
      <c r="K6149" s="344"/>
    </row>
    <row r="6150" spans="1:11" x14ac:dyDescent="0.25">
      <c r="A6150" s="163"/>
      <c r="B6150" s="106"/>
      <c r="C6150" s="75"/>
      <c r="D6150" s="73"/>
      <c r="E6150" s="73" t="s">
        <v>2900</v>
      </c>
      <c r="F6150" s="73" t="s">
        <v>3</v>
      </c>
      <c r="G6150" s="72">
        <v>0.29199999999999998</v>
      </c>
      <c r="I6150" t="s">
        <v>2701</v>
      </c>
      <c r="K6150" s="344"/>
    </row>
    <row r="6151" spans="1:11" x14ac:dyDescent="0.25">
      <c r="A6151" s="163"/>
      <c r="B6151" s="106"/>
      <c r="C6151" s="75"/>
      <c r="D6151" s="75" t="s">
        <v>2702</v>
      </c>
      <c r="E6151" s="73"/>
      <c r="F6151" s="74"/>
      <c r="G6151" s="72"/>
      <c r="K6151" s="344"/>
    </row>
    <row r="6152" spans="1:11" x14ac:dyDescent="0.25">
      <c r="A6152" s="163"/>
      <c r="B6152" s="106"/>
      <c r="C6152" s="75"/>
      <c r="D6152" s="73" t="s">
        <v>598</v>
      </c>
      <c r="E6152" s="73"/>
      <c r="F6152" s="74" t="s">
        <v>3</v>
      </c>
      <c r="G6152" s="72">
        <f>0.38*0.26*2.5*2.7*1.139</f>
        <v>0.75959910000000008</v>
      </c>
      <c r="K6152" s="344"/>
    </row>
    <row r="6153" spans="1:11" x14ac:dyDescent="0.25">
      <c r="A6153" s="163"/>
      <c r="B6153" s="106"/>
      <c r="C6153" s="75"/>
      <c r="D6153" s="75" t="s">
        <v>2703</v>
      </c>
      <c r="E6153" s="73"/>
      <c r="F6153" s="74"/>
      <c r="G6153" s="72"/>
      <c r="K6153" s="344"/>
    </row>
    <row r="6154" spans="1:11" x14ac:dyDescent="0.25">
      <c r="A6154" s="163"/>
      <c r="B6154" s="106"/>
      <c r="C6154" s="75"/>
      <c r="D6154" s="73" t="s">
        <v>598</v>
      </c>
      <c r="E6154" s="73"/>
      <c r="F6154" s="74" t="s">
        <v>3</v>
      </c>
      <c r="G6154" s="72">
        <f>1.25*0.99*2.5*2.7*1.1792</f>
        <v>9.8500050000000012</v>
      </c>
      <c r="K6154" s="344"/>
    </row>
    <row r="6155" spans="1:11" x14ac:dyDescent="0.25">
      <c r="A6155" s="163"/>
      <c r="B6155" s="106"/>
      <c r="C6155" s="75"/>
      <c r="D6155" s="75" t="s">
        <v>2704</v>
      </c>
      <c r="E6155" s="73"/>
      <c r="F6155" s="74"/>
      <c r="G6155" s="72"/>
      <c r="K6155" s="344"/>
    </row>
    <row r="6156" spans="1:11" x14ac:dyDescent="0.25">
      <c r="A6156" s="163"/>
      <c r="B6156" s="106"/>
      <c r="C6156" s="75"/>
      <c r="D6156" s="73" t="s">
        <v>598</v>
      </c>
      <c r="E6156" s="73"/>
      <c r="F6156" s="74" t="s">
        <v>3</v>
      </c>
      <c r="G6156" s="72">
        <f>0.655*0.34*2.5*2.7*1.164</f>
        <v>1.7497539000000002</v>
      </c>
      <c r="K6156" s="344"/>
    </row>
    <row r="6157" spans="1:11" x14ac:dyDescent="0.25">
      <c r="A6157" s="163"/>
      <c r="B6157" s="106"/>
      <c r="C6157" s="75"/>
      <c r="D6157" s="75" t="s">
        <v>2705</v>
      </c>
      <c r="E6157" s="73"/>
      <c r="F6157" s="74"/>
      <c r="G6157" s="72"/>
      <c r="K6157" s="344"/>
    </row>
    <row r="6158" spans="1:11" x14ac:dyDescent="0.25">
      <c r="A6158" s="163"/>
      <c r="B6158" s="106"/>
      <c r="C6158" s="75"/>
      <c r="D6158" s="73" t="s">
        <v>598</v>
      </c>
      <c r="E6158" s="73"/>
      <c r="F6158" s="74" t="s">
        <v>3</v>
      </c>
      <c r="G6158" s="72">
        <f>0.33*0.99*2.5*2.7*1.179</f>
        <v>2.5999602749999999</v>
      </c>
      <c r="K6158" s="344"/>
    </row>
    <row r="6159" spans="1:11" x14ac:dyDescent="0.25">
      <c r="A6159" s="163"/>
      <c r="B6159" s="106"/>
      <c r="C6159" s="75"/>
      <c r="D6159" s="75" t="s">
        <v>2707</v>
      </c>
      <c r="E6159" s="73"/>
      <c r="F6159" s="74"/>
      <c r="G6159" s="72"/>
      <c r="K6159" s="344"/>
    </row>
    <row r="6160" spans="1:11" x14ac:dyDescent="0.25">
      <c r="A6160" s="163"/>
      <c r="B6160" s="106"/>
      <c r="C6160" s="75"/>
      <c r="D6160" s="73" t="s">
        <v>598</v>
      </c>
      <c r="E6160" s="73"/>
      <c r="F6160" s="74" t="s">
        <v>3</v>
      </c>
      <c r="G6160" s="72">
        <f>0.655*0.3*2.5*2.7*1.1685</f>
        <v>1.5498691875000001</v>
      </c>
      <c r="K6160" s="344"/>
    </row>
    <row r="6161" spans="1:11" x14ac:dyDescent="0.25">
      <c r="A6161" s="163"/>
      <c r="B6161" s="106"/>
      <c r="C6161" s="73"/>
      <c r="D6161" s="75" t="s">
        <v>2706</v>
      </c>
      <c r="E6161" s="73"/>
      <c r="F6161" s="74"/>
      <c r="G6161" s="72"/>
      <c r="K6161" s="344"/>
    </row>
    <row r="6162" spans="1:11" x14ac:dyDescent="0.25">
      <c r="A6162" s="163"/>
      <c r="B6162" s="106"/>
      <c r="C6162" s="73"/>
      <c r="D6162" s="73" t="s">
        <v>598</v>
      </c>
      <c r="E6162" s="73"/>
      <c r="F6162" s="74" t="s">
        <v>3</v>
      </c>
      <c r="G6162" s="72">
        <f>0.32*0.275*2.5*2.7*1.136</f>
        <v>0.67478400000000005</v>
      </c>
      <c r="K6162" s="344"/>
    </row>
    <row r="6163" spans="1:11" x14ac:dyDescent="0.25">
      <c r="A6163" s="163"/>
      <c r="B6163" s="106"/>
      <c r="C6163" s="73"/>
      <c r="D6163" s="75" t="s">
        <v>2708</v>
      </c>
      <c r="E6163" s="73"/>
      <c r="F6163" s="74"/>
      <c r="G6163" s="72"/>
      <c r="K6163" s="344"/>
    </row>
    <row r="6164" spans="1:11" x14ac:dyDescent="0.25">
      <c r="A6164" s="163"/>
      <c r="B6164" s="106"/>
      <c r="C6164" s="73"/>
      <c r="D6164" s="73" t="s">
        <v>598</v>
      </c>
      <c r="E6164" s="73"/>
      <c r="F6164" s="74" t="s">
        <v>3</v>
      </c>
      <c r="G6164" s="72">
        <f>0.415*0.265*2.5*2.7*1.145</f>
        <v>0.84996928125000004</v>
      </c>
      <c r="K6164" s="344"/>
    </row>
    <row r="6165" spans="1:11" x14ac:dyDescent="0.25">
      <c r="A6165" s="163"/>
      <c r="B6165" s="106"/>
      <c r="C6165" s="73"/>
      <c r="D6165" s="75" t="s">
        <v>2709</v>
      </c>
      <c r="E6165" s="73"/>
      <c r="F6165" s="74"/>
      <c r="G6165" s="72"/>
      <c r="K6165" s="344"/>
    </row>
    <row r="6166" spans="1:11" x14ac:dyDescent="0.25">
      <c r="A6166" s="163"/>
      <c r="B6166" s="106"/>
      <c r="C6166" s="73"/>
      <c r="D6166" s="73" t="s">
        <v>2899</v>
      </c>
      <c r="E6166" s="73"/>
      <c r="F6166" s="74" t="s">
        <v>3</v>
      </c>
      <c r="G6166" s="72">
        <f>0.03*0.03*4*2.7*1.1</f>
        <v>1.0692000000000002E-2</v>
      </c>
      <c r="K6166" s="344"/>
    </row>
    <row r="6167" spans="1:11" x14ac:dyDescent="0.25">
      <c r="A6167" s="163"/>
      <c r="B6167" s="106"/>
      <c r="C6167" s="73"/>
      <c r="D6167" s="75" t="s">
        <v>2710</v>
      </c>
      <c r="E6167" s="73"/>
      <c r="F6167" s="74"/>
      <c r="G6167" s="72"/>
      <c r="K6167" s="344"/>
    </row>
    <row r="6168" spans="1:11" x14ac:dyDescent="0.25">
      <c r="A6168" s="163"/>
      <c r="B6168" s="106"/>
      <c r="C6168" s="73"/>
      <c r="D6168" s="73" t="s">
        <v>2900</v>
      </c>
      <c r="E6168" s="73"/>
      <c r="F6168" s="74" t="s">
        <v>3</v>
      </c>
      <c r="G6168" s="72">
        <v>0.44</v>
      </c>
      <c r="I6168" t="s">
        <v>2713</v>
      </c>
      <c r="K6168" s="344"/>
    </row>
    <row r="6169" spans="1:11" x14ac:dyDescent="0.25">
      <c r="A6169" s="163"/>
      <c r="B6169" s="106"/>
      <c r="C6169" s="73"/>
      <c r="D6169" s="75" t="s">
        <v>2711</v>
      </c>
      <c r="E6169" s="73"/>
      <c r="F6169" s="74"/>
      <c r="G6169" s="72"/>
      <c r="K6169" s="344"/>
    </row>
    <row r="6170" spans="1:11" x14ac:dyDescent="0.25">
      <c r="A6170" s="163"/>
      <c r="B6170" s="106"/>
      <c r="C6170" s="73"/>
      <c r="D6170" s="73" t="s">
        <v>2899</v>
      </c>
      <c r="E6170" s="73"/>
      <c r="F6170" s="74" t="s">
        <v>3</v>
      </c>
      <c r="G6170" s="72">
        <f>0.22*0.156*4*2.7*1.132</f>
        <v>0.41958259200000003</v>
      </c>
      <c r="K6170" s="344"/>
    </row>
    <row r="6171" spans="1:11" x14ac:dyDescent="0.25">
      <c r="A6171" s="163"/>
      <c r="B6171" s="106"/>
      <c r="C6171" s="73"/>
      <c r="D6171" s="73"/>
      <c r="E6171" s="73"/>
      <c r="F6171" s="74"/>
      <c r="G6171" s="72"/>
      <c r="H6171" s="2">
        <f>G6152+G6154+G6156+G6158+G6160+G6162+G6164</f>
        <v>18.033940743750001</v>
      </c>
      <c r="K6171" s="344"/>
    </row>
    <row r="6172" spans="1:11" x14ac:dyDescent="0.25">
      <c r="A6172" s="193"/>
      <c r="B6172" s="106"/>
      <c r="C6172" s="75" t="s">
        <v>2078</v>
      </c>
      <c r="D6172" s="73"/>
      <c r="E6172" s="73"/>
      <c r="F6172" s="74"/>
      <c r="G6172" s="72"/>
      <c r="K6172" s="344"/>
    </row>
    <row r="6173" spans="1:11" x14ac:dyDescent="0.25">
      <c r="A6173" s="163"/>
      <c r="B6173" s="106"/>
      <c r="C6173" s="73" t="s">
        <v>723</v>
      </c>
      <c r="D6173" s="73"/>
      <c r="E6173" s="73"/>
      <c r="F6173" s="74" t="s">
        <v>3</v>
      </c>
      <c r="G6173" s="72">
        <v>0.02</v>
      </c>
      <c r="K6173" s="344"/>
    </row>
    <row r="6174" spans="1:11" x14ac:dyDescent="0.25">
      <c r="A6174" s="163"/>
      <c r="B6174" s="106"/>
      <c r="C6174" s="100" t="s">
        <v>13</v>
      </c>
      <c r="D6174" s="73"/>
      <c r="E6174" s="73"/>
      <c r="F6174" s="74" t="s">
        <v>3</v>
      </c>
      <c r="G6174" s="72">
        <v>0.55000000000000004</v>
      </c>
      <c r="K6174" s="344"/>
    </row>
    <row r="6175" spans="1:11" x14ac:dyDescent="0.25">
      <c r="A6175" s="163"/>
      <c r="B6175" s="106"/>
      <c r="C6175" s="100" t="s">
        <v>114</v>
      </c>
      <c r="D6175" s="73"/>
      <c r="E6175" s="73"/>
      <c r="F6175" s="74" t="s">
        <v>3</v>
      </c>
      <c r="G6175" s="72">
        <f>G6178/2</f>
        <v>0.15</v>
      </c>
      <c r="K6175" s="344"/>
    </row>
    <row r="6176" spans="1:11" x14ac:dyDescent="0.25">
      <c r="A6176" s="163"/>
      <c r="B6176" s="106"/>
      <c r="C6176" s="73" t="s">
        <v>163</v>
      </c>
      <c r="D6176" s="73"/>
      <c r="E6176" s="73"/>
      <c r="F6176" s="74" t="s">
        <v>3</v>
      </c>
      <c r="G6176" s="72">
        <f>G6178/2</f>
        <v>0.15</v>
      </c>
      <c r="K6176" s="344"/>
    </row>
    <row r="6177" spans="1:11" x14ac:dyDescent="0.25">
      <c r="A6177" s="163"/>
      <c r="B6177" s="106"/>
      <c r="C6177" s="100" t="s">
        <v>164</v>
      </c>
      <c r="D6177" s="73"/>
      <c r="E6177" s="73"/>
      <c r="F6177" s="74" t="s">
        <v>3</v>
      </c>
      <c r="G6177" s="72">
        <f>0.3*(G6175+G6176)</f>
        <v>0.09</v>
      </c>
      <c r="K6177" s="344"/>
    </row>
    <row r="6178" spans="1:11" x14ac:dyDescent="0.25">
      <c r="A6178" s="163"/>
      <c r="B6178" s="106"/>
      <c r="C6178" s="100" t="s">
        <v>72</v>
      </c>
      <c r="D6178" s="73"/>
      <c r="E6178" s="73"/>
      <c r="F6178" s="74" t="s">
        <v>3</v>
      </c>
      <c r="G6178" s="72">
        <v>0.3</v>
      </c>
      <c r="K6178" s="344"/>
    </row>
    <row r="6179" spans="1:11" x14ac:dyDescent="0.25">
      <c r="A6179" s="163"/>
      <c r="B6179" s="106"/>
      <c r="C6179" s="100" t="s">
        <v>11</v>
      </c>
      <c r="D6179" s="73"/>
      <c r="E6179" s="73"/>
      <c r="F6179" s="74" t="s">
        <v>3</v>
      </c>
      <c r="G6179" s="72">
        <f>0.3*G6178</f>
        <v>0.09</v>
      </c>
      <c r="K6179" s="344"/>
    </row>
    <row r="6180" spans="1:11" x14ac:dyDescent="0.25">
      <c r="A6180" s="163"/>
      <c r="B6180" s="106"/>
      <c r="C6180" s="73" t="s">
        <v>2107</v>
      </c>
      <c r="D6180" s="73"/>
      <c r="E6180" s="73"/>
      <c r="F6180" s="74" t="s">
        <v>3</v>
      </c>
      <c r="G6180" s="72">
        <f>(0.13*4+0.4*4+0.8*2+0.1*3.14+0.3+0.15+0.08+0.34*2+0.3*4)*0.045*1.31</f>
        <v>0.37987380000000004</v>
      </c>
      <c r="K6180" s="344"/>
    </row>
    <row r="6181" spans="1:11" ht="17.25" x14ac:dyDescent="0.25">
      <c r="A6181" s="163"/>
      <c r="B6181" s="106"/>
      <c r="C6181" s="73" t="s">
        <v>168</v>
      </c>
      <c r="D6181" s="73"/>
      <c r="E6181" s="73"/>
      <c r="F6181" s="74" t="s">
        <v>596</v>
      </c>
      <c r="G6181" s="72">
        <f>G6180*1.1</f>
        <v>0.41786118000000005</v>
      </c>
      <c r="K6181" s="344"/>
    </row>
    <row r="6182" spans="1:11" x14ac:dyDescent="0.25">
      <c r="A6182" s="163"/>
      <c r="B6182" s="106"/>
      <c r="C6182" s="73"/>
      <c r="D6182" s="75" t="s">
        <v>2714</v>
      </c>
      <c r="E6182" s="73"/>
      <c r="F6182" s="74"/>
      <c r="G6182" s="72"/>
      <c r="K6182" s="344"/>
    </row>
    <row r="6183" spans="1:11" x14ac:dyDescent="0.25">
      <c r="A6183" s="163"/>
      <c r="B6183" s="106"/>
      <c r="C6183" s="73"/>
      <c r="D6183" s="73" t="s">
        <v>598</v>
      </c>
      <c r="E6183" s="73"/>
      <c r="F6183" s="152" t="s">
        <v>3</v>
      </c>
      <c r="G6183" s="72">
        <f>0.23*0.764*2.5*2.7*1.138</f>
        <v>1.34979318</v>
      </c>
      <c r="K6183" s="344"/>
    </row>
    <row r="6184" spans="1:11" x14ac:dyDescent="0.25">
      <c r="A6184" s="163"/>
      <c r="B6184" s="106"/>
      <c r="C6184" s="73"/>
      <c r="D6184" s="75" t="s">
        <v>2715</v>
      </c>
      <c r="E6184" s="73"/>
      <c r="F6184" s="74"/>
      <c r="G6184" s="72"/>
      <c r="K6184" s="344"/>
    </row>
    <row r="6185" spans="1:11" x14ac:dyDescent="0.25">
      <c r="A6185" s="163"/>
      <c r="B6185" s="106"/>
      <c r="C6185" s="73"/>
      <c r="D6185" s="73" t="s">
        <v>598</v>
      </c>
      <c r="E6185" s="73"/>
      <c r="F6185" s="152" t="s">
        <v>3</v>
      </c>
      <c r="G6185" s="72">
        <f>0.555*0.225*2.5*2.7*1.139</f>
        <v>0.9600702187500002</v>
      </c>
      <c r="K6185" s="344"/>
    </row>
    <row r="6186" spans="1:11" x14ac:dyDescent="0.25">
      <c r="A6186" s="163"/>
      <c r="B6186" s="106"/>
      <c r="C6186" s="73"/>
      <c r="D6186" s="75" t="s">
        <v>2716</v>
      </c>
      <c r="E6186" s="73"/>
      <c r="F6186" s="74"/>
      <c r="G6186" s="72"/>
      <c r="K6186" s="344"/>
    </row>
    <row r="6187" spans="1:11" x14ac:dyDescent="0.25">
      <c r="A6187" s="163"/>
      <c r="B6187" s="106"/>
      <c r="C6187" s="73"/>
      <c r="D6187" s="73" t="s">
        <v>598</v>
      </c>
      <c r="E6187" s="73"/>
      <c r="F6187" s="152" t="s">
        <v>3</v>
      </c>
      <c r="G6187" s="72">
        <f>0.555*0.225*2.5*2.7*1.139</f>
        <v>0.9600702187500002</v>
      </c>
      <c r="K6187" s="344"/>
    </row>
    <row r="6188" spans="1:11" x14ac:dyDescent="0.25">
      <c r="A6188" s="163"/>
      <c r="B6188" s="106"/>
      <c r="C6188" s="73"/>
      <c r="D6188" s="75" t="s">
        <v>2717</v>
      </c>
      <c r="E6188" s="73"/>
      <c r="F6188" s="74"/>
      <c r="G6188" s="72"/>
      <c r="K6188" s="344"/>
    </row>
    <row r="6189" spans="1:11" x14ac:dyDescent="0.25">
      <c r="A6189" s="163"/>
      <c r="B6189" s="106"/>
      <c r="C6189" s="73"/>
      <c r="D6189" s="73" t="s">
        <v>598</v>
      </c>
      <c r="E6189" s="73"/>
      <c r="F6189" s="152" t="s">
        <v>3</v>
      </c>
      <c r="G6189" s="72">
        <f>0.325*0.165*2.5*2.7*1.16</f>
        <v>0.41988375000000011</v>
      </c>
      <c r="K6189" s="344"/>
    </row>
    <row r="6190" spans="1:11" x14ac:dyDescent="0.25">
      <c r="A6190" s="163"/>
      <c r="B6190" s="106"/>
      <c r="C6190" s="73"/>
      <c r="D6190" s="75" t="s">
        <v>2718</v>
      </c>
      <c r="E6190" s="73"/>
      <c r="F6190" s="74"/>
      <c r="G6190" s="72"/>
      <c r="K6190" s="344"/>
    </row>
    <row r="6191" spans="1:11" x14ac:dyDescent="0.25">
      <c r="A6191" s="163"/>
      <c r="B6191" s="106"/>
      <c r="C6191" s="73"/>
      <c r="D6191" s="73" t="s">
        <v>598</v>
      </c>
      <c r="E6191" s="73"/>
      <c r="F6191" s="152" t="s">
        <v>3</v>
      </c>
      <c r="G6191" s="72">
        <f>0.39*0.165*2.5*2.7*1.127</f>
        <v>0.48952653750000014</v>
      </c>
      <c r="K6191" s="344"/>
    </row>
    <row r="6192" spans="1:11" x14ac:dyDescent="0.25">
      <c r="A6192" s="163"/>
      <c r="B6192" s="106"/>
      <c r="C6192" s="73"/>
      <c r="D6192" s="75" t="s">
        <v>2719</v>
      </c>
      <c r="E6192" s="73"/>
      <c r="F6192" s="74"/>
      <c r="G6192" s="72"/>
      <c r="K6192" s="344"/>
    </row>
    <row r="6193" spans="1:11" ht="15.75" thickBot="1" x14ac:dyDescent="0.3">
      <c r="A6193" s="67"/>
      <c r="B6193" s="86"/>
      <c r="C6193" s="68"/>
      <c r="D6193" s="68" t="s">
        <v>598</v>
      </c>
      <c r="E6193" s="68"/>
      <c r="F6193" s="171" t="s">
        <v>3</v>
      </c>
      <c r="G6193" s="83">
        <f>(0.44+0.13+0.32)*0.765*2.5*2.7*1.1315</f>
        <v>5.2000769812499996</v>
      </c>
      <c r="K6193" s="344"/>
    </row>
    <row r="6194" spans="1:11" x14ac:dyDescent="0.25">
      <c r="A6194" s="159"/>
      <c r="B6194" s="181"/>
      <c r="C6194" s="93"/>
      <c r="D6194" s="93"/>
      <c r="E6194" s="93"/>
      <c r="F6194" s="175" t="s">
        <v>2906</v>
      </c>
      <c r="G6194" s="176"/>
    </row>
    <row r="6195" spans="1:11" ht="18.75" x14ac:dyDescent="0.3">
      <c r="A6195" s="163"/>
      <c r="B6195" s="106"/>
      <c r="C6195" s="73"/>
      <c r="D6195" s="73"/>
      <c r="E6195" s="327" t="s">
        <v>2905</v>
      </c>
      <c r="F6195" s="74"/>
      <c r="G6195" s="72"/>
      <c r="K6195" s="348"/>
    </row>
    <row r="6196" spans="1:11" x14ac:dyDescent="0.25">
      <c r="A6196" s="163"/>
      <c r="B6196" s="106"/>
      <c r="C6196" s="73"/>
      <c r="D6196" s="73"/>
      <c r="E6196" s="73"/>
      <c r="F6196" s="74"/>
      <c r="G6196" s="72"/>
      <c r="K6196" s="348"/>
    </row>
    <row r="6197" spans="1:11" x14ac:dyDescent="0.25">
      <c r="A6197" s="163"/>
      <c r="B6197" s="106"/>
      <c r="C6197" s="75" t="s">
        <v>2902</v>
      </c>
      <c r="D6197" s="73"/>
      <c r="E6197" s="73"/>
      <c r="F6197" s="74"/>
      <c r="G6197" s="72"/>
    </row>
    <row r="6198" spans="1:11" x14ac:dyDescent="0.25">
      <c r="A6198" s="163"/>
      <c r="B6198" s="106"/>
      <c r="C6198" s="73" t="s">
        <v>141</v>
      </c>
      <c r="D6198" s="73"/>
      <c r="E6198" s="73"/>
      <c r="F6198" s="74" t="s">
        <v>3</v>
      </c>
      <c r="G6198" s="72">
        <f>0.01*3.14*0.08*1.2</f>
        <v>3.0144000000000004E-3</v>
      </c>
    </row>
    <row r="6199" spans="1:11" ht="17.25" x14ac:dyDescent="0.25">
      <c r="A6199" s="163"/>
      <c r="B6199" s="106"/>
      <c r="C6199" s="73" t="s">
        <v>23</v>
      </c>
      <c r="D6199" s="73"/>
      <c r="E6199" s="73"/>
      <c r="F6199" s="74" t="s">
        <v>596</v>
      </c>
      <c r="G6199" s="72">
        <f>G6198*2</f>
        <v>6.0288000000000008E-3</v>
      </c>
    </row>
    <row r="6200" spans="1:11" x14ac:dyDescent="0.25">
      <c r="A6200" s="163"/>
      <c r="B6200" s="106"/>
      <c r="C6200" s="73" t="s">
        <v>142</v>
      </c>
      <c r="D6200" s="73"/>
      <c r="E6200" s="73"/>
      <c r="F6200" s="74" t="s">
        <v>3</v>
      </c>
      <c r="G6200" s="72">
        <f>G6198/4</f>
        <v>7.536000000000001E-4</v>
      </c>
    </row>
    <row r="6201" spans="1:11" x14ac:dyDescent="0.25">
      <c r="A6201" s="163"/>
      <c r="B6201" s="106"/>
      <c r="C6201" s="73"/>
      <c r="D6201" s="75" t="s">
        <v>2903</v>
      </c>
      <c r="E6201" s="73"/>
      <c r="F6201" s="74"/>
      <c r="G6201" s="72"/>
    </row>
    <row r="6202" spans="1:11" x14ac:dyDescent="0.25">
      <c r="A6202" s="163"/>
      <c r="B6202" s="106"/>
      <c r="C6202" s="73"/>
      <c r="D6202" s="73" t="s">
        <v>2265</v>
      </c>
      <c r="E6202" s="73"/>
      <c r="F6202" s="74" t="s">
        <v>3</v>
      </c>
      <c r="G6202" s="72">
        <v>7.8E-2</v>
      </c>
      <c r="I6202" t="s">
        <v>2904</v>
      </c>
    </row>
    <row r="6203" spans="1:11" ht="15.75" thickBot="1" x14ac:dyDescent="0.3">
      <c r="A6203" s="67"/>
      <c r="B6203" s="86"/>
      <c r="C6203" s="68"/>
      <c r="D6203" s="68"/>
      <c r="E6203" s="68"/>
      <c r="F6203" s="82"/>
      <c r="G6203" s="83"/>
      <c r="H6203" s="2">
        <f>G6183+G6185+G6187+G6189+G6191+G6193</f>
        <v>9.3794208862499993</v>
      </c>
      <c r="K6203" s="344"/>
    </row>
    <row r="6204" spans="1:11" x14ac:dyDescent="0.25">
      <c r="A6204" s="159"/>
      <c r="B6204" s="181"/>
      <c r="C6204" s="93"/>
      <c r="D6204" s="93"/>
      <c r="E6204" s="93"/>
      <c r="F6204" s="175" t="s">
        <v>2978</v>
      </c>
      <c r="G6204" s="176"/>
      <c r="K6204" s="344"/>
    </row>
    <row r="6205" spans="1:11" ht="15.75" x14ac:dyDescent="0.25">
      <c r="A6205" s="163"/>
      <c r="B6205" s="106"/>
      <c r="C6205" s="73"/>
      <c r="D6205" s="73"/>
      <c r="E6205" s="352" t="s">
        <v>2907</v>
      </c>
      <c r="F6205" s="74"/>
      <c r="G6205" s="72"/>
      <c r="K6205" s="349"/>
    </row>
    <row r="6206" spans="1:11" x14ac:dyDescent="0.25">
      <c r="A6206" s="163"/>
      <c r="B6206" s="106"/>
      <c r="C6206" s="73"/>
      <c r="D6206" s="73"/>
      <c r="E6206" s="73"/>
      <c r="F6206" s="74"/>
      <c r="G6206" s="72"/>
      <c r="K6206" s="349"/>
    </row>
    <row r="6207" spans="1:11" x14ac:dyDescent="0.25">
      <c r="A6207" s="163"/>
      <c r="B6207" s="106"/>
      <c r="C6207" s="75" t="s">
        <v>2908</v>
      </c>
      <c r="D6207" s="73"/>
      <c r="E6207" s="73"/>
      <c r="F6207" s="74"/>
      <c r="G6207" s="72"/>
      <c r="K6207" s="349"/>
    </row>
    <row r="6208" spans="1:11" x14ac:dyDescent="0.25">
      <c r="A6208" s="163"/>
      <c r="B6208" s="106"/>
      <c r="C6208" s="73" t="s">
        <v>2107</v>
      </c>
      <c r="D6208" s="73"/>
      <c r="E6208" s="73"/>
      <c r="F6208" s="74" t="s">
        <v>3</v>
      </c>
      <c r="G6208" s="72">
        <f>(0.28+0.09+0.05)*0.05*1.3</f>
        <v>2.7300000000000001E-2</v>
      </c>
      <c r="K6208" s="349"/>
    </row>
    <row r="6209" spans="1:11" ht="17.25" x14ac:dyDescent="0.25">
      <c r="A6209" s="163"/>
      <c r="B6209" s="106"/>
      <c r="C6209" s="73" t="s">
        <v>168</v>
      </c>
      <c r="D6209" s="73"/>
      <c r="E6209" s="73"/>
      <c r="F6209" s="74" t="s">
        <v>596</v>
      </c>
      <c r="G6209" s="72">
        <f>G6208*1.1</f>
        <v>3.0030000000000005E-2</v>
      </c>
      <c r="K6209" s="349"/>
    </row>
    <row r="6210" spans="1:11" x14ac:dyDescent="0.25">
      <c r="A6210" s="163"/>
      <c r="B6210" s="106"/>
      <c r="C6210" s="73"/>
      <c r="D6210" s="75" t="s">
        <v>2909</v>
      </c>
      <c r="E6210" s="73"/>
      <c r="F6210" s="74"/>
      <c r="G6210" s="72"/>
      <c r="K6210" s="349"/>
    </row>
    <row r="6211" spans="1:11" x14ac:dyDescent="0.25">
      <c r="A6211" s="163"/>
      <c r="B6211" s="106"/>
      <c r="C6211" s="73"/>
      <c r="D6211" s="73" t="s">
        <v>1138</v>
      </c>
      <c r="E6211" s="73"/>
      <c r="F6211" s="74" t="s">
        <v>3</v>
      </c>
      <c r="G6211" s="72">
        <f>0.14*0.015*4*2.7*1.12</f>
        <v>2.540160000000001E-2</v>
      </c>
      <c r="K6211" s="349"/>
    </row>
    <row r="6212" spans="1:11" x14ac:dyDescent="0.25">
      <c r="A6212" s="163"/>
      <c r="B6212" s="106"/>
      <c r="C6212" s="73"/>
      <c r="D6212" s="75" t="s">
        <v>2910</v>
      </c>
      <c r="E6212" s="73"/>
      <c r="F6212" s="74"/>
      <c r="G6212" s="72"/>
      <c r="K6212" s="349"/>
    </row>
    <row r="6213" spans="1:11" x14ac:dyDescent="0.25">
      <c r="A6213" s="163"/>
      <c r="B6213" s="106"/>
      <c r="C6213" s="73"/>
      <c r="D6213" s="73" t="s">
        <v>213</v>
      </c>
      <c r="E6213" s="73"/>
      <c r="F6213" s="74" t="s">
        <v>3</v>
      </c>
      <c r="G6213" s="72">
        <f>0.17*0.136*3*2.7*1.12</f>
        <v>0.20974464000000004</v>
      </c>
      <c r="K6213" s="349"/>
    </row>
    <row r="6214" spans="1:11" x14ac:dyDescent="0.25">
      <c r="A6214" s="163"/>
      <c r="B6214" s="106"/>
      <c r="C6214" s="73"/>
      <c r="D6214" s="75" t="s">
        <v>2911</v>
      </c>
      <c r="E6214" s="73"/>
      <c r="F6214" s="74"/>
      <c r="G6214" s="72"/>
      <c r="K6214" s="349"/>
    </row>
    <row r="6215" spans="1:11" x14ac:dyDescent="0.25">
      <c r="A6215" s="163"/>
      <c r="B6215" s="106"/>
      <c r="C6215" s="73"/>
      <c r="D6215" s="73" t="s">
        <v>410</v>
      </c>
      <c r="E6215" s="73"/>
      <c r="F6215" s="74" t="s">
        <v>3</v>
      </c>
      <c r="G6215" s="72">
        <f>0.18*0.09*5*2.7*1.12</f>
        <v>0.244944</v>
      </c>
      <c r="K6215" s="349"/>
    </row>
    <row r="6216" spans="1:11" x14ac:dyDescent="0.25">
      <c r="A6216" s="163"/>
      <c r="B6216" s="106"/>
      <c r="C6216" s="73"/>
      <c r="D6216" s="73"/>
      <c r="E6216" s="73"/>
      <c r="F6216" s="74"/>
      <c r="G6216" s="72"/>
      <c r="K6216" s="351"/>
    </row>
    <row r="6217" spans="1:11" x14ac:dyDescent="0.25">
      <c r="A6217" s="163"/>
      <c r="B6217" s="106"/>
      <c r="C6217" s="75" t="s">
        <v>2912</v>
      </c>
      <c r="D6217" s="73"/>
      <c r="E6217" s="73"/>
      <c r="F6217" s="74"/>
      <c r="G6217" s="72"/>
      <c r="K6217" s="349"/>
    </row>
    <row r="6218" spans="1:11" x14ac:dyDescent="0.25">
      <c r="A6218" s="163"/>
      <c r="B6218" s="106"/>
      <c r="C6218" s="73" t="s">
        <v>2913</v>
      </c>
      <c r="D6218" s="73"/>
      <c r="E6218" s="73"/>
      <c r="F6218" s="74" t="s">
        <v>3</v>
      </c>
      <c r="G6218" s="72">
        <v>0.17499999999999999</v>
      </c>
      <c r="I6218" t="s">
        <v>2914</v>
      </c>
      <c r="K6218" s="349"/>
    </row>
    <row r="6219" spans="1:11" x14ac:dyDescent="0.25">
      <c r="A6219" s="163"/>
      <c r="B6219" s="106"/>
      <c r="C6219" s="73"/>
      <c r="D6219" s="73"/>
      <c r="E6219" s="73"/>
      <c r="F6219" s="74"/>
      <c r="G6219" s="72"/>
      <c r="K6219" s="351"/>
    </row>
    <row r="6220" spans="1:11" x14ac:dyDescent="0.25">
      <c r="A6220" s="163"/>
      <c r="B6220" s="106"/>
      <c r="C6220" s="75" t="s">
        <v>2915</v>
      </c>
      <c r="D6220" s="73"/>
      <c r="E6220" s="73"/>
      <c r="F6220" s="74"/>
      <c r="G6220" s="72"/>
      <c r="K6220" s="349"/>
    </row>
    <row r="6221" spans="1:11" x14ac:dyDescent="0.25">
      <c r="A6221" s="163"/>
      <c r="B6221" s="106"/>
      <c r="C6221" s="73" t="s">
        <v>800</v>
      </c>
      <c r="D6221" s="73"/>
      <c r="E6221" s="73"/>
      <c r="F6221" s="74" t="s">
        <v>3</v>
      </c>
      <c r="G6221" s="72">
        <f>0.35*0.16*5*8*1.1385</f>
        <v>2.5502400000000001</v>
      </c>
      <c r="K6221" s="349"/>
    </row>
    <row r="6222" spans="1:11" x14ac:dyDescent="0.25">
      <c r="A6222" s="163"/>
      <c r="B6222" s="106"/>
      <c r="C6222" s="73"/>
      <c r="D6222" s="73"/>
      <c r="E6222" s="73"/>
      <c r="F6222" s="74"/>
      <c r="G6222" s="72"/>
      <c r="K6222" s="351"/>
    </row>
    <row r="6223" spans="1:11" x14ac:dyDescent="0.25">
      <c r="A6223" s="163"/>
      <c r="B6223" s="106"/>
      <c r="C6223" s="75" t="s">
        <v>2916</v>
      </c>
      <c r="D6223" s="73"/>
      <c r="E6223" s="73"/>
      <c r="F6223" s="74"/>
      <c r="G6223" s="72"/>
      <c r="K6223" s="349"/>
    </row>
    <row r="6224" spans="1:11" x14ac:dyDescent="0.25">
      <c r="A6224" s="163"/>
      <c r="B6224" s="106"/>
      <c r="C6224" s="73" t="s">
        <v>141</v>
      </c>
      <c r="D6224" s="73"/>
      <c r="E6224" s="73"/>
      <c r="F6224" s="74" t="s">
        <v>3</v>
      </c>
      <c r="G6224" s="72">
        <f>0.01*3.14*0.08*1.2</f>
        <v>3.0144000000000004E-3</v>
      </c>
      <c r="K6224" s="349"/>
    </row>
    <row r="6225" spans="1:11" ht="17.25" x14ac:dyDescent="0.25">
      <c r="A6225" s="163"/>
      <c r="B6225" s="106"/>
      <c r="C6225" s="73" t="s">
        <v>23</v>
      </c>
      <c r="D6225" s="73"/>
      <c r="E6225" s="73"/>
      <c r="F6225" s="74" t="s">
        <v>596</v>
      </c>
      <c r="G6225" s="72">
        <f>G6224*2</f>
        <v>6.0288000000000008E-3</v>
      </c>
      <c r="K6225" s="349"/>
    </row>
    <row r="6226" spans="1:11" x14ac:dyDescent="0.25">
      <c r="A6226" s="163"/>
      <c r="B6226" s="106"/>
      <c r="C6226" s="73" t="s">
        <v>142</v>
      </c>
      <c r="D6226" s="73"/>
      <c r="E6226" s="73"/>
      <c r="F6226" s="74" t="s">
        <v>3</v>
      </c>
      <c r="G6226" s="72">
        <f>G6224/4</f>
        <v>7.536000000000001E-4</v>
      </c>
      <c r="K6226" s="349"/>
    </row>
    <row r="6227" spans="1:11" x14ac:dyDescent="0.25">
      <c r="A6227" s="163"/>
      <c r="B6227" s="106"/>
      <c r="C6227" s="77" t="s">
        <v>114</v>
      </c>
      <c r="D6227" s="73"/>
      <c r="E6227" s="73"/>
      <c r="F6227" s="74" t="s">
        <v>3</v>
      </c>
      <c r="G6227" s="72">
        <f>G6229*0.8</f>
        <v>1.5769600000000002E-2</v>
      </c>
      <c r="K6227" s="349"/>
    </row>
    <row r="6228" spans="1:11" x14ac:dyDescent="0.25">
      <c r="A6228" s="163"/>
      <c r="B6228" s="106"/>
      <c r="C6228" s="77" t="s">
        <v>164</v>
      </c>
      <c r="D6228" s="73"/>
      <c r="E6228" s="73"/>
      <c r="F6228" s="74" t="s">
        <v>3</v>
      </c>
      <c r="G6228" s="72">
        <f>0.3*G6227</f>
        <v>4.7308800000000007E-3</v>
      </c>
      <c r="K6228" s="349"/>
    </row>
    <row r="6229" spans="1:11" x14ac:dyDescent="0.25">
      <c r="A6229" s="163"/>
      <c r="B6229" s="106"/>
      <c r="C6229" s="73" t="s">
        <v>649</v>
      </c>
      <c r="D6229" s="73"/>
      <c r="E6229" s="73"/>
      <c r="F6229" s="74" t="s">
        <v>3</v>
      </c>
      <c r="G6229" s="72">
        <f>0.7*0.011*2*1.28</f>
        <v>1.9712E-2</v>
      </c>
      <c r="K6229" s="349"/>
    </row>
    <row r="6230" spans="1:11" x14ac:dyDescent="0.25">
      <c r="A6230" s="163"/>
      <c r="B6230" s="106"/>
      <c r="C6230" s="73" t="s">
        <v>12</v>
      </c>
      <c r="D6230" s="73"/>
      <c r="E6230" s="73"/>
      <c r="F6230" s="74" t="s">
        <v>3</v>
      </c>
      <c r="G6230" s="72">
        <f>0.3*G6229</f>
        <v>5.9135999999999998E-3</v>
      </c>
      <c r="K6230" s="349"/>
    </row>
    <row r="6231" spans="1:11" x14ac:dyDescent="0.25">
      <c r="A6231" s="163"/>
      <c r="B6231" s="106"/>
      <c r="C6231" s="73"/>
      <c r="D6231" s="75" t="s">
        <v>2917</v>
      </c>
      <c r="E6231" s="73"/>
      <c r="F6231" s="74"/>
      <c r="G6231" s="72"/>
      <c r="K6231" s="349"/>
    </row>
    <row r="6232" spans="1:11" x14ac:dyDescent="0.25">
      <c r="A6232" s="163"/>
      <c r="B6232" s="106"/>
      <c r="C6232" s="73"/>
      <c r="D6232" s="73" t="s">
        <v>2265</v>
      </c>
      <c r="E6232" s="73"/>
      <c r="F6232" s="74" t="s">
        <v>3</v>
      </c>
      <c r="G6232" s="72">
        <v>0.19</v>
      </c>
      <c r="I6232" t="s">
        <v>1287</v>
      </c>
      <c r="K6232" s="349"/>
    </row>
    <row r="6233" spans="1:11" x14ac:dyDescent="0.25">
      <c r="A6233" s="163"/>
      <c r="B6233" s="106"/>
      <c r="C6233" s="73"/>
      <c r="D6233" s="73"/>
      <c r="E6233" s="73"/>
      <c r="F6233" s="74"/>
      <c r="G6233" s="72"/>
      <c r="K6233" s="351"/>
    </row>
    <row r="6234" spans="1:11" x14ac:dyDescent="0.25">
      <c r="A6234" s="163"/>
      <c r="B6234" s="106"/>
      <c r="C6234" s="75" t="s">
        <v>2918</v>
      </c>
      <c r="D6234" s="73"/>
      <c r="E6234" s="73"/>
      <c r="F6234" s="74"/>
      <c r="G6234" s="72"/>
      <c r="K6234" s="349"/>
    </row>
    <row r="6235" spans="1:11" x14ac:dyDescent="0.25">
      <c r="A6235" s="163"/>
      <c r="B6235" s="106"/>
      <c r="C6235" s="73" t="s">
        <v>2919</v>
      </c>
      <c r="D6235" s="73"/>
      <c r="E6235" s="73"/>
      <c r="F6235" s="74" t="s">
        <v>3</v>
      </c>
      <c r="G6235" s="72">
        <f>0.095*0.035*4*8*1.175</f>
        <v>0.12502000000000002</v>
      </c>
      <c r="K6235" s="349"/>
    </row>
    <row r="6236" spans="1:11" x14ac:dyDescent="0.25">
      <c r="A6236" s="163"/>
      <c r="B6236" s="106"/>
      <c r="C6236" s="73"/>
      <c r="D6236" s="73"/>
      <c r="E6236" s="73"/>
      <c r="F6236" s="74"/>
      <c r="G6236" s="72"/>
      <c r="K6236" s="351"/>
    </row>
    <row r="6237" spans="1:11" x14ac:dyDescent="0.25">
      <c r="A6237" s="163"/>
      <c r="B6237" s="106"/>
      <c r="C6237" s="75" t="s">
        <v>2920</v>
      </c>
      <c r="D6237" s="73"/>
      <c r="E6237" s="73"/>
      <c r="F6237" s="74"/>
      <c r="G6237" s="72"/>
      <c r="K6237" s="349"/>
    </row>
    <row r="6238" spans="1:11" x14ac:dyDescent="0.25">
      <c r="A6238" s="163"/>
      <c r="B6238" s="106"/>
      <c r="C6238" s="73" t="s">
        <v>853</v>
      </c>
      <c r="D6238" s="73"/>
      <c r="E6238" s="73"/>
      <c r="F6238" s="74" t="s">
        <v>3</v>
      </c>
      <c r="G6238" s="72">
        <f>0.23*0.102*1*8*1.12</f>
        <v>0.21020160000000002</v>
      </c>
      <c r="K6238" s="349"/>
    </row>
    <row r="6239" spans="1:11" x14ac:dyDescent="0.25">
      <c r="A6239" s="163"/>
      <c r="B6239" s="106"/>
      <c r="C6239" s="73"/>
      <c r="D6239" s="73"/>
      <c r="E6239" s="73"/>
      <c r="F6239" s="74"/>
      <c r="G6239" s="72"/>
      <c r="K6239" s="351"/>
    </row>
    <row r="6240" spans="1:11" x14ac:dyDescent="0.25">
      <c r="A6240" s="163"/>
      <c r="B6240" s="106"/>
      <c r="C6240" s="75" t="s">
        <v>2921</v>
      </c>
      <c r="D6240" s="73"/>
      <c r="E6240" s="73"/>
      <c r="F6240" s="74"/>
      <c r="G6240" s="72"/>
      <c r="K6240" s="349"/>
    </row>
    <row r="6241" spans="1:11" x14ac:dyDescent="0.25">
      <c r="A6241" s="163"/>
      <c r="B6241" s="106"/>
      <c r="C6241" s="73" t="s">
        <v>1898</v>
      </c>
      <c r="D6241" s="73"/>
      <c r="E6241" s="73"/>
      <c r="F6241" s="74" t="s">
        <v>3</v>
      </c>
      <c r="G6241" s="72">
        <f>0.22*0.09*3.5*1.4*1.129</f>
        <v>0.10953557999999999</v>
      </c>
      <c r="K6241" s="349"/>
    </row>
    <row r="6242" spans="1:11" x14ac:dyDescent="0.25">
      <c r="A6242" s="163"/>
      <c r="B6242" s="106"/>
      <c r="C6242" s="73"/>
      <c r="D6242" s="73"/>
      <c r="E6242" s="73"/>
      <c r="F6242" s="74"/>
      <c r="G6242" s="72"/>
      <c r="K6242" s="351"/>
    </row>
    <row r="6243" spans="1:11" x14ac:dyDescent="0.25">
      <c r="A6243" s="163"/>
      <c r="B6243" s="106"/>
      <c r="C6243" s="75" t="s">
        <v>2922</v>
      </c>
      <c r="D6243" s="73"/>
      <c r="E6243" s="73"/>
      <c r="F6243" s="74"/>
      <c r="G6243" s="72"/>
      <c r="K6243" s="349"/>
    </row>
    <row r="6244" spans="1:11" x14ac:dyDescent="0.25">
      <c r="A6244" s="163"/>
      <c r="B6244" s="106"/>
      <c r="C6244" s="73" t="s">
        <v>2923</v>
      </c>
      <c r="D6244" s="73"/>
      <c r="E6244" s="73"/>
      <c r="F6244" s="74" t="s">
        <v>3</v>
      </c>
      <c r="G6244" s="72">
        <f>0.06*0.45*1.5*8*1.125</f>
        <v>0.36449999999999999</v>
      </c>
      <c r="K6244" s="349"/>
    </row>
    <row r="6245" spans="1:11" x14ac:dyDescent="0.25">
      <c r="A6245" s="163"/>
      <c r="B6245" s="106"/>
      <c r="C6245" s="73"/>
      <c r="D6245" s="73"/>
      <c r="E6245" s="73"/>
      <c r="F6245" s="74"/>
      <c r="G6245" s="72"/>
      <c r="K6245" s="351"/>
    </row>
    <row r="6246" spans="1:11" x14ac:dyDescent="0.25">
      <c r="A6246" s="163"/>
      <c r="B6246" s="106"/>
      <c r="C6246" s="75" t="s">
        <v>2924</v>
      </c>
      <c r="D6246" s="73"/>
      <c r="E6246" s="73"/>
      <c r="F6246" s="74"/>
      <c r="G6246" s="72"/>
      <c r="K6246" s="349"/>
    </row>
    <row r="6247" spans="1:11" x14ac:dyDescent="0.25">
      <c r="A6247" s="163"/>
      <c r="B6247" s="106"/>
      <c r="C6247" s="73" t="s">
        <v>2923</v>
      </c>
      <c r="D6247" s="73"/>
      <c r="E6247" s="73"/>
      <c r="F6247" s="74" t="s">
        <v>3</v>
      </c>
      <c r="G6247" s="72">
        <f>0.05*0.02*1.5*8*1.1</f>
        <v>1.3200000000000002E-2</v>
      </c>
      <c r="K6247" s="349"/>
    </row>
    <row r="6248" spans="1:11" x14ac:dyDescent="0.25">
      <c r="A6248" s="163"/>
      <c r="B6248" s="106"/>
      <c r="C6248" s="73"/>
      <c r="D6248" s="73"/>
      <c r="E6248" s="73"/>
      <c r="F6248" s="74"/>
      <c r="G6248" s="72"/>
      <c r="K6248" s="349"/>
    </row>
    <row r="6249" spans="1:11" x14ac:dyDescent="0.25">
      <c r="A6249" s="163"/>
      <c r="B6249" s="106"/>
      <c r="C6249" s="75" t="s">
        <v>2925</v>
      </c>
      <c r="D6249" s="73"/>
      <c r="E6249" s="73"/>
      <c r="F6249" s="74"/>
      <c r="G6249" s="72"/>
      <c r="K6249" s="349"/>
    </row>
    <row r="6250" spans="1:11" x14ac:dyDescent="0.25">
      <c r="A6250" s="163"/>
      <c r="B6250" s="106"/>
      <c r="C6250" s="73" t="s">
        <v>2926</v>
      </c>
      <c r="D6250" s="73"/>
      <c r="E6250" s="73"/>
      <c r="F6250" s="74" t="s">
        <v>3</v>
      </c>
      <c r="G6250" s="72">
        <f>0.05*0.05*3*8*1.03</f>
        <v>6.1800000000000015E-2</v>
      </c>
      <c r="K6250" s="349"/>
    </row>
    <row r="6251" spans="1:11" x14ac:dyDescent="0.25">
      <c r="A6251" s="163"/>
      <c r="B6251" s="106"/>
      <c r="C6251" s="73"/>
      <c r="D6251" s="73"/>
      <c r="E6251" s="73"/>
      <c r="F6251" s="74"/>
      <c r="G6251" s="72"/>
      <c r="K6251" s="349"/>
    </row>
    <row r="6252" spans="1:11" x14ac:dyDescent="0.25">
      <c r="A6252" s="163"/>
      <c r="B6252" s="106"/>
      <c r="C6252" s="75" t="s">
        <v>2927</v>
      </c>
      <c r="D6252" s="73"/>
      <c r="E6252" s="73"/>
      <c r="F6252" s="74"/>
      <c r="G6252" s="72"/>
      <c r="K6252" s="349"/>
    </row>
    <row r="6253" spans="1:11" x14ac:dyDescent="0.25">
      <c r="A6253" s="163"/>
      <c r="B6253" s="106"/>
      <c r="C6253" s="73" t="s">
        <v>1305</v>
      </c>
      <c r="D6253" s="73"/>
      <c r="E6253" s="73"/>
      <c r="F6253" s="74" t="s">
        <v>3</v>
      </c>
      <c r="G6253" s="72">
        <f>0.46*0.15*0.5*8*1.124</f>
        <v>0.31022400000000006</v>
      </c>
      <c r="K6253" s="349"/>
    </row>
    <row r="6254" spans="1:11" x14ac:dyDescent="0.25">
      <c r="A6254" s="163"/>
      <c r="B6254" s="106"/>
      <c r="C6254" s="73"/>
      <c r="D6254" s="73"/>
      <c r="E6254" s="73"/>
      <c r="F6254" s="74"/>
      <c r="G6254" s="72"/>
      <c r="K6254" s="344"/>
    </row>
    <row r="6255" spans="1:11" x14ac:dyDescent="0.25">
      <c r="A6255" s="163"/>
      <c r="B6255" s="106"/>
      <c r="C6255" s="75" t="s">
        <v>2928</v>
      </c>
      <c r="D6255" s="73"/>
      <c r="E6255" s="73"/>
      <c r="F6255" s="74"/>
      <c r="G6255" s="72"/>
    </row>
    <row r="6256" spans="1:11" x14ac:dyDescent="0.25">
      <c r="A6256" s="163"/>
      <c r="B6256" s="106"/>
      <c r="C6256" s="73" t="s">
        <v>78</v>
      </c>
      <c r="D6256" s="73"/>
      <c r="E6256" s="73"/>
      <c r="F6256" s="74" t="s">
        <v>3</v>
      </c>
      <c r="G6256" s="72">
        <f>0.05*0.02*2*8*1.15</f>
        <v>1.84E-2</v>
      </c>
    </row>
    <row r="6257" spans="1:11" x14ac:dyDescent="0.25">
      <c r="A6257" s="163"/>
      <c r="B6257" s="106"/>
      <c r="C6257" s="73"/>
      <c r="D6257" s="73"/>
      <c r="E6257" s="73"/>
      <c r="F6257" s="74"/>
      <c r="G6257" s="72"/>
    </row>
    <row r="6258" spans="1:11" x14ac:dyDescent="0.25">
      <c r="A6258" s="163"/>
      <c r="B6258" s="106"/>
      <c r="C6258" s="75" t="s">
        <v>2929</v>
      </c>
      <c r="D6258" s="73"/>
      <c r="E6258" s="73"/>
      <c r="F6258" s="74"/>
      <c r="G6258" s="72"/>
      <c r="K6258" s="350"/>
    </row>
    <row r="6259" spans="1:11" x14ac:dyDescent="0.25">
      <c r="A6259" s="163"/>
      <c r="B6259" s="106"/>
      <c r="C6259" s="77" t="s">
        <v>1054</v>
      </c>
      <c r="D6259" s="73"/>
      <c r="E6259" s="73"/>
      <c r="F6259" s="152" t="s">
        <v>3</v>
      </c>
      <c r="G6259" s="72">
        <f>(0.65+0.022*3.14*4)*0.08*1.21</f>
        <v>8.9667776000000005E-2</v>
      </c>
      <c r="K6259" s="350"/>
    </row>
    <row r="6260" spans="1:11" ht="17.25" x14ac:dyDescent="0.25">
      <c r="A6260" s="163"/>
      <c r="B6260" s="106"/>
      <c r="C6260" s="77" t="s">
        <v>1055</v>
      </c>
      <c r="D6260" s="73"/>
      <c r="E6260" s="73"/>
      <c r="F6260" s="152" t="s">
        <v>596</v>
      </c>
      <c r="G6260" s="72">
        <f>G6259*1.11</f>
        <v>9.9531231360000014E-2</v>
      </c>
      <c r="K6260" s="350"/>
    </row>
    <row r="6261" spans="1:11" x14ac:dyDescent="0.25">
      <c r="A6261" s="163"/>
      <c r="B6261" s="106"/>
      <c r="C6261" s="77" t="s">
        <v>2930</v>
      </c>
      <c r="D6261" s="73"/>
      <c r="E6261" s="73"/>
      <c r="F6261" s="74" t="s">
        <v>3</v>
      </c>
      <c r="G6261" s="72">
        <f>0.3*0.3*2*0.15*2*1.2</f>
        <v>6.4799999999999996E-2</v>
      </c>
      <c r="K6261" s="350"/>
    </row>
    <row r="6262" spans="1:11" x14ac:dyDescent="0.25">
      <c r="A6262" s="163"/>
      <c r="B6262" s="106"/>
      <c r="C6262" s="77" t="s">
        <v>8</v>
      </c>
      <c r="D6262" s="73"/>
      <c r="E6262" s="73"/>
      <c r="F6262" s="74" t="s">
        <v>3</v>
      </c>
      <c r="G6262" s="72">
        <f>0.77*G6261</f>
        <v>4.9895999999999996E-2</v>
      </c>
      <c r="K6262" s="350"/>
    </row>
    <row r="6263" spans="1:11" x14ac:dyDescent="0.25">
      <c r="A6263" s="163"/>
      <c r="B6263" s="106"/>
      <c r="C6263" s="77" t="s">
        <v>12</v>
      </c>
      <c r="D6263" s="73"/>
      <c r="E6263" s="73"/>
      <c r="F6263" s="74" t="s">
        <v>3</v>
      </c>
      <c r="G6263" s="72">
        <f>0.3*(G6262+G6261)</f>
        <v>3.4408799999999996E-2</v>
      </c>
      <c r="K6263" s="350"/>
    </row>
    <row r="6264" spans="1:11" x14ac:dyDescent="0.25">
      <c r="A6264" s="163"/>
      <c r="B6264" s="106"/>
      <c r="C6264" s="73"/>
      <c r="D6264" s="75" t="s">
        <v>2931</v>
      </c>
      <c r="E6264" s="73"/>
      <c r="F6264" s="74"/>
      <c r="G6264" s="72"/>
      <c r="K6264" s="350"/>
    </row>
    <row r="6265" spans="1:11" x14ac:dyDescent="0.25">
      <c r="A6265" s="163"/>
      <c r="B6265" s="106"/>
      <c r="C6265" s="73"/>
      <c r="D6265" s="73" t="s">
        <v>226</v>
      </c>
      <c r="E6265" s="73"/>
      <c r="F6265" s="74" t="s">
        <v>3</v>
      </c>
      <c r="G6265" s="72">
        <f>0.32*0.085*5*8*1.103</f>
        <v>1.200064</v>
      </c>
      <c r="K6265" s="350"/>
    </row>
    <row r="6266" spans="1:11" x14ac:dyDescent="0.25">
      <c r="A6266" s="163"/>
      <c r="B6266" s="106"/>
      <c r="C6266" s="73"/>
      <c r="D6266" s="75" t="s">
        <v>2932</v>
      </c>
      <c r="E6266" s="73"/>
      <c r="F6266" s="74"/>
      <c r="G6266" s="72"/>
      <c r="K6266" s="350"/>
    </row>
    <row r="6267" spans="1:11" x14ac:dyDescent="0.25">
      <c r="A6267" s="163"/>
      <c r="B6267" s="106"/>
      <c r="C6267" s="73"/>
      <c r="D6267" s="73" t="s">
        <v>227</v>
      </c>
      <c r="E6267" s="73"/>
      <c r="F6267" s="74" t="s">
        <v>3</v>
      </c>
      <c r="G6267" s="72">
        <f>0.275*0.11*5*8*1.116</f>
        <v>1.3503600000000002</v>
      </c>
      <c r="K6267" s="350"/>
    </row>
    <row r="6268" spans="1:11" x14ac:dyDescent="0.25">
      <c r="A6268" s="163"/>
      <c r="B6268" s="106"/>
      <c r="C6268" s="73"/>
      <c r="D6268" s="75" t="s">
        <v>2818</v>
      </c>
      <c r="E6268" s="73"/>
      <c r="F6268" s="74"/>
      <c r="G6268" s="72"/>
      <c r="K6268" s="350"/>
    </row>
    <row r="6269" spans="1:11" x14ac:dyDescent="0.25">
      <c r="A6269" s="163"/>
      <c r="B6269" s="106"/>
      <c r="C6269" s="73"/>
      <c r="D6269" s="73" t="s">
        <v>227</v>
      </c>
      <c r="E6269" s="73"/>
      <c r="F6269" s="74" t="s">
        <v>3</v>
      </c>
      <c r="G6269" s="72">
        <f>0.268*0.303*5*8*1.0315</f>
        <v>3.3504770400000004</v>
      </c>
    </row>
    <row r="6270" spans="1:11" x14ac:dyDescent="0.25">
      <c r="A6270" s="163"/>
      <c r="B6270" s="106"/>
      <c r="C6270" s="73"/>
      <c r="D6270" s="73"/>
      <c r="E6270" s="73"/>
      <c r="F6270" s="74"/>
      <c r="G6270" s="72"/>
      <c r="K6270" s="350"/>
    </row>
    <row r="6271" spans="1:11" x14ac:dyDescent="0.25">
      <c r="A6271" s="163"/>
      <c r="B6271" s="106"/>
      <c r="C6271" s="75" t="s">
        <v>2933</v>
      </c>
      <c r="D6271" s="73"/>
      <c r="E6271" s="73"/>
      <c r="F6271" s="74"/>
      <c r="G6271" s="72"/>
      <c r="K6271" s="350"/>
    </row>
    <row r="6272" spans="1:11" x14ac:dyDescent="0.25">
      <c r="A6272" s="163"/>
      <c r="B6272" s="106"/>
      <c r="C6272" s="77" t="s">
        <v>1054</v>
      </c>
      <c r="D6272" s="73"/>
      <c r="E6272" s="73"/>
      <c r="F6272" s="152" t="s">
        <v>3</v>
      </c>
      <c r="G6272" s="72">
        <f>(0.45*3.14+0.03*3.14*2)*0.08*1.21</f>
        <v>0.15501551999999999</v>
      </c>
      <c r="K6272" s="350"/>
    </row>
    <row r="6273" spans="1:11" ht="17.25" x14ac:dyDescent="0.25">
      <c r="A6273" s="163"/>
      <c r="B6273" s="106"/>
      <c r="C6273" s="77" t="s">
        <v>1055</v>
      </c>
      <c r="D6273" s="73"/>
      <c r="E6273" s="73"/>
      <c r="F6273" s="152" t="s">
        <v>596</v>
      </c>
      <c r="G6273" s="72">
        <f>G6272*1.11</f>
        <v>0.17206722720000001</v>
      </c>
      <c r="K6273" s="350"/>
    </row>
    <row r="6274" spans="1:11" x14ac:dyDescent="0.25">
      <c r="A6274" s="163"/>
      <c r="B6274" s="106"/>
      <c r="C6274" s="73"/>
      <c r="D6274" s="73"/>
      <c r="E6274" s="73"/>
      <c r="F6274" s="74"/>
      <c r="G6274" s="72"/>
      <c r="K6274" s="350"/>
    </row>
    <row r="6275" spans="1:11" x14ac:dyDescent="0.25">
      <c r="A6275" s="163"/>
      <c r="B6275" s="106"/>
      <c r="C6275" s="75" t="s">
        <v>2934</v>
      </c>
      <c r="D6275" s="73"/>
      <c r="E6275" s="73"/>
      <c r="F6275" s="74"/>
      <c r="G6275" s="72"/>
      <c r="K6275" s="350"/>
    </row>
    <row r="6276" spans="1:11" x14ac:dyDescent="0.25">
      <c r="A6276" s="163"/>
      <c r="B6276" s="106"/>
      <c r="C6276" s="77" t="s">
        <v>1054</v>
      </c>
      <c r="D6276" s="73"/>
      <c r="E6276" s="73"/>
      <c r="F6276" s="152" t="s">
        <v>3</v>
      </c>
      <c r="G6276" s="72">
        <f>0.017*3.14*2*0.08*1.2</f>
        <v>1.0248960000000001E-2</v>
      </c>
      <c r="K6276" s="350"/>
    </row>
    <row r="6277" spans="1:11" ht="17.25" x14ac:dyDescent="0.25">
      <c r="A6277" s="163"/>
      <c r="B6277" s="106"/>
      <c r="C6277" s="77" t="s">
        <v>1055</v>
      </c>
      <c r="D6277" s="73"/>
      <c r="E6277" s="73"/>
      <c r="F6277" s="152" t="s">
        <v>596</v>
      </c>
      <c r="G6277" s="72">
        <f>G6276*1.11</f>
        <v>1.1376345600000002E-2</v>
      </c>
      <c r="K6277" s="350"/>
    </row>
    <row r="6278" spans="1:11" x14ac:dyDescent="0.25">
      <c r="A6278" s="163"/>
      <c r="B6278" s="106"/>
      <c r="C6278" s="77" t="s">
        <v>2935</v>
      </c>
      <c r="D6278" s="73"/>
      <c r="E6278" s="73"/>
      <c r="F6278" s="74" t="s">
        <v>3</v>
      </c>
      <c r="G6278" s="72">
        <f>G6280</f>
        <v>1.4580000000000001E-2</v>
      </c>
      <c r="K6278" s="350"/>
    </row>
    <row r="6279" spans="1:11" x14ac:dyDescent="0.25">
      <c r="A6279" s="163"/>
      <c r="B6279" s="106"/>
      <c r="C6279" s="77" t="s">
        <v>12</v>
      </c>
      <c r="D6279" s="73"/>
      <c r="E6279" s="73"/>
      <c r="F6279" s="74" t="s">
        <v>3</v>
      </c>
      <c r="G6279" s="72">
        <f>0.3*G6278</f>
        <v>4.3740000000000003E-3</v>
      </c>
      <c r="K6279" s="350"/>
    </row>
    <row r="6280" spans="1:11" x14ac:dyDescent="0.25">
      <c r="A6280" s="163"/>
      <c r="B6280" s="106"/>
      <c r="C6280" s="77" t="s">
        <v>9</v>
      </c>
      <c r="D6280" s="73"/>
      <c r="E6280" s="73"/>
      <c r="F6280" s="74" t="s">
        <v>3</v>
      </c>
      <c r="G6280" s="72">
        <f>0.27*0.02*2*1.35</f>
        <v>1.4580000000000001E-2</v>
      </c>
      <c r="K6280" s="350"/>
    </row>
    <row r="6281" spans="1:11" x14ac:dyDescent="0.25">
      <c r="A6281" s="163"/>
      <c r="B6281" s="106"/>
      <c r="C6281" s="77" t="s">
        <v>11</v>
      </c>
      <c r="D6281" s="73"/>
      <c r="E6281" s="73"/>
      <c r="F6281" s="74" t="s">
        <v>3</v>
      </c>
      <c r="G6281" s="72">
        <f>0.3*G6280</f>
        <v>4.3740000000000003E-3</v>
      </c>
      <c r="K6281" s="350"/>
    </row>
    <row r="6282" spans="1:11" x14ac:dyDescent="0.25">
      <c r="A6282" s="163"/>
      <c r="B6282" s="106"/>
      <c r="C6282" s="73"/>
      <c r="D6282" s="75" t="s">
        <v>2936</v>
      </c>
      <c r="E6282" s="73"/>
      <c r="F6282" s="74"/>
      <c r="G6282" s="72"/>
      <c r="K6282" s="350"/>
    </row>
    <row r="6283" spans="1:11" x14ac:dyDescent="0.25">
      <c r="A6283" s="163"/>
      <c r="B6283" s="106"/>
      <c r="C6283" s="73"/>
      <c r="D6283" s="73" t="s">
        <v>2937</v>
      </c>
      <c r="E6283" s="73"/>
      <c r="F6283" s="74" t="s">
        <v>3</v>
      </c>
      <c r="G6283" s="72">
        <v>0.22</v>
      </c>
      <c r="I6283" t="s">
        <v>2938</v>
      </c>
      <c r="K6283" s="350"/>
    </row>
    <row r="6284" spans="1:11" x14ac:dyDescent="0.25">
      <c r="A6284" s="163"/>
      <c r="B6284" s="106"/>
      <c r="C6284" s="73"/>
      <c r="D6284" s="73"/>
      <c r="E6284" s="73"/>
      <c r="F6284" s="74"/>
      <c r="G6284" s="72"/>
      <c r="K6284" s="350"/>
    </row>
    <row r="6285" spans="1:11" x14ac:dyDescent="0.25">
      <c r="A6285" s="163"/>
      <c r="B6285" s="106"/>
      <c r="C6285" s="75" t="s">
        <v>2939</v>
      </c>
      <c r="D6285" s="73"/>
      <c r="E6285" s="73"/>
      <c r="F6285" s="74"/>
      <c r="G6285" s="72"/>
      <c r="K6285" s="350"/>
    </row>
    <row r="6286" spans="1:11" x14ac:dyDescent="0.25">
      <c r="A6286" s="163"/>
      <c r="B6286" s="106"/>
      <c r="C6286" s="73" t="s">
        <v>2940</v>
      </c>
      <c r="D6286" s="73"/>
      <c r="E6286" s="73"/>
      <c r="F6286" s="74" t="s">
        <v>3</v>
      </c>
      <c r="G6286" s="72">
        <f>0.23*0.085*3*8*1.13</f>
        <v>0.530196</v>
      </c>
      <c r="K6286" s="350"/>
    </row>
    <row r="6287" spans="1:11" x14ac:dyDescent="0.25">
      <c r="A6287" s="163"/>
      <c r="B6287" s="106"/>
      <c r="C6287" s="73"/>
      <c r="D6287" s="73"/>
      <c r="E6287" s="73"/>
      <c r="F6287" s="74"/>
      <c r="G6287" s="72"/>
      <c r="K6287" s="350"/>
    </row>
    <row r="6288" spans="1:11" x14ac:dyDescent="0.25">
      <c r="A6288" s="163"/>
      <c r="B6288" s="106"/>
      <c r="C6288" s="75" t="s">
        <v>2941</v>
      </c>
      <c r="D6288" s="73"/>
      <c r="E6288" s="73"/>
      <c r="F6288" s="74"/>
      <c r="G6288" s="72"/>
      <c r="K6288" s="350"/>
    </row>
    <row r="6289" spans="1:11" x14ac:dyDescent="0.25">
      <c r="A6289" s="163"/>
      <c r="B6289" s="106"/>
      <c r="C6289" s="73" t="s">
        <v>2942</v>
      </c>
      <c r="D6289" s="73"/>
      <c r="E6289" s="73"/>
      <c r="F6289" s="74" t="s">
        <v>3</v>
      </c>
      <c r="G6289" s="72">
        <f>0.035*0.035*0.5*8*1.125</f>
        <v>5.5125000000000009E-3</v>
      </c>
      <c r="K6289" s="350"/>
    </row>
    <row r="6290" spans="1:11" x14ac:dyDescent="0.25">
      <c r="A6290" s="163"/>
      <c r="B6290" s="106"/>
      <c r="C6290" s="73"/>
      <c r="D6290" s="73"/>
      <c r="E6290" s="73"/>
      <c r="F6290" s="74"/>
      <c r="G6290" s="72"/>
      <c r="K6290" s="350"/>
    </row>
    <row r="6291" spans="1:11" x14ac:dyDescent="0.25">
      <c r="A6291" s="163"/>
      <c r="B6291" s="106"/>
      <c r="C6291" s="75" t="s">
        <v>2943</v>
      </c>
      <c r="D6291" s="73"/>
      <c r="E6291" s="73"/>
      <c r="F6291" s="74"/>
      <c r="G6291" s="72"/>
      <c r="K6291" s="350"/>
    </row>
    <row r="6292" spans="1:11" x14ac:dyDescent="0.25">
      <c r="A6292" s="163"/>
      <c r="B6292" s="106"/>
      <c r="C6292" s="73" t="s">
        <v>415</v>
      </c>
      <c r="D6292" s="73"/>
      <c r="E6292" s="73"/>
      <c r="F6292" s="74" t="s">
        <v>3</v>
      </c>
      <c r="G6292" s="72">
        <f>(0.038*3.14*0.75+0.019*2+0.07)*0.02*1.5*8*1.125</f>
        <v>5.3322299999999996E-2</v>
      </c>
    </row>
    <row r="6293" spans="1:11" x14ac:dyDescent="0.25">
      <c r="A6293" s="163"/>
      <c r="B6293" s="106"/>
      <c r="C6293" s="73"/>
      <c r="D6293" s="73"/>
      <c r="E6293" s="73"/>
      <c r="F6293" s="74"/>
      <c r="G6293" s="72"/>
    </row>
    <row r="6294" spans="1:11" x14ac:dyDescent="0.25">
      <c r="A6294" s="163"/>
      <c r="B6294" s="106"/>
      <c r="C6294" s="75" t="s">
        <v>2944</v>
      </c>
      <c r="D6294" s="73"/>
      <c r="E6294" s="73"/>
      <c r="F6294" s="74"/>
      <c r="G6294" s="72"/>
      <c r="K6294" s="350"/>
    </row>
    <row r="6295" spans="1:11" x14ac:dyDescent="0.25">
      <c r="A6295" s="163"/>
      <c r="B6295" s="106"/>
      <c r="C6295" s="73" t="s">
        <v>2945</v>
      </c>
      <c r="D6295" s="73"/>
      <c r="E6295" s="73"/>
      <c r="F6295" s="74" t="s">
        <v>3</v>
      </c>
      <c r="G6295" s="72">
        <f>0.035*0.035*0.15*8*1.12</f>
        <v>1.6464000000000003E-3</v>
      </c>
      <c r="K6295" s="350"/>
    </row>
    <row r="6296" spans="1:11" x14ac:dyDescent="0.25">
      <c r="A6296" s="163"/>
      <c r="B6296" s="106"/>
      <c r="C6296" s="73"/>
      <c r="D6296" s="73"/>
      <c r="E6296" s="73"/>
      <c r="F6296" s="74"/>
      <c r="G6296" s="72"/>
      <c r="K6296" s="350"/>
    </row>
    <row r="6297" spans="1:11" x14ac:dyDescent="0.25">
      <c r="A6297" s="163"/>
      <c r="B6297" s="106"/>
      <c r="C6297" s="75" t="s">
        <v>2946</v>
      </c>
      <c r="D6297" s="73"/>
      <c r="E6297" s="73"/>
      <c r="F6297" s="74"/>
      <c r="G6297" s="72"/>
      <c r="K6297" s="350"/>
    </row>
    <row r="6298" spans="1:11" x14ac:dyDescent="0.25">
      <c r="A6298" s="163"/>
      <c r="B6298" s="106"/>
      <c r="C6298" s="77" t="s">
        <v>1054</v>
      </c>
      <c r="D6298" s="73"/>
      <c r="E6298" s="73"/>
      <c r="F6298" s="152" t="s">
        <v>3</v>
      </c>
      <c r="G6298" s="72">
        <f>0.012*3.14*6*0.08*1.2</f>
        <v>2.1703680000000003E-2</v>
      </c>
      <c r="K6298" s="350"/>
    </row>
    <row r="6299" spans="1:11" ht="17.25" x14ac:dyDescent="0.25">
      <c r="A6299" s="163"/>
      <c r="B6299" s="106"/>
      <c r="C6299" s="77" t="s">
        <v>1055</v>
      </c>
      <c r="D6299" s="73"/>
      <c r="E6299" s="73"/>
      <c r="F6299" s="152" t="s">
        <v>596</v>
      </c>
      <c r="G6299" s="72">
        <f>G6298*1.11</f>
        <v>2.4091084800000006E-2</v>
      </c>
      <c r="K6299" s="350"/>
    </row>
    <row r="6300" spans="1:11" x14ac:dyDescent="0.25">
      <c r="A6300" s="163"/>
      <c r="B6300" s="106"/>
      <c r="C6300" s="77" t="s">
        <v>8</v>
      </c>
      <c r="D6300" s="73"/>
      <c r="E6300" s="73"/>
      <c r="F6300" s="152" t="s">
        <v>3</v>
      </c>
      <c r="G6300" s="72">
        <f>G6301*0.8</f>
        <v>5.1951999999999998E-2</v>
      </c>
      <c r="K6300" s="350"/>
    </row>
    <row r="6301" spans="1:11" x14ac:dyDescent="0.25">
      <c r="A6301" s="163"/>
      <c r="B6301" s="106"/>
      <c r="C6301" s="77" t="s">
        <v>115</v>
      </c>
      <c r="D6301" s="73"/>
      <c r="E6301" s="73"/>
      <c r="F6301" s="152" t="s">
        <v>3</v>
      </c>
      <c r="G6301" s="72">
        <f>0.7*3.14/2*0.025*2*1.2-0.001</f>
        <v>6.4939999999999998E-2</v>
      </c>
      <c r="K6301" s="350"/>
    </row>
    <row r="6302" spans="1:11" x14ac:dyDescent="0.25">
      <c r="A6302" s="163"/>
      <c r="B6302" s="106"/>
      <c r="C6302" s="77" t="s">
        <v>12</v>
      </c>
      <c r="D6302" s="73"/>
      <c r="E6302" s="73"/>
      <c r="F6302" s="152" t="s">
        <v>3</v>
      </c>
      <c r="G6302" s="72">
        <f>0.3*(G6301+G6300)</f>
        <v>3.5067599999999997E-2</v>
      </c>
      <c r="K6302" s="350"/>
    </row>
    <row r="6303" spans="1:11" x14ac:dyDescent="0.25">
      <c r="A6303" s="163"/>
      <c r="B6303" s="106"/>
      <c r="C6303" s="77"/>
      <c r="D6303" s="75" t="s">
        <v>2947</v>
      </c>
      <c r="E6303" s="73"/>
      <c r="F6303" s="152"/>
      <c r="G6303" s="72"/>
      <c r="K6303" s="350"/>
    </row>
    <row r="6304" spans="1:11" x14ac:dyDescent="0.25">
      <c r="A6304" s="163"/>
      <c r="B6304" s="106"/>
      <c r="C6304" s="75"/>
      <c r="D6304" s="73" t="s">
        <v>2948</v>
      </c>
      <c r="E6304" s="73"/>
      <c r="F6304" s="74" t="s">
        <v>3</v>
      </c>
      <c r="G6304" s="72">
        <f>0.72*0.72/2*2*8*1.1-0.002</f>
        <v>4.55992</v>
      </c>
      <c r="K6304" s="350"/>
    </row>
    <row r="6305" spans="1:11" x14ac:dyDescent="0.25">
      <c r="A6305" s="163"/>
      <c r="B6305" s="106"/>
      <c r="C6305" s="75"/>
      <c r="D6305" s="73"/>
      <c r="E6305" s="73"/>
      <c r="F6305" s="74"/>
      <c r="G6305" s="72"/>
      <c r="K6305" s="350"/>
    </row>
    <row r="6306" spans="1:11" x14ac:dyDescent="0.25">
      <c r="A6306" s="163"/>
      <c r="B6306" s="106"/>
      <c r="C6306" s="75" t="s">
        <v>2949</v>
      </c>
      <c r="D6306" s="73"/>
      <c r="E6306" s="73"/>
      <c r="F6306" s="74"/>
      <c r="G6306" s="72"/>
      <c r="K6306" s="350"/>
    </row>
    <row r="6307" spans="1:11" x14ac:dyDescent="0.25">
      <c r="A6307" s="163"/>
      <c r="B6307" s="106"/>
      <c r="C6307" s="75"/>
      <c r="D6307" s="75" t="s">
        <v>2950</v>
      </c>
      <c r="E6307" s="73"/>
      <c r="F6307" s="74"/>
      <c r="G6307" s="72"/>
      <c r="K6307" s="350"/>
    </row>
    <row r="6308" spans="1:11" x14ac:dyDescent="0.25">
      <c r="A6308" s="163"/>
      <c r="B6308" s="106"/>
      <c r="C6308" s="75"/>
      <c r="D6308" s="73" t="s">
        <v>55</v>
      </c>
      <c r="E6308" s="73"/>
      <c r="F6308" s="74" t="s">
        <v>3</v>
      </c>
      <c r="G6308" s="72">
        <f>0.08*0.05*3*8*1.1-0.001</f>
        <v>0.10460000000000001</v>
      </c>
      <c r="K6308" s="350"/>
    </row>
    <row r="6309" spans="1:11" x14ac:dyDescent="0.25">
      <c r="A6309" s="163"/>
      <c r="B6309" s="106"/>
      <c r="C6309" s="75"/>
      <c r="D6309" s="73"/>
      <c r="E6309" s="73"/>
      <c r="F6309" s="74"/>
      <c r="G6309" s="72"/>
      <c r="K6309" s="350"/>
    </row>
    <row r="6310" spans="1:11" x14ac:dyDescent="0.25">
      <c r="A6310" s="163"/>
      <c r="B6310" s="106"/>
      <c r="C6310" s="75" t="s">
        <v>2951</v>
      </c>
      <c r="D6310" s="73"/>
      <c r="E6310" s="73"/>
      <c r="F6310" s="74"/>
      <c r="G6310" s="72"/>
      <c r="K6310" s="350"/>
    </row>
    <row r="6311" spans="1:11" x14ac:dyDescent="0.25">
      <c r="A6311" s="163"/>
      <c r="B6311" s="106"/>
      <c r="C6311" s="77" t="s">
        <v>1054</v>
      </c>
      <c r="D6311" s="73"/>
      <c r="E6311" s="73"/>
      <c r="F6311" s="152" t="s">
        <v>3</v>
      </c>
      <c r="G6311" s="72">
        <f>0.03*0.08*1.3</f>
        <v>3.1199999999999999E-3</v>
      </c>
      <c r="K6311" s="350"/>
    </row>
    <row r="6312" spans="1:11" ht="17.25" x14ac:dyDescent="0.25">
      <c r="A6312" s="163"/>
      <c r="B6312" s="106"/>
      <c r="C6312" s="77" t="s">
        <v>1055</v>
      </c>
      <c r="D6312" s="73"/>
      <c r="E6312" s="73"/>
      <c r="F6312" s="152" t="s">
        <v>596</v>
      </c>
      <c r="G6312" s="72">
        <f>G6311*1.11</f>
        <v>3.4632E-3</v>
      </c>
      <c r="K6312" s="350"/>
    </row>
    <row r="6313" spans="1:11" x14ac:dyDescent="0.25">
      <c r="A6313" s="163"/>
      <c r="B6313" s="106"/>
      <c r="C6313" s="186" t="s">
        <v>8</v>
      </c>
      <c r="D6313" s="73"/>
      <c r="E6313" s="73"/>
      <c r="F6313" s="152" t="s">
        <v>3</v>
      </c>
      <c r="G6313" s="72">
        <f>G6314</f>
        <v>8.2500000000000004E-3</v>
      </c>
      <c r="K6313" s="350"/>
    </row>
    <row r="6314" spans="1:11" x14ac:dyDescent="0.25">
      <c r="A6314" s="163"/>
      <c r="B6314" s="106"/>
      <c r="C6314" s="186" t="s">
        <v>36</v>
      </c>
      <c r="D6314" s="73"/>
      <c r="E6314" s="73"/>
      <c r="F6314" s="152" t="s">
        <v>3</v>
      </c>
      <c r="G6314" s="72">
        <f>0.25*0.011*2*1.5</f>
        <v>8.2500000000000004E-3</v>
      </c>
      <c r="K6314" s="350"/>
    </row>
    <row r="6315" spans="1:11" x14ac:dyDescent="0.25">
      <c r="A6315" s="163"/>
      <c r="B6315" s="106"/>
      <c r="C6315" s="186" t="s">
        <v>12</v>
      </c>
      <c r="D6315" s="73"/>
      <c r="E6315" s="73"/>
      <c r="F6315" s="152" t="s">
        <v>3</v>
      </c>
      <c r="G6315" s="72">
        <f>0.3*(G6314+G6313)</f>
        <v>4.9500000000000004E-3</v>
      </c>
      <c r="K6315" s="350"/>
    </row>
    <row r="6316" spans="1:11" x14ac:dyDescent="0.25">
      <c r="A6316" s="163"/>
      <c r="B6316" s="106"/>
      <c r="C6316" s="75"/>
      <c r="D6316" s="75" t="s">
        <v>2952</v>
      </c>
      <c r="E6316" s="73"/>
      <c r="F6316" s="74"/>
      <c r="G6316" s="72"/>
      <c r="K6316" s="350"/>
    </row>
    <row r="6317" spans="1:11" x14ac:dyDescent="0.25">
      <c r="A6317" s="163"/>
      <c r="B6317" s="106"/>
      <c r="C6317" s="75"/>
      <c r="D6317" s="100" t="s">
        <v>226</v>
      </c>
      <c r="E6317" s="73"/>
      <c r="F6317" s="74" t="s">
        <v>3</v>
      </c>
      <c r="G6317" s="72">
        <f>0.1*0.06*5*8*1.04</f>
        <v>0.24959999999999999</v>
      </c>
      <c r="K6317" s="350"/>
    </row>
    <row r="6318" spans="1:11" x14ac:dyDescent="0.25">
      <c r="A6318" s="163"/>
      <c r="B6318" s="106"/>
      <c r="C6318" s="75"/>
      <c r="D6318" s="75" t="s">
        <v>2953</v>
      </c>
      <c r="E6318" s="73"/>
      <c r="F6318" s="74"/>
      <c r="G6318" s="72"/>
      <c r="K6318" s="350"/>
    </row>
    <row r="6319" spans="1:11" ht="15.75" thickBot="1" x14ac:dyDescent="0.3">
      <c r="A6319" s="67"/>
      <c r="B6319" s="86"/>
      <c r="C6319" s="235"/>
      <c r="D6319" s="104" t="s">
        <v>300</v>
      </c>
      <c r="E6319" s="68"/>
      <c r="F6319" s="82" t="s">
        <v>3</v>
      </c>
      <c r="G6319" s="83">
        <f>0.15*0.026*3*8*1.12</f>
        <v>0.10483199999999999</v>
      </c>
      <c r="K6319" s="350"/>
    </row>
    <row r="6320" spans="1:11" x14ac:dyDescent="0.25">
      <c r="A6320" s="159"/>
      <c r="B6320" s="181"/>
      <c r="C6320" s="184"/>
      <c r="D6320" s="124"/>
      <c r="E6320" s="93"/>
      <c r="F6320" s="175" t="s">
        <v>2991</v>
      </c>
      <c r="G6320" s="176"/>
      <c r="K6320" s="350"/>
    </row>
    <row r="6321" spans="1:11" x14ac:dyDescent="0.25">
      <c r="A6321" s="163"/>
      <c r="B6321" s="106"/>
      <c r="C6321" s="75" t="s">
        <v>2986</v>
      </c>
      <c r="D6321" s="100"/>
      <c r="E6321" s="73"/>
      <c r="F6321" s="74"/>
      <c r="G6321" s="72"/>
      <c r="K6321" s="351"/>
    </row>
    <row r="6322" spans="1:11" ht="17.25" x14ac:dyDescent="0.25">
      <c r="A6322" s="163"/>
      <c r="B6322" s="106"/>
      <c r="C6322" s="100" t="s">
        <v>2987</v>
      </c>
      <c r="D6322" s="100"/>
      <c r="E6322" s="73"/>
      <c r="F6322" s="74" t="s">
        <v>677</v>
      </c>
      <c r="G6322" s="148">
        <f>0.033*0.033</f>
        <v>1.0890000000000001E-3</v>
      </c>
      <c r="I6322" t="s">
        <v>2993</v>
      </c>
      <c r="K6322" s="351"/>
    </row>
    <row r="6323" spans="1:11" x14ac:dyDescent="0.25">
      <c r="A6323" s="163"/>
      <c r="B6323" s="106"/>
      <c r="C6323" s="75"/>
      <c r="D6323" s="100"/>
      <c r="E6323" s="73"/>
      <c r="F6323" s="74"/>
      <c r="G6323" s="72"/>
      <c r="K6323" s="351"/>
    </row>
    <row r="6324" spans="1:11" x14ac:dyDescent="0.25">
      <c r="A6324" s="163"/>
      <c r="B6324" s="106"/>
      <c r="C6324" s="75" t="s">
        <v>2988</v>
      </c>
      <c r="D6324" s="100"/>
      <c r="E6324" s="73"/>
      <c r="F6324" s="74"/>
      <c r="G6324" s="72"/>
      <c r="K6324" s="351"/>
    </row>
    <row r="6325" spans="1:11" ht="17.25" x14ac:dyDescent="0.25">
      <c r="A6325" s="163"/>
      <c r="B6325" s="106"/>
      <c r="C6325" s="100" t="s">
        <v>2987</v>
      </c>
      <c r="D6325" s="100"/>
      <c r="E6325" s="73"/>
      <c r="F6325" s="74" t="s">
        <v>677</v>
      </c>
      <c r="G6325" s="148">
        <f>0.016*0.016</f>
        <v>2.5599999999999999E-4</v>
      </c>
      <c r="I6325" t="s">
        <v>2994</v>
      </c>
      <c r="K6325" s="351"/>
    </row>
    <row r="6326" spans="1:11" x14ac:dyDescent="0.25">
      <c r="A6326" s="163"/>
      <c r="B6326" s="106"/>
      <c r="C6326" s="75"/>
      <c r="D6326" s="100"/>
      <c r="E6326" s="73"/>
      <c r="F6326" s="74"/>
      <c r="G6326" s="72"/>
      <c r="K6326" s="351"/>
    </row>
    <row r="6327" spans="1:11" x14ac:dyDescent="0.25">
      <c r="A6327" s="163"/>
      <c r="B6327" s="106"/>
      <c r="C6327" s="75" t="s">
        <v>2989</v>
      </c>
      <c r="D6327" s="100"/>
      <c r="E6327" s="73"/>
      <c r="F6327" s="74"/>
      <c r="G6327" s="72"/>
      <c r="K6327" s="351"/>
    </row>
    <row r="6328" spans="1:11" ht="17.25" x14ac:dyDescent="0.25">
      <c r="A6328" s="163"/>
      <c r="B6328" s="106"/>
      <c r="C6328" s="100" t="s">
        <v>2990</v>
      </c>
      <c r="D6328" s="100"/>
      <c r="E6328" s="73"/>
      <c r="F6328" s="74" t="s">
        <v>677</v>
      </c>
      <c r="G6328" s="148">
        <f>0.022*0.022</f>
        <v>4.8399999999999995E-4</v>
      </c>
      <c r="I6328" t="s">
        <v>2992</v>
      </c>
      <c r="K6328" s="351"/>
    </row>
    <row r="6329" spans="1:11" ht="15.75" thickBot="1" x14ac:dyDescent="0.3">
      <c r="C6329" s="77"/>
      <c r="D6329" s="75"/>
      <c r="F6329" s="74"/>
      <c r="I6329" s="357"/>
      <c r="K6329" s="393"/>
    </row>
    <row r="6330" spans="1:11" x14ac:dyDescent="0.25">
      <c r="A6330" s="159"/>
      <c r="B6330" s="181"/>
      <c r="C6330" s="65"/>
      <c r="D6330" s="184"/>
      <c r="E6330" s="93"/>
      <c r="F6330" s="175" t="s">
        <v>3357</v>
      </c>
      <c r="G6330" s="399"/>
      <c r="I6330" s="357"/>
      <c r="K6330" s="393"/>
    </row>
    <row r="6331" spans="1:11" ht="15.75" x14ac:dyDescent="0.25">
      <c r="A6331" s="163"/>
      <c r="B6331" s="106"/>
      <c r="C6331" s="77"/>
      <c r="D6331" s="75"/>
      <c r="E6331" s="352" t="s">
        <v>3355</v>
      </c>
      <c r="F6331" s="74"/>
      <c r="G6331" s="72"/>
      <c r="I6331" s="357"/>
      <c r="K6331" s="393"/>
    </row>
    <row r="6332" spans="1:11" x14ac:dyDescent="0.25">
      <c r="A6332" s="163"/>
      <c r="B6332" s="106"/>
      <c r="C6332" s="77"/>
      <c r="D6332" s="75"/>
      <c r="E6332" s="73"/>
      <c r="F6332" s="74"/>
      <c r="G6332" s="72"/>
      <c r="I6332" s="357"/>
      <c r="K6332" s="393"/>
    </row>
    <row r="6333" spans="1:11" x14ac:dyDescent="0.25">
      <c r="A6333" s="163"/>
      <c r="B6333" s="106"/>
      <c r="C6333" s="78" t="s">
        <v>3356</v>
      </c>
      <c r="D6333" s="75"/>
      <c r="E6333" s="73"/>
      <c r="F6333" s="74"/>
      <c r="G6333" s="72"/>
      <c r="I6333" s="357"/>
      <c r="K6333" s="393"/>
    </row>
    <row r="6334" spans="1:11" ht="15.75" thickBot="1" x14ac:dyDescent="0.3">
      <c r="A6334" s="163"/>
      <c r="B6334" s="86"/>
      <c r="C6334" s="170" t="s">
        <v>588</v>
      </c>
      <c r="D6334" s="235"/>
      <c r="E6334" s="68"/>
      <c r="F6334" s="82" t="s">
        <v>3</v>
      </c>
      <c r="G6334" s="83">
        <f>0.11*0.02*5*8*1.14</f>
        <v>0.10032000000000001</v>
      </c>
      <c r="I6334" s="357"/>
      <c r="K6334" s="393"/>
    </row>
    <row r="6335" spans="1:11" x14ac:dyDescent="0.25">
      <c r="A6335" s="159"/>
      <c r="B6335" s="181"/>
      <c r="C6335" s="65"/>
      <c r="D6335" s="184"/>
      <c r="E6335" s="93"/>
      <c r="F6335" s="160"/>
      <c r="G6335" s="90"/>
      <c r="I6335" s="357"/>
      <c r="K6335" s="393"/>
    </row>
    <row r="6336" spans="1:11" ht="15.75" x14ac:dyDescent="0.25">
      <c r="A6336" s="163"/>
      <c r="B6336" s="106"/>
      <c r="C6336" s="77"/>
      <c r="D6336" s="75"/>
      <c r="E6336" s="352" t="s">
        <v>3360</v>
      </c>
      <c r="F6336" s="74"/>
      <c r="G6336" s="72"/>
      <c r="I6336" s="357"/>
      <c r="K6336" s="394"/>
    </row>
    <row r="6337" spans="1:11" x14ac:dyDescent="0.25">
      <c r="A6337" s="163"/>
      <c r="B6337" s="106"/>
      <c r="C6337" s="77"/>
      <c r="D6337" s="75"/>
      <c r="E6337" s="73"/>
      <c r="F6337" s="74"/>
      <c r="G6337" s="72"/>
      <c r="I6337" s="357"/>
      <c r="K6337" s="394"/>
    </row>
    <row r="6338" spans="1:11" x14ac:dyDescent="0.25">
      <c r="A6338" s="163"/>
      <c r="B6338" s="106"/>
      <c r="C6338" s="78" t="s">
        <v>3358</v>
      </c>
      <c r="D6338" s="75"/>
      <c r="E6338" s="73"/>
      <c r="F6338" s="74"/>
      <c r="G6338" s="72"/>
      <c r="I6338" s="357"/>
      <c r="K6338" s="393"/>
    </row>
    <row r="6339" spans="1:11" ht="60" x14ac:dyDescent="0.25">
      <c r="A6339" s="163"/>
      <c r="B6339" s="106"/>
      <c r="C6339" s="77" t="s">
        <v>2265</v>
      </c>
      <c r="D6339" s="75"/>
      <c r="E6339" s="73"/>
      <c r="F6339" s="74" t="s">
        <v>3</v>
      </c>
      <c r="G6339" s="72">
        <v>0.08</v>
      </c>
      <c r="I6339" s="357" t="s">
        <v>3359</v>
      </c>
      <c r="K6339" s="393"/>
    </row>
    <row r="6340" spans="1:11" ht="15.75" thickBot="1" x14ac:dyDescent="0.3">
      <c r="A6340" s="67"/>
      <c r="B6340" s="86"/>
      <c r="C6340" s="170"/>
      <c r="D6340" s="235"/>
      <c r="E6340" s="68"/>
      <c r="F6340" s="82"/>
      <c r="G6340" s="83"/>
      <c r="I6340" s="357"/>
      <c r="K6340" s="395"/>
    </row>
    <row r="6341" spans="1:11" ht="15.75" x14ac:dyDescent="0.25">
      <c r="A6341" s="163"/>
      <c r="B6341" s="181"/>
      <c r="C6341" s="65"/>
      <c r="D6341" s="184"/>
      <c r="E6341" s="397" t="s">
        <v>3363</v>
      </c>
      <c r="F6341" s="175" t="s">
        <v>3362</v>
      </c>
      <c r="G6341" s="176"/>
      <c r="I6341" s="357"/>
      <c r="K6341" s="395"/>
    </row>
    <row r="6342" spans="1:11" x14ac:dyDescent="0.25">
      <c r="A6342" s="163"/>
      <c r="B6342" s="106"/>
      <c r="C6342" s="73"/>
      <c r="D6342" s="73"/>
      <c r="E6342" s="73"/>
      <c r="F6342" s="74"/>
      <c r="G6342" s="72"/>
      <c r="I6342" s="357"/>
      <c r="K6342" s="393"/>
    </row>
    <row r="6343" spans="1:11" x14ac:dyDescent="0.25">
      <c r="A6343" s="163"/>
      <c r="B6343" s="106"/>
      <c r="C6343" s="75" t="s">
        <v>2307</v>
      </c>
      <c r="D6343" s="73"/>
      <c r="E6343" s="74"/>
      <c r="F6343" s="74"/>
      <c r="G6343" s="72"/>
      <c r="I6343" s="357"/>
      <c r="K6343" s="393"/>
    </row>
    <row r="6344" spans="1:11" x14ac:dyDescent="0.25">
      <c r="A6344" s="163"/>
      <c r="B6344" s="106"/>
      <c r="C6344" s="73"/>
      <c r="D6344" s="77" t="s">
        <v>1054</v>
      </c>
      <c r="E6344" s="73"/>
      <c r="F6344" s="152" t="s">
        <v>3</v>
      </c>
      <c r="G6344" s="72">
        <f>6*0.08*1.355</f>
        <v>0.65039999999999998</v>
      </c>
      <c r="I6344" s="357"/>
      <c r="K6344" s="393"/>
    </row>
    <row r="6345" spans="1:11" ht="17.25" x14ac:dyDescent="0.25">
      <c r="A6345" s="163"/>
      <c r="B6345" s="106"/>
      <c r="C6345" s="73"/>
      <c r="D6345" s="73" t="s">
        <v>1055</v>
      </c>
      <c r="E6345" s="73"/>
      <c r="F6345" s="152" t="s">
        <v>596</v>
      </c>
      <c r="G6345" s="72">
        <f>G6344*1.1</f>
        <v>0.71544000000000008</v>
      </c>
      <c r="I6345" s="357"/>
      <c r="K6345" s="393"/>
    </row>
    <row r="6346" spans="1:11" x14ac:dyDescent="0.25">
      <c r="A6346" s="163"/>
      <c r="B6346" s="106"/>
      <c r="C6346" s="73"/>
      <c r="D6346" s="77" t="s">
        <v>8</v>
      </c>
      <c r="E6346" s="73"/>
      <c r="F6346" s="152" t="s">
        <v>3</v>
      </c>
      <c r="G6346" s="72">
        <f>G6348*0.938</f>
        <v>0.29996114400000001</v>
      </c>
      <c r="I6346" s="357"/>
      <c r="K6346" s="393"/>
    </row>
    <row r="6347" spans="1:11" x14ac:dyDescent="0.25">
      <c r="A6347" s="163"/>
      <c r="B6347" s="106"/>
      <c r="C6347" s="73"/>
      <c r="D6347" s="77" t="s">
        <v>12</v>
      </c>
      <c r="E6347" s="73"/>
      <c r="F6347" s="152" t="s">
        <v>3</v>
      </c>
      <c r="G6347" s="72">
        <f>0.3*G6346</f>
        <v>8.9988343200000001E-2</v>
      </c>
      <c r="I6347" s="357"/>
      <c r="K6347" s="393"/>
    </row>
    <row r="6348" spans="1:11" x14ac:dyDescent="0.25">
      <c r="A6348" s="163"/>
      <c r="B6348" s="106"/>
      <c r="C6348" s="73"/>
      <c r="D6348" s="77" t="s">
        <v>72</v>
      </c>
      <c r="E6348" s="73"/>
      <c r="F6348" s="152" t="s">
        <v>3</v>
      </c>
      <c r="G6348" s="72">
        <f>0.84*0.54*2*0.15*2*1.175</f>
        <v>0.31978800000000002</v>
      </c>
      <c r="I6348" s="357"/>
      <c r="K6348" s="393"/>
    </row>
    <row r="6349" spans="1:11" x14ac:dyDescent="0.25">
      <c r="A6349" s="163"/>
      <c r="B6349" s="106"/>
      <c r="C6349" s="73"/>
      <c r="D6349" s="77" t="s">
        <v>11</v>
      </c>
      <c r="E6349" s="73"/>
      <c r="F6349" s="152" t="s">
        <v>3</v>
      </c>
      <c r="G6349" s="72">
        <f>0.3*G6348</f>
        <v>9.5936400000000005E-2</v>
      </c>
      <c r="I6349" s="357"/>
      <c r="K6349" s="393"/>
    </row>
    <row r="6350" spans="1:11" x14ac:dyDescent="0.25">
      <c r="A6350" s="163"/>
      <c r="B6350" s="106"/>
      <c r="C6350" s="77"/>
      <c r="D6350" s="75"/>
      <c r="E6350" s="73"/>
      <c r="F6350" s="74"/>
      <c r="G6350" s="72"/>
      <c r="I6350" s="357"/>
      <c r="K6350" s="393"/>
    </row>
    <row r="6351" spans="1:11" x14ac:dyDescent="0.25">
      <c r="A6351" s="163"/>
      <c r="B6351" s="106"/>
      <c r="C6351" s="75" t="s">
        <v>2319</v>
      </c>
      <c r="D6351" s="73"/>
      <c r="E6351" s="74"/>
      <c r="F6351" s="74"/>
      <c r="G6351" s="72"/>
      <c r="I6351" s="357"/>
      <c r="K6351" s="393"/>
    </row>
    <row r="6352" spans="1:11" x14ac:dyDescent="0.25">
      <c r="A6352" s="163"/>
      <c r="B6352" s="106"/>
      <c r="C6352" s="73"/>
      <c r="D6352" s="73" t="s">
        <v>1143</v>
      </c>
      <c r="E6352" s="73"/>
      <c r="F6352" s="74" t="s">
        <v>3</v>
      </c>
      <c r="G6352" s="72">
        <f>0.235*0.022*3*8*1.125</f>
        <v>0.13958999999999999</v>
      </c>
      <c r="I6352" s="357"/>
      <c r="K6352" s="393"/>
    </row>
    <row r="6353" spans="1:11" x14ac:dyDescent="0.25">
      <c r="A6353" s="163"/>
      <c r="B6353" s="106"/>
      <c r="C6353" s="73"/>
      <c r="D6353" s="73" t="s">
        <v>8</v>
      </c>
      <c r="E6353" s="73"/>
      <c r="F6353" s="74" t="s">
        <v>3</v>
      </c>
      <c r="G6353" s="72">
        <f>G6355*0.8</f>
        <v>6.8999999999999999E-3</v>
      </c>
      <c r="I6353" s="357"/>
      <c r="K6353" s="393"/>
    </row>
    <row r="6354" spans="1:11" x14ac:dyDescent="0.25">
      <c r="A6354" s="163"/>
      <c r="B6354" s="106"/>
      <c r="C6354" s="73"/>
      <c r="D6354" s="73" t="s">
        <v>12</v>
      </c>
      <c r="E6354" s="73"/>
      <c r="F6354" s="74" t="s">
        <v>3</v>
      </c>
      <c r="G6354" s="72">
        <f>0.3*G6353</f>
        <v>2.0699999999999998E-3</v>
      </c>
      <c r="I6354" s="357"/>
      <c r="K6354" s="393"/>
    </row>
    <row r="6355" spans="1:11" x14ac:dyDescent="0.25">
      <c r="A6355" s="163"/>
      <c r="B6355" s="106"/>
      <c r="C6355" s="73"/>
      <c r="D6355" s="73" t="s">
        <v>72</v>
      </c>
      <c r="E6355" s="73"/>
      <c r="F6355" s="74" t="s">
        <v>3</v>
      </c>
      <c r="G6355" s="72">
        <f>0.25*0.05*2*0.15*2*1.15</f>
        <v>8.624999999999999E-3</v>
      </c>
      <c r="I6355" s="357"/>
      <c r="K6355" s="393"/>
    </row>
    <row r="6356" spans="1:11" x14ac:dyDescent="0.25">
      <c r="A6356" s="163"/>
      <c r="B6356" s="106"/>
      <c r="C6356" s="73"/>
      <c r="D6356" s="73" t="s">
        <v>11</v>
      </c>
      <c r="E6356" s="73"/>
      <c r="F6356" s="74" t="s">
        <v>3</v>
      </c>
      <c r="G6356" s="72">
        <f>0.3*G6355</f>
        <v>2.5874999999999995E-3</v>
      </c>
      <c r="I6356" s="357"/>
      <c r="K6356" s="393"/>
    </row>
    <row r="6357" spans="1:11" x14ac:dyDescent="0.25">
      <c r="A6357" s="163"/>
      <c r="B6357" s="106"/>
      <c r="C6357" s="77"/>
      <c r="D6357" s="75"/>
      <c r="E6357" s="73"/>
      <c r="F6357" s="74"/>
      <c r="G6357" s="72"/>
      <c r="I6357" s="357"/>
      <c r="K6357" s="393"/>
    </row>
    <row r="6358" spans="1:11" x14ac:dyDescent="0.25">
      <c r="A6358" s="163"/>
      <c r="B6358" s="106"/>
      <c r="C6358" s="78" t="s">
        <v>3361</v>
      </c>
      <c r="D6358" s="75"/>
      <c r="E6358" s="73"/>
      <c r="F6358" s="74"/>
      <c r="G6358" s="72"/>
      <c r="I6358" s="357"/>
      <c r="K6358" s="393"/>
    </row>
    <row r="6359" spans="1:11" x14ac:dyDescent="0.25">
      <c r="A6359" s="163"/>
      <c r="B6359" s="106"/>
      <c r="C6359" s="73"/>
      <c r="D6359" s="398" t="s">
        <v>3266</v>
      </c>
      <c r="E6359" s="73"/>
      <c r="F6359" s="74" t="s">
        <v>3</v>
      </c>
      <c r="G6359" s="72">
        <f>1.36*0.62*12.76*1.1618</f>
        <v>12.5000757376</v>
      </c>
      <c r="I6359" s="357"/>
      <c r="K6359" s="393"/>
    </row>
    <row r="6360" spans="1:11" ht="15.75" thickBot="1" x14ac:dyDescent="0.3">
      <c r="A6360" s="67"/>
      <c r="B6360" s="86"/>
      <c r="C6360" s="170"/>
      <c r="D6360" s="235"/>
      <c r="E6360" s="68"/>
      <c r="F6360" s="82"/>
      <c r="G6360" s="83"/>
      <c r="I6360" s="357"/>
      <c r="K6360" s="393"/>
    </row>
    <row r="6361" spans="1:11" x14ac:dyDescent="0.25">
      <c r="A6361" s="159"/>
      <c r="B6361" s="181"/>
      <c r="C6361" s="184"/>
      <c r="D6361" s="124"/>
      <c r="E6361" s="93"/>
      <c r="F6361" s="175" t="s">
        <v>3258</v>
      </c>
      <c r="G6361" s="176"/>
      <c r="K6361" s="351"/>
    </row>
    <row r="6362" spans="1:11" ht="18.75" x14ac:dyDescent="0.3">
      <c r="A6362" s="163"/>
      <c r="B6362" s="106"/>
      <c r="C6362" s="75"/>
      <c r="D6362" s="100"/>
      <c r="E6362" s="290" t="s">
        <v>3000</v>
      </c>
      <c r="F6362" s="74"/>
      <c r="G6362" s="72"/>
      <c r="K6362" s="355"/>
    </row>
    <row r="6363" spans="1:11" x14ac:dyDescent="0.25">
      <c r="A6363" s="163"/>
      <c r="B6363" s="106"/>
      <c r="C6363" s="75"/>
      <c r="D6363" s="100"/>
      <c r="E6363" s="73"/>
      <c r="F6363" s="74"/>
      <c r="G6363" s="72"/>
      <c r="K6363" s="351"/>
    </row>
    <row r="6364" spans="1:11" x14ac:dyDescent="0.25">
      <c r="A6364" s="163"/>
      <c r="B6364" s="106"/>
      <c r="C6364" s="75" t="s">
        <v>2995</v>
      </c>
      <c r="D6364" s="100"/>
      <c r="E6364" s="73"/>
      <c r="F6364" s="74"/>
      <c r="G6364" s="72"/>
      <c r="K6364" s="351"/>
    </row>
    <row r="6365" spans="1:11" ht="105" x14ac:dyDescent="0.25">
      <c r="A6365" s="163"/>
      <c r="B6365" s="106"/>
      <c r="C6365" s="75"/>
      <c r="D6365" s="100" t="s">
        <v>2996</v>
      </c>
      <c r="E6365" s="73"/>
      <c r="F6365" s="74" t="s">
        <v>3</v>
      </c>
      <c r="G6365" s="72">
        <f>0.09*0.032*5*8*1.125</f>
        <v>0.12959999999999999</v>
      </c>
      <c r="I6365" s="357" t="s">
        <v>2560</v>
      </c>
      <c r="J6365" s="13" t="s">
        <v>99</v>
      </c>
      <c r="K6365" s="351"/>
    </row>
    <row r="6366" spans="1:11" ht="105" x14ac:dyDescent="0.25">
      <c r="A6366" s="163"/>
      <c r="B6366" s="106"/>
      <c r="C6366" s="75"/>
      <c r="D6366" s="100"/>
      <c r="E6366" s="73"/>
      <c r="F6366" s="74"/>
      <c r="G6366" s="72"/>
      <c r="I6366" s="357" t="s">
        <v>2559</v>
      </c>
      <c r="J6366" s="13" t="s">
        <v>99</v>
      </c>
      <c r="K6366" s="351"/>
    </row>
    <row r="6367" spans="1:11" x14ac:dyDescent="0.25">
      <c r="A6367" s="163"/>
      <c r="B6367" s="106"/>
      <c r="C6367" s="75" t="s">
        <v>2997</v>
      </c>
      <c r="D6367" s="100"/>
      <c r="E6367" s="73"/>
      <c r="F6367" s="74"/>
      <c r="G6367" s="72"/>
      <c r="K6367" s="351"/>
    </row>
    <row r="6368" spans="1:11" x14ac:dyDescent="0.25">
      <c r="A6368" s="163"/>
      <c r="B6368" s="106"/>
      <c r="C6368" s="100" t="s">
        <v>143</v>
      </c>
      <c r="D6368" s="100"/>
      <c r="E6368" s="73"/>
      <c r="F6368" s="74" t="s">
        <v>3</v>
      </c>
      <c r="G6368" s="72">
        <f>G6369</f>
        <v>3.4749000000000009E-2</v>
      </c>
      <c r="K6368" s="351"/>
    </row>
    <row r="6369" spans="1:12" x14ac:dyDescent="0.25">
      <c r="A6369" s="163"/>
      <c r="B6369" s="106"/>
      <c r="C6369" s="100" t="s">
        <v>8</v>
      </c>
      <c r="D6369" s="100"/>
      <c r="E6369" s="73"/>
      <c r="F6369" s="74" t="s">
        <v>3</v>
      </c>
      <c r="G6369" s="72">
        <f>G6370*0.78</f>
        <v>3.4749000000000009E-2</v>
      </c>
      <c r="K6369" s="351"/>
    </row>
    <row r="6370" spans="1:12" x14ac:dyDescent="0.25">
      <c r="A6370" s="163"/>
      <c r="B6370" s="106"/>
      <c r="C6370" s="100" t="s">
        <v>148</v>
      </c>
      <c r="D6370" s="100"/>
      <c r="E6370" s="73"/>
      <c r="F6370" s="74" t="s">
        <v>3</v>
      </c>
      <c r="G6370" s="72">
        <f>0.011*2*1.5*1.35</f>
        <v>4.4550000000000006E-2</v>
      </c>
      <c r="K6370" s="351"/>
    </row>
    <row r="6371" spans="1:12" x14ac:dyDescent="0.25">
      <c r="A6371" s="163"/>
      <c r="B6371" s="106"/>
      <c r="C6371" s="100" t="s">
        <v>12</v>
      </c>
      <c r="D6371" s="100"/>
      <c r="E6371" s="73"/>
      <c r="F6371" s="74" t="s">
        <v>3</v>
      </c>
      <c r="G6371" s="72">
        <f>0.3*(G6370+G6369+G6368)</f>
        <v>3.4214399999999999E-2</v>
      </c>
      <c r="K6371" s="351"/>
    </row>
    <row r="6372" spans="1:12" x14ac:dyDescent="0.25">
      <c r="A6372" s="163"/>
      <c r="B6372" s="106"/>
      <c r="C6372" s="73" t="s">
        <v>141</v>
      </c>
      <c r="D6372" s="73"/>
      <c r="E6372" s="73"/>
      <c r="F6372" s="74" t="s">
        <v>3</v>
      </c>
      <c r="G6372" s="72">
        <f>0.01*3.14*0.08*1.2*2</f>
        <v>6.0288000000000008E-3</v>
      </c>
      <c r="K6372" s="351"/>
    </row>
    <row r="6373" spans="1:12" ht="17.25" x14ac:dyDescent="0.25">
      <c r="A6373" s="163"/>
      <c r="B6373" s="106"/>
      <c r="C6373" s="73" t="s">
        <v>23</v>
      </c>
      <c r="D6373" s="73"/>
      <c r="E6373" s="73"/>
      <c r="F6373" s="74" t="s">
        <v>596</v>
      </c>
      <c r="G6373" s="72">
        <f>G6372*2</f>
        <v>1.2057600000000002E-2</v>
      </c>
      <c r="K6373" s="355"/>
    </row>
    <row r="6374" spans="1:12" x14ac:dyDescent="0.25">
      <c r="A6374" s="163"/>
      <c r="B6374" s="106"/>
      <c r="C6374" s="73" t="s">
        <v>142</v>
      </c>
      <c r="D6374" s="73"/>
      <c r="E6374" s="73"/>
      <c r="F6374" s="74" t="s">
        <v>3</v>
      </c>
      <c r="G6374" s="72">
        <f>G6372/4</f>
        <v>1.5072000000000002E-3</v>
      </c>
      <c r="K6374" s="351"/>
    </row>
    <row r="6375" spans="1:12" x14ac:dyDescent="0.25">
      <c r="A6375" s="163"/>
      <c r="B6375" s="106"/>
      <c r="C6375" s="75"/>
      <c r="D6375" s="75" t="s">
        <v>2998</v>
      </c>
      <c r="E6375" s="73"/>
      <c r="F6375" s="74"/>
      <c r="G6375" s="72"/>
      <c r="K6375" s="351"/>
    </row>
    <row r="6376" spans="1:12" x14ac:dyDescent="0.25">
      <c r="A6376" s="163"/>
      <c r="B6376" s="106"/>
      <c r="C6376" s="75"/>
      <c r="D6376" s="100" t="s">
        <v>480</v>
      </c>
      <c r="E6376" s="73"/>
      <c r="F6376" s="74" t="s">
        <v>3</v>
      </c>
      <c r="G6376" s="72">
        <v>0.28000000000000003</v>
      </c>
      <c r="I6376" t="s">
        <v>2999</v>
      </c>
      <c r="K6376" s="351"/>
    </row>
    <row r="6377" spans="1:12" x14ac:dyDescent="0.25">
      <c r="A6377" s="163"/>
      <c r="B6377" s="106"/>
      <c r="C6377" s="75"/>
      <c r="D6377" s="100"/>
      <c r="E6377" s="73"/>
      <c r="F6377" s="74"/>
      <c r="G6377" s="72"/>
      <c r="K6377" s="351"/>
    </row>
    <row r="6378" spans="1:12" x14ac:dyDescent="0.25">
      <c r="A6378" s="163"/>
      <c r="B6378" s="106"/>
      <c r="C6378" s="75" t="s">
        <v>2410</v>
      </c>
      <c r="D6378" s="100"/>
      <c r="E6378" s="73"/>
      <c r="F6378" s="74"/>
      <c r="G6378" s="72"/>
      <c r="K6378" s="355"/>
    </row>
    <row r="6379" spans="1:12" x14ac:dyDescent="0.25">
      <c r="A6379" s="163"/>
      <c r="B6379" s="106"/>
      <c r="C6379" s="100" t="s">
        <v>3001</v>
      </c>
      <c r="D6379" s="100"/>
      <c r="E6379" s="73"/>
      <c r="F6379" s="74" t="s">
        <v>3</v>
      </c>
      <c r="G6379" s="72">
        <v>2E-3</v>
      </c>
      <c r="I6379" t="s">
        <v>3002</v>
      </c>
      <c r="K6379" s="355"/>
    </row>
    <row r="6380" spans="1:12" x14ac:dyDescent="0.25">
      <c r="A6380" s="163"/>
      <c r="B6380" s="106"/>
      <c r="C6380" s="100" t="s">
        <v>2413</v>
      </c>
      <c r="D6380" s="100"/>
      <c r="E6380" s="73"/>
      <c r="F6380" s="74" t="s">
        <v>195</v>
      </c>
      <c r="G6380" s="72">
        <v>0.2</v>
      </c>
      <c r="I6380" t="s">
        <v>1223</v>
      </c>
      <c r="K6380" s="355"/>
      <c r="L6380" s="2"/>
    </row>
    <row r="6381" spans="1:12" x14ac:dyDescent="0.25">
      <c r="A6381" s="163"/>
      <c r="B6381" s="106"/>
      <c r="C6381" s="100" t="s">
        <v>3003</v>
      </c>
      <c r="D6381" s="100"/>
      <c r="E6381" s="73"/>
      <c r="F6381" s="74" t="s">
        <v>3</v>
      </c>
      <c r="G6381" s="72">
        <v>1E-3</v>
      </c>
      <c r="K6381" s="355"/>
    </row>
    <row r="6382" spans="1:12" x14ac:dyDescent="0.25">
      <c r="A6382" s="163"/>
      <c r="B6382" s="106"/>
      <c r="C6382" s="100" t="s">
        <v>114</v>
      </c>
      <c r="D6382" s="100"/>
      <c r="E6382" s="73"/>
      <c r="F6382" s="74" t="s">
        <v>3</v>
      </c>
      <c r="G6382" s="72">
        <f>G6384</f>
        <v>4.2899999999999995E-3</v>
      </c>
      <c r="K6382" s="355"/>
    </row>
    <row r="6383" spans="1:12" x14ac:dyDescent="0.25">
      <c r="A6383" s="163"/>
      <c r="B6383" s="106"/>
      <c r="C6383" s="100" t="s">
        <v>164</v>
      </c>
      <c r="D6383" s="100"/>
      <c r="E6383" s="73"/>
      <c r="F6383" s="74" t="s">
        <v>3</v>
      </c>
      <c r="G6383" s="72">
        <f>0.3*G6382</f>
        <v>1.2869999999999997E-3</v>
      </c>
      <c r="K6383" s="355"/>
    </row>
    <row r="6384" spans="1:12" x14ac:dyDescent="0.25">
      <c r="A6384" s="163"/>
      <c r="B6384" s="106"/>
      <c r="C6384" s="100" t="s">
        <v>500</v>
      </c>
      <c r="D6384" s="100"/>
      <c r="E6384" s="73"/>
      <c r="F6384" s="74" t="s">
        <v>3</v>
      </c>
      <c r="G6384" s="72">
        <f>0.15*0.011*2*1.3</f>
        <v>4.2899999999999995E-3</v>
      </c>
      <c r="K6384" s="355"/>
    </row>
    <row r="6385" spans="1:11" x14ac:dyDescent="0.25">
      <c r="A6385" s="163"/>
      <c r="B6385" s="106"/>
      <c r="C6385" s="100" t="s">
        <v>12</v>
      </c>
      <c r="D6385" s="100"/>
      <c r="E6385" s="73"/>
      <c r="F6385" s="74" t="s">
        <v>3</v>
      </c>
      <c r="G6385" s="72">
        <f>0.3*G6384</f>
        <v>1.2869999999999997E-3</v>
      </c>
      <c r="K6385" s="355"/>
    </row>
    <row r="6386" spans="1:11" x14ac:dyDescent="0.25">
      <c r="A6386" s="163"/>
      <c r="B6386" s="106"/>
      <c r="C6386" s="100" t="s">
        <v>3004</v>
      </c>
      <c r="D6386" s="100"/>
      <c r="E6386" s="73"/>
      <c r="F6386" s="74" t="s">
        <v>3</v>
      </c>
      <c r="G6386" s="72">
        <f>0.008*3.14*0.08*2*1.2</f>
        <v>4.8230399999999998E-3</v>
      </c>
      <c r="K6386" s="355"/>
    </row>
    <row r="6387" spans="1:11" ht="17.25" x14ac:dyDescent="0.25">
      <c r="A6387" s="163"/>
      <c r="B6387" s="106"/>
      <c r="C6387" s="100" t="s">
        <v>168</v>
      </c>
      <c r="D6387" s="100"/>
      <c r="E6387" s="73"/>
      <c r="F6387" s="74" t="s">
        <v>596</v>
      </c>
      <c r="G6387" s="72">
        <f>G6386</f>
        <v>4.8230399999999998E-3</v>
      </c>
      <c r="K6387" s="355"/>
    </row>
    <row r="6388" spans="1:11" x14ac:dyDescent="0.25">
      <c r="A6388" s="163"/>
      <c r="B6388" s="106"/>
      <c r="C6388" s="75"/>
      <c r="D6388" s="75" t="s">
        <v>3005</v>
      </c>
      <c r="E6388" s="73"/>
      <c r="F6388" s="74"/>
      <c r="G6388" s="72"/>
      <c r="K6388" s="355"/>
    </row>
    <row r="6389" spans="1:11" x14ac:dyDescent="0.25">
      <c r="A6389" s="163"/>
      <c r="B6389" s="106"/>
      <c r="C6389" s="75"/>
      <c r="D6389" s="100" t="s">
        <v>3006</v>
      </c>
      <c r="E6389" s="73"/>
      <c r="F6389" s="74" t="s">
        <v>3</v>
      </c>
      <c r="G6389" s="72">
        <v>0.03</v>
      </c>
      <c r="I6389" t="s">
        <v>3007</v>
      </c>
      <c r="K6389" s="355"/>
    </row>
    <row r="6390" spans="1:11" x14ac:dyDescent="0.25">
      <c r="A6390" s="163"/>
      <c r="B6390" s="106"/>
      <c r="C6390" s="75"/>
      <c r="D6390" s="100"/>
      <c r="E6390" s="73"/>
      <c r="F6390" s="74"/>
      <c r="G6390" s="72"/>
      <c r="K6390" s="355"/>
    </row>
    <row r="6391" spans="1:11" x14ac:dyDescent="0.25">
      <c r="A6391" s="163"/>
      <c r="B6391" s="106"/>
      <c r="C6391" s="75" t="s">
        <v>3008</v>
      </c>
      <c r="D6391" s="100"/>
      <c r="E6391" s="73"/>
      <c r="F6391" s="74"/>
      <c r="G6391" s="72"/>
      <c r="K6391" s="355"/>
    </row>
    <row r="6392" spans="1:11" x14ac:dyDescent="0.25">
      <c r="A6392" s="163"/>
      <c r="B6392" s="106"/>
      <c r="C6392" s="100" t="s">
        <v>3009</v>
      </c>
      <c r="D6392" s="100"/>
      <c r="E6392" s="73"/>
      <c r="F6392" s="74" t="s">
        <v>3</v>
      </c>
      <c r="G6392" s="72">
        <v>1.35</v>
      </c>
      <c r="I6392" t="s">
        <v>3010</v>
      </c>
      <c r="K6392" s="355"/>
    </row>
    <row r="6393" spans="1:11" x14ac:dyDescent="0.25">
      <c r="A6393" s="163"/>
      <c r="B6393" s="106"/>
      <c r="C6393" s="75"/>
      <c r="D6393" s="100"/>
      <c r="E6393" s="73"/>
      <c r="F6393" s="74"/>
      <c r="G6393" s="72"/>
      <c r="K6393" s="355"/>
    </row>
    <row r="6394" spans="1:11" x14ac:dyDescent="0.25">
      <c r="A6394" s="163"/>
      <c r="B6394" s="106"/>
      <c r="C6394" s="75" t="s">
        <v>3011</v>
      </c>
      <c r="D6394" s="100"/>
      <c r="E6394" s="73"/>
      <c r="F6394" s="74"/>
      <c r="G6394" s="72"/>
      <c r="K6394" s="355"/>
    </row>
    <row r="6395" spans="1:11" x14ac:dyDescent="0.25">
      <c r="A6395" s="163"/>
      <c r="B6395" s="106"/>
      <c r="C6395" s="100" t="s">
        <v>3017</v>
      </c>
      <c r="D6395" s="100"/>
      <c r="E6395" s="73"/>
      <c r="F6395" s="74" t="s">
        <v>1516</v>
      </c>
      <c r="G6395" s="72">
        <v>2</v>
      </c>
      <c r="K6395" s="356"/>
    </row>
    <row r="6396" spans="1:11" x14ac:dyDescent="0.25">
      <c r="A6396" s="163"/>
      <c r="B6396" s="106"/>
      <c r="C6396" s="100" t="s">
        <v>3018</v>
      </c>
      <c r="D6396" s="100"/>
      <c r="E6396" s="73"/>
      <c r="F6396" s="74" t="s">
        <v>1516</v>
      </c>
      <c r="G6396" s="72">
        <v>2</v>
      </c>
      <c r="K6396" s="356"/>
    </row>
    <row r="6397" spans="1:11" x14ac:dyDescent="0.25">
      <c r="A6397" s="163"/>
      <c r="B6397" s="106"/>
      <c r="C6397" s="73" t="s">
        <v>167</v>
      </c>
      <c r="D6397" s="73"/>
      <c r="E6397" s="73"/>
      <c r="F6397" s="74" t="s">
        <v>3</v>
      </c>
      <c r="G6397" s="72">
        <f>1.2*0.04*1.25</f>
        <v>0.06</v>
      </c>
      <c r="H6397" s="10"/>
      <c r="K6397" s="355"/>
    </row>
    <row r="6398" spans="1:11" ht="17.25" x14ac:dyDescent="0.25">
      <c r="A6398" s="163"/>
      <c r="B6398" s="106"/>
      <c r="C6398" s="73" t="s">
        <v>168</v>
      </c>
      <c r="D6398" s="73"/>
      <c r="E6398" s="73"/>
      <c r="F6398" s="74" t="s">
        <v>596</v>
      </c>
      <c r="G6398" s="72">
        <f>1.1*G6397</f>
        <v>6.6000000000000003E-2</v>
      </c>
      <c r="K6398" s="355"/>
    </row>
    <row r="6399" spans="1:11" x14ac:dyDescent="0.25">
      <c r="A6399" s="163"/>
      <c r="B6399" s="106"/>
      <c r="C6399" s="100" t="s">
        <v>3012</v>
      </c>
      <c r="D6399" s="100"/>
      <c r="E6399" s="73"/>
      <c r="F6399" s="74" t="s">
        <v>3</v>
      </c>
      <c r="G6399" s="72">
        <f>0.16*0.04*0.2*4*1.5</f>
        <v>7.6800000000000011E-3</v>
      </c>
      <c r="K6399" s="355"/>
    </row>
    <row r="6400" spans="1:11" x14ac:dyDescent="0.25">
      <c r="A6400" s="163"/>
      <c r="B6400" s="106"/>
      <c r="C6400" s="100" t="s">
        <v>163</v>
      </c>
      <c r="D6400" s="100"/>
      <c r="E6400" s="73"/>
      <c r="F6400" s="74" t="s">
        <v>3</v>
      </c>
      <c r="G6400" s="72">
        <f>(0.3*0.265*2+0.07*0.26*2+0.06*0.3)*0.15*1.55</f>
        <v>4.96155E-2</v>
      </c>
      <c r="K6400" s="355"/>
    </row>
    <row r="6401" spans="1:11" x14ac:dyDescent="0.25">
      <c r="A6401" s="163"/>
      <c r="B6401" s="106"/>
      <c r="C6401" s="100" t="s">
        <v>164</v>
      </c>
      <c r="D6401" s="100"/>
      <c r="E6401" s="73"/>
      <c r="F6401" s="74" t="s">
        <v>3</v>
      </c>
      <c r="G6401" s="72">
        <f>0.3*G6400</f>
        <v>1.4884649999999999E-2</v>
      </c>
      <c r="K6401" s="355"/>
    </row>
    <row r="6402" spans="1:11" x14ac:dyDescent="0.25">
      <c r="A6402" s="163"/>
      <c r="B6402" s="106"/>
      <c r="C6402" s="100" t="s">
        <v>36</v>
      </c>
      <c r="D6402" s="100"/>
      <c r="E6402" s="73"/>
      <c r="F6402" s="74" t="s">
        <v>3</v>
      </c>
      <c r="G6402" s="72">
        <f>(0.3*0.265*2+0.07*0.26*2+0.06*0.3)*0.18*2*1.17</f>
        <v>8.9884080000000005E-2</v>
      </c>
      <c r="K6402" s="355"/>
    </row>
    <row r="6403" spans="1:11" x14ac:dyDescent="0.25">
      <c r="A6403" s="163"/>
      <c r="B6403" s="106"/>
      <c r="C6403" s="100" t="s">
        <v>12</v>
      </c>
      <c r="D6403" s="100"/>
      <c r="E6403" s="73"/>
      <c r="F6403" s="74" t="s">
        <v>3</v>
      </c>
      <c r="G6403" s="72">
        <f>0.3*G6402</f>
        <v>2.6965223999999999E-2</v>
      </c>
      <c r="K6403" s="355"/>
    </row>
    <row r="6404" spans="1:11" x14ac:dyDescent="0.25">
      <c r="A6404" s="163"/>
      <c r="B6404" s="106"/>
      <c r="C6404" s="75"/>
      <c r="D6404" s="75" t="s">
        <v>3013</v>
      </c>
      <c r="E6404" s="73"/>
      <c r="F6404" s="74"/>
      <c r="G6404" s="72"/>
      <c r="K6404" s="355"/>
    </row>
    <row r="6405" spans="1:11" x14ac:dyDescent="0.25">
      <c r="A6405" s="163"/>
      <c r="B6405" s="106"/>
      <c r="C6405" s="75"/>
      <c r="D6405" s="100" t="s">
        <v>3014</v>
      </c>
      <c r="E6405" s="73"/>
      <c r="F6405" s="74" t="s">
        <v>3</v>
      </c>
      <c r="G6405" s="72">
        <f>0.275*0.1*1.5*2.7*1.165</f>
        <v>0.12975187500000004</v>
      </c>
      <c r="K6405" s="355"/>
    </row>
    <row r="6406" spans="1:11" x14ac:dyDescent="0.25">
      <c r="A6406" s="163"/>
      <c r="B6406" s="106"/>
      <c r="C6406" s="75"/>
      <c r="D6406" s="75" t="s">
        <v>3015</v>
      </c>
      <c r="E6406" s="73"/>
      <c r="F6406" s="74"/>
      <c r="G6406" s="72"/>
      <c r="K6406" s="355"/>
    </row>
    <row r="6407" spans="1:11" x14ac:dyDescent="0.25">
      <c r="A6407" s="163"/>
      <c r="B6407" s="106"/>
      <c r="C6407" s="75"/>
      <c r="D6407" s="100" t="s">
        <v>3014</v>
      </c>
      <c r="E6407" s="73"/>
      <c r="F6407" s="74" t="s">
        <v>3</v>
      </c>
      <c r="G6407" s="72">
        <f>0.275*0.1*1.5*2.7*1.165</f>
        <v>0.12975187500000004</v>
      </c>
      <c r="K6407" s="355"/>
    </row>
    <row r="6408" spans="1:11" x14ac:dyDescent="0.25">
      <c r="A6408" s="163"/>
      <c r="B6408" s="106"/>
      <c r="C6408" s="75"/>
      <c r="D6408" s="75" t="s">
        <v>3016</v>
      </c>
      <c r="E6408" s="73"/>
      <c r="F6408" s="74"/>
      <c r="G6408" s="72"/>
      <c r="K6408" s="355"/>
    </row>
    <row r="6409" spans="1:11" x14ac:dyDescent="0.25">
      <c r="A6409" s="163"/>
      <c r="B6409" s="106"/>
      <c r="C6409" s="75"/>
      <c r="D6409" s="100" t="s">
        <v>3014</v>
      </c>
      <c r="E6409" s="73"/>
      <c r="F6409" s="74" t="s">
        <v>3</v>
      </c>
      <c r="G6409" s="72">
        <f>(0.265+0.212+0.1)*0.285*1.5*2.7*1.201</f>
        <v>0.79986870225000006</v>
      </c>
      <c r="K6409" s="355"/>
    </row>
    <row r="6410" spans="1:11" x14ac:dyDescent="0.25">
      <c r="A6410" s="163"/>
      <c r="B6410" s="106"/>
      <c r="C6410" s="75"/>
      <c r="D6410" s="100"/>
      <c r="E6410" s="73"/>
      <c r="F6410" s="74"/>
      <c r="G6410" s="72"/>
      <c r="K6410" s="355"/>
    </row>
    <row r="6411" spans="1:11" x14ac:dyDescent="0.25">
      <c r="A6411" s="163"/>
      <c r="B6411" s="106"/>
      <c r="C6411" s="75" t="s">
        <v>3020</v>
      </c>
      <c r="D6411" s="100"/>
      <c r="E6411" s="73"/>
      <c r="F6411" s="74"/>
      <c r="G6411" s="72"/>
      <c r="K6411" s="355"/>
    </row>
    <row r="6412" spans="1:11" x14ac:dyDescent="0.25">
      <c r="A6412" s="163"/>
      <c r="B6412" s="106"/>
      <c r="C6412" s="100" t="s">
        <v>3021</v>
      </c>
      <c r="D6412" s="100"/>
      <c r="E6412" s="73"/>
      <c r="F6412" s="74" t="s">
        <v>3</v>
      </c>
      <c r="G6412" s="72">
        <f>0.078*0.012*4*8*1.12</f>
        <v>3.3546240000000005E-2</v>
      </c>
      <c r="K6412" s="355"/>
    </row>
    <row r="6413" spans="1:11" x14ac:dyDescent="0.25">
      <c r="A6413" s="163"/>
      <c r="B6413" s="106"/>
      <c r="C6413" s="75"/>
      <c r="D6413" s="100"/>
      <c r="E6413" s="73"/>
      <c r="F6413" s="74"/>
      <c r="G6413" s="72"/>
      <c r="K6413" s="355"/>
    </row>
    <row r="6414" spans="1:11" x14ac:dyDescent="0.25">
      <c r="A6414" s="163"/>
      <c r="B6414" s="106"/>
      <c r="C6414" s="75" t="s">
        <v>3022</v>
      </c>
      <c r="D6414" s="100"/>
      <c r="E6414" s="73"/>
      <c r="F6414" s="74"/>
      <c r="G6414" s="72"/>
      <c r="K6414" s="355"/>
    </row>
    <row r="6415" spans="1:11" x14ac:dyDescent="0.25">
      <c r="A6415" s="163"/>
      <c r="B6415" s="106"/>
      <c r="C6415" s="100" t="s">
        <v>3023</v>
      </c>
      <c r="D6415" s="100"/>
      <c r="E6415" s="73"/>
      <c r="F6415" s="74" t="s">
        <v>3</v>
      </c>
      <c r="G6415" s="72">
        <f>0.08*0.031*2.5*8*1.14</f>
        <v>5.654399999999999E-2</v>
      </c>
      <c r="K6415" s="355"/>
    </row>
    <row r="6416" spans="1:11" x14ac:dyDescent="0.25">
      <c r="A6416" s="163"/>
      <c r="B6416" s="106"/>
      <c r="C6416" s="75"/>
      <c r="D6416" s="100"/>
      <c r="E6416" s="73"/>
      <c r="F6416" s="74"/>
      <c r="G6416" s="72"/>
      <c r="K6416" s="355"/>
    </row>
    <row r="6417" spans="1:11" x14ac:dyDescent="0.25">
      <c r="A6417" s="163"/>
      <c r="B6417" s="106"/>
      <c r="C6417" s="75" t="s">
        <v>3024</v>
      </c>
      <c r="D6417" s="100"/>
      <c r="E6417" s="73"/>
      <c r="F6417" s="74"/>
      <c r="G6417" s="72"/>
      <c r="K6417" s="355"/>
    </row>
    <row r="6418" spans="1:11" x14ac:dyDescent="0.25">
      <c r="A6418" s="163"/>
      <c r="B6418" s="106"/>
      <c r="C6418" s="100" t="s">
        <v>3027</v>
      </c>
      <c r="D6418" s="100"/>
      <c r="E6418" s="73"/>
      <c r="F6418" s="74" t="s">
        <v>3</v>
      </c>
      <c r="G6418" s="148">
        <f>0.02*0.02*0.3*8*1.15</f>
        <v>1.1039999999999999E-3</v>
      </c>
      <c r="K6418" s="355"/>
    </row>
    <row r="6419" spans="1:11" x14ac:dyDescent="0.25">
      <c r="A6419" s="163"/>
      <c r="B6419" s="106"/>
      <c r="C6419" s="73"/>
      <c r="D6419" s="100"/>
      <c r="E6419" s="73"/>
      <c r="F6419" s="74"/>
      <c r="G6419" s="72"/>
      <c r="K6419" s="355"/>
    </row>
    <row r="6420" spans="1:11" x14ac:dyDescent="0.25">
      <c r="A6420" s="163"/>
      <c r="B6420" s="106"/>
      <c r="C6420" s="75" t="s">
        <v>3025</v>
      </c>
      <c r="D6420" s="100"/>
      <c r="E6420" s="73"/>
      <c r="F6420" s="74"/>
      <c r="G6420" s="72"/>
      <c r="K6420" s="355"/>
    </row>
    <row r="6421" spans="1:11" x14ac:dyDescent="0.25">
      <c r="A6421" s="163"/>
      <c r="B6421" s="106"/>
      <c r="C6421" s="100" t="s">
        <v>3028</v>
      </c>
      <c r="D6421" s="100"/>
      <c r="E6421" s="73"/>
      <c r="F6421" s="74" t="s">
        <v>3</v>
      </c>
      <c r="G6421" s="72">
        <f>0.02*0.02*0.5*8*1.15</f>
        <v>1.8399999999999998E-3</v>
      </c>
      <c r="K6421" s="355"/>
    </row>
    <row r="6422" spans="1:11" x14ac:dyDescent="0.25">
      <c r="A6422" s="163"/>
      <c r="B6422" s="106"/>
      <c r="C6422" s="75"/>
      <c r="D6422" s="100"/>
      <c r="E6422" s="73"/>
      <c r="F6422" s="74"/>
      <c r="G6422" s="72"/>
      <c r="K6422" s="355"/>
    </row>
    <row r="6423" spans="1:11" x14ac:dyDescent="0.25">
      <c r="A6423" s="163"/>
      <c r="B6423" s="106"/>
      <c r="C6423" s="75" t="s">
        <v>3026</v>
      </c>
      <c r="D6423" s="100"/>
      <c r="E6423" s="73"/>
      <c r="F6423" s="74"/>
      <c r="G6423" s="72"/>
      <c r="K6423" s="355"/>
    </row>
    <row r="6424" spans="1:11" x14ac:dyDescent="0.25">
      <c r="A6424" s="163"/>
      <c r="B6424" s="106"/>
      <c r="C6424" s="100" t="s">
        <v>3029</v>
      </c>
      <c r="D6424" s="100"/>
      <c r="E6424" s="73"/>
      <c r="F6424" s="74" t="s">
        <v>3</v>
      </c>
      <c r="G6424" s="72">
        <f>0.02*0.02*1.5*8*1.15</f>
        <v>5.5199999999999997E-3</v>
      </c>
      <c r="K6424" s="355"/>
    </row>
    <row r="6425" spans="1:11" x14ac:dyDescent="0.25">
      <c r="A6425" s="163"/>
      <c r="B6425" s="106"/>
      <c r="C6425" s="75"/>
      <c r="D6425" s="100"/>
      <c r="E6425" s="73"/>
      <c r="F6425" s="74"/>
      <c r="G6425" s="72"/>
      <c r="K6425" s="355"/>
    </row>
    <row r="6426" spans="1:11" x14ac:dyDescent="0.25">
      <c r="A6426" s="163"/>
      <c r="B6426" s="106"/>
      <c r="C6426" s="75" t="s">
        <v>3030</v>
      </c>
      <c r="D6426" s="100"/>
      <c r="E6426" s="73"/>
      <c r="F6426" s="74"/>
      <c r="G6426" s="72"/>
      <c r="K6426" s="355"/>
    </row>
    <row r="6427" spans="1:11" x14ac:dyDescent="0.25">
      <c r="A6427" s="163"/>
      <c r="B6427" s="106"/>
      <c r="C6427" s="100" t="s">
        <v>3031</v>
      </c>
      <c r="D6427" s="100"/>
      <c r="E6427" s="73"/>
      <c r="F6427" s="74" t="s">
        <v>3</v>
      </c>
      <c r="G6427" s="72">
        <f>0.1*0.045*0.25*8*1.18</f>
        <v>1.0619999999999999E-2</v>
      </c>
      <c r="K6427" s="355"/>
    </row>
    <row r="6428" spans="1:11" x14ac:dyDescent="0.25">
      <c r="A6428" s="163"/>
      <c r="B6428" s="106"/>
      <c r="C6428" s="75"/>
      <c r="D6428" s="100"/>
      <c r="E6428" s="73"/>
      <c r="F6428" s="74"/>
      <c r="G6428" s="72"/>
      <c r="K6428" s="355"/>
    </row>
    <row r="6429" spans="1:11" x14ac:dyDescent="0.25">
      <c r="A6429" s="163"/>
      <c r="B6429" s="106"/>
      <c r="C6429" s="75" t="s">
        <v>3033</v>
      </c>
      <c r="D6429" s="100"/>
      <c r="E6429" s="73"/>
      <c r="F6429" s="74"/>
      <c r="G6429" s="72"/>
      <c r="K6429" s="355"/>
    </row>
    <row r="6430" spans="1:11" x14ac:dyDescent="0.25">
      <c r="A6430" s="163"/>
      <c r="B6430" s="106"/>
      <c r="C6430" s="100" t="s">
        <v>3032</v>
      </c>
      <c r="D6430" s="100"/>
      <c r="E6430" s="73"/>
      <c r="F6430" s="74" t="s">
        <v>3</v>
      </c>
      <c r="G6430" s="72">
        <f>0.1*0.045*0.5*8*1.13</f>
        <v>2.0339999999999997E-2</v>
      </c>
      <c r="K6430" s="355"/>
    </row>
    <row r="6431" spans="1:11" x14ac:dyDescent="0.25">
      <c r="A6431" s="163"/>
      <c r="B6431" s="106"/>
      <c r="C6431" s="75"/>
      <c r="D6431" s="100"/>
      <c r="E6431" s="73"/>
      <c r="F6431" s="74"/>
      <c r="G6431" s="72"/>
      <c r="K6431" s="355"/>
    </row>
    <row r="6432" spans="1:11" x14ac:dyDescent="0.25">
      <c r="A6432" s="163"/>
      <c r="B6432" s="106"/>
      <c r="C6432" s="75" t="s">
        <v>3034</v>
      </c>
      <c r="D6432" s="100"/>
      <c r="E6432" s="73"/>
      <c r="F6432" s="74"/>
      <c r="G6432" s="72"/>
      <c r="K6432" s="355"/>
    </row>
    <row r="6433" spans="1:11" x14ac:dyDescent="0.25">
      <c r="A6433" s="163"/>
      <c r="B6433" s="106"/>
      <c r="C6433" s="100" t="s">
        <v>3035</v>
      </c>
      <c r="D6433" s="100"/>
      <c r="E6433" s="73"/>
      <c r="F6433" s="74" t="s">
        <v>3</v>
      </c>
      <c r="G6433" s="72">
        <f>0.1*0.045*2*8*1.18</f>
        <v>8.4959999999999994E-2</v>
      </c>
      <c r="K6433" s="355"/>
    </row>
    <row r="6434" spans="1:11" x14ac:dyDescent="0.25">
      <c r="A6434" s="163"/>
      <c r="B6434" s="106"/>
      <c r="C6434" s="75"/>
      <c r="D6434" s="100"/>
      <c r="E6434" s="73"/>
      <c r="F6434" s="74"/>
      <c r="G6434" s="72"/>
      <c r="K6434" s="355"/>
    </row>
    <row r="6435" spans="1:11" x14ac:dyDescent="0.25">
      <c r="A6435" s="163"/>
      <c r="B6435" s="106"/>
      <c r="C6435" s="75" t="s">
        <v>3036</v>
      </c>
      <c r="D6435" s="100"/>
      <c r="E6435" s="73"/>
      <c r="F6435" s="74"/>
      <c r="G6435" s="72"/>
      <c r="K6435" s="355"/>
    </row>
    <row r="6436" spans="1:11" x14ac:dyDescent="0.25">
      <c r="A6436" s="163"/>
      <c r="B6436" s="106"/>
      <c r="C6436" s="100" t="s">
        <v>3037</v>
      </c>
      <c r="D6436" s="100"/>
      <c r="E6436" s="73"/>
      <c r="F6436" s="74" t="s">
        <v>3</v>
      </c>
      <c r="G6436" s="72">
        <f>0.1*0.045*4*8*1.18</f>
        <v>0.16991999999999999</v>
      </c>
      <c r="K6436" s="355"/>
    </row>
    <row r="6437" spans="1:11" x14ac:dyDescent="0.25">
      <c r="A6437" s="163"/>
      <c r="B6437" s="106"/>
      <c r="C6437" s="75"/>
      <c r="D6437" s="100"/>
      <c r="E6437" s="73"/>
      <c r="F6437" s="74"/>
      <c r="G6437" s="72"/>
      <c r="K6437" s="355"/>
    </row>
    <row r="6438" spans="1:11" x14ac:dyDescent="0.25">
      <c r="A6438" s="163"/>
      <c r="B6438" s="106"/>
      <c r="C6438" s="75" t="s">
        <v>3038</v>
      </c>
      <c r="D6438" s="100"/>
      <c r="E6438" s="73"/>
      <c r="F6438" s="74"/>
      <c r="G6438" s="72"/>
      <c r="K6438" s="355"/>
    </row>
    <row r="6439" spans="1:11" x14ac:dyDescent="0.25">
      <c r="A6439" s="163"/>
      <c r="B6439" s="106"/>
      <c r="C6439" s="100" t="s">
        <v>213</v>
      </c>
      <c r="D6439" s="100"/>
      <c r="E6439" s="73"/>
      <c r="F6439" s="74" t="s">
        <v>3</v>
      </c>
      <c r="G6439" s="72">
        <f>0.175*0.075*3*2.7*1.18</f>
        <v>0.12544875</v>
      </c>
      <c r="K6439" s="355"/>
    </row>
    <row r="6440" spans="1:11" x14ac:dyDescent="0.25">
      <c r="A6440" s="163"/>
      <c r="B6440" s="106"/>
      <c r="C6440" s="100" t="s">
        <v>163</v>
      </c>
      <c r="D6440" s="100"/>
      <c r="E6440" s="73"/>
      <c r="F6440" s="74" t="s">
        <v>3</v>
      </c>
      <c r="G6440" s="72">
        <f>0.175*0.075*2*0.15*1.4</f>
        <v>5.5125E-3</v>
      </c>
      <c r="K6440" s="355"/>
    </row>
    <row r="6441" spans="1:11" x14ac:dyDescent="0.25">
      <c r="A6441" s="163"/>
      <c r="B6441" s="106"/>
      <c r="C6441" s="100" t="s">
        <v>164</v>
      </c>
      <c r="D6441" s="100"/>
      <c r="E6441" s="73"/>
      <c r="F6441" s="74" t="s">
        <v>3</v>
      </c>
      <c r="G6441" s="72">
        <f>0.3*G6440</f>
        <v>1.6537500000000001E-3</v>
      </c>
      <c r="K6441" s="355"/>
    </row>
    <row r="6442" spans="1:11" x14ac:dyDescent="0.25">
      <c r="A6442" s="163"/>
      <c r="B6442" s="106"/>
      <c r="C6442" s="100" t="s">
        <v>36</v>
      </c>
      <c r="D6442" s="100"/>
      <c r="E6442" s="73"/>
      <c r="F6442" s="74" t="s">
        <v>3</v>
      </c>
      <c r="G6442" s="72">
        <f>0.175*0.075*2*0.18*2*1.3</f>
        <v>1.2285000000000001E-2</v>
      </c>
      <c r="K6442" s="355"/>
    </row>
    <row r="6443" spans="1:11" x14ac:dyDescent="0.25">
      <c r="A6443" s="163"/>
      <c r="B6443" s="106"/>
      <c r="C6443" s="100" t="s">
        <v>12</v>
      </c>
      <c r="D6443" s="100"/>
      <c r="E6443" s="73"/>
      <c r="F6443" s="74" t="s">
        <v>3</v>
      </c>
      <c r="G6443" s="72">
        <f>0.3*G6442</f>
        <v>3.6855E-3</v>
      </c>
      <c r="K6443" s="355"/>
    </row>
    <row r="6444" spans="1:11" x14ac:dyDescent="0.25">
      <c r="A6444" s="163"/>
      <c r="B6444" s="106"/>
      <c r="C6444" s="73"/>
      <c r="D6444" s="100"/>
      <c r="E6444" s="73"/>
      <c r="F6444" s="74"/>
      <c r="G6444" s="72"/>
      <c r="K6444" s="355"/>
    </row>
    <row r="6445" spans="1:11" x14ac:dyDescent="0.25">
      <c r="A6445" s="163"/>
      <c r="B6445" s="106"/>
      <c r="C6445" s="75" t="s">
        <v>3039</v>
      </c>
      <c r="D6445" s="100"/>
      <c r="E6445" s="73"/>
      <c r="F6445" s="74"/>
      <c r="G6445" s="72"/>
      <c r="K6445" s="355"/>
    </row>
    <row r="6446" spans="1:11" x14ac:dyDescent="0.25">
      <c r="A6446" s="163"/>
      <c r="B6446" s="106"/>
      <c r="C6446" s="100" t="s">
        <v>3035</v>
      </c>
      <c r="D6446" s="100"/>
      <c r="E6446" s="73"/>
      <c r="F6446" s="74" t="s">
        <v>3</v>
      </c>
      <c r="G6446" s="72">
        <f>0.15*0.13*2*8*1.121</f>
        <v>0.34975200000000001</v>
      </c>
      <c r="K6446" s="355"/>
    </row>
    <row r="6447" spans="1:11" x14ac:dyDescent="0.25">
      <c r="A6447" s="163"/>
      <c r="B6447" s="106"/>
      <c r="C6447" s="75"/>
      <c r="D6447" s="100"/>
      <c r="E6447" s="73"/>
      <c r="F6447" s="74"/>
      <c r="G6447" s="72"/>
      <c r="K6447" s="355"/>
    </row>
    <row r="6448" spans="1:11" x14ac:dyDescent="0.25">
      <c r="A6448" s="163"/>
      <c r="B6448" s="106"/>
      <c r="C6448" s="75" t="s">
        <v>3040</v>
      </c>
      <c r="D6448" s="100"/>
      <c r="E6448" s="73"/>
      <c r="F6448" s="74"/>
      <c r="G6448" s="72"/>
      <c r="K6448" s="355"/>
    </row>
    <row r="6449" spans="1:11" x14ac:dyDescent="0.25">
      <c r="A6449" s="163"/>
      <c r="B6449" s="106"/>
      <c r="C6449" s="100" t="s">
        <v>3041</v>
      </c>
      <c r="D6449" s="100"/>
      <c r="E6449" s="73"/>
      <c r="F6449" s="74" t="s">
        <v>3</v>
      </c>
      <c r="G6449" s="72">
        <f>0.06*0.06*2*8*1.16</f>
        <v>6.6816E-2</v>
      </c>
      <c r="K6449" s="355"/>
    </row>
    <row r="6450" spans="1:11" x14ac:dyDescent="0.25">
      <c r="A6450" s="163"/>
      <c r="B6450" s="106"/>
      <c r="C6450" s="75"/>
      <c r="D6450" s="100"/>
      <c r="E6450" s="73"/>
      <c r="F6450" s="74"/>
      <c r="G6450" s="72"/>
      <c r="K6450" s="355"/>
    </row>
    <row r="6451" spans="1:11" x14ac:dyDescent="0.25">
      <c r="A6451" s="163"/>
      <c r="B6451" s="106"/>
      <c r="C6451" s="75" t="s">
        <v>2872</v>
      </c>
      <c r="D6451" s="100"/>
      <c r="E6451" s="73"/>
      <c r="F6451" s="74"/>
      <c r="G6451" s="72"/>
      <c r="K6451" s="355"/>
    </row>
    <row r="6452" spans="1:11" x14ac:dyDescent="0.25">
      <c r="A6452" s="163"/>
      <c r="B6452" s="106"/>
      <c r="C6452" s="100" t="s">
        <v>731</v>
      </c>
      <c r="D6452" s="100"/>
      <c r="E6452" s="73"/>
      <c r="F6452" s="74" t="s">
        <v>3</v>
      </c>
      <c r="G6452" s="72">
        <f>0.15*0.05*0.2*4*1.3</f>
        <v>7.8000000000000005E-3</v>
      </c>
      <c r="K6452" s="355"/>
    </row>
    <row r="6453" spans="1:11" x14ac:dyDescent="0.25">
      <c r="A6453" s="163"/>
      <c r="B6453" s="106"/>
      <c r="C6453" s="75"/>
      <c r="D6453" s="75" t="s">
        <v>2873</v>
      </c>
      <c r="E6453" s="73"/>
      <c r="F6453" s="74"/>
      <c r="G6453" s="72"/>
      <c r="K6453" s="355"/>
    </row>
    <row r="6454" spans="1:11" x14ac:dyDescent="0.25">
      <c r="A6454" s="163"/>
      <c r="B6454" s="106"/>
      <c r="C6454" s="75"/>
      <c r="D6454" s="100" t="s">
        <v>855</v>
      </c>
      <c r="E6454" s="73"/>
      <c r="F6454" s="74" t="s">
        <v>3</v>
      </c>
      <c r="G6454" s="72">
        <f>0.28*0.145*1.5*2.7*1.155</f>
        <v>0.18991665000000005</v>
      </c>
      <c r="K6454" s="355"/>
    </row>
    <row r="6455" spans="1:11" x14ac:dyDescent="0.25">
      <c r="A6455" s="163"/>
      <c r="B6455" s="106"/>
      <c r="C6455" s="75"/>
      <c r="D6455" s="73" t="s">
        <v>163</v>
      </c>
      <c r="E6455" s="73"/>
      <c r="F6455" s="74" t="s">
        <v>3</v>
      </c>
      <c r="G6455" s="72">
        <f>G6457*0.8</f>
        <v>2.2579200000000004E-2</v>
      </c>
      <c r="K6455" s="359"/>
    </row>
    <row r="6456" spans="1:11" x14ac:dyDescent="0.25">
      <c r="A6456" s="163"/>
      <c r="B6456" s="106"/>
      <c r="C6456" s="75"/>
      <c r="D6456" s="73" t="s">
        <v>164</v>
      </c>
      <c r="E6456" s="73"/>
      <c r="F6456" s="74" t="s">
        <v>3</v>
      </c>
      <c r="G6456" s="72">
        <f>0.3*G6455</f>
        <v>6.7737600000000011E-3</v>
      </c>
    </row>
    <row r="6457" spans="1:11" x14ac:dyDescent="0.25">
      <c r="A6457" s="163"/>
      <c r="B6457" s="106"/>
      <c r="C6457" s="73"/>
      <c r="D6457" s="73" t="s">
        <v>36</v>
      </c>
      <c r="E6457" s="73"/>
      <c r="F6457" s="74" t="s">
        <v>3</v>
      </c>
      <c r="G6457" s="72">
        <f>0.28*0.14*2*0.15*2*1.2</f>
        <v>2.8224000000000003E-2</v>
      </c>
    </row>
    <row r="6458" spans="1:11" x14ac:dyDescent="0.25">
      <c r="A6458" s="163"/>
      <c r="B6458" s="106"/>
      <c r="C6458" s="73"/>
      <c r="D6458" s="73" t="s">
        <v>12</v>
      </c>
      <c r="E6458" s="73"/>
      <c r="F6458" s="74" t="s">
        <v>3</v>
      </c>
      <c r="G6458" s="72">
        <f>0.3*G6457</f>
        <v>8.4672000000000011E-3</v>
      </c>
    </row>
    <row r="6459" spans="1:11" x14ac:dyDescent="0.25">
      <c r="A6459" s="163"/>
      <c r="B6459" s="106"/>
      <c r="C6459" s="73"/>
      <c r="D6459" s="73"/>
      <c r="E6459" s="73"/>
      <c r="F6459" s="74"/>
      <c r="G6459" s="72"/>
      <c r="K6459" s="359"/>
    </row>
    <row r="6460" spans="1:11" x14ac:dyDescent="0.25">
      <c r="A6460" s="163"/>
      <c r="B6460" s="106"/>
      <c r="C6460" s="75" t="s">
        <v>3042</v>
      </c>
      <c r="D6460" s="100"/>
      <c r="E6460" s="73"/>
      <c r="F6460" s="74"/>
      <c r="G6460" s="72"/>
      <c r="K6460" s="355"/>
    </row>
    <row r="6461" spans="1:11" x14ac:dyDescent="0.25">
      <c r="A6461" s="163"/>
      <c r="B6461" s="106"/>
      <c r="C6461" s="73" t="s">
        <v>141</v>
      </c>
      <c r="D6461" s="73"/>
      <c r="E6461" s="73"/>
      <c r="F6461" s="74" t="s">
        <v>3</v>
      </c>
      <c r="G6461" s="72">
        <f>0.008*3.14*0.08*1.2*2</f>
        <v>4.8230399999999998E-3</v>
      </c>
      <c r="K6461" s="355"/>
    </row>
    <row r="6462" spans="1:11" ht="17.25" x14ac:dyDescent="0.25">
      <c r="A6462" s="163"/>
      <c r="B6462" s="106"/>
      <c r="C6462" s="73" t="s">
        <v>23</v>
      </c>
      <c r="D6462" s="73"/>
      <c r="E6462" s="73"/>
      <c r="F6462" s="74" t="s">
        <v>596</v>
      </c>
      <c r="G6462" s="72">
        <f>G6461*2</f>
        <v>9.6460799999999996E-3</v>
      </c>
      <c r="K6462" s="355"/>
    </row>
    <row r="6463" spans="1:11" x14ac:dyDescent="0.25">
      <c r="A6463" s="163"/>
      <c r="B6463" s="106"/>
      <c r="C6463" s="73" t="s">
        <v>142</v>
      </c>
      <c r="D6463" s="73"/>
      <c r="E6463" s="73"/>
      <c r="F6463" s="74" t="s">
        <v>3</v>
      </c>
      <c r="G6463" s="72">
        <f>G6461/4</f>
        <v>1.2057599999999999E-3</v>
      </c>
      <c r="K6463" s="355"/>
    </row>
    <row r="6464" spans="1:11" x14ac:dyDescent="0.25">
      <c r="A6464" s="163"/>
      <c r="B6464" s="106"/>
      <c r="C6464" s="100" t="s">
        <v>163</v>
      </c>
      <c r="D6464" s="100"/>
      <c r="E6464" s="73"/>
      <c r="F6464" s="74" t="s">
        <v>3</v>
      </c>
      <c r="G6464" s="72">
        <f>0.85*0.011*1.3</f>
        <v>1.2154999999999999E-2</v>
      </c>
      <c r="K6464" s="355"/>
    </row>
    <row r="6465" spans="1:11" x14ac:dyDescent="0.25">
      <c r="A6465" s="163"/>
      <c r="B6465" s="106"/>
      <c r="C6465" s="100" t="s">
        <v>164</v>
      </c>
      <c r="D6465" s="100"/>
      <c r="E6465" s="73"/>
      <c r="F6465" s="74" t="s">
        <v>3</v>
      </c>
      <c r="G6465" s="72">
        <f>0.3*G6464</f>
        <v>3.6464999999999996E-3</v>
      </c>
      <c r="K6465" s="355"/>
    </row>
    <row r="6466" spans="1:11" x14ac:dyDescent="0.25">
      <c r="A6466" s="163"/>
      <c r="B6466" s="106"/>
      <c r="C6466" s="100" t="s">
        <v>152</v>
      </c>
      <c r="D6466" s="100"/>
      <c r="E6466" s="73"/>
      <c r="F6466" s="74" t="s">
        <v>3</v>
      </c>
      <c r="G6466" s="72">
        <f>0.85*0.011*2*1.2</f>
        <v>2.2439999999999998E-2</v>
      </c>
      <c r="K6466" s="355"/>
    </row>
    <row r="6467" spans="1:11" x14ac:dyDescent="0.25">
      <c r="A6467" s="163"/>
      <c r="B6467" s="106"/>
      <c r="C6467" s="100" t="s">
        <v>12</v>
      </c>
      <c r="D6467" s="100"/>
      <c r="E6467" s="73"/>
      <c r="F6467" s="74" t="s">
        <v>3</v>
      </c>
      <c r="G6467" s="72">
        <f>0.3*G6466</f>
        <v>6.7319999999999993E-3</v>
      </c>
      <c r="K6467" s="355"/>
    </row>
    <row r="6468" spans="1:11" x14ac:dyDescent="0.25">
      <c r="A6468" s="163"/>
      <c r="B6468" s="106"/>
      <c r="C6468" s="75"/>
      <c r="D6468" s="75" t="s">
        <v>3044</v>
      </c>
      <c r="E6468" s="73"/>
      <c r="F6468" s="74"/>
      <c r="G6468" s="72"/>
      <c r="K6468" s="355"/>
    </row>
    <row r="6469" spans="1:11" x14ac:dyDescent="0.25">
      <c r="A6469" s="163"/>
      <c r="B6469" s="106"/>
      <c r="C6469" s="75"/>
      <c r="D6469" s="100" t="s">
        <v>3045</v>
      </c>
      <c r="E6469" s="73"/>
      <c r="F6469" s="74" t="s">
        <v>3</v>
      </c>
      <c r="G6469" s="72">
        <v>0.17</v>
      </c>
      <c r="I6469" t="s">
        <v>3043</v>
      </c>
      <c r="K6469" s="355"/>
    </row>
    <row r="6470" spans="1:11" x14ac:dyDescent="0.25">
      <c r="A6470" s="163"/>
      <c r="B6470" s="106"/>
      <c r="C6470" s="75"/>
      <c r="D6470" s="100"/>
      <c r="E6470" s="73"/>
      <c r="F6470" s="74"/>
      <c r="G6470" s="72"/>
      <c r="K6470" s="355"/>
    </row>
    <row r="6471" spans="1:11" x14ac:dyDescent="0.25">
      <c r="A6471" s="163"/>
      <c r="B6471" s="106"/>
      <c r="C6471" s="75" t="s">
        <v>3046</v>
      </c>
      <c r="D6471" s="100"/>
      <c r="E6471" s="73"/>
      <c r="F6471" s="74"/>
      <c r="G6471" s="72"/>
      <c r="K6471" s="355"/>
    </row>
    <row r="6472" spans="1:11" x14ac:dyDescent="0.25">
      <c r="A6472" s="163"/>
      <c r="B6472" s="106"/>
      <c r="C6472" s="77" t="s">
        <v>1054</v>
      </c>
      <c r="D6472" s="73"/>
      <c r="E6472" s="73"/>
      <c r="F6472" s="152" t="s">
        <v>3</v>
      </c>
      <c r="G6472" s="72">
        <f>0.3*0.08*1.25</f>
        <v>0.03</v>
      </c>
      <c r="K6472" s="355"/>
    </row>
    <row r="6473" spans="1:11" ht="17.25" x14ac:dyDescent="0.25">
      <c r="A6473" s="163"/>
      <c r="B6473" s="106"/>
      <c r="C6473" s="77" t="s">
        <v>1055</v>
      </c>
      <c r="D6473" s="73"/>
      <c r="E6473" s="73"/>
      <c r="F6473" s="152" t="s">
        <v>596</v>
      </c>
      <c r="G6473" s="72">
        <f>G6472*1.11</f>
        <v>3.3300000000000003E-2</v>
      </c>
      <c r="K6473" s="355"/>
    </row>
    <row r="6474" spans="1:11" x14ac:dyDescent="0.25">
      <c r="A6474" s="163"/>
      <c r="B6474" s="106"/>
      <c r="C6474" s="186" t="s">
        <v>8</v>
      </c>
      <c r="D6474" s="73"/>
      <c r="E6474" s="73"/>
      <c r="F6474" s="152" t="s">
        <v>3</v>
      </c>
      <c r="G6474" s="72">
        <f>0.3*0.07*2*0.18*2.35</f>
        <v>1.7766000000000001E-2</v>
      </c>
      <c r="K6474" s="358"/>
    </row>
    <row r="6475" spans="1:11" x14ac:dyDescent="0.25">
      <c r="A6475" s="163"/>
      <c r="B6475" s="106"/>
      <c r="C6475" s="186" t="s">
        <v>36</v>
      </c>
      <c r="D6475" s="73"/>
      <c r="E6475" s="73"/>
      <c r="F6475" s="152" t="s">
        <v>3</v>
      </c>
      <c r="G6475" s="72">
        <f>0.3*0.07*2*0.18*2*1.65</f>
        <v>2.4947999999999998E-2</v>
      </c>
      <c r="K6475" s="358"/>
    </row>
    <row r="6476" spans="1:11" x14ac:dyDescent="0.25">
      <c r="A6476" s="163"/>
      <c r="B6476" s="106"/>
      <c r="C6476" s="186" t="s">
        <v>12</v>
      </c>
      <c r="D6476" s="73"/>
      <c r="E6476" s="73"/>
      <c r="F6476" s="152" t="s">
        <v>3</v>
      </c>
      <c r="G6476" s="72">
        <f>0.3*(G6475+G6474)</f>
        <v>1.28142E-2</v>
      </c>
      <c r="K6476" s="358"/>
    </row>
    <row r="6477" spans="1:11" s="25" customFormat="1" x14ac:dyDescent="0.25">
      <c r="A6477" s="195"/>
      <c r="B6477" s="372"/>
      <c r="C6477" s="186"/>
      <c r="D6477" s="75" t="s">
        <v>3047</v>
      </c>
      <c r="E6477" s="100"/>
      <c r="F6477" s="360"/>
      <c r="G6477" s="102"/>
      <c r="J6477" s="369"/>
      <c r="K6477" s="91"/>
    </row>
    <row r="6478" spans="1:11" s="25" customFormat="1" x14ac:dyDescent="0.25">
      <c r="A6478" s="195"/>
      <c r="B6478" s="372"/>
      <c r="C6478" s="186"/>
      <c r="D6478" s="100" t="s">
        <v>3048</v>
      </c>
      <c r="E6478" s="100"/>
      <c r="F6478" s="360" t="s">
        <v>3</v>
      </c>
      <c r="G6478" s="102">
        <f>0.15*0.11*3*8*1.137</f>
        <v>0.45025200000000004</v>
      </c>
      <c r="J6478" s="369"/>
      <c r="K6478" s="91"/>
    </row>
    <row r="6479" spans="1:11" s="25" customFormat="1" x14ac:dyDescent="0.25">
      <c r="A6479" s="195"/>
      <c r="B6479" s="372"/>
      <c r="C6479" s="186"/>
      <c r="D6479" s="75" t="s">
        <v>3049</v>
      </c>
      <c r="E6479" s="100"/>
      <c r="F6479" s="360"/>
      <c r="G6479" s="102"/>
      <c r="J6479" s="369"/>
      <c r="K6479" s="91"/>
    </row>
    <row r="6480" spans="1:11" s="25" customFormat="1" x14ac:dyDescent="0.25">
      <c r="A6480" s="195"/>
      <c r="B6480" s="372"/>
      <c r="C6480" s="186"/>
      <c r="D6480" s="100" t="s">
        <v>3048</v>
      </c>
      <c r="E6480" s="100"/>
      <c r="F6480" s="360" t="s">
        <v>3</v>
      </c>
      <c r="G6480" s="102">
        <f>0.17*0.025*3*8*1.125</f>
        <v>0.11475</v>
      </c>
      <c r="J6480" s="369"/>
      <c r="K6480" s="91"/>
    </row>
    <row r="6481" spans="1:11" s="25" customFormat="1" x14ac:dyDescent="0.25">
      <c r="A6481" s="195"/>
      <c r="B6481" s="372"/>
      <c r="C6481" s="186"/>
      <c r="D6481" s="75" t="s">
        <v>3050</v>
      </c>
      <c r="E6481" s="100"/>
      <c r="F6481" s="360"/>
      <c r="G6481" s="102"/>
      <c r="J6481" s="369"/>
      <c r="K6481" s="91"/>
    </row>
    <row r="6482" spans="1:11" s="25" customFormat="1" x14ac:dyDescent="0.25">
      <c r="A6482" s="195"/>
      <c r="B6482" s="372"/>
      <c r="C6482" s="186"/>
      <c r="D6482" s="100" t="s">
        <v>3048</v>
      </c>
      <c r="E6482" s="100"/>
      <c r="F6482" s="360" t="s">
        <v>3</v>
      </c>
      <c r="G6482" s="102">
        <f>0.04*0.015*3*8*1.12</f>
        <v>1.6128E-2</v>
      </c>
      <c r="J6482" s="369"/>
      <c r="K6482" s="91"/>
    </row>
    <row r="6483" spans="1:11" s="25" customFormat="1" x14ac:dyDescent="0.25">
      <c r="A6483" s="195"/>
      <c r="B6483" s="372"/>
      <c r="C6483" s="186"/>
      <c r="D6483" s="78" t="s">
        <v>3051</v>
      </c>
      <c r="E6483" s="100"/>
      <c r="F6483" s="360"/>
      <c r="G6483" s="102"/>
      <c r="J6483" s="369"/>
      <c r="K6483" s="91"/>
    </row>
    <row r="6484" spans="1:11" s="25" customFormat="1" x14ac:dyDescent="0.25">
      <c r="A6484" s="195"/>
      <c r="B6484" s="372"/>
      <c r="C6484" s="186"/>
      <c r="D6484" s="100" t="s">
        <v>3052</v>
      </c>
      <c r="E6484" s="100"/>
      <c r="F6484" s="360" t="s">
        <v>3</v>
      </c>
      <c r="G6484" s="102">
        <f>0.085*0.06*3*8*1.14</f>
        <v>0.13953599999999999</v>
      </c>
      <c r="J6484" s="369"/>
      <c r="K6484" s="91"/>
    </row>
    <row r="6485" spans="1:11" s="25" customFormat="1" x14ac:dyDescent="0.25">
      <c r="A6485" s="195"/>
      <c r="B6485" s="372"/>
      <c r="C6485" s="186"/>
      <c r="D6485" s="78" t="s">
        <v>3053</v>
      </c>
      <c r="E6485" s="100"/>
      <c r="F6485" s="360"/>
      <c r="G6485" s="102"/>
      <c r="J6485" s="369"/>
      <c r="K6485" s="91"/>
    </row>
    <row r="6486" spans="1:11" s="25" customFormat="1" x14ac:dyDescent="0.25">
      <c r="A6486" s="195"/>
      <c r="B6486" s="372"/>
      <c r="C6486" s="186"/>
      <c r="D6486" s="186" t="s">
        <v>3054</v>
      </c>
      <c r="E6486" s="100"/>
      <c r="F6486" s="360" t="s">
        <v>3</v>
      </c>
      <c r="G6486" s="102">
        <v>7.0000000000000001E-3</v>
      </c>
      <c r="I6486" t="s">
        <v>3055</v>
      </c>
      <c r="J6486" s="369"/>
      <c r="K6486" s="91"/>
    </row>
    <row r="6487" spans="1:11" s="25" customFormat="1" x14ac:dyDescent="0.25">
      <c r="A6487" s="195"/>
      <c r="B6487" s="372"/>
      <c r="C6487" s="186"/>
      <c r="D6487" s="100"/>
      <c r="E6487" s="100"/>
      <c r="F6487" s="360"/>
      <c r="G6487" s="102"/>
      <c r="J6487" s="369"/>
      <c r="K6487" s="91"/>
    </row>
    <row r="6488" spans="1:11" s="25" customFormat="1" x14ac:dyDescent="0.25">
      <c r="A6488" s="195"/>
      <c r="B6488" s="372"/>
      <c r="C6488" s="78" t="s">
        <v>3056</v>
      </c>
      <c r="D6488" s="100"/>
      <c r="E6488" s="100"/>
      <c r="F6488" s="360"/>
      <c r="G6488" s="102"/>
      <c r="J6488" s="369"/>
      <c r="K6488" s="91"/>
    </row>
    <row r="6489" spans="1:11" s="25" customFormat="1" x14ac:dyDescent="0.25">
      <c r="A6489" s="195"/>
      <c r="B6489" s="372"/>
      <c r="C6489" s="77" t="s">
        <v>1054</v>
      </c>
      <c r="D6489" s="73"/>
      <c r="E6489" s="73"/>
      <c r="F6489" s="152" t="s">
        <v>3</v>
      </c>
      <c r="G6489" s="72">
        <f>0.3*0.08*1.25</f>
        <v>0.03</v>
      </c>
      <c r="J6489" s="369"/>
      <c r="K6489" s="91"/>
    </row>
    <row r="6490" spans="1:11" s="25" customFormat="1" ht="17.25" x14ac:dyDescent="0.25">
      <c r="A6490" s="195"/>
      <c r="B6490" s="372"/>
      <c r="C6490" s="77" t="s">
        <v>1055</v>
      </c>
      <c r="D6490" s="73"/>
      <c r="E6490" s="73"/>
      <c r="F6490" s="152" t="s">
        <v>596</v>
      </c>
      <c r="G6490" s="72">
        <f>G6489*1.11</f>
        <v>3.3300000000000003E-2</v>
      </c>
      <c r="J6490" s="369"/>
      <c r="K6490" s="91"/>
    </row>
    <row r="6491" spans="1:11" s="25" customFormat="1" x14ac:dyDescent="0.25">
      <c r="A6491" s="195"/>
      <c r="B6491" s="372"/>
      <c r="C6491" s="186" t="s">
        <v>8</v>
      </c>
      <c r="D6491" s="73"/>
      <c r="E6491" s="73"/>
      <c r="F6491" s="152" t="s">
        <v>3</v>
      </c>
      <c r="G6491" s="72">
        <f>0.3*0.07*2*0.18*2.35</f>
        <v>1.7766000000000001E-2</v>
      </c>
      <c r="J6491" s="369"/>
      <c r="K6491" s="91"/>
    </row>
    <row r="6492" spans="1:11" s="25" customFormat="1" x14ac:dyDescent="0.25">
      <c r="A6492" s="195"/>
      <c r="B6492" s="372"/>
      <c r="C6492" s="186" t="s">
        <v>36</v>
      </c>
      <c r="D6492" s="73"/>
      <c r="E6492" s="73"/>
      <c r="F6492" s="152" t="s">
        <v>3</v>
      </c>
      <c r="G6492" s="72">
        <f>0.3*0.07*2*0.18*2*1.65</f>
        <v>2.4947999999999998E-2</v>
      </c>
      <c r="J6492" s="369"/>
      <c r="K6492" s="91"/>
    </row>
    <row r="6493" spans="1:11" s="25" customFormat="1" x14ac:dyDescent="0.25">
      <c r="A6493" s="195"/>
      <c r="B6493" s="372"/>
      <c r="C6493" s="186" t="s">
        <v>12</v>
      </c>
      <c r="D6493" s="73"/>
      <c r="E6493" s="73"/>
      <c r="F6493" s="152" t="s">
        <v>3</v>
      </c>
      <c r="G6493" s="72">
        <f>0.3*(G6492+G6491)</f>
        <v>1.28142E-2</v>
      </c>
      <c r="J6493" s="369"/>
      <c r="K6493" s="91"/>
    </row>
    <row r="6494" spans="1:11" s="25" customFormat="1" x14ac:dyDescent="0.25">
      <c r="A6494" s="195"/>
      <c r="B6494" s="372"/>
      <c r="C6494" s="186"/>
      <c r="D6494" s="75" t="s">
        <v>3057</v>
      </c>
      <c r="E6494" s="100"/>
      <c r="F6494" s="360"/>
      <c r="G6494" s="102"/>
      <c r="J6494" s="369"/>
      <c r="K6494" s="91"/>
    </row>
    <row r="6495" spans="1:11" s="25" customFormat="1" x14ac:dyDescent="0.25">
      <c r="A6495" s="195"/>
      <c r="B6495" s="372"/>
      <c r="C6495" s="186"/>
      <c r="D6495" s="100" t="s">
        <v>3048</v>
      </c>
      <c r="E6495" s="100"/>
      <c r="F6495" s="360" t="s">
        <v>3</v>
      </c>
      <c r="G6495" s="102">
        <f>0.15*0.11*3*8*1.137</f>
        <v>0.45025200000000004</v>
      </c>
      <c r="J6495" s="369"/>
      <c r="K6495" s="91"/>
    </row>
    <row r="6496" spans="1:11" s="25" customFormat="1" x14ac:dyDescent="0.25">
      <c r="A6496" s="195"/>
      <c r="B6496" s="372"/>
      <c r="C6496" s="186"/>
      <c r="D6496" s="75" t="s">
        <v>3058</v>
      </c>
      <c r="E6496" s="100"/>
      <c r="F6496" s="360"/>
      <c r="G6496" s="102"/>
      <c r="J6496" s="369"/>
      <c r="K6496" s="91"/>
    </row>
    <row r="6497" spans="1:11" s="25" customFormat="1" x14ac:dyDescent="0.25">
      <c r="A6497" s="195"/>
      <c r="B6497" s="372"/>
      <c r="C6497" s="186"/>
      <c r="D6497" s="100" t="s">
        <v>3048</v>
      </c>
      <c r="E6497" s="100"/>
      <c r="F6497" s="360" t="s">
        <v>3</v>
      </c>
      <c r="G6497" s="102">
        <f>0.17*0.02*3*8*1.16</f>
        <v>9.4656000000000004E-2</v>
      </c>
      <c r="J6497" s="369"/>
      <c r="K6497" s="91"/>
    </row>
    <row r="6498" spans="1:11" s="25" customFormat="1" x14ac:dyDescent="0.25">
      <c r="A6498" s="195"/>
      <c r="B6498" s="372"/>
      <c r="C6498" s="186"/>
      <c r="D6498" s="100"/>
      <c r="E6498" s="100"/>
      <c r="F6498" s="360"/>
      <c r="G6498" s="102"/>
      <c r="J6498" s="369"/>
      <c r="K6498" s="91"/>
    </row>
    <row r="6499" spans="1:11" s="25" customFormat="1" x14ac:dyDescent="0.25">
      <c r="A6499" s="195"/>
      <c r="B6499" s="372"/>
      <c r="C6499" s="78" t="s">
        <v>3061</v>
      </c>
      <c r="D6499" s="100"/>
      <c r="E6499" s="100"/>
      <c r="F6499" s="360"/>
      <c r="G6499" s="102"/>
      <c r="J6499" s="369"/>
      <c r="K6499" s="91"/>
    </row>
    <row r="6500" spans="1:11" s="25" customFormat="1" x14ac:dyDescent="0.25">
      <c r="A6500" s="195"/>
      <c r="B6500" s="372"/>
      <c r="C6500" s="77" t="s">
        <v>1054</v>
      </c>
      <c r="D6500" s="73"/>
      <c r="E6500" s="73"/>
      <c r="F6500" s="152" t="s">
        <v>3</v>
      </c>
      <c r="G6500" s="72">
        <f>0.032*3.14*0.08*1.2</f>
        <v>9.6460799999999996E-3</v>
      </c>
      <c r="J6500" s="369"/>
      <c r="K6500" s="91"/>
    </row>
    <row r="6501" spans="1:11" s="25" customFormat="1" ht="17.25" x14ac:dyDescent="0.25">
      <c r="A6501" s="195"/>
      <c r="B6501" s="372"/>
      <c r="C6501" s="77" t="s">
        <v>1055</v>
      </c>
      <c r="D6501" s="73"/>
      <c r="E6501" s="73"/>
      <c r="F6501" s="152" t="s">
        <v>596</v>
      </c>
      <c r="G6501" s="72">
        <f>G6500*1.11</f>
        <v>1.07071488E-2</v>
      </c>
      <c r="J6501" s="369"/>
      <c r="K6501" s="91"/>
    </row>
    <row r="6502" spans="1:11" s="25" customFormat="1" x14ac:dyDescent="0.25">
      <c r="A6502" s="195"/>
      <c r="B6502" s="372"/>
      <c r="C6502" s="186"/>
      <c r="D6502" s="75" t="s">
        <v>3059</v>
      </c>
      <c r="E6502" s="100"/>
      <c r="F6502" s="360"/>
      <c r="G6502" s="102"/>
      <c r="J6502" s="369"/>
      <c r="K6502" s="91"/>
    </row>
    <row r="6503" spans="1:11" s="25" customFormat="1" x14ac:dyDescent="0.25">
      <c r="A6503" s="195"/>
      <c r="B6503" s="372"/>
      <c r="C6503" s="186"/>
      <c r="D6503" s="100" t="s">
        <v>3060</v>
      </c>
      <c r="E6503" s="100"/>
      <c r="F6503" s="360" t="s">
        <v>3</v>
      </c>
      <c r="G6503" s="102">
        <f>0.095*0.07*4*8*1.15</f>
        <v>0.24471999999999999</v>
      </c>
      <c r="J6503" s="369"/>
      <c r="K6503" s="91"/>
    </row>
    <row r="6504" spans="1:11" s="25" customFormat="1" x14ac:dyDescent="0.25">
      <c r="A6504" s="195"/>
      <c r="B6504" s="372"/>
      <c r="C6504" s="186"/>
      <c r="D6504" s="100"/>
      <c r="E6504" s="100"/>
      <c r="F6504" s="360"/>
      <c r="G6504" s="102"/>
      <c r="J6504" s="369"/>
      <c r="K6504" s="91"/>
    </row>
    <row r="6505" spans="1:11" s="25" customFormat="1" x14ac:dyDescent="0.25">
      <c r="A6505" s="195"/>
      <c r="B6505" s="372"/>
      <c r="C6505" s="75" t="s">
        <v>3062</v>
      </c>
      <c r="D6505" s="100"/>
      <c r="E6505" s="100"/>
      <c r="F6505" s="360"/>
      <c r="G6505" s="102"/>
      <c r="J6505" s="369"/>
      <c r="K6505" s="91"/>
    </row>
    <row r="6506" spans="1:11" s="25" customFormat="1" x14ac:dyDescent="0.25">
      <c r="A6506" s="195"/>
      <c r="B6506" s="372"/>
      <c r="C6506" s="186" t="s">
        <v>3063</v>
      </c>
      <c r="D6506" s="100"/>
      <c r="E6506" s="100"/>
      <c r="F6506" s="360" t="s">
        <v>3</v>
      </c>
      <c r="G6506" s="102">
        <f>0.045*0.045*3*8*1.13</f>
        <v>5.4917999999999995E-2</v>
      </c>
      <c r="J6506" s="369"/>
      <c r="K6506" s="91"/>
    </row>
    <row r="6507" spans="1:11" s="25" customFormat="1" x14ac:dyDescent="0.25">
      <c r="A6507" s="195"/>
      <c r="B6507" s="372"/>
      <c r="C6507" s="186"/>
      <c r="D6507" s="100"/>
      <c r="E6507" s="100"/>
      <c r="F6507" s="360"/>
      <c r="G6507" s="102"/>
      <c r="J6507" s="369"/>
      <c r="K6507" s="91"/>
    </row>
    <row r="6508" spans="1:11" s="25" customFormat="1" x14ac:dyDescent="0.25">
      <c r="A6508" s="195"/>
      <c r="B6508" s="372"/>
      <c r="C6508" s="78" t="s">
        <v>3064</v>
      </c>
      <c r="D6508" s="100"/>
      <c r="E6508" s="100"/>
      <c r="F6508" s="360"/>
      <c r="G6508" s="102"/>
      <c r="J6508" s="369"/>
      <c r="K6508" s="91"/>
    </row>
    <row r="6509" spans="1:11" s="25" customFormat="1" x14ac:dyDescent="0.25">
      <c r="A6509" s="195"/>
      <c r="B6509" s="372"/>
      <c r="C6509" s="186" t="s">
        <v>3065</v>
      </c>
      <c r="D6509" s="100"/>
      <c r="E6509" s="100"/>
      <c r="F6509" s="360" t="s">
        <v>3</v>
      </c>
      <c r="G6509" s="102">
        <f>0.025*0.02*1*8</f>
        <v>4.0000000000000001E-3</v>
      </c>
      <c r="J6509" s="369"/>
      <c r="K6509" s="91"/>
    </row>
    <row r="6510" spans="1:11" s="25" customFormat="1" x14ac:dyDescent="0.25">
      <c r="A6510" s="195"/>
      <c r="B6510" s="372"/>
      <c r="C6510" s="186"/>
      <c r="D6510" s="100"/>
      <c r="E6510" s="100"/>
      <c r="F6510" s="360"/>
      <c r="G6510" s="102"/>
      <c r="J6510" s="369"/>
      <c r="K6510" s="91"/>
    </row>
    <row r="6511" spans="1:11" s="25" customFormat="1" x14ac:dyDescent="0.25">
      <c r="A6511" s="195"/>
      <c r="B6511" s="372"/>
      <c r="C6511" s="75" t="s">
        <v>3066</v>
      </c>
      <c r="D6511" s="100"/>
      <c r="E6511" s="100"/>
      <c r="F6511" s="360"/>
      <c r="G6511" s="102"/>
      <c r="J6511" s="369"/>
      <c r="K6511" s="91"/>
    </row>
    <row r="6512" spans="1:11" s="25" customFormat="1" x14ac:dyDescent="0.25">
      <c r="A6512" s="195"/>
      <c r="B6512" s="372"/>
      <c r="C6512" s="186" t="s">
        <v>1527</v>
      </c>
      <c r="D6512" s="100"/>
      <c r="E6512" s="100"/>
      <c r="F6512" s="360" t="s">
        <v>3</v>
      </c>
      <c r="G6512" s="102">
        <f>0.045*0.045*0.15*8*1.1</f>
        <v>2.673E-3</v>
      </c>
      <c r="J6512" s="369"/>
      <c r="K6512" s="91"/>
    </row>
    <row r="6513" spans="1:11" s="25" customFormat="1" x14ac:dyDescent="0.25">
      <c r="A6513" s="195"/>
      <c r="B6513" s="372"/>
      <c r="C6513" s="100"/>
      <c r="D6513" s="100"/>
      <c r="E6513" s="100"/>
      <c r="F6513" s="360"/>
      <c r="G6513" s="102"/>
      <c r="J6513" s="369"/>
      <c r="K6513" s="91"/>
    </row>
    <row r="6514" spans="1:11" s="25" customFormat="1" x14ac:dyDescent="0.25">
      <c r="A6514" s="195"/>
      <c r="B6514" s="372"/>
      <c r="C6514" s="75" t="s">
        <v>3067</v>
      </c>
      <c r="D6514" s="100"/>
      <c r="E6514" s="100"/>
      <c r="F6514" s="360"/>
      <c r="G6514" s="102"/>
      <c r="J6514" s="369"/>
      <c r="K6514" s="91"/>
    </row>
    <row r="6515" spans="1:11" s="25" customFormat="1" x14ac:dyDescent="0.25">
      <c r="A6515" s="195"/>
      <c r="B6515" s="372"/>
      <c r="C6515" s="186" t="s">
        <v>1119</v>
      </c>
      <c r="D6515" s="100"/>
      <c r="E6515" s="100"/>
      <c r="F6515" s="360" t="s">
        <v>3</v>
      </c>
      <c r="G6515" s="102">
        <f>0.045*0.045*0.5*8*1.12</f>
        <v>9.0720000000000002E-3</v>
      </c>
      <c r="J6515" s="369"/>
      <c r="K6515" s="91"/>
    </row>
    <row r="6516" spans="1:11" s="25" customFormat="1" x14ac:dyDescent="0.25">
      <c r="A6516" s="195"/>
      <c r="B6516" s="372"/>
      <c r="C6516" s="100"/>
      <c r="D6516" s="100"/>
      <c r="E6516" s="100"/>
      <c r="F6516" s="360"/>
      <c r="G6516" s="102"/>
      <c r="J6516" s="369"/>
      <c r="K6516" s="91"/>
    </row>
    <row r="6517" spans="1:11" s="25" customFormat="1" x14ac:dyDescent="0.25">
      <c r="A6517" s="195"/>
      <c r="B6517" s="372"/>
      <c r="C6517" s="75" t="s">
        <v>3068</v>
      </c>
      <c r="D6517" s="100"/>
      <c r="E6517" s="100"/>
      <c r="F6517" s="360"/>
      <c r="G6517" s="102"/>
      <c r="J6517" s="369"/>
      <c r="K6517" s="91"/>
    </row>
    <row r="6518" spans="1:11" s="25" customFormat="1" x14ac:dyDescent="0.25">
      <c r="A6518" s="195"/>
      <c r="B6518" s="372"/>
      <c r="C6518" s="186" t="s">
        <v>3070</v>
      </c>
      <c r="D6518" s="100"/>
      <c r="E6518" s="363"/>
      <c r="F6518" s="360" t="s">
        <v>3</v>
      </c>
      <c r="G6518" s="102">
        <f>0.045*0.045*0.25*8*1.12</f>
        <v>4.5360000000000001E-3</v>
      </c>
      <c r="J6518" s="369"/>
      <c r="K6518" s="91"/>
    </row>
    <row r="6519" spans="1:11" s="25" customFormat="1" x14ac:dyDescent="0.25">
      <c r="A6519" s="195"/>
      <c r="B6519" s="372"/>
      <c r="C6519" s="186"/>
      <c r="D6519" s="100"/>
      <c r="E6519" s="100"/>
      <c r="F6519" s="360"/>
      <c r="G6519" s="102"/>
      <c r="J6519" s="369"/>
      <c r="K6519" s="91"/>
    </row>
    <row r="6520" spans="1:11" s="25" customFormat="1" x14ac:dyDescent="0.25">
      <c r="A6520" s="195"/>
      <c r="B6520" s="372"/>
      <c r="C6520" s="75" t="s">
        <v>3069</v>
      </c>
      <c r="D6520" s="100"/>
      <c r="E6520" s="100"/>
      <c r="F6520" s="360"/>
      <c r="G6520" s="102"/>
      <c r="J6520" s="369"/>
      <c r="K6520" s="91"/>
    </row>
    <row r="6521" spans="1:11" s="25" customFormat="1" x14ac:dyDescent="0.25">
      <c r="A6521" s="195"/>
      <c r="B6521" s="372"/>
      <c r="C6521" s="186" t="s">
        <v>3071</v>
      </c>
      <c r="D6521" s="100"/>
      <c r="E6521" s="100"/>
      <c r="F6521" s="360" t="s">
        <v>3</v>
      </c>
      <c r="G6521" s="102">
        <f>0.06*0.06*0.5*8*1.19</f>
        <v>1.7135999999999998E-2</v>
      </c>
      <c r="J6521" s="369"/>
      <c r="K6521" s="91"/>
    </row>
    <row r="6522" spans="1:11" s="25" customFormat="1" x14ac:dyDescent="0.25">
      <c r="A6522" s="195"/>
      <c r="B6522" s="372"/>
      <c r="C6522" s="186"/>
      <c r="D6522" s="100"/>
      <c r="E6522" s="100"/>
      <c r="F6522" s="360"/>
      <c r="G6522" s="102"/>
      <c r="J6522" s="369"/>
      <c r="K6522" s="91"/>
    </row>
    <row r="6523" spans="1:11" s="25" customFormat="1" x14ac:dyDescent="0.25">
      <c r="A6523" s="195"/>
      <c r="B6523" s="372"/>
      <c r="C6523" s="75" t="s">
        <v>3072</v>
      </c>
      <c r="D6523" s="100"/>
      <c r="E6523" s="100"/>
      <c r="F6523" s="360"/>
      <c r="G6523" s="102"/>
      <c r="J6523" s="369"/>
      <c r="K6523" s="91"/>
    </row>
    <row r="6524" spans="1:11" s="25" customFormat="1" x14ac:dyDescent="0.25">
      <c r="A6524" s="195"/>
      <c r="B6524" s="372"/>
      <c r="C6524" s="186" t="s">
        <v>3074</v>
      </c>
      <c r="D6524" s="100"/>
      <c r="E6524" s="100"/>
      <c r="F6524" s="360" t="s">
        <v>3</v>
      </c>
      <c r="G6524" s="102">
        <f>0.04*0.04*1.5*8*1.12</f>
        <v>2.1504000000000006E-2</v>
      </c>
      <c r="J6524" s="369"/>
      <c r="K6524" s="91"/>
    </row>
    <row r="6525" spans="1:11" s="25" customFormat="1" x14ac:dyDescent="0.25">
      <c r="A6525" s="195"/>
      <c r="B6525" s="372"/>
      <c r="C6525" s="186"/>
      <c r="D6525" s="100"/>
      <c r="E6525" s="100"/>
      <c r="F6525" s="360"/>
      <c r="G6525" s="102"/>
      <c r="J6525" s="369"/>
      <c r="K6525" s="91"/>
    </row>
    <row r="6526" spans="1:11" s="25" customFormat="1" x14ac:dyDescent="0.25">
      <c r="A6526" s="195"/>
      <c r="B6526" s="372"/>
      <c r="C6526" s="75" t="s">
        <v>3073</v>
      </c>
      <c r="D6526" s="100"/>
      <c r="E6526" s="100"/>
      <c r="F6526" s="360"/>
      <c r="G6526" s="102"/>
      <c r="J6526" s="369"/>
      <c r="K6526" s="91"/>
    </row>
    <row r="6527" spans="1:11" s="25" customFormat="1" x14ac:dyDescent="0.25">
      <c r="A6527" s="195"/>
      <c r="B6527" s="372"/>
      <c r="C6527" s="186" t="s">
        <v>3075</v>
      </c>
      <c r="D6527" s="100"/>
      <c r="E6527" s="100"/>
      <c r="F6527" s="360" t="s">
        <v>3</v>
      </c>
      <c r="G6527" s="102">
        <f>0.03*0.03*0.5*8*1.1</f>
        <v>3.96E-3</v>
      </c>
      <c r="J6527" s="369"/>
      <c r="K6527" s="91"/>
    </row>
    <row r="6528" spans="1:11" s="25" customFormat="1" x14ac:dyDescent="0.25">
      <c r="A6528" s="195"/>
      <c r="B6528" s="372"/>
      <c r="C6528" s="186"/>
      <c r="D6528" s="100"/>
      <c r="E6528" s="100"/>
      <c r="F6528" s="360"/>
      <c r="G6528" s="102"/>
      <c r="J6528" s="369"/>
      <c r="K6528" s="91"/>
    </row>
    <row r="6529" spans="1:11" s="25" customFormat="1" x14ac:dyDescent="0.25">
      <c r="A6529" s="195"/>
      <c r="B6529" s="372"/>
      <c r="C6529" s="75" t="s">
        <v>3076</v>
      </c>
      <c r="D6529" s="73"/>
      <c r="E6529" s="100"/>
      <c r="F6529" s="360"/>
      <c r="G6529" s="102"/>
      <c r="J6529" s="369"/>
      <c r="K6529" s="91"/>
    </row>
    <row r="6530" spans="1:11" s="25" customFormat="1" x14ac:dyDescent="0.25">
      <c r="A6530" s="195"/>
      <c r="B6530" s="372"/>
      <c r="C6530" s="186" t="s">
        <v>3077</v>
      </c>
      <c r="D6530" s="100"/>
      <c r="E6530" s="100"/>
      <c r="F6530" s="360" t="s">
        <v>3</v>
      </c>
      <c r="G6530" s="102">
        <v>6.0000000000000001E-3</v>
      </c>
      <c r="J6530" s="369"/>
      <c r="K6530" s="91"/>
    </row>
    <row r="6531" spans="1:11" s="25" customFormat="1" x14ac:dyDescent="0.25">
      <c r="A6531" s="195"/>
      <c r="B6531" s="372"/>
      <c r="C6531" s="186"/>
      <c r="D6531" s="100"/>
      <c r="E6531" s="100"/>
      <c r="F6531" s="360"/>
      <c r="G6531" s="368"/>
      <c r="J6531" s="369"/>
      <c r="K6531" s="91"/>
    </row>
    <row r="6532" spans="1:11" s="25" customFormat="1" x14ac:dyDescent="0.25">
      <c r="A6532" s="195"/>
      <c r="B6532" s="372"/>
      <c r="C6532" s="78" t="s">
        <v>3079</v>
      </c>
      <c r="D6532" s="100"/>
      <c r="E6532" s="100"/>
      <c r="F6532" s="360"/>
      <c r="G6532" s="102"/>
      <c r="J6532" s="369"/>
      <c r="K6532" s="91"/>
    </row>
    <row r="6533" spans="1:11" s="25" customFormat="1" x14ac:dyDescent="0.25">
      <c r="A6533" s="195"/>
      <c r="B6533" s="372"/>
      <c r="C6533" s="77" t="s">
        <v>1054</v>
      </c>
      <c r="D6533" s="73"/>
      <c r="E6533" s="73"/>
      <c r="F6533" s="152" t="s">
        <v>3</v>
      </c>
      <c r="G6533" s="72">
        <f>0.43*0.08*1.3</f>
        <v>4.4720000000000003E-2</v>
      </c>
      <c r="J6533" s="369"/>
      <c r="K6533" s="91"/>
    </row>
    <row r="6534" spans="1:11" s="25" customFormat="1" ht="17.25" x14ac:dyDescent="0.25">
      <c r="A6534" s="195"/>
      <c r="B6534" s="372"/>
      <c r="C6534" s="77" t="s">
        <v>1055</v>
      </c>
      <c r="D6534" s="73"/>
      <c r="E6534" s="73"/>
      <c r="F6534" s="152" t="s">
        <v>596</v>
      </c>
      <c r="G6534" s="72">
        <f>G6533*1.11</f>
        <v>4.9639200000000008E-2</v>
      </c>
      <c r="J6534" s="369"/>
      <c r="K6534" s="91"/>
    </row>
    <row r="6535" spans="1:11" s="25" customFormat="1" x14ac:dyDescent="0.25">
      <c r="A6535" s="195"/>
      <c r="B6535" s="372"/>
      <c r="C6535" s="100" t="s">
        <v>8</v>
      </c>
      <c r="D6535" s="100"/>
      <c r="E6535" s="100"/>
      <c r="F6535" s="360" t="s">
        <v>3</v>
      </c>
      <c r="G6535" s="102">
        <f>0.53*0.4*2*0.12*1.37</f>
        <v>6.9705600000000006E-2</v>
      </c>
      <c r="J6535" s="369"/>
      <c r="K6535" s="91"/>
    </row>
    <row r="6536" spans="1:11" s="25" customFormat="1" x14ac:dyDescent="0.25">
      <c r="A6536" s="195"/>
      <c r="B6536" s="372"/>
      <c r="C6536" s="100" t="s">
        <v>12</v>
      </c>
      <c r="D6536" s="100"/>
      <c r="E6536" s="100"/>
      <c r="F6536" s="360" t="s">
        <v>3</v>
      </c>
      <c r="G6536" s="102">
        <f>0.3*G6535-0.001</f>
        <v>1.9911680000000001E-2</v>
      </c>
      <c r="J6536" s="369"/>
      <c r="K6536" s="91"/>
    </row>
    <row r="6537" spans="1:11" s="25" customFormat="1" x14ac:dyDescent="0.25">
      <c r="A6537" s="195"/>
      <c r="B6537" s="372"/>
      <c r="C6537" s="100" t="s">
        <v>72</v>
      </c>
      <c r="D6537" s="100"/>
      <c r="E6537" s="100"/>
      <c r="F6537" s="360" t="s">
        <v>3</v>
      </c>
      <c r="G6537" s="102">
        <f>0.53*0.4*2*0.15*2*1.34</f>
        <v>0.17044800000000002</v>
      </c>
      <c r="H6537" s="361"/>
      <c r="J6537" s="369"/>
      <c r="K6537" s="91"/>
    </row>
    <row r="6538" spans="1:11" s="25" customFormat="1" x14ac:dyDescent="0.25">
      <c r="A6538" s="195"/>
      <c r="B6538" s="372"/>
      <c r="C6538" s="186" t="s">
        <v>11</v>
      </c>
      <c r="D6538" s="186"/>
      <c r="E6538" s="100"/>
      <c r="F6538" s="360" t="s">
        <v>3</v>
      </c>
      <c r="G6538" s="102">
        <f>0.3*G6537-0.001</f>
        <v>5.0134400000000003E-2</v>
      </c>
      <c r="J6538" s="369"/>
      <c r="K6538" s="91"/>
    </row>
    <row r="6539" spans="1:11" s="25" customFormat="1" x14ac:dyDescent="0.25">
      <c r="A6539" s="195"/>
      <c r="B6539" s="372"/>
      <c r="C6539" s="186" t="s">
        <v>3085</v>
      </c>
      <c r="D6539" s="186"/>
      <c r="E6539" s="100"/>
      <c r="F6539" s="360" t="s">
        <v>3</v>
      </c>
      <c r="G6539" s="102">
        <v>0.15</v>
      </c>
      <c r="J6539" s="369"/>
      <c r="K6539" s="91"/>
    </row>
    <row r="6540" spans="1:11" s="25" customFormat="1" x14ac:dyDescent="0.25">
      <c r="A6540" s="195"/>
      <c r="B6540" s="372"/>
      <c r="C6540" s="186"/>
      <c r="D6540" s="75" t="s">
        <v>3080</v>
      </c>
      <c r="E6540" s="100"/>
      <c r="F6540" s="360"/>
      <c r="G6540" s="102"/>
      <c r="J6540" s="369"/>
      <c r="K6540" s="91"/>
    </row>
    <row r="6541" spans="1:11" s="25" customFormat="1" x14ac:dyDescent="0.25">
      <c r="A6541" s="195"/>
      <c r="B6541" s="372"/>
      <c r="C6541" s="186"/>
      <c r="D6541" s="100" t="s">
        <v>3082</v>
      </c>
      <c r="E6541" s="100"/>
      <c r="F6541" s="360" t="s">
        <v>3</v>
      </c>
      <c r="G6541" s="102">
        <f>0.54*0.435*3*8*1.153</f>
        <v>6.5001528000000013</v>
      </c>
      <c r="J6541" s="369"/>
      <c r="K6541" s="91"/>
    </row>
    <row r="6542" spans="1:11" s="25" customFormat="1" x14ac:dyDescent="0.25">
      <c r="A6542" s="195"/>
      <c r="B6542" s="372"/>
      <c r="C6542" s="100"/>
      <c r="D6542" s="75" t="s">
        <v>3081</v>
      </c>
      <c r="E6542" s="100"/>
      <c r="F6542" s="103"/>
      <c r="G6542" s="102"/>
      <c r="J6542" s="369"/>
      <c r="K6542" s="91"/>
    </row>
    <row r="6543" spans="1:11" s="25" customFormat="1" x14ac:dyDescent="0.25">
      <c r="A6543" s="195"/>
      <c r="B6543" s="372"/>
      <c r="C6543" s="100"/>
      <c r="D6543" s="186" t="s">
        <v>3083</v>
      </c>
      <c r="E6543" s="100"/>
      <c r="F6543" s="103" t="s">
        <v>3</v>
      </c>
      <c r="G6543" s="102">
        <f>0.45*1.52*1.096</f>
        <v>0.74966400000000011</v>
      </c>
      <c r="I6543" s="25" t="s">
        <v>3084</v>
      </c>
      <c r="J6543" s="369"/>
      <c r="K6543" s="91"/>
    </row>
    <row r="6544" spans="1:11" s="25" customFormat="1" x14ac:dyDescent="0.25">
      <c r="A6544" s="195"/>
      <c r="B6544" s="372"/>
      <c r="C6544" s="100"/>
      <c r="D6544" s="100"/>
      <c r="E6544" s="100"/>
      <c r="F6544" s="103"/>
      <c r="G6544" s="102"/>
      <c r="J6544" s="369"/>
      <c r="K6544" s="91"/>
    </row>
    <row r="6545" spans="1:11" s="25" customFormat="1" x14ac:dyDescent="0.25">
      <c r="A6545" s="195"/>
      <c r="B6545" s="372"/>
      <c r="C6545" s="75" t="s">
        <v>3086</v>
      </c>
      <c r="D6545" s="100"/>
      <c r="E6545" s="100"/>
      <c r="F6545" s="103"/>
      <c r="G6545" s="102"/>
      <c r="J6545" s="369"/>
      <c r="K6545" s="91"/>
    </row>
    <row r="6546" spans="1:11" s="25" customFormat="1" x14ac:dyDescent="0.25">
      <c r="A6546" s="195"/>
      <c r="B6546" s="372"/>
      <c r="C6546" s="100" t="s">
        <v>3087</v>
      </c>
      <c r="D6546" s="100"/>
      <c r="E6546" s="100"/>
      <c r="F6546" s="103" t="s">
        <v>3</v>
      </c>
      <c r="G6546" s="102">
        <f>0.04*0.04*0.5*8*1.05</f>
        <v>6.7200000000000003E-3</v>
      </c>
      <c r="J6546" s="369"/>
      <c r="K6546" s="91"/>
    </row>
    <row r="6547" spans="1:11" s="25" customFormat="1" x14ac:dyDescent="0.25">
      <c r="A6547" s="195"/>
      <c r="B6547" s="372"/>
      <c r="C6547" s="75"/>
      <c r="D6547" s="100"/>
      <c r="E6547" s="100"/>
      <c r="F6547" s="103"/>
      <c r="G6547" s="102"/>
      <c r="J6547" s="369"/>
      <c r="K6547" s="91"/>
    </row>
    <row r="6548" spans="1:11" s="25" customFormat="1" x14ac:dyDescent="0.25">
      <c r="A6548" s="195"/>
      <c r="B6548" s="372"/>
      <c r="C6548" s="75" t="s">
        <v>3088</v>
      </c>
      <c r="D6548" s="100"/>
      <c r="E6548" s="100"/>
      <c r="F6548" s="103"/>
      <c r="G6548" s="102"/>
      <c r="J6548" s="369"/>
      <c r="K6548" s="91"/>
    </row>
    <row r="6549" spans="1:11" s="25" customFormat="1" x14ac:dyDescent="0.25">
      <c r="A6549" s="195"/>
      <c r="B6549" s="372"/>
      <c r="C6549" s="100" t="s">
        <v>2169</v>
      </c>
      <c r="D6549" s="100"/>
      <c r="E6549" s="100"/>
      <c r="F6549" s="103" t="s">
        <v>3</v>
      </c>
      <c r="G6549" s="102">
        <f>0.39*1.17+0.004</f>
        <v>0.46029999999999999</v>
      </c>
      <c r="I6549" s="25" t="s">
        <v>3090</v>
      </c>
      <c r="J6549" s="369"/>
      <c r="K6549" s="91"/>
    </row>
    <row r="6550" spans="1:11" s="25" customFormat="1" x14ac:dyDescent="0.25">
      <c r="A6550" s="195"/>
      <c r="B6550" s="372"/>
      <c r="C6550" s="75"/>
      <c r="D6550" s="100"/>
      <c r="E6550" s="75" t="s">
        <v>2840</v>
      </c>
      <c r="F6550" s="103"/>
      <c r="G6550" s="102"/>
      <c r="J6550" s="369"/>
      <c r="K6550" s="91"/>
    </row>
    <row r="6551" spans="1:11" s="25" customFormat="1" x14ac:dyDescent="0.25">
      <c r="A6551" s="195"/>
      <c r="B6551" s="372"/>
      <c r="C6551" s="100" t="s">
        <v>3089</v>
      </c>
      <c r="D6551" s="100"/>
      <c r="E6551" s="100"/>
      <c r="F6551" s="103" t="s">
        <v>3</v>
      </c>
      <c r="G6551" s="102">
        <f>0.39*1.52+0.007</f>
        <v>0.5998</v>
      </c>
      <c r="I6551" s="25" t="s">
        <v>3091</v>
      </c>
      <c r="J6551" s="369"/>
      <c r="K6551" s="91"/>
    </row>
    <row r="6552" spans="1:11" s="25" customFormat="1" x14ac:dyDescent="0.25">
      <c r="A6552" s="195"/>
      <c r="B6552" s="372"/>
      <c r="C6552" s="75"/>
      <c r="D6552" s="100"/>
      <c r="E6552" s="100"/>
      <c r="F6552" s="103"/>
      <c r="G6552" s="102"/>
      <c r="J6552" s="369"/>
      <c r="K6552" s="91"/>
    </row>
    <row r="6553" spans="1:11" s="25" customFormat="1" x14ac:dyDescent="0.25">
      <c r="A6553" s="195"/>
      <c r="B6553" s="372"/>
      <c r="C6553" s="75" t="s">
        <v>3092</v>
      </c>
      <c r="D6553" s="100"/>
      <c r="E6553" s="100"/>
      <c r="F6553" s="103"/>
      <c r="G6553" s="102"/>
      <c r="J6553" s="369"/>
      <c r="K6553" s="91"/>
    </row>
    <row r="6554" spans="1:11" s="25" customFormat="1" x14ac:dyDescent="0.25">
      <c r="A6554" s="195"/>
      <c r="B6554" s="372"/>
      <c r="C6554" s="100" t="s">
        <v>2169</v>
      </c>
      <c r="D6554" s="100"/>
      <c r="E6554" s="100"/>
      <c r="F6554" s="103" t="s">
        <v>3</v>
      </c>
      <c r="G6554" s="102">
        <f>0.39*1.17+0.004</f>
        <v>0.46029999999999999</v>
      </c>
      <c r="I6554" s="25" t="s">
        <v>3090</v>
      </c>
      <c r="J6554" s="369"/>
      <c r="K6554" s="91"/>
    </row>
    <row r="6555" spans="1:11" s="25" customFormat="1" x14ac:dyDescent="0.25">
      <c r="A6555" s="195"/>
      <c r="B6555" s="372"/>
      <c r="C6555" s="75"/>
      <c r="D6555" s="100"/>
      <c r="E6555" s="75" t="s">
        <v>2840</v>
      </c>
      <c r="F6555" s="103"/>
      <c r="G6555" s="102"/>
      <c r="J6555" s="369"/>
      <c r="K6555" s="91"/>
    </row>
    <row r="6556" spans="1:11" s="25" customFormat="1" x14ac:dyDescent="0.25">
      <c r="A6556" s="195"/>
      <c r="B6556" s="372"/>
      <c r="C6556" s="100" t="s">
        <v>3089</v>
      </c>
      <c r="D6556" s="100"/>
      <c r="E6556" s="100"/>
      <c r="F6556" s="103" t="s">
        <v>3</v>
      </c>
      <c r="G6556" s="102">
        <f>0.39*1.52+0.007</f>
        <v>0.5998</v>
      </c>
      <c r="I6556" s="25" t="s">
        <v>3091</v>
      </c>
      <c r="J6556" s="369"/>
      <c r="K6556" s="91"/>
    </row>
    <row r="6557" spans="1:11" s="25" customFormat="1" x14ac:dyDescent="0.25">
      <c r="A6557" s="195"/>
      <c r="B6557" s="372"/>
      <c r="C6557" s="75"/>
      <c r="D6557" s="100"/>
      <c r="E6557" s="100"/>
      <c r="F6557" s="103"/>
      <c r="G6557" s="102"/>
      <c r="J6557" s="369"/>
      <c r="K6557" s="91"/>
    </row>
    <row r="6558" spans="1:11" s="25" customFormat="1" x14ac:dyDescent="0.25">
      <c r="A6558" s="195"/>
      <c r="B6558" s="372"/>
      <c r="C6558" s="75" t="s">
        <v>3093</v>
      </c>
      <c r="D6558" s="100"/>
      <c r="E6558" s="100"/>
      <c r="F6558" s="103"/>
      <c r="G6558" s="102"/>
      <c r="J6558" s="369"/>
      <c r="K6558" s="91"/>
    </row>
    <row r="6559" spans="1:11" s="25" customFormat="1" x14ac:dyDescent="0.25">
      <c r="A6559" s="195"/>
      <c r="B6559" s="372"/>
      <c r="C6559" s="100" t="s">
        <v>3094</v>
      </c>
      <c r="D6559" s="100"/>
      <c r="E6559" s="100"/>
      <c r="F6559" s="103" t="s">
        <v>3</v>
      </c>
      <c r="G6559" s="102">
        <f>0.035*0.01*1.5*8.5</f>
        <v>4.4625000000000003E-3</v>
      </c>
      <c r="J6559" s="369"/>
      <c r="K6559" s="91"/>
    </row>
    <row r="6560" spans="1:11" s="25" customFormat="1" x14ac:dyDescent="0.25">
      <c r="A6560" s="195"/>
      <c r="B6560" s="372"/>
      <c r="C6560" s="75"/>
      <c r="D6560" s="100"/>
      <c r="E6560" s="100"/>
      <c r="F6560" s="103"/>
      <c r="G6560" s="102"/>
      <c r="J6560" s="369"/>
      <c r="K6560" s="91"/>
    </row>
    <row r="6561" spans="1:11" s="25" customFormat="1" x14ac:dyDescent="0.25">
      <c r="A6561" s="195"/>
      <c r="B6561" s="372"/>
      <c r="C6561" s="75" t="s">
        <v>2870</v>
      </c>
      <c r="D6561" s="100"/>
      <c r="E6561" s="100"/>
      <c r="F6561" s="103"/>
      <c r="G6561" s="102"/>
      <c r="J6561" s="369"/>
      <c r="K6561" s="91"/>
    </row>
    <row r="6562" spans="1:11" s="25" customFormat="1" x14ac:dyDescent="0.25">
      <c r="A6562" s="195"/>
      <c r="B6562" s="372"/>
      <c r="C6562" s="100" t="s">
        <v>3095</v>
      </c>
      <c r="D6562" s="100"/>
      <c r="E6562" s="100"/>
      <c r="F6562" s="103" t="s">
        <v>3</v>
      </c>
      <c r="G6562" s="102">
        <f>0.3*0.025*0.2*8.96*1.12*12-0.001</f>
        <v>0.17963360000000003</v>
      </c>
      <c r="J6562" s="369"/>
      <c r="K6562" s="91"/>
    </row>
    <row r="6563" spans="1:11" s="25" customFormat="1" x14ac:dyDescent="0.25">
      <c r="A6563" s="195"/>
      <c r="B6563" s="372"/>
      <c r="C6563" s="73" t="s">
        <v>671</v>
      </c>
      <c r="D6563" s="73"/>
      <c r="E6563" s="73"/>
      <c r="F6563" s="74" t="s">
        <v>3</v>
      </c>
      <c r="G6563" s="102">
        <v>5.0000000000000001E-3</v>
      </c>
      <c r="J6563" s="369"/>
      <c r="K6563" s="91"/>
    </row>
    <row r="6564" spans="1:11" s="25" customFormat="1" x14ac:dyDescent="0.25">
      <c r="A6564" s="195"/>
      <c r="B6564" s="372"/>
      <c r="C6564" s="73" t="s">
        <v>672</v>
      </c>
      <c r="D6564" s="73"/>
      <c r="E6564" s="73"/>
      <c r="F6564" s="74" t="s">
        <v>3</v>
      </c>
      <c r="G6564" s="102">
        <v>1.4999999999999999E-2</v>
      </c>
      <c r="J6564" s="369"/>
      <c r="K6564" s="91"/>
    </row>
    <row r="6565" spans="1:11" s="25" customFormat="1" x14ac:dyDescent="0.25">
      <c r="A6565" s="195"/>
      <c r="B6565" s="372"/>
      <c r="C6565" s="73"/>
      <c r="D6565" s="73"/>
      <c r="E6565" s="73"/>
      <c r="F6565" s="74"/>
      <c r="G6565" s="72"/>
      <c r="J6565" s="369"/>
      <c r="K6565" s="91"/>
    </row>
    <row r="6566" spans="1:11" s="25" customFormat="1" x14ac:dyDescent="0.25">
      <c r="A6566" s="195"/>
      <c r="B6566" s="372"/>
      <c r="C6566" s="75" t="s">
        <v>3096</v>
      </c>
      <c r="D6566" s="100"/>
      <c r="E6566" s="100"/>
      <c r="F6566" s="103"/>
      <c r="G6566" s="102"/>
      <c r="J6566" s="369"/>
      <c r="K6566" s="91"/>
    </row>
    <row r="6567" spans="1:11" s="25" customFormat="1" x14ac:dyDescent="0.25">
      <c r="A6567" s="195"/>
      <c r="B6567" s="372"/>
      <c r="C6567" s="100" t="s">
        <v>3097</v>
      </c>
      <c r="D6567" s="100"/>
      <c r="E6567" s="100"/>
      <c r="F6567" s="103" t="s">
        <v>3</v>
      </c>
      <c r="G6567" s="102">
        <f>0.165*0.06*3*8*1.135</f>
        <v>0.26967600000000003</v>
      </c>
      <c r="J6567" s="369"/>
      <c r="K6567" s="91"/>
    </row>
    <row r="6568" spans="1:11" s="25" customFormat="1" x14ac:dyDescent="0.25">
      <c r="A6568" s="195"/>
      <c r="B6568" s="372"/>
      <c r="C6568" s="75"/>
      <c r="D6568" s="100"/>
      <c r="E6568" s="100"/>
      <c r="F6568" s="103"/>
      <c r="G6568" s="102"/>
      <c r="J6568" s="369"/>
      <c r="K6568" s="91"/>
    </row>
    <row r="6569" spans="1:11" s="25" customFormat="1" x14ac:dyDescent="0.25">
      <c r="A6569" s="195"/>
      <c r="B6569" s="372"/>
      <c r="C6569" s="75" t="s">
        <v>3098</v>
      </c>
      <c r="D6569" s="100"/>
      <c r="E6569" s="100"/>
      <c r="F6569" s="103"/>
      <c r="G6569" s="102"/>
      <c r="J6569" s="369"/>
      <c r="K6569" s="91"/>
    </row>
    <row r="6570" spans="1:11" s="25" customFormat="1" x14ac:dyDescent="0.25">
      <c r="A6570" s="195"/>
      <c r="B6570" s="372"/>
      <c r="C6570" s="100" t="s">
        <v>3099</v>
      </c>
      <c r="D6570" s="100"/>
      <c r="E6570" s="100"/>
      <c r="F6570" s="103" t="s">
        <v>195</v>
      </c>
      <c r="G6570" s="102">
        <v>0.6</v>
      </c>
      <c r="I6570" s="25" t="s">
        <v>1289</v>
      </c>
      <c r="J6570" s="369"/>
      <c r="K6570" s="91"/>
    </row>
    <row r="6571" spans="1:11" s="25" customFormat="1" x14ac:dyDescent="0.25">
      <c r="A6571" s="195"/>
      <c r="B6571" s="372"/>
      <c r="C6571" s="75"/>
      <c r="D6571" s="100"/>
      <c r="E6571" s="100"/>
      <c r="F6571" s="103"/>
      <c r="G6571" s="102"/>
      <c r="J6571" s="369"/>
      <c r="K6571" s="91"/>
    </row>
    <row r="6572" spans="1:11" s="25" customFormat="1" x14ac:dyDescent="0.25">
      <c r="A6572" s="195"/>
      <c r="B6572" s="372"/>
      <c r="C6572" s="75" t="s">
        <v>2868</v>
      </c>
      <c r="D6572" s="73"/>
      <c r="E6572" s="73"/>
      <c r="F6572" s="74"/>
      <c r="G6572" s="102"/>
      <c r="J6572" s="369"/>
      <c r="K6572" s="91"/>
    </row>
    <row r="6573" spans="1:11" s="25" customFormat="1" x14ac:dyDescent="0.25">
      <c r="A6573" s="195"/>
      <c r="B6573" s="372"/>
      <c r="C6573" s="73" t="s">
        <v>475</v>
      </c>
      <c r="D6573" s="73"/>
      <c r="E6573" s="73"/>
      <c r="F6573" s="74" t="s">
        <v>3</v>
      </c>
      <c r="G6573" s="102">
        <v>0.48199999999999998</v>
      </c>
      <c r="J6573" s="369"/>
      <c r="K6573" s="91"/>
    </row>
    <row r="6574" spans="1:11" s="25" customFormat="1" x14ac:dyDescent="0.25">
      <c r="A6574" s="195"/>
      <c r="B6574" s="372"/>
      <c r="C6574" s="73"/>
      <c r="D6574" s="73"/>
      <c r="E6574" s="73"/>
      <c r="F6574" s="74"/>
      <c r="G6574" s="102"/>
      <c r="J6574" s="369"/>
      <c r="K6574" s="91"/>
    </row>
    <row r="6575" spans="1:11" s="25" customFormat="1" x14ac:dyDescent="0.25">
      <c r="A6575" s="195"/>
      <c r="B6575" s="372"/>
      <c r="C6575" s="75" t="s">
        <v>2869</v>
      </c>
      <c r="D6575" s="73"/>
      <c r="E6575" s="73"/>
      <c r="F6575" s="74"/>
      <c r="G6575" s="102"/>
      <c r="J6575" s="369"/>
      <c r="K6575" s="91"/>
    </row>
    <row r="6576" spans="1:11" s="25" customFormat="1" x14ac:dyDescent="0.25">
      <c r="A6576" s="195"/>
      <c r="B6576" s="372"/>
      <c r="C6576" s="73" t="s">
        <v>2469</v>
      </c>
      <c r="D6576" s="73"/>
      <c r="E6576" s="73"/>
      <c r="F6576" s="74" t="s">
        <v>3</v>
      </c>
      <c r="G6576" s="102">
        <f>0.015*0.08*1*8*1.15</f>
        <v>1.1039999999999998E-2</v>
      </c>
      <c r="J6576" s="369"/>
      <c r="K6576" s="91"/>
    </row>
    <row r="6577" spans="1:11" s="25" customFormat="1" x14ac:dyDescent="0.25">
      <c r="A6577" s="195"/>
      <c r="B6577" s="372"/>
      <c r="C6577" s="73"/>
      <c r="D6577" s="73"/>
      <c r="E6577" s="73"/>
      <c r="F6577" s="74"/>
      <c r="G6577" s="102"/>
      <c r="J6577" s="369"/>
      <c r="K6577" s="91"/>
    </row>
    <row r="6578" spans="1:11" s="25" customFormat="1" x14ac:dyDescent="0.25">
      <c r="A6578" s="195"/>
      <c r="B6578" s="372"/>
      <c r="C6578" s="75" t="s">
        <v>2039</v>
      </c>
      <c r="D6578" s="73"/>
      <c r="E6578" s="73"/>
      <c r="F6578" s="74"/>
      <c r="G6578" s="102"/>
      <c r="J6578" s="369"/>
      <c r="K6578" s="91"/>
    </row>
    <row r="6579" spans="1:11" s="25" customFormat="1" x14ac:dyDescent="0.25">
      <c r="A6579" s="195"/>
      <c r="B6579" s="372"/>
      <c r="C6579" s="73" t="s">
        <v>680</v>
      </c>
      <c r="D6579" s="73"/>
      <c r="E6579" s="73"/>
      <c r="F6579" s="74" t="s">
        <v>3</v>
      </c>
      <c r="G6579" s="102">
        <v>0.13</v>
      </c>
      <c r="J6579" s="369"/>
      <c r="K6579" s="91"/>
    </row>
    <row r="6580" spans="1:11" s="25" customFormat="1" x14ac:dyDescent="0.25">
      <c r="A6580" s="195"/>
      <c r="B6580" s="372"/>
      <c r="C6580" s="75"/>
      <c r="D6580" s="100"/>
      <c r="E6580" s="100"/>
      <c r="F6580" s="103"/>
      <c r="G6580" s="102"/>
      <c r="J6580" s="369"/>
      <c r="K6580" s="91"/>
    </row>
    <row r="6581" spans="1:11" x14ac:dyDescent="0.25">
      <c r="A6581" s="163"/>
      <c r="B6581" s="106"/>
      <c r="C6581" s="75" t="s">
        <v>2812</v>
      </c>
      <c r="D6581" s="73"/>
      <c r="E6581" s="73"/>
      <c r="F6581" s="74"/>
      <c r="G6581" s="102"/>
      <c r="K6581" s="359"/>
    </row>
    <row r="6582" spans="1:11" x14ac:dyDescent="0.25">
      <c r="A6582" s="163"/>
      <c r="B6582" s="106"/>
      <c r="C6582" s="100" t="s">
        <v>140</v>
      </c>
      <c r="D6582" s="75"/>
      <c r="E6582" s="73"/>
      <c r="F6582" s="74" t="s">
        <v>3</v>
      </c>
      <c r="G6582" s="102">
        <f>0.008*3.14*3*0.08*1.2</f>
        <v>7.2345599999999993E-3</v>
      </c>
      <c r="K6582" s="359"/>
    </row>
    <row r="6583" spans="1:11" ht="17.25" x14ac:dyDescent="0.25">
      <c r="A6583" s="163"/>
      <c r="B6583" s="106"/>
      <c r="C6583" s="100" t="s">
        <v>23</v>
      </c>
      <c r="D6583" s="75"/>
      <c r="E6583" s="73"/>
      <c r="F6583" s="74" t="s">
        <v>596</v>
      </c>
      <c r="G6583" s="102">
        <f>G6582*2</f>
        <v>1.4469119999999999E-2</v>
      </c>
      <c r="K6583" s="359"/>
    </row>
    <row r="6584" spans="1:11" x14ac:dyDescent="0.25">
      <c r="A6584" s="163"/>
      <c r="B6584" s="106"/>
      <c r="C6584" s="100" t="s">
        <v>142</v>
      </c>
      <c r="D6584" s="75"/>
      <c r="E6584" s="73"/>
      <c r="F6584" s="74" t="s">
        <v>3</v>
      </c>
      <c r="G6584" s="102">
        <f>G6582/4</f>
        <v>1.8086399999999998E-3</v>
      </c>
      <c r="K6584" s="359"/>
    </row>
    <row r="6585" spans="1:11" x14ac:dyDescent="0.25">
      <c r="A6585" s="163"/>
      <c r="B6585" s="106"/>
      <c r="C6585" s="73" t="s">
        <v>143</v>
      </c>
      <c r="D6585" s="73"/>
      <c r="E6585" s="73"/>
      <c r="F6585" s="74" t="s">
        <v>3</v>
      </c>
      <c r="G6585" s="102">
        <f>G6588</f>
        <v>4.7520000000000001E-3</v>
      </c>
      <c r="K6585" s="359"/>
    </row>
    <row r="6586" spans="1:11" x14ac:dyDescent="0.25">
      <c r="A6586" s="163"/>
      <c r="B6586" s="106"/>
      <c r="C6586" s="73" t="s">
        <v>8</v>
      </c>
      <c r="D6586" s="73"/>
      <c r="E6586" s="73"/>
      <c r="F6586" s="74" t="s">
        <v>3</v>
      </c>
      <c r="G6586" s="102">
        <f>G6588</f>
        <v>4.7520000000000001E-3</v>
      </c>
      <c r="K6586" s="359"/>
    </row>
    <row r="6587" spans="1:11" x14ac:dyDescent="0.25">
      <c r="A6587" s="163"/>
      <c r="B6587" s="106"/>
      <c r="C6587" s="73" t="s">
        <v>12</v>
      </c>
      <c r="D6587" s="73"/>
      <c r="E6587" s="73"/>
      <c r="F6587" s="74" t="s">
        <v>3</v>
      </c>
      <c r="G6587" s="102">
        <f>0.3*(G6586+G6585)</f>
        <v>2.8511999999999999E-3</v>
      </c>
      <c r="K6587" s="359"/>
    </row>
    <row r="6588" spans="1:11" x14ac:dyDescent="0.25">
      <c r="A6588" s="163"/>
      <c r="B6588" s="106"/>
      <c r="C6588" s="73" t="s">
        <v>72</v>
      </c>
      <c r="D6588" s="73"/>
      <c r="E6588" s="73"/>
      <c r="F6588" s="74" t="s">
        <v>3</v>
      </c>
      <c r="G6588" s="102">
        <f>0.18*0.011*2*1.2</f>
        <v>4.7520000000000001E-3</v>
      </c>
      <c r="K6588" s="359"/>
    </row>
    <row r="6589" spans="1:11" x14ac:dyDescent="0.25">
      <c r="A6589" s="163"/>
      <c r="B6589" s="106"/>
      <c r="C6589" s="73" t="s">
        <v>11</v>
      </c>
      <c r="D6589" s="73"/>
      <c r="E6589" s="73"/>
      <c r="F6589" s="74" t="s">
        <v>3</v>
      </c>
      <c r="G6589" s="102">
        <f>0.3*G6588</f>
        <v>1.4256E-3</v>
      </c>
      <c r="K6589" s="359"/>
    </row>
    <row r="6590" spans="1:11" x14ac:dyDescent="0.25">
      <c r="A6590" s="163"/>
      <c r="B6590" s="106"/>
      <c r="C6590" s="73"/>
      <c r="D6590" s="75" t="s">
        <v>2813</v>
      </c>
      <c r="E6590" s="73"/>
      <c r="F6590" s="74"/>
      <c r="G6590" s="102"/>
      <c r="K6590" s="359"/>
    </row>
    <row r="6591" spans="1:11" x14ac:dyDescent="0.25">
      <c r="A6591" s="163"/>
      <c r="B6591" s="106"/>
      <c r="C6591" s="73"/>
      <c r="D6591" s="73" t="s">
        <v>2814</v>
      </c>
      <c r="E6591" s="73"/>
      <c r="F6591" s="74" t="s">
        <v>3</v>
      </c>
      <c r="G6591" s="102">
        <v>0.03</v>
      </c>
      <c r="K6591" s="359"/>
    </row>
    <row r="6592" spans="1:11" x14ac:dyDescent="0.25">
      <c r="A6592" s="163"/>
      <c r="B6592" s="106"/>
      <c r="C6592" s="73"/>
      <c r="D6592" s="73"/>
      <c r="E6592" s="73"/>
      <c r="F6592" s="74"/>
      <c r="G6592" s="102"/>
      <c r="K6592" s="359"/>
    </row>
    <row r="6593" spans="1:11" x14ac:dyDescent="0.25">
      <c r="A6593" s="163"/>
      <c r="B6593" s="106"/>
      <c r="C6593" s="75" t="s">
        <v>2815</v>
      </c>
      <c r="D6593" s="73"/>
      <c r="E6593" s="73"/>
      <c r="F6593" s="74"/>
      <c r="G6593" s="102"/>
      <c r="K6593" s="359"/>
    </row>
    <row r="6594" spans="1:11" x14ac:dyDescent="0.25">
      <c r="A6594" s="163"/>
      <c r="B6594" s="106"/>
      <c r="C6594" s="73" t="s">
        <v>2755</v>
      </c>
      <c r="D6594" s="73"/>
      <c r="E6594" s="73"/>
      <c r="F6594" s="74" t="s">
        <v>3</v>
      </c>
      <c r="G6594" s="102">
        <f>(0.022*3.14*4+0.316*2+0.3*2+0.08)*0.08*1.18</f>
        <v>0.14993740799999999</v>
      </c>
      <c r="K6594" s="359"/>
    </row>
    <row r="6595" spans="1:11" ht="17.25" x14ac:dyDescent="0.25">
      <c r="A6595" s="163"/>
      <c r="B6595" s="106"/>
      <c r="C6595" s="73" t="s">
        <v>1055</v>
      </c>
      <c r="D6595" s="73"/>
      <c r="E6595" s="73"/>
      <c r="F6595" s="74" t="s">
        <v>596</v>
      </c>
      <c r="G6595" s="102">
        <f>1.09*G6594</f>
        <v>0.16343177472000001</v>
      </c>
      <c r="H6595" s="334"/>
      <c r="K6595" s="359"/>
    </row>
    <row r="6596" spans="1:11" x14ac:dyDescent="0.25">
      <c r="A6596" s="163"/>
      <c r="B6596" s="106"/>
      <c r="C6596" s="77" t="s">
        <v>8</v>
      </c>
      <c r="D6596" s="73"/>
      <c r="E6596" s="73"/>
      <c r="F6596" s="74" t="s">
        <v>3</v>
      </c>
      <c r="G6596" s="102">
        <f>G6597*0.85</f>
        <v>2.7539999999999999E-2</v>
      </c>
      <c r="H6596" s="334"/>
      <c r="K6596" s="359"/>
    </row>
    <row r="6597" spans="1:11" x14ac:dyDescent="0.25">
      <c r="A6597" s="163"/>
      <c r="B6597" s="106"/>
      <c r="C6597" s="77" t="s">
        <v>2816</v>
      </c>
      <c r="D6597" s="73"/>
      <c r="E6597" s="73"/>
      <c r="F6597" s="74" t="s">
        <v>3</v>
      </c>
      <c r="G6597" s="102">
        <f>0.3*0.3*2*0.15*1.2</f>
        <v>3.2399999999999998E-2</v>
      </c>
      <c r="K6597" s="359"/>
    </row>
    <row r="6598" spans="1:11" x14ac:dyDescent="0.25">
      <c r="A6598" s="163"/>
      <c r="B6598" s="106"/>
      <c r="C6598" s="77" t="s">
        <v>12</v>
      </c>
      <c r="D6598" s="73"/>
      <c r="E6598" s="73"/>
      <c r="F6598" s="74" t="s">
        <v>3</v>
      </c>
      <c r="G6598" s="102">
        <f>0.3*(G6597+G6596)</f>
        <v>1.7981999999999998E-2</v>
      </c>
      <c r="K6598" s="359"/>
    </row>
    <row r="6599" spans="1:11" x14ac:dyDescent="0.25">
      <c r="A6599" s="163"/>
      <c r="B6599" s="106"/>
      <c r="C6599" s="73"/>
      <c r="D6599" s="75" t="s">
        <v>2817</v>
      </c>
      <c r="E6599" s="73"/>
      <c r="F6599" s="74"/>
      <c r="G6599" s="102"/>
      <c r="K6599" s="359"/>
    </row>
    <row r="6600" spans="1:11" x14ac:dyDescent="0.25">
      <c r="A6600" s="163"/>
      <c r="B6600" s="106"/>
      <c r="C6600" s="73"/>
      <c r="D6600" s="73" t="s">
        <v>227</v>
      </c>
      <c r="E6600" s="73"/>
      <c r="F6600" s="74" t="s">
        <v>3</v>
      </c>
      <c r="G6600" s="102">
        <f>0.32*0.09*5*8*1.1285</f>
        <v>1.3000320000000001</v>
      </c>
      <c r="K6600" s="359"/>
    </row>
    <row r="6601" spans="1:11" x14ac:dyDescent="0.25">
      <c r="A6601" s="163"/>
      <c r="B6601" s="106"/>
      <c r="C6601" s="73"/>
      <c r="D6601" s="75" t="s">
        <v>2818</v>
      </c>
      <c r="E6601" s="73"/>
      <c r="F6601" s="74"/>
      <c r="G6601" s="102"/>
      <c r="K6601" s="359"/>
    </row>
    <row r="6602" spans="1:11" x14ac:dyDescent="0.25">
      <c r="A6602" s="163"/>
      <c r="B6602" s="106"/>
      <c r="C6602" s="73"/>
      <c r="D6602" s="73" t="s">
        <v>227</v>
      </c>
      <c r="E6602" s="73"/>
      <c r="F6602" s="74" t="s">
        <v>3</v>
      </c>
      <c r="G6602" s="102">
        <f>0.3*0.27*5*8*1.02-0.005</f>
        <v>3.2998000000000003</v>
      </c>
      <c r="K6602" s="359"/>
    </row>
    <row r="6603" spans="1:11" s="25" customFormat="1" x14ac:dyDescent="0.25">
      <c r="A6603" s="195"/>
      <c r="B6603" s="372"/>
      <c r="C6603" s="75"/>
      <c r="D6603" s="100"/>
      <c r="E6603" s="100"/>
      <c r="F6603" s="103"/>
      <c r="G6603" s="102"/>
      <c r="J6603" s="369"/>
      <c r="K6603" s="91"/>
    </row>
    <row r="6604" spans="1:11" s="25" customFormat="1" x14ac:dyDescent="0.25">
      <c r="A6604" s="195"/>
      <c r="B6604" s="372"/>
      <c r="C6604" s="75" t="s">
        <v>3100</v>
      </c>
      <c r="D6604" s="100"/>
      <c r="E6604" s="100"/>
      <c r="F6604" s="103"/>
      <c r="G6604" s="102"/>
      <c r="J6604" s="369"/>
      <c r="K6604" s="91"/>
    </row>
    <row r="6605" spans="1:11" s="25" customFormat="1" x14ac:dyDescent="0.25">
      <c r="A6605" s="195"/>
      <c r="B6605" s="372"/>
      <c r="C6605" s="100" t="s">
        <v>3101</v>
      </c>
      <c r="D6605" s="100"/>
      <c r="E6605" s="100"/>
      <c r="F6605" s="103" t="s">
        <v>1516</v>
      </c>
      <c r="G6605" s="102">
        <v>4</v>
      </c>
      <c r="J6605" s="369"/>
      <c r="K6605" s="91"/>
    </row>
    <row r="6606" spans="1:11" s="25" customFormat="1" x14ac:dyDescent="0.25">
      <c r="A6606" s="195"/>
      <c r="B6606" s="372"/>
      <c r="C6606" s="75"/>
      <c r="D6606" s="75" t="s">
        <v>3102</v>
      </c>
      <c r="E6606" s="100"/>
      <c r="F6606" s="103"/>
      <c r="G6606" s="102"/>
      <c r="J6606" s="369"/>
      <c r="K6606" s="91"/>
    </row>
    <row r="6607" spans="1:11" s="25" customFormat="1" x14ac:dyDescent="0.25">
      <c r="A6607" s="195"/>
      <c r="B6607" s="372"/>
      <c r="C6607" s="75"/>
      <c r="D6607" s="100" t="s">
        <v>3105</v>
      </c>
      <c r="E6607" s="100"/>
      <c r="F6607" s="103" t="s">
        <v>3</v>
      </c>
      <c r="G6607" s="102">
        <f>0.11*0.025*4*9*1.11</f>
        <v>0.10989000000000002</v>
      </c>
      <c r="J6607" s="369"/>
      <c r="K6607" s="91"/>
    </row>
    <row r="6608" spans="1:11" s="25" customFormat="1" x14ac:dyDescent="0.25">
      <c r="A6608" s="195"/>
      <c r="B6608" s="372"/>
      <c r="C6608" s="75"/>
      <c r="D6608" s="75" t="s">
        <v>3103</v>
      </c>
      <c r="E6608" s="100"/>
      <c r="F6608" s="103"/>
      <c r="G6608" s="102"/>
      <c r="J6608" s="369"/>
      <c r="K6608" s="91"/>
    </row>
    <row r="6609" spans="1:11" s="25" customFormat="1" x14ac:dyDescent="0.25">
      <c r="A6609" s="195"/>
      <c r="B6609" s="372"/>
      <c r="C6609" s="75"/>
      <c r="D6609" s="100" t="s">
        <v>3105</v>
      </c>
      <c r="E6609" s="100"/>
      <c r="F6609" s="103" t="s">
        <v>3</v>
      </c>
      <c r="G6609" s="102">
        <f>0.085*0.025*4*9*1.11</f>
        <v>8.4915000000000018E-2</v>
      </c>
      <c r="J6609" s="369"/>
      <c r="K6609" s="91"/>
    </row>
    <row r="6610" spans="1:11" s="25" customFormat="1" x14ac:dyDescent="0.25">
      <c r="A6610" s="195"/>
      <c r="B6610" s="372"/>
      <c r="C6610" s="75"/>
      <c r="D6610" s="75" t="s">
        <v>3104</v>
      </c>
      <c r="E6610" s="100"/>
      <c r="F6610" s="103"/>
      <c r="G6610" s="102"/>
      <c r="J6610" s="369"/>
      <c r="K6610" s="91"/>
    </row>
    <row r="6611" spans="1:11" s="25" customFormat="1" x14ac:dyDescent="0.25">
      <c r="A6611" s="195"/>
      <c r="B6611" s="372"/>
      <c r="C6611" s="75"/>
      <c r="D6611" s="100" t="s">
        <v>3106</v>
      </c>
      <c r="E6611" s="100"/>
      <c r="F6611" s="103" t="s">
        <v>3</v>
      </c>
      <c r="G6611" s="102">
        <f>0.32*0.025*0.2*9*20*1.11</f>
        <v>0.31968000000000008</v>
      </c>
      <c r="J6611" s="369"/>
      <c r="K6611" s="91"/>
    </row>
    <row r="6612" spans="1:11" s="25" customFormat="1" x14ac:dyDescent="0.25">
      <c r="A6612" s="195"/>
      <c r="B6612" s="372"/>
      <c r="C6612" s="75"/>
      <c r="D6612" s="73" t="s">
        <v>671</v>
      </c>
      <c r="E6612" s="73"/>
      <c r="F6612" s="74" t="s">
        <v>3</v>
      </c>
      <c r="G6612" s="102">
        <v>5.0000000000000001E-3</v>
      </c>
      <c r="H6612" s="361"/>
      <c r="J6612" s="369"/>
      <c r="K6612" s="91"/>
    </row>
    <row r="6613" spans="1:11" s="25" customFormat="1" x14ac:dyDescent="0.25">
      <c r="A6613" s="195"/>
      <c r="B6613" s="372"/>
      <c r="C6613" s="75"/>
      <c r="D6613" s="73" t="s">
        <v>672</v>
      </c>
      <c r="E6613" s="73"/>
      <c r="F6613" s="74" t="s">
        <v>3</v>
      </c>
      <c r="G6613" s="102">
        <v>1.4999999999999999E-2</v>
      </c>
      <c r="H6613" s="361"/>
      <c r="J6613" s="369"/>
      <c r="K6613" s="91"/>
    </row>
    <row r="6614" spans="1:11" s="25" customFormat="1" x14ac:dyDescent="0.25">
      <c r="A6614" s="195"/>
      <c r="B6614" s="372"/>
      <c r="C6614" s="75"/>
      <c r="D6614" s="73"/>
      <c r="E6614" s="73"/>
      <c r="F6614" s="74"/>
      <c r="G6614" s="102"/>
      <c r="H6614" s="361"/>
      <c r="J6614" s="369"/>
      <c r="K6614" s="91"/>
    </row>
    <row r="6615" spans="1:11" s="25" customFormat="1" x14ac:dyDescent="0.25">
      <c r="A6615" s="195"/>
      <c r="B6615" s="372"/>
      <c r="C6615" s="75" t="s">
        <v>3107</v>
      </c>
      <c r="D6615" s="73"/>
      <c r="E6615" s="73"/>
      <c r="F6615" s="74"/>
      <c r="G6615" s="102"/>
      <c r="H6615" s="361"/>
      <c r="J6615" s="369"/>
      <c r="K6615" s="91"/>
    </row>
    <row r="6616" spans="1:11" s="25" customFormat="1" x14ac:dyDescent="0.25">
      <c r="A6616" s="195"/>
      <c r="B6616" s="372"/>
      <c r="C6616" s="100" t="s">
        <v>3108</v>
      </c>
      <c r="D6616" s="100"/>
      <c r="E6616" s="100"/>
      <c r="F6616" s="103" t="s">
        <v>1516</v>
      </c>
      <c r="G6616" s="102">
        <v>1</v>
      </c>
      <c r="J6616" s="369"/>
      <c r="K6616" s="91"/>
    </row>
    <row r="6617" spans="1:11" s="25" customFormat="1" x14ac:dyDescent="0.25">
      <c r="A6617" s="195"/>
      <c r="B6617" s="372"/>
      <c r="C6617" s="75"/>
      <c r="D6617" s="75" t="s">
        <v>3109</v>
      </c>
      <c r="E6617" s="73"/>
      <c r="F6617" s="74"/>
      <c r="G6617" s="102"/>
      <c r="H6617" s="361"/>
      <c r="J6617" s="369"/>
      <c r="K6617" s="91"/>
    </row>
    <row r="6618" spans="1:11" s="25" customFormat="1" x14ac:dyDescent="0.25">
      <c r="A6618" s="195"/>
      <c r="B6618" s="372"/>
      <c r="C6618" s="75"/>
      <c r="D6618" s="73" t="s">
        <v>2871</v>
      </c>
      <c r="E6618" s="73"/>
      <c r="F6618" s="74" t="s">
        <v>3</v>
      </c>
      <c r="G6618" s="102">
        <f>0.265*0.025*0.2*9*20*1.13</f>
        <v>0.26950500000000005</v>
      </c>
      <c r="H6618" s="361"/>
      <c r="J6618" s="369"/>
      <c r="K6618" s="91"/>
    </row>
    <row r="6619" spans="1:11" s="25" customFormat="1" x14ac:dyDescent="0.25">
      <c r="A6619" s="195"/>
      <c r="B6619" s="372"/>
      <c r="C6619" s="75"/>
      <c r="D6619" s="73"/>
      <c r="E6619" s="73"/>
      <c r="F6619" s="74"/>
      <c r="G6619" s="102"/>
      <c r="H6619" s="361"/>
      <c r="J6619" s="369"/>
      <c r="K6619" s="91"/>
    </row>
    <row r="6620" spans="1:11" s="25" customFormat="1" x14ac:dyDescent="0.25">
      <c r="A6620" s="195"/>
      <c r="B6620" s="372"/>
      <c r="C6620" s="75" t="s">
        <v>3110</v>
      </c>
      <c r="D6620" s="73"/>
      <c r="E6620" s="73"/>
      <c r="F6620" s="74"/>
      <c r="G6620" s="102"/>
      <c r="H6620" s="361"/>
      <c r="J6620" s="369"/>
      <c r="K6620" s="91"/>
    </row>
    <row r="6621" spans="1:11" s="25" customFormat="1" x14ac:dyDescent="0.25">
      <c r="A6621" s="195"/>
      <c r="B6621" s="372"/>
      <c r="C6621" s="100" t="s">
        <v>3111</v>
      </c>
      <c r="D6621" s="100"/>
      <c r="E6621" s="100"/>
      <c r="F6621" s="103" t="s">
        <v>1516</v>
      </c>
      <c r="G6621" s="102">
        <v>1</v>
      </c>
      <c r="J6621" s="369"/>
      <c r="K6621" s="91"/>
    </row>
    <row r="6622" spans="1:11" s="25" customFormat="1" x14ac:dyDescent="0.25">
      <c r="A6622" s="195"/>
      <c r="B6622" s="372"/>
      <c r="C6622" s="75"/>
      <c r="D6622" s="75" t="s">
        <v>3112</v>
      </c>
      <c r="E6622" s="73"/>
      <c r="F6622" s="74"/>
      <c r="G6622" s="102"/>
      <c r="H6622" s="361"/>
      <c r="J6622" s="369"/>
      <c r="K6622" s="91"/>
    </row>
    <row r="6623" spans="1:11" s="25" customFormat="1" x14ac:dyDescent="0.25">
      <c r="A6623" s="195"/>
      <c r="B6623" s="372"/>
      <c r="C6623" s="75"/>
      <c r="D6623" s="73" t="s">
        <v>2871</v>
      </c>
      <c r="E6623" s="73"/>
      <c r="F6623" s="74" t="s">
        <v>3</v>
      </c>
      <c r="G6623" s="102">
        <f>0.16*0.025*0.2*9*20*1.145</f>
        <v>0.16488000000000003</v>
      </c>
      <c r="H6623" s="361"/>
      <c r="J6623" s="369"/>
      <c r="K6623" s="91"/>
    </row>
    <row r="6624" spans="1:11" s="25" customFormat="1" x14ac:dyDescent="0.25">
      <c r="A6624" s="195"/>
      <c r="B6624" s="372"/>
      <c r="C6624" s="75"/>
      <c r="D6624" s="73" t="s">
        <v>671</v>
      </c>
      <c r="E6624" s="73"/>
      <c r="F6624" s="74" t="s">
        <v>3</v>
      </c>
      <c r="G6624" s="102">
        <v>5.0000000000000001E-3</v>
      </c>
      <c r="H6624" s="361"/>
      <c r="J6624" s="369"/>
      <c r="K6624" s="91"/>
    </row>
    <row r="6625" spans="1:12" s="25" customFormat="1" x14ac:dyDescent="0.25">
      <c r="A6625" s="195"/>
      <c r="B6625" s="372"/>
      <c r="C6625" s="75"/>
      <c r="D6625" s="73" t="s">
        <v>672</v>
      </c>
      <c r="E6625" s="73"/>
      <c r="F6625" s="74" t="s">
        <v>3</v>
      </c>
      <c r="G6625" s="102">
        <v>1.4999999999999999E-2</v>
      </c>
      <c r="H6625" s="361"/>
      <c r="J6625" s="369"/>
      <c r="K6625" s="91"/>
    </row>
    <row r="6626" spans="1:12" s="25" customFormat="1" x14ac:dyDescent="0.25">
      <c r="A6626" s="195"/>
      <c r="B6626" s="372"/>
      <c r="C6626" s="75"/>
      <c r="D6626" s="75" t="s">
        <v>3113</v>
      </c>
      <c r="E6626" s="73"/>
      <c r="F6626" s="74"/>
      <c r="G6626" s="102"/>
      <c r="H6626" s="361"/>
      <c r="J6626" s="369"/>
      <c r="K6626" s="91"/>
    </row>
    <row r="6627" spans="1:12" s="25" customFormat="1" x14ac:dyDescent="0.25">
      <c r="A6627" s="195"/>
      <c r="B6627" s="372"/>
      <c r="C6627" s="75"/>
      <c r="D6627" s="73" t="s">
        <v>3114</v>
      </c>
      <c r="E6627" s="73"/>
      <c r="F6627" s="74" t="s">
        <v>3</v>
      </c>
      <c r="G6627" s="102">
        <f>0.13*0.025*3*9*1.14</f>
        <v>0.10003500000000001</v>
      </c>
      <c r="H6627" s="361"/>
      <c r="J6627" s="369"/>
      <c r="K6627" s="91"/>
    </row>
    <row r="6628" spans="1:12" s="25" customFormat="1" x14ac:dyDescent="0.25">
      <c r="A6628" s="195"/>
      <c r="B6628" s="372"/>
      <c r="C6628" s="75"/>
      <c r="D6628" s="73" t="s">
        <v>671</v>
      </c>
      <c r="E6628" s="73"/>
      <c r="F6628" s="74" t="s">
        <v>3</v>
      </c>
      <c r="G6628" s="102">
        <v>4.0000000000000001E-3</v>
      </c>
      <c r="H6628" s="361"/>
      <c r="J6628" s="369"/>
      <c r="K6628" s="91"/>
    </row>
    <row r="6629" spans="1:12" s="25" customFormat="1" x14ac:dyDescent="0.25">
      <c r="A6629" s="195"/>
      <c r="B6629" s="372"/>
      <c r="C6629" s="75"/>
      <c r="D6629" s="73" t="s">
        <v>672</v>
      </c>
      <c r="E6629" s="73"/>
      <c r="F6629" s="74" t="s">
        <v>3</v>
      </c>
      <c r="G6629" s="102">
        <v>0.01</v>
      </c>
      <c r="H6629" s="361"/>
      <c r="J6629" s="369"/>
      <c r="K6629" s="91"/>
    </row>
    <row r="6630" spans="1:12" s="25" customFormat="1" ht="15.75" thickBot="1" x14ac:dyDescent="0.3">
      <c r="A6630" s="373"/>
      <c r="B6630" s="374"/>
      <c r="C6630" s="375"/>
      <c r="D6630" s="376"/>
      <c r="E6630" s="376"/>
      <c r="F6630" s="377"/>
      <c r="G6630" s="378"/>
      <c r="H6630" s="361"/>
      <c r="J6630" s="369"/>
      <c r="K6630" s="91"/>
    </row>
    <row r="6631" spans="1:12" s="25" customFormat="1" x14ac:dyDescent="0.25">
      <c r="A6631" s="195"/>
      <c r="B6631" s="372"/>
      <c r="C6631" s="75"/>
      <c r="D6631" s="73"/>
      <c r="E6631" s="73"/>
      <c r="F6631" s="260" t="s">
        <v>3259</v>
      </c>
      <c r="G6631" s="383"/>
      <c r="H6631" s="361"/>
      <c r="J6631" s="369"/>
      <c r="K6631" s="91"/>
    </row>
    <row r="6632" spans="1:12" s="25" customFormat="1" x14ac:dyDescent="0.25">
      <c r="A6632" s="195"/>
      <c r="B6632" s="372"/>
      <c r="C6632" s="75" t="s">
        <v>3115</v>
      </c>
      <c r="D6632" s="73"/>
      <c r="E6632" s="73"/>
      <c r="F6632" s="74"/>
      <c r="G6632" s="102"/>
      <c r="H6632" s="361"/>
      <c r="J6632" s="369" t="s">
        <v>3119</v>
      </c>
      <c r="K6632" s="91"/>
      <c r="L6632" s="25" t="s">
        <v>625</v>
      </c>
    </row>
    <row r="6633" spans="1:12" s="25" customFormat="1" x14ac:dyDescent="0.25">
      <c r="A6633" s="195"/>
      <c r="B6633" s="372"/>
      <c r="C6633" s="100" t="s">
        <v>379</v>
      </c>
      <c r="D6633" s="73"/>
      <c r="E6633" s="73"/>
      <c r="F6633" s="74" t="s">
        <v>195</v>
      </c>
      <c r="G6633" s="102">
        <v>0.2</v>
      </c>
      <c r="H6633" s="361"/>
      <c r="I6633" s="25" t="s">
        <v>1223</v>
      </c>
      <c r="J6633" s="369"/>
      <c r="K6633" s="91"/>
    </row>
    <row r="6634" spans="1:12" s="25" customFormat="1" x14ac:dyDescent="0.25">
      <c r="A6634" s="195"/>
      <c r="B6634" s="372"/>
      <c r="C6634" s="100" t="s">
        <v>378</v>
      </c>
      <c r="D6634" s="73"/>
      <c r="E6634" s="73"/>
      <c r="F6634" s="74" t="s">
        <v>3</v>
      </c>
      <c r="G6634" s="102">
        <v>5.0000000000000001E-3</v>
      </c>
      <c r="H6634" s="361"/>
      <c r="I6634" s="25" t="s">
        <v>3116</v>
      </c>
      <c r="J6634" s="369"/>
      <c r="K6634" s="91"/>
    </row>
    <row r="6635" spans="1:12" s="25" customFormat="1" x14ac:dyDescent="0.25">
      <c r="A6635" s="195"/>
      <c r="B6635" s="372"/>
      <c r="C6635" s="75"/>
      <c r="D6635" s="75" t="s">
        <v>3117</v>
      </c>
      <c r="E6635" s="73"/>
      <c r="F6635" s="74"/>
      <c r="G6635" s="102"/>
      <c r="H6635" s="361"/>
      <c r="J6635" s="369"/>
      <c r="K6635" s="91"/>
    </row>
    <row r="6636" spans="1:12" s="25" customFormat="1" x14ac:dyDescent="0.25">
      <c r="A6636" s="195"/>
      <c r="B6636" s="372"/>
      <c r="C6636" s="75"/>
      <c r="D6636" s="73" t="s">
        <v>3118</v>
      </c>
      <c r="E6636" s="73"/>
      <c r="F6636" s="74" t="s">
        <v>3</v>
      </c>
      <c r="G6636" s="102">
        <f>0.035*0.025*1.5*8*1.15</f>
        <v>1.2075000000000002E-2</v>
      </c>
      <c r="H6636" s="361"/>
      <c r="J6636" s="369"/>
      <c r="K6636" s="91"/>
    </row>
    <row r="6637" spans="1:12" s="25" customFormat="1" x14ac:dyDescent="0.25">
      <c r="A6637" s="195"/>
      <c r="B6637" s="372"/>
      <c r="C6637" s="75"/>
      <c r="D6637" s="73"/>
      <c r="E6637" s="73"/>
      <c r="F6637" s="74"/>
      <c r="G6637" s="102"/>
      <c r="H6637" s="361"/>
      <c r="J6637" s="369"/>
      <c r="K6637" s="91"/>
    </row>
    <row r="6638" spans="1:12" s="25" customFormat="1" x14ac:dyDescent="0.25">
      <c r="A6638" s="195"/>
      <c r="B6638" s="372"/>
      <c r="C6638" s="75" t="s">
        <v>3120</v>
      </c>
      <c r="D6638" s="73"/>
      <c r="E6638" s="73"/>
      <c r="F6638" s="74"/>
      <c r="G6638" s="102"/>
      <c r="H6638" s="361"/>
      <c r="J6638" s="369"/>
      <c r="K6638" s="91"/>
    </row>
    <row r="6639" spans="1:12" s="25" customFormat="1" x14ac:dyDescent="0.25">
      <c r="A6639" s="195"/>
      <c r="B6639" s="372"/>
      <c r="C6639" s="73" t="s">
        <v>167</v>
      </c>
      <c r="D6639" s="73"/>
      <c r="E6639" s="73"/>
      <c r="F6639" s="74" t="s">
        <v>3</v>
      </c>
      <c r="G6639" s="102">
        <f>0.22*0.05*1.3</f>
        <v>1.4300000000000002E-2</v>
      </c>
      <c r="H6639" s="361"/>
      <c r="J6639" s="369"/>
      <c r="K6639" s="91"/>
    </row>
    <row r="6640" spans="1:12" s="25" customFormat="1" ht="17.25" x14ac:dyDescent="0.25">
      <c r="A6640" s="195"/>
      <c r="B6640" s="372"/>
      <c r="C6640" s="73" t="s">
        <v>168</v>
      </c>
      <c r="D6640" s="73"/>
      <c r="E6640" s="73"/>
      <c r="F6640" s="74" t="s">
        <v>596</v>
      </c>
      <c r="G6640" s="102">
        <f>1.1*G6639</f>
        <v>1.5730000000000004E-2</v>
      </c>
      <c r="H6640" s="361"/>
      <c r="J6640" s="369"/>
      <c r="K6640" s="91"/>
    </row>
    <row r="6641" spans="1:13" s="25" customFormat="1" x14ac:dyDescent="0.25">
      <c r="A6641" s="195"/>
      <c r="B6641" s="372"/>
      <c r="C6641" s="75"/>
      <c r="D6641" s="75" t="s">
        <v>3125</v>
      </c>
      <c r="E6641" s="73"/>
      <c r="F6641" s="74"/>
      <c r="G6641" s="102"/>
      <c r="H6641" s="361"/>
      <c r="J6641" s="369"/>
      <c r="K6641" s="91"/>
    </row>
    <row r="6642" spans="1:13" s="25" customFormat="1" x14ac:dyDescent="0.25">
      <c r="A6642" s="195"/>
      <c r="B6642" s="372"/>
      <c r="C6642" s="75"/>
      <c r="D6642" s="77" t="s">
        <v>3127</v>
      </c>
      <c r="E6642" s="73"/>
      <c r="F6642" s="74" t="s">
        <v>3</v>
      </c>
      <c r="G6642" s="102">
        <f>0.21*0.035*2*2.7*1.14</f>
        <v>4.5246599999999998E-2</v>
      </c>
      <c r="H6642" s="361"/>
      <c r="J6642" s="369"/>
      <c r="K6642" s="91"/>
    </row>
    <row r="6643" spans="1:13" s="25" customFormat="1" x14ac:dyDescent="0.25">
      <c r="A6643" s="195"/>
      <c r="B6643" s="372"/>
      <c r="C6643" s="75"/>
      <c r="D6643" s="75" t="s">
        <v>3126</v>
      </c>
      <c r="E6643" s="73"/>
      <c r="F6643" s="74"/>
      <c r="G6643" s="102"/>
      <c r="H6643" s="361"/>
      <c r="J6643" s="369"/>
      <c r="K6643" s="91"/>
    </row>
    <row r="6644" spans="1:13" s="25" customFormat="1" x14ac:dyDescent="0.25">
      <c r="A6644" s="195"/>
      <c r="B6644" s="372"/>
      <c r="C6644" s="75"/>
      <c r="D6644" s="77" t="s">
        <v>3127</v>
      </c>
      <c r="E6644" s="73"/>
      <c r="F6644" s="74" t="s">
        <v>3</v>
      </c>
      <c r="G6644" s="102">
        <f>0.095*0.035*2*2.7*1.12</f>
        <v>2.0109600000000005E-2</v>
      </c>
      <c r="H6644" s="361"/>
      <c r="J6644" s="369"/>
      <c r="K6644" s="91"/>
    </row>
    <row r="6645" spans="1:13" s="25" customFormat="1" x14ac:dyDescent="0.25">
      <c r="A6645" s="195"/>
      <c r="B6645" s="372"/>
      <c r="C6645" s="75"/>
      <c r="D6645" s="75" t="s">
        <v>3121</v>
      </c>
      <c r="E6645" s="73"/>
      <c r="F6645" s="74"/>
      <c r="G6645" s="102"/>
      <c r="H6645" s="361"/>
      <c r="J6645" s="369"/>
      <c r="K6645" s="91"/>
    </row>
    <row r="6646" spans="1:13" s="25" customFormat="1" x14ac:dyDescent="0.25">
      <c r="A6646" s="195"/>
      <c r="B6646" s="372"/>
      <c r="C6646" s="75"/>
      <c r="D6646" s="77" t="s">
        <v>3123</v>
      </c>
      <c r="E6646" s="73"/>
      <c r="F6646" s="74" t="s">
        <v>3</v>
      </c>
      <c r="G6646" s="102">
        <f>0.05*0.02*3*2.7*1.18</f>
        <v>9.5580000000000005E-3</v>
      </c>
      <c r="H6646" s="361"/>
      <c r="J6646" s="369"/>
      <c r="K6646" s="91"/>
    </row>
    <row r="6647" spans="1:13" s="25" customFormat="1" x14ac:dyDescent="0.25">
      <c r="A6647" s="195"/>
      <c r="B6647" s="372"/>
      <c r="C6647" s="75"/>
      <c r="D6647" s="75" t="s">
        <v>3122</v>
      </c>
      <c r="E6647" s="73"/>
      <c r="F6647" s="74"/>
      <c r="G6647" s="102"/>
      <c r="H6647" s="361"/>
      <c r="J6647" s="369"/>
      <c r="K6647" s="91"/>
    </row>
    <row r="6648" spans="1:13" s="25" customFormat="1" x14ac:dyDescent="0.25">
      <c r="A6648" s="195"/>
      <c r="B6648" s="372"/>
      <c r="C6648" s="75"/>
      <c r="D6648" s="77" t="s">
        <v>2054</v>
      </c>
      <c r="E6648" s="73"/>
      <c r="F6648" s="74" t="s">
        <v>3</v>
      </c>
      <c r="G6648" s="102">
        <v>3.0000000000000001E-3</v>
      </c>
      <c r="H6648" s="361"/>
      <c r="I6648" s="25" t="s">
        <v>2613</v>
      </c>
      <c r="J6648" s="369"/>
      <c r="K6648" s="91"/>
    </row>
    <row r="6649" spans="1:13" s="25" customFormat="1" x14ac:dyDescent="0.25">
      <c r="A6649" s="195"/>
      <c r="B6649" s="372"/>
      <c r="C6649" s="75"/>
      <c r="D6649" s="77"/>
      <c r="E6649" s="73"/>
      <c r="F6649" s="74"/>
      <c r="G6649" s="102"/>
      <c r="H6649" s="361"/>
      <c r="J6649" s="369"/>
      <c r="K6649" s="91"/>
    </row>
    <row r="6650" spans="1:13" s="25" customFormat="1" x14ac:dyDescent="0.25">
      <c r="A6650" s="195"/>
      <c r="B6650" s="372"/>
      <c r="C6650" s="75" t="s">
        <v>3124</v>
      </c>
      <c r="D6650" s="77"/>
      <c r="E6650" s="73"/>
      <c r="F6650" s="74"/>
      <c r="G6650" s="102"/>
      <c r="H6650" s="361"/>
      <c r="J6650" s="369"/>
      <c r="K6650" s="91"/>
    </row>
    <row r="6651" spans="1:13" s="25" customFormat="1" x14ac:dyDescent="0.25">
      <c r="A6651" s="195"/>
      <c r="B6651" s="372"/>
      <c r="C6651" s="73" t="s">
        <v>167</v>
      </c>
      <c r="D6651" s="73"/>
      <c r="E6651" s="73"/>
      <c r="F6651" s="74" t="s">
        <v>3</v>
      </c>
      <c r="G6651" s="102">
        <f>0.2*0.05*1.3</f>
        <v>1.3000000000000003E-2</v>
      </c>
      <c r="H6651" s="361"/>
      <c r="J6651" s="369"/>
      <c r="K6651" s="91"/>
    </row>
    <row r="6652" spans="1:13" s="25" customFormat="1" ht="17.25" x14ac:dyDescent="0.25">
      <c r="A6652" s="195"/>
      <c r="B6652" s="372"/>
      <c r="C6652" s="73" t="s">
        <v>168</v>
      </c>
      <c r="D6652" s="73"/>
      <c r="E6652" s="73"/>
      <c r="F6652" s="74" t="s">
        <v>596</v>
      </c>
      <c r="G6652" s="102">
        <f>1.1*G6651</f>
        <v>1.4300000000000004E-2</v>
      </c>
      <c r="H6652" s="361"/>
      <c r="J6652" s="369"/>
      <c r="K6652" s="91"/>
    </row>
    <row r="6653" spans="1:13" s="25" customFormat="1" x14ac:dyDescent="0.25">
      <c r="A6653" s="195"/>
      <c r="B6653" s="372"/>
      <c r="C6653" s="75"/>
      <c r="D6653" s="78"/>
      <c r="E6653" s="73"/>
      <c r="F6653" s="74"/>
      <c r="G6653" s="102"/>
      <c r="H6653" s="361"/>
      <c r="J6653" s="369"/>
      <c r="K6653" s="91"/>
    </row>
    <row r="6654" spans="1:13" s="25" customFormat="1" x14ac:dyDescent="0.25">
      <c r="A6654" s="195"/>
      <c r="B6654" s="372"/>
      <c r="C6654" s="75" t="s">
        <v>3128</v>
      </c>
      <c r="D6654" s="77"/>
      <c r="E6654" s="73"/>
      <c r="F6654" s="74"/>
      <c r="G6654" s="102"/>
      <c r="H6654" s="361"/>
      <c r="J6654" s="369" t="s">
        <v>3131</v>
      </c>
      <c r="L6654" s="25" t="s">
        <v>99</v>
      </c>
      <c r="M6654" s="91" t="s">
        <v>3133</v>
      </c>
    </row>
    <row r="6655" spans="1:13" s="25" customFormat="1" x14ac:dyDescent="0.25">
      <c r="A6655" s="195"/>
      <c r="B6655" s="372"/>
      <c r="C6655" s="100" t="s">
        <v>8</v>
      </c>
      <c r="D6655" s="77"/>
      <c r="E6655" s="73"/>
      <c r="F6655" s="74" t="s">
        <v>3</v>
      </c>
      <c r="G6655" s="102">
        <f>0.13*0.71*2*0.15*1.45</f>
        <v>4.0150499999999992E-2</v>
      </c>
      <c r="H6655" s="361"/>
      <c r="J6655" s="369" t="s">
        <v>3132</v>
      </c>
      <c r="L6655" s="25" t="s">
        <v>99</v>
      </c>
      <c r="M6655" s="91" t="s">
        <v>3134</v>
      </c>
    </row>
    <row r="6656" spans="1:13" s="25" customFormat="1" x14ac:dyDescent="0.25">
      <c r="A6656" s="195"/>
      <c r="B6656" s="372"/>
      <c r="C6656" s="100" t="s">
        <v>12</v>
      </c>
      <c r="D6656" s="77"/>
      <c r="E6656" s="73"/>
      <c r="F6656" s="74" t="s">
        <v>3</v>
      </c>
      <c r="G6656" s="102">
        <f>0.3*G6655</f>
        <v>1.2045149999999998E-2</v>
      </c>
      <c r="H6656" s="361"/>
      <c r="J6656" s="369"/>
      <c r="K6656" s="91"/>
    </row>
    <row r="6657" spans="1:13" s="25" customFormat="1" x14ac:dyDescent="0.25">
      <c r="A6657" s="195"/>
      <c r="B6657" s="372"/>
      <c r="C6657" s="100" t="s">
        <v>72</v>
      </c>
      <c r="D6657" s="77"/>
      <c r="E6657" s="73"/>
      <c r="F6657" s="74" t="s">
        <v>3</v>
      </c>
      <c r="G6657" s="102">
        <f>0.13*0.71*2*0.15*2*1.35</f>
        <v>7.4762999999999996E-2</v>
      </c>
      <c r="H6657" s="361"/>
      <c r="J6657" s="369"/>
      <c r="K6657" s="91"/>
    </row>
    <row r="6658" spans="1:13" s="25" customFormat="1" x14ac:dyDescent="0.25">
      <c r="A6658" s="195"/>
      <c r="B6658" s="372"/>
      <c r="C6658" s="100" t="s">
        <v>11</v>
      </c>
      <c r="D6658" s="77"/>
      <c r="E6658" s="73"/>
      <c r="F6658" s="74" t="s">
        <v>3</v>
      </c>
      <c r="G6658" s="102">
        <f>0.3*G6657</f>
        <v>2.2428899999999998E-2</v>
      </c>
      <c r="H6658" s="361"/>
      <c r="J6658" s="369"/>
      <c r="K6658" s="91"/>
    </row>
    <row r="6659" spans="1:13" s="25" customFormat="1" x14ac:dyDescent="0.25">
      <c r="A6659" s="195"/>
      <c r="B6659" s="372"/>
      <c r="C6659" s="75"/>
      <c r="D6659" s="78" t="s">
        <v>3129</v>
      </c>
      <c r="E6659" s="73"/>
      <c r="F6659" s="74"/>
      <c r="G6659" s="102"/>
      <c r="H6659" s="361"/>
      <c r="J6659" s="369"/>
      <c r="K6659" s="91"/>
    </row>
    <row r="6660" spans="1:13" s="25" customFormat="1" x14ac:dyDescent="0.25">
      <c r="A6660" s="195"/>
      <c r="B6660" s="372"/>
      <c r="C6660" s="75"/>
      <c r="D6660" s="77" t="s">
        <v>272</v>
      </c>
      <c r="E6660" s="73"/>
      <c r="F6660" s="74" t="s">
        <v>3</v>
      </c>
      <c r="G6660" s="102">
        <f>0.13*0.71*2*8*1.151</f>
        <v>1.6997967999999999</v>
      </c>
      <c r="H6660" s="361"/>
      <c r="J6660" s="369"/>
      <c r="K6660" s="91"/>
    </row>
    <row r="6661" spans="1:13" s="25" customFormat="1" x14ac:dyDescent="0.25">
      <c r="A6661" s="195"/>
      <c r="B6661" s="372"/>
      <c r="C6661" s="75"/>
      <c r="D6661" s="78" t="s">
        <v>3130</v>
      </c>
      <c r="E6661" s="73"/>
      <c r="F6661" s="74"/>
      <c r="G6661" s="102"/>
      <c r="H6661" s="361"/>
      <c r="J6661" s="369"/>
      <c r="K6661" s="91"/>
    </row>
    <row r="6662" spans="1:13" s="25" customFormat="1" x14ac:dyDescent="0.25">
      <c r="A6662" s="195"/>
      <c r="B6662" s="372"/>
      <c r="C6662" s="75"/>
      <c r="D6662" s="77" t="s">
        <v>55</v>
      </c>
      <c r="E6662" s="73"/>
      <c r="F6662" s="74" t="s">
        <v>3</v>
      </c>
      <c r="G6662" s="102">
        <f>0.125*0.015*3*8*1.1</f>
        <v>4.9500000000000002E-2</v>
      </c>
      <c r="H6662" s="361"/>
      <c r="J6662" s="369"/>
      <c r="K6662" s="91"/>
    </row>
    <row r="6663" spans="1:13" s="25" customFormat="1" x14ac:dyDescent="0.25">
      <c r="A6663" s="195"/>
      <c r="B6663" s="372"/>
      <c r="C6663" s="75"/>
      <c r="D6663" s="77"/>
      <c r="E6663" s="73"/>
      <c r="F6663" s="74"/>
      <c r="G6663" s="102"/>
      <c r="H6663" s="361"/>
      <c r="J6663" s="369"/>
      <c r="K6663" s="91"/>
    </row>
    <row r="6664" spans="1:13" s="25" customFormat="1" x14ac:dyDescent="0.25">
      <c r="A6664" s="195"/>
      <c r="B6664" s="372"/>
      <c r="C6664" s="75" t="s">
        <v>3136</v>
      </c>
      <c r="D6664" s="77"/>
      <c r="E6664" s="73"/>
      <c r="F6664" s="74"/>
      <c r="G6664" s="102"/>
      <c r="H6664" s="361"/>
      <c r="J6664" s="369" t="s">
        <v>3135</v>
      </c>
      <c r="L6664" s="25" t="s">
        <v>99</v>
      </c>
      <c r="M6664" s="91" t="s">
        <v>2425</v>
      </c>
    </row>
    <row r="6665" spans="1:13" s="25" customFormat="1" x14ac:dyDescent="0.25">
      <c r="A6665" s="195"/>
      <c r="B6665" s="372"/>
      <c r="C6665" s="73" t="s">
        <v>2755</v>
      </c>
      <c r="D6665" s="73"/>
      <c r="E6665" s="73"/>
      <c r="F6665" s="74" t="s">
        <v>3</v>
      </c>
      <c r="G6665" s="102">
        <f>0.03*0.08*1.3</f>
        <v>3.1199999999999999E-3</v>
      </c>
      <c r="H6665" s="361"/>
      <c r="J6665" s="369"/>
      <c r="K6665" s="91"/>
    </row>
    <row r="6666" spans="1:13" s="25" customFormat="1" ht="17.25" x14ac:dyDescent="0.25">
      <c r="A6666" s="195"/>
      <c r="B6666" s="372"/>
      <c r="C6666" s="73" t="s">
        <v>1055</v>
      </c>
      <c r="D6666" s="73"/>
      <c r="E6666" s="73"/>
      <c r="F6666" s="74" t="s">
        <v>596</v>
      </c>
      <c r="G6666" s="102">
        <f>1.09*G6665</f>
        <v>3.4008000000000003E-3</v>
      </c>
      <c r="H6666" s="361"/>
      <c r="J6666" s="369"/>
      <c r="K6666" s="91"/>
    </row>
    <row r="6667" spans="1:13" s="25" customFormat="1" x14ac:dyDescent="0.25">
      <c r="A6667" s="195"/>
      <c r="B6667" s="372"/>
      <c r="C6667" s="75"/>
      <c r="D6667" s="77"/>
      <c r="E6667" s="73"/>
      <c r="F6667" s="74"/>
      <c r="G6667" s="102"/>
      <c r="H6667" s="361"/>
      <c r="J6667" s="369"/>
      <c r="K6667" s="91"/>
    </row>
    <row r="6668" spans="1:13" s="25" customFormat="1" x14ac:dyDescent="0.25">
      <c r="A6668" s="195"/>
      <c r="B6668" s="372"/>
      <c r="C6668" s="75" t="s">
        <v>3139</v>
      </c>
      <c r="D6668" s="77"/>
      <c r="E6668" s="73"/>
      <c r="F6668" s="74"/>
      <c r="G6668" s="102"/>
      <c r="H6668" s="361"/>
      <c r="J6668" s="369" t="s">
        <v>3137</v>
      </c>
      <c r="M6668" s="91" t="s">
        <v>3138</v>
      </c>
    </row>
    <row r="6669" spans="1:13" s="25" customFormat="1" x14ac:dyDescent="0.25">
      <c r="A6669" s="195"/>
      <c r="B6669" s="372"/>
      <c r="C6669" s="100" t="s">
        <v>3140</v>
      </c>
      <c r="D6669" s="77"/>
      <c r="E6669" s="73"/>
      <c r="F6669" s="74" t="s">
        <v>1516</v>
      </c>
      <c r="G6669" s="102">
        <v>2</v>
      </c>
      <c r="H6669" s="361"/>
      <c r="J6669" s="369" t="s">
        <v>3157</v>
      </c>
      <c r="K6669" s="91"/>
      <c r="L6669" s="25" t="s">
        <v>99</v>
      </c>
      <c r="M6669" s="25" t="s">
        <v>3138</v>
      </c>
    </row>
    <row r="6670" spans="1:13" s="25" customFormat="1" x14ac:dyDescent="0.25">
      <c r="A6670" s="195"/>
      <c r="B6670" s="372"/>
      <c r="C6670" s="75"/>
      <c r="D6670" s="78" t="s">
        <v>3141</v>
      </c>
      <c r="E6670" s="73"/>
      <c r="F6670" s="74"/>
      <c r="G6670" s="102"/>
      <c r="H6670" s="361"/>
      <c r="J6670" s="369"/>
      <c r="K6670" s="91"/>
    </row>
    <row r="6671" spans="1:13" s="25" customFormat="1" x14ac:dyDescent="0.25">
      <c r="A6671" s="195"/>
      <c r="B6671" s="372"/>
      <c r="C6671" s="75"/>
      <c r="D6671" s="77" t="s">
        <v>3142</v>
      </c>
      <c r="E6671" s="73"/>
      <c r="F6671" s="74" t="s">
        <v>3</v>
      </c>
      <c r="G6671" s="102">
        <f>0.12*0.036*0.2*4*1.5</f>
        <v>5.1839999999999994E-3</v>
      </c>
      <c r="H6671" s="361"/>
      <c r="J6671" s="369"/>
      <c r="K6671" s="91"/>
    </row>
    <row r="6672" spans="1:13" s="25" customFormat="1" x14ac:dyDescent="0.25">
      <c r="A6672" s="195"/>
      <c r="B6672" s="372"/>
      <c r="C6672" s="75"/>
      <c r="D6672" s="77" t="s">
        <v>8</v>
      </c>
      <c r="E6672" s="73"/>
      <c r="F6672" s="74" t="s">
        <v>3</v>
      </c>
      <c r="G6672" s="102">
        <f>G6673*0.68</f>
        <v>2.0254507200000001E-2</v>
      </c>
      <c r="H6672" s="361"/>
      <c r="J6672" s="369"/>
      <c r="K6672" s="91"/>
    </row>
    <row r="6673" spans="1:11" s="25" customFormat="1" x14ac:dyDescent="0.25">
      <c r="A6673" s="195"/>
      <c r="B6673" s="372"/>
      <c r="C6673" s="75"/>
      <c r="D6673" s="77" t="s">
        <v>3143</v>
      </c>
      <c r="E6673" s="73"/>
      <c r="F6673" s="74" t="s">
        <v>3</v>
      </c>
      <c r="G6673" s="102">
        <f>0.17*3.14*0.06*2*0.15*2*1.55</f>
        <v>2.978604E-2</v>
      </c>
      <c r="H6673" s="361"/>
      <c r="J6673" s="369"/>
      <c r="K6673" s="91"/>
    </row>
    <row r="6674" spans="1:11" s="25" customFormat="1" x14ac:dyDescent="0.25">
      <c r="A6674" s="195"/>
      <c r="B6674" s="372"/>
      <c r="C6674" s="75"/>
      <c r="D6674" s="77" t="s">
        <v>12</v>
      </c>
      <c r="E6674" s="73"/>
      <c r="F6674" s="74" t="s">
        <v>3</v>
      </c>
      <c r="G6674" s="102">
        <f>0.3*(G6673+G6672)</f>
        <v>1.5012164159999999E-2</v>
      </c>
      <c r="H6674" s="361"/>
      <c r="J6674" s="369"/>
      <c r="K6674" s="91"/>
    </row>
    <row r="6675" spans="1:11" s="25" customFormat="1" x14ac:dyDescent="0.25">
      <c r="A6675" s="195"/>
      <c r="B6675" s="372"/>
      <c r="C6675" s="75"/>
      <c r="D6675" s="77"/>
      <c r="E6675" s="75" t="s">
        <v>3144</v>
      </c>
      <c r="F6675" s="74"/>
      <c r="G6675" s="102"/>
      <c r="H6675" s="361"/>
      <c r="J6675" s="369"/>
      <c r="K6675" s="91"/>
    </row>
    <row r="6676" spans="1:11" s="25" customFormat="1" x14ac:dyDescent="0.25">
      <c r="A6676" s="195"/>
      <c r="B6676" s="372"/>
      <c r="C6676" s="75"/>
      <c r="D6676" s="77"/>
      <c r="E6676" s="100" t="s">
        <v>3145</v>
      </c>
      <c r="F6676" s="74" t="s">
        <v>1516</v>
      </c>
      <c r="G6676" s="102">
        <v>2</v>
      </c>
      <c r="H6676" s="361"/>
      <c r="J6676" s="369"/>
      <c r="K6676" s="91"/>
    </row>
    <row r="6677" spans="1:11" s="25" customFormat="1" x14ac:dyDescent="0.25">
      <c r="A6677" s="195"/>
      <c r="B6677" s="372"/>
      <c r="C6677" s="75"/>
      <c r="D6677" s="77"/>
      <c r="E6677" s="73" t="s">
        <v>2755</v>
      </c>
      <c r="F6677" s="74" t="s">
        <v>3</v>
      </c>
      <c r="G6677" s="102">
        <v>8.0000000000000002E-3</v>
      </c>
      <c r="H6677" s="361"/>
      <c r="J6677" s="369"/>
      <c r="K6677" s="91"/>
    </row>
    <row r="6678" spans="1:11" s="25" customFormat="1" ht="17.25" x14ac:dyDescent="0.25">
      <c r="A6678" s="195"/>
      <c r="B6678" s="372"/>
      <c r="C6678" s="75"/>
      <c r="D6678" s="77"/>
      <c r="E6678" s="73" t="s">
        <v>1055</v>
      </c>
      <c r="F6678" s="74" t="s">
        <v>596</v>
      </c>
      <c r="G6678" s="102">
        <f>1.09*G6677</f>
        <v>8.7200000000000003E-3</v>
      </c>
      <c r="H6678" s="361"/>
      <c r="J6678" s="369"/>
      <c r="K6678" s="91"/>
    </row>
    <row r="6679" spans="1:11" s="25" customFormat="1" x14ac:dyDescent="0.25">
      <c r="A6679" s="195"/>
      <c r="B6679" s="372"/>
      <c r="C6679" s="75"/>
      <c r="D6679" s="77"/>
      <c r="E6679" s="78" t="s">
        <v>3146</v>
      </c>
      <c r="F6679" s="74"/>
      <c r="G6679" s="102"/>
      <c r="H6679" s="361"/>
      <c r="J6679" s="369"/>
      <c r="K6679" s="91"/>
    </row>
    <row r="6680" spans="1:11" s="25" customFormat="1" x14ac:dyDescent="0.25">
      <c r="A6680" s="195"/>
      <c r="B6680" s="372"/>
      <c r="C6680" s="75"/>
      <c r="D6680" s="77"/>
      <c r="E6680" s="73" t="s">
        <v>3147</v>
      </c>
      <c r="F6680" s="74" t="s">
        <v>3</v>
      </c>
      <c r="G6680" s="102">
        <f>0.2*0.08*1.25</f>
        <v>0.02</v>
      </c>
      <c r="H6680" s="361"/>
      <c r="J6680" s="369"/>
      <c r="K6680" s="91"/>
    </row>
    <row r="6681" spans="1:11" s="25" customFormat="1" ht="17.25" x14ac:dyDescent="0.25">
      <c r="A6681" s="195"/>
      <c r="B6681" s="372"/>
      <c r="C6681" s="75"/>
      <c r="D6681" s="77"/>
      <c r="E6681" s="73" t="s">
        <v>3148</v>
      </c>
      <c r="F6681" s="74" t="s">
        <v>596</v>
      </c>
      <c r="G6681" s="102">
        <f>1.09*G6680</f>
        <v>2.1800000000000003E-2</v>
      </c>
      <c r="H6681" s="361"/>
      <c r="J6681" s="369"/>
      <c r="K6681" s="91"/>
    </row>
    <row r="6682" spans="1:11" s="25" customFormat="1" x14ac:dyDescent="0.25">
      <c r="A6682" s="195"/>
      <c r="B6682" s="372"/>
      <c r="C6682" s="75"/>
      <c r="D6682" s="77"/>
      <c r="E6682" s="78" t="s">
        <v>3149</v>
      </c>
      <c r="F6682" s="74"/>
      <c r="G6682" s="102"/>
      <c r="H6682" s="361"/>
      <c r="J6682" s="369"/>
      <c r="K6682" s="91"/>
    </row>
    <row r="6683" spans="1:11" s="25" customFormat="1" x14ac:dyDescent="0.25">
      <c r="A6683" s="195"/>
      <c r="B6683" s="372"/>
      <c r="C6683" s="75"/>
      <c r="D6683" s="77"/>
      <c r="E6683" s="77" t="s">
        <v>3151</v>
      </c>
      <c r="F6683" s="74" t="s">
        <v>3</v>
      </c>
      <c r="G6683" s="102">
        <f>0.17*0.1*3*8*1.127</f>
        <v>0.45981600000000006</v>
      </c>
      <c r="H6683" s="361"/>
      <c r="J6683" s="369"/>
      <c r="K6683" s="91"/>
    </row>
    <row r="6684" spans="1:11" s="25" customFormat="1" x14ac:dyDescent="0.25">
      <c r="A6684" s="195"/>
      <c r="B6684" s="372"/>
      <c r="C6684" s="75"/>
      <c r="D6684" s="77"/>
      <c r="E6684" s="78" t="s">
        <v>3150</v>
      </c>
      <c r="F6684" s="74"/>
      <c r="G6684" s="102"/>
      <c r="H6684" s="361"/>
      <c r="J6684" s="369"/>
      <c r="K6684" s="91"/>
    </row>
    <row r="6685" spans="1:11" s="25" customFormat="1" x14ac:dyDescent="0.25">
      <c r="A6685" s="195"/>
      <c r="B6685" s="372"/>
      <c r="C6685" s="75"/>
      <c r="D6685" s="77"/>
      <c r="E6685" s="77" t="s">
        <v>3151</v>
      </c>
      <c r="F6685" s="74" t="s">
        <v>3</v>
      </c>
      <c r="G6685" s="102">
        <f>0.22*0.07*3*8*1.11</f>
        <v>0.41025600000000007</v>
      </c>
      <c r="H6685" s="361"/>
      <c r="J6685" s="369"/>
      <c r="K6685" s="91"/>
    </row>
    <row r="6686" spans="1:11" s="25" customFormat="1" x14ac:dyDescent="0.25">
      <c r="A6686" s="195"/>
      <c r="B6686" s="372"/>
      <c r="C6686" s="75"/>
      <c r="D6686" s="77"/>
      <c r="E6686" s="78" t="s">
        <v>3152</v>
      </c>
      <c r="F6686" s="74"/>
      <c r="G6686" s="102"/>
      <c r="H6686" s="361"/>
      <c r="J6686" s="369"/>
      <c r="K6686" s="91"/>
    </row>
    <row r="6687" spans="1:11" s="25" customFormat="1" x14ac:dyDescent="0.25">
      <c r="A6687" s="195"/>
      <c r="B6687" s="372"/>
      <c r="C6687" s="75"/>
      <c r="D6687" s="77"/>
      <c r="E6687" s="77" t="s">
        <v>3156</v>
      </c>
      <c r="F6687" s="74" t="s">
        <v>3</v>
      </c>
      <c r="G6687" s="102">
        <f>0.15*0.045*3*8*1.17</f>
        <v>0.18953999999999999</v>
      </c>
      <c r="H6687" s="361"/>
      <c r="J6687" s="369"/>
      <c r="K6687" s="91"/>
    </row>
    <row r="6688" spans="1:11" s="25" customFormat="1" x14ac:dyDescent="0.25">
      <c r="A6688" s="195"/>
      <c r="B6688" s="372"/>
      <c r="C6688" s="75"/>
      <c r="D6688" s="77"/>
      <c r="E6688" s="78" t="s">
        <v>3153</v>
      </c>
      <c r="F6688" s="74"/>
      <c r="G6688" s="102"/>
      <c r="H6688" s="361"/>
      <c r="J6688" s="369"/>
      <c r="K6688" s="91"/>
    </row>
    <row r="6689" spans="1:11" s="25" customFormat="1" x14ac:dyDescent="0.25">
      <c r="A6689" s="195"/>
      <c r="B6689" s="372"/>
      <c r="C6689" s="75"/>
      <c r="D6689" s="77"/>
      <c r="E6689" s="77" t="s">
        <v>3156</v>
      </c>
      <c r="F6689" s="74" t="s">
        <v>3</v>
      </c>
      <c r="G6689" s="102">
        <f>0.008*0.008*3*8*1.15</f>
        <v>1.7664E-3</v>
      </c>
      <c r="H6689" s="361"/>
      <c r="J6689" s="369"/>
      <c r="K6689" s="91"/>
    </row>
    <row r="6690" spans="1:11" s="25" customFormat="1" x14ac:dyDescent="0.25">
      <c r="A6690" s="195"/>
      <c r="B6690" s="372"/>
      <c r="C6690" s="75"/>
      <c r="D6690" s="77"/>
      <c r="E6690" s="78" t="s">
        <v>3154</v>
      </c>
      <c r="F6690" s="74"/>
      <c r="G6690" s="102"/>
      <c r="H6690" s="361"/>
      <c r="J6690" s="369"/>
      <c r="K6690" s="91"/>
    </row>
    <row r="6691" spans="1:11" s="25" customFormat="1" x14ac:dyDescent="0.25">
      <c r="A6691" s="195"/>
      <c r="B6691" s="372"/>
      <c r="C6691" s="75"/>
      <c r="D6691" s="77"/>
      <c r="E6691" s="77" t="s">
        <v>3156</v>
      </c>
      <c r="F6691" s="74" t="s">
        <v>3</v>
      </c>
      <c r="G6691" s="102">
        <f>0.15*0.045*3*8*1.145</f>
        <v>0.18549000000000002</v>
      </c>
      <c r="H6691" s="361"/>
      <c r="J6691" s="369"/>
      <c r="K6691" s="91"/>
    </row>
    <row r="6692" spans="1:11" s="25" customFormat="1" x14ac:dyDescent="0.25">
      <c r="A6692" s="195"/>
      <c r="B6692" s="372"/>
      <c r="C6692" s="75"/>
      <c r="D6692" s="77"/>
      <c r="E6692" s="78" t="s">
        <v>3155</v>
      </c>
      <c r="F6692" s="74"/>
      <c r="G6692" s="102"/>
      <c r="H6692" s="361"/>
      <c r="J6692" s="369"/>
      <c r="K6692" s="91"/>
    </row>
    <row r="6693" spans="1:11" s="25" customFormat="1" x14ac:dyDescent="0.25">
      <c r="A6693" s="195"/>
      <c r="B6693" s="372"/>
      <c r="C6693" s="75"/>
      <c r="D6693" s="77"/>
      <c r="E6693" s="77" t="s">
        <v>3156</v>
      </c>
      <c r="F6693" s="74" t="s">
        <v>3</v>
      </c>
      <c r="G6693" s="102">
        <f>0.17*0.07*3*8*1.12</f>
        <v>0.3198720000000001</v>
      </c>
      <c r="H6693" s="361"/>
      <c r="J6693" s="369"/>
      <c r="K6693" s="91"/>
    </row>
    <row r="6694" spans="1:11" s="25" customFormat="1" x14ac:dyDescent="0.25">
      <c r="A6694" s="195"/>
      <c r="B6694" s="372"/>
      <c r="C6694" s="75"/>
      <c r="D6694" s="77"/>
      <c r="E6694" s="73"/>
      <c r="F6694" s="74"/>
      <c r="G6694" s="102"/>
      <c r="H6694" s="361"/>
      <c r="J6694" s="369"/>
      <c r="K6694" s="91"/>
    </row>
    <row r="6695" spans="1:11" s="25" customFormat="1" x14ac:dyDescent="0.25">
      <c r="A6695" s="195"/>
      <c r="B6695" s="372"/>
      <c r="C6695" s="75" t="s">
        <v>3158</v>
      </c>
      <c r="D6695" s="77"/>
      <c r="E6695" s="73"/>
      <c r="F6695" s="74"/>
      <c r="G6695" s="102"/>
      <c r="H6695" s="361"/>
      <c r="J6695" s="369"/>
      <c r="K6695" s="91"/>
    </row>
    <row r="6696" spans="1:11" s="25" customFormat="1" x14ac:dyDescent="0.25">
      <c r="A6696" s="195"/>
      <c r="B6696" s="372"/>
      <c r="C6696" s="100" t="s">
        <v>3101</v>
      </c>
      <c r="D6696" s="77"/>
      <c r="E6696" s="73"/>
      <c r="F6696" s="74" t="s">
        <v>1516</v>
      </c>
      <c r="G6696" s="102">
        <v>2</v>
      </c>
      <c r="H6696" s="361"/>
      <c r="J6696" s="369"/>
      <c r="K6696" s="91"/>
    </row>
    <row r="6697" spans="1:11" s="25" customFormat="1" x14ac:dyDescent="0.25">
      <c r="A6697" s="195"/>
      <c r="B6697" s="372"/>
      <c r="C6697" s="75"/>
      <c r="D6697" s="78" t="s">
        <v>3159</v>
      </c>
      <c r="E6697" s="73"/>
      <c r="F6697" s="74"/>
      <c r="G6697" s="102"/>
      <c r="H6697" s="361"/>
      <c r="J6697" s="369"/>
      <c r="K6697" s="91"/>
    </row>
    <row r="6698" spans="1:11" s="25" customFormat="1" x14ac:dyDescent="0.25">
      <c r="A6698" s="195"/>
      <c r="B6698" s="372"/>
      <c r="C6698" s="75"/>
      <c r="D6698" s="77" t="s">
        <v>3161</v>
      </c>
      <c r="E6698" s="73"/>
      <c r="F6698" s="74" t="s">
        <v>3</v>
      </c>
      <c r="G6698" s="102">
        <f>0.095*0.025*3*9*1.15</f>
        <v>7.3743750000000011E-2</v>
      </c>
      <c r="H6698" s="361"/>
      <c r="J6698" s="369"/>
      <c r="K6698" s="91"/>
    </row>
    <row r="6699" spans="1:11" s="25" customFormat="1" x14ac:dyDescent="0.25">
      <c r="A6699" s="195"/>
      <c r="B6699" s="372"/>
      <c r="C6699" s="75"/>
      <c r="D6699" s="78" t="s">
        <v>3160</v>
      </c>
      <c r="E6699" s="73"/>
      <c r="F6699" s="74"/>
      <c r="G6699" s="102"/>
      <c r="H6699" s="361"/>
      <c r="J6699" s="369"/>
      <c r="K6699" s="91"/>
    </row>
    <row r="6700" spans="1:11" s="25" customFormat="1" x14ac:dyDescent="0.25">
      <c r="A6700" s="195"/>
      <c r="B6700" s="372"/>
      <c r="C6700" s="75"/>
      <c r="D6700" s="73" t="s">
        <v>2871</v>
      </c>
      <c r="E6700" s="73"/>
      <c r="F6700" s="74" t="s">
        <v>3</v>
      </c>
      <c r="G6700" s="102">
        <f>0.21*0.025*0.2*9*20*1.162</f>
        <v>0.21961800000000001</v>
      </c>
      <c r="H6700" s="361"/>
      <c r="J6700" s="369"/>
      <c r="K6700" s="91"/>
    </row>
    <row r="6701" spans="1:11" s="25" customFormat="1" x14ac:dyDescent="0.25">
      <c r="A6701" s="195"/>
      <c r="B6701" s="372"/>
      <c r="C6701" s="75"/>
      <c r="D6701" s="73" t="s">
        <v>671</v>
      </c>
      <c r="E6701" s="73"/>
      <c r="F6701" s="74" t="s">
        <v>3</v>
      </c>
      <c r="G6701" s="102">
        <v>5.0000000000000001E-3</v>
      </c>
      <c r="H6701" s="361"/>
      <c r="J6701" s="369"/>
      <c r="K6701" s="91"/>
    </row>
    <row r="6702" spans="1:11" s="25" customFormat="1" x14ac:dyDescent="0.25">
      <c r="A6702" s="195"/>
      <c r="B6702" s="372"/>
      <c r="C6702" s="75"/>
      <c r="D6702" s="73" t="s">
        <v>672</v>
      </c>
      <c r="E6702" s="73"/>
      <c r="F6702" s="74" t="s">
        <v>3</v>
      </c>
      <c r="G6702" s="102">
        <v>1.4999999999999999E-2</v>
      </c>
      <c r="H6702" s="361"/>
      <c r="J6702" s="369"/>
      <c r="K6702" s="91"/>
    </row>
    <row r="6703" spans="1:11" s="25" customFormat="1" x14ac:dyDescent="0.25">
      <c r="A6703" s="195"/>
      <c r="B6703" s="372"/>
      <c r="C6703" s="75"/>
      <c r="D6703" s="77"/>
      <c r="E6703" s="73"/>
      <c r="F6703" s="74"/>
      <c r="G6703" s="102"/>
      <c r="H6703" s="361"/>
      <c r="J6703" s="369"/>
      <c r="K6703" s="91"/>
    </row>
    <row r="6704" spans="1:11" s="25" customFormat="1" x14ac:dyDescent="0.25">
      <c r="A6704" s="195"/>
      <c r="B6704" s="372"/>
      <c r="C6704" s="75" t="s">
        <v>2415</v>
      </c>
      <c r="D6704" s="77"/>
      <c r="E6704" s="73"/>
      <c r="F6704" s="74"/>
      <c r="G6704" s="102"/>
      <c r="H6704" s="361"/>
      <c r="J6704" s="369"/>
      <c r="K6704" s="91"/>
    </row>
    <row r="6705" spans="1:11" s="25" customFormat="1" x14ac:dyDescent="0.25">
      <c r="A6705" s="195"/>
      <c r="B6705" s="372"/>
      <c r="C6705" s="100" t="s">
        <v>3162</v>
      </c>
      <c r="D6705" s="77"/>
      <c r="E6705" s="73"/>
      <c r="F6705" s="74" t="s">
        <v>3</v>
      </c>
      <c r="G6705" s="102">
        <f>0.11*0.015*1.5*8*1.1</f>
        <v>2.1780000000000001E-2</v>
      </c>
      <c r="H6705" s="361"/>
      <c r="J6705" s="369"/>
      <c r="K6705" s="91"/>
    </row>
    <row r="6706" spans="1:11" s="25" customFormat="1" x14ac:dyDescent="0.25">
      <c r="A6706" s="195"/>
      <c r="B6706" s="372"/>
      <c r="C6706" s="75"/>
      <c r="D6706" s="77"/>
      <c r="E6706" s="73"/>
      <c r="F6706" s="74"/>
      <c r="G6706" s="102"/>
      <c r="H6706" s="361"/>
      <c r="J6706" s="369"/>
      <c r="K6706" s="91"/>
    </row>
    <row r="6707" spans="1:11" s="25" customFormat="1" x14ac:dyDescent="0.25">
      <c r="A6707" s="195"/>
      <c r="B6707" s="372"/>
      <c r="C6707" s="75" t="s">
        <v>3163</v>
      </c>
      <c r="D6707" s="77"/>
      <c r="E6707" s="73"/>
      <c r="F6707" s="74"/>
      <c r="G6707" s="102"/>
      <c r="H6707" s="361"/>
      <c r="J6707" s="369"/>
      <c r="K6707" s="91"/>
    </row>
    <row r="6708" spans="1:11" s="25" customFormat="1" x14ac:dyDescent="0.25">
      <c r="A6708" s="195"/>
      <c r="B6708" s="372"/>
      <c r="C6708" s="100" t="s">
        <v>140</v>
      </c>
      <c r="D6708" s="75"/>
      <c r="E6708" s="73"/>
      <c r="F6708" s="74" t="s">
        <v>3</v>
      </c>
      <c r="G6708" s="102">
        <v>5.0000000000000001E-3</v>
      </c>
      <c r="H6708" s="361"/>
      <c r="J6708" s="369"/>
      <c r="K6708" s="91"/>
    </row>
    <row r="6709" spans="1:11" s="25" customFormat="1" ht="17.25" x14ac:dyDescent="0.25">
      <c r="A6709" s="195"/>
      <c r="B6709" s="372"/>
      <c r="C6709" s="100" t="s">
        <v>23</v>
      </c>
      <c r="D6709" s="75"/>
      <c r="E6709" s="73"/>
      <c r="F6709" s="74" t="s">
        <v>596</v>
      </c>
      <c r="G6709" s="102">
        <f>G6708*2</f>
        <v>0.01</v>
      </c>
      <c r="H6709" s="361"/>
      <c r="J6709" s="369"/>
      <c r="K6709" s="91"/>
    </row>
    <row r="6710" spans="1:11" s="25" customFormat="1" x14ac:dyDescent="0.25">
      <c r="A6710" s="195"/>
      <c r="B6710" s="372"/>
      <c r="C6710" s="100" t="s">
        <v>142</v>
      </c>
      <c r="D6710" s="75"/>
      <c r="E6710" s="73"/>
      <c r="F6710" s="74" t="s">
        <v>3</v>
      </c>
      <c r="G6710" s="102">
        <f>G6708/4</f>
        <v>1.25E-3</v>
      </c>
      <c r="H6710" s="361"/>
      <c r="J6710" s="369"/>
      <c r="K6710" s="91"/>
    </row>
    <row r="6711" spans="1:11" s="25" customFormat="1" x14ac:dyDescent="0.25">
      <c r="A6711" s="195"/>
      <c r="B6711" s="372"/>
      <c r="C6711" s="73" t="s">
        <v>143</v>
      </c>
      <c r="D6711" s="73"/>
      <c r="E6711" s="73"/>
      <c r="F6711" s="74" t="s">
        <v>3</v>
      </c>
      <c r="G6711" s="102">
        <f>G6714</f>
        <v>1.7863999999999998E-2</v>
      </c>
      <c r="H6711" s="361"/>
      <c r="J6711" s="369"/>
      <c r="K6711" s="91"/>
    </row>
    <row r="6712" spans="1:11" s="25" customFormat="1" x14ac:dyDescent="0.25">
      <c r="A6712" s="195"/>
      <c r="B6712" s="372"/>
      <c r="C6712" s="73" t="s">
        <v>8</v>
      </c>
      <c r="D6712" s="73"/>
      <c r="E6712" s="73"/>
      <c r="F6712" s="74" t="s">
        <v>3</v>
      </c>
      <c r="G6712" s="102">
        <f>G6714</f>
        <v>1.7863999999999998E-2</v>
      </c>
      <c r="H6712" s="361"/>
      <c r="J6712" s="369"/>
      <c r="K6712" s="91"/>
    </row>
    <row r="6713" spans="1:11" s="25" customFormat="1" x14ac:dyDescent="0.25">
      <c r="A6713" s="195"/>
      <c r="B6713" s="372"/>
      <c r="C6713" s="73" t="s">
        <v>12</v>
      </c>
      <c r="D6713" s="73"/>
      <c r="E6713" s="73"/>
      <c r="F6713" s="74" t="s">
        <v>3</v>
      </c>
      <c r="G6713" s="102">
        <f>0.3*(G6712+G6711)</f>
        <v>1.0718399999999998E-2</v>
      </c>
      <c r="H6713" s="361"/>
      <c r="J6713" s="369"/>
      <c r="K6713" s="91"/>
    </row>
    <row r="6714" spans="1:11" s="25" customFormat="1" x14ac:dyDescent="0.25">
      <c r="A6714" s="195"/>
      <c r="B6714" s="372"/>
      <c r="C6714" s="73" t="s">
        <v>72</v>
      </c>
      <c r="D6714" s="73"/>
      <c r="E6714" s="73"/>
      <c r="F6714" s="74" t="s">
        <v>3</v>
      </c>
      <c r="G6714" s="102">
        <f>0.58*0.011*2*1.4</f>
        <v>1.7863999999999998E-2</v>
      </c>
      <c r="H6714" s="361"/>
      <c r="J6714" s="369"/>
      <c r="K6714" s="91"/>
    </row>
    <row r="6715" spans="1:11" s="25" customFormat="1" x14ac:dyDescent="0.25">
      <c r="A6715" s="195"/>
      <c r="B6715" s="372"/>
      <c r="C6715" s="73" t="s">
        <v>11</v>
      </c>
      <c r="D6715" s="73"/>
      <c r="E6715" s="73"/>
      <c r="F6715" s="74" t="s">
        <v>3</v>
      </c>
      <c r="G6715" s="102">
        <f>0.3*G6714</f>
        <v>5.3591999999999989E-3</v>
      </c>
      <c r="H6715" s="361"/>
      <c r="J6715" s="369"/>
      <c r="K6715" s="91"/>
    </row>
    <row r="6716" spans="1:11" s="25" customFormat="1" x14ac:dyDescent="0.25">
      <c r="A6716" s="195"/>
      <c r="B6716" s="372"/>
      <c r="C6716" s="75"/>
      <c r="D6716" s="78" t="s">
        <v>3164</v>
      </c>
      <c r="E6716" s="73"/>
      <c r="F6716" s="74"/>
      <c r="G6716" s="102"/>
      <c r="H6716" s="361"/>
      <c r="J6716" s="369"/>
      <c r="K6716" s="91"/>
    </row>
    <row r="6717" spans="1:11" s="25" customFormat="1" x14ac:dyDescent="0.25">
      <c r="A6717" s="195"/>
      <c r="B6717" s="372"/>
      <c r="C6717" s="75"/>
      <c r="D6717" s="77" t="s">
        <v>3165</v>
      </c>
      <c r="E6717" s="73"/>
      <c r="F6717" s="74" t="s">
        <v>3</v>
      </c>
      <c r="G6717" s="102">
        <v>0.105</v>
      </c>
      <c r="H6717" s="361"/>
      <c r="I6717" s="25" t="s">
        <v>3166</v>
      </c>
      <c r="J6717" s="369"/>
      <c r="K6717" s="91"/>
    </row>
    <row r="6718" spans="1:11" s="25" customFormat="1" x14ac:dyDescent="0.25">
      <c r="A6718" s="195"/>
      <c r="B6718" s="372"/>
      <c r="C6718" s="75"/>
      <c r="D6718" s="77"/>
      <c r="E6718" s="73"/>
      <c r="F6718" s="74"/>
      <c r="G6718" s="102"/>
      <c r="H6718" s="361"/>
      <c r="J6718" s="369"/>
      <c r="K6718" s="91"/>
    </row>
    <row r="6719" spans="1:11" s="25" customFormat="1" x14ac:dyDescent="0.25">
      <c r="A6719" s="195"/>
      <c r="B6719" s="372"/>
      <c r="C6719" s="75" t="s">
        <v>3167</v>
      </c>
      <c r="D6719" s="77"/>
      <c r="E6719" s="73"/>
      <c r="F6719" s="74"/>
      <c r="G6719" s="102"/>
      <c r="H6719" s="361"/>
      <c r="J6719" s="369"/>
      <c r="K6719" s="91"/>
    </row>
    <row r="6720" spans="1:11" s="25" customFormat="1" ht="17.25" x14ac:dyDescent="0.25">
      <c r="A6720" s="195"/>
      <c r="B6720" s="372"/>
      <c r="C6720" s="100" t="s">
        <v>3168</v>
      </c>
      <c r="D6720" s="77"/>
      <c r="E6720" s="73"/>
      <c r="F6720" s="74" t="s">
        <v>677</v>
      </c>
      <c r="G6720" s="368">
        <f>0.04*0.04</f>
        <v>1.6000000000000001E-3</v>
      </c>
      <c r="H6720" s="361"/>
      <c r="J6720" s="369"/>
      <c r="K6720" s="91"/>
    </row>
    <row r="6721" spans="1:13" s="25" customFormat="1" x14ac:dyDescent="0.25">
      <c r="A6721" s="195"/>
      <c r="B6721" s="372"/>
      <c r="C6721" s="75"/>
      <c r="D6721" s="77"/>
      <c r="E6721" s="73"/>
      <c r="F6721" s="74"/>
      <c r="G6721" s="102"/>
      <c r="H6721" s="361"/>
      <c r="J6721" s="369"/>
      <c r="K6721" s="91"/>
    </row>
    <row r="6722" spans="1:13" s="25" customFormat="1" x14ac:dyDescent="0.25">
      <c r="A6722" s="195"/>
      <c r="B6722" s="372"/>
      <c r="C6722" s="75" t="s">
        <v>3169</v>
      </c>
      <c r="D6722" s="77"/>
      <c r="E6722" s="73"/>
      <c r="F6722" s="74"/>
      <c r="G6722" s="102"/>
      <c r="H6722" s="361"/>
      <c r="J6722" s="369"/>
      <c r="K6722" s="91"/>
    </row>
    <row r="6723" spans="1:13" s="25" customFormat="1" x14ac:dyDescent="0.25">
      <c r="A6723" s="195"/>
      <c r="B6723" s="372"/>
      <c r="C6723" s="100" t="s">
        <v>3170</v>
      </c>
      <c r="D6723" s="77"/>
      <c r="E6723" s="73"/>
      <c r="F6723" s="74" t="s">
        <v>3</v>
      </c>
      <c r="G6723" s="102">
        <v>0.38500000000000001</v>
      </c>
      <c r="H6723" s="361"/>
      <c r="I6723" s="25" t="s">
        <v>3171</v>
      </c>
      <c r="J6723" s="369"/>
      <c r="K6723" s="91"/>
    </row>
    <row r="6724" spans="1:13" s="25" customFormat="1" x14ac:dyDescent="0.25">
      <c r="A6724" s="195"/>
      <c r="B6724" s="372"/>
      <c r="C6724" s="75"/>
      <c r="D6724" s="77"/>
      <c r="E6724" s="73"/>
      <c r="F6724" s="74"/>
      <c r="G6724" s="102"/>
      <c r="H6724" s="361"/>
      <c r="J6724" s="369"/>
      <c r="K6724" s="91"/>
    </row>
    <row r="6725" spans="1:13" s="25" customFormat="1" x14ac:dyDescent="0.25">
      <c r="A6725" s="195"/>
      <c r="B6725" s="372"/>
      <c r="C6725" s="75" t="s">
        <v>3172</v>
      </c>
      <c r="D6725" s="77"/>
      <c r="E6725" s="73"/>
      <c r="F6725" s="74"/>
      <c r="G6725" s="102"/>
      <c r="H6725" s="361"/>
      <c r="J6725" s="369"/>
      <c r="K6725" s="91"/>
    </row>
    <row r="6726" spans="1:13" s="25" customFormat="1" x14ac:dyDescent="0.25">
      <c r="A6726" s="195"/>
      <c r="B6726" s="372"/>
      <c r="C6726" s="100" t="s">
        <v>3173</v>
      </c>
      <c r="D6726" s="77"/>
      <c r="E6726" s="73"/>
      <c r="F6726" s="74" t="s">
        <v>3</v>
      </c>
      <c r="G6726" s="102">
        <f>0.08*0.02*3*8*1.16</f>
        <v>4.4544E-2</v>
      </c>
      <c r="H6726" s="361"/>
      <c r="J6726" s="369"/>
      <c r="K6726" s="91"/>
    </row>
    <row r="6727" spans="1:13" s="25" customFormat="1" x14ac:dyDescent="0.25">
      <c r="A6727" s="195"/>
      <c r="B6727" s="372"/>
      <c r="C6727" s="75"/>
      <c r="D6727" s="77"/>
      <c r="E6727" s="73"/>
      <c r="F6727" s="74"/>
      <c r="G6727" s="102"/>
      <c r="H6727" s="361"/>
      <c r="J6727" s="369"/>
      <c r="K6727" s="91"/>
    </row>
    <row r="6728" spans="1:13" s="25" customFormat="1" x14ac:dyDescent="0.25">
      <c r="A6728" s="195"/>
      <c r="B6728" s="372"/>
      <c r="C6728" s="75" t="s">
        <v>3174</v>
      </c>
      <c r="D6728" s="77"/>
      <c r="E6728" s="73"/>
      <c r="F6728" s="74"/>
      <c r="G6728" s="102"/>
      <c r="H6728" s="361"/>
      <c r="J6728" s="369"/>
      <c r="K6728" s="91"/>
    </row>
    <row r="6729" spans="1:13" s="25" customFormat="1" x14ac:dyDescent="0.25">
      <c r="A6729" s="195"/>
      <c r="B6729" s="372"/>
      <c r="C6729" s="100" t="s">
        <v>3041</v>
      </c>
      <c r="D6729" s="77"/>
      <c r="E6729" s="73"/>
      <c r="F6729" s="74" t="s">
        <v>3</v>
      </c>
      <c r="G6729" s="102">
        <f>0.06*0.035*2*8*1.12</f>
        <v>3.7632000000000006E-2</v>
      </c>
      <c r="H6729" s="361"/>
      <c r="J6729" s="369"/>
      <c r="K6729" s="91"/>
    </row>
    <row r="6730" spans="1:13" s="25" customFormat="1" x14ac:dyDescent="0.25">
      <c r="A6730" s="195"/>
      <c r="B6730" s="372"/>
      <c r="C6730" s="75"/>
      <c r="D6730" s="77"/>
      <c r="E6730" s="73"/>
      <c r="F6730" s="74"/>
      <c r="G6730" s="102"/>
      <c r="H6730" s="361"/>
      <c r="J6730" s="369"/>
      <c r="K6730" s="91"/>
    </row>
    <row r="6731" spans="1:13" s="25" customFormat="1" x14ac:dyDescent="0.25">
      <c r="A6731" s="195"/>
      <c r="B6731" s="372"/>
      <c r="C6731" s="75" t="s">
        <v>3175</v>
      </c>
      <c r="D6731" s="77"/>
      <c r="E6731" s="73"/>
      <c r="F6731" s="74"/>
      <c r="G6731" s="102"/>
      <c r="H6731" s="361"/>
      <c r="J6731" s="369" t="s">
        <v>3178</v>
      </c>
      <c r="K6731" s="91"/>
      <c r="L6731" s="25" t="s">
        <v>99</v>
      </c>
      <c r="M6731" s="25" t="s">
        <v>3179</v>
      </c>
    </row>
    <row r="6732" spans="1:13" s="25" customFormat="1" x14ac:dyDescent="0.25">
      <c r="A6732" s="195"/>
      <c r="B6732" s="372"/>
      <c r="C6732" s="73" t="s">
        <v>2755</v>
      </c>
      <c r="D6732" s="74"/>
      <c r="E6732" s="107"/>
      <c r="F6732" s="74" t="s">
        <v>3</v>
      </c>
      <c r="G6732" s="102">
        <f>0.006*3.14*0.08*1.2</f>
        <v>1.8086400000000002E-3</v>
      </c>
      <c r="H6732" s="361"/>
      <c r="J6732" t="s">
        <v>3078</v>
      </c>
      <c r="K6732" s="91"/>
      <c r="L6732" s="25" t="s">
        <v>99</v>
      </c>
      <c r="M6732" s="25" t="s">
        <v>3182</v>
      </c>
    </row>
    <row r="6733" spans="1:13" s="25" customFormat="1" ht="17.25" x14ac:dyDescent="0.25">
      <c r="A6733" s="195"/>
      <c r="B6733" s="372"/>
      <c r="C6733" s="73" t="s">
        <v>1055</v>
      </c>
      <c r="D6733" s="74"/>
      <c r="E6733" s="107"/>
      <c r="F6733" s="74" t="s">
        <v>596</v>
      </c>
      <c r="G6733" s="102">
        <f>1.09*G6732</f>
        <v>1.9714176000000003E-3</v>
      </c>
      <c r="H6733" s="361"/>
      <c r="J6733" s="369"/>
      <c r="K6733" s="91"/>
    </row>
    <row r="6734" spans="1:13" s="25" customFormat="1" x14ac:dyDescent="0.25">
      <c r="A6734" s="195"/>
      <c r="B6734" s="372"/>
      <c r="C6734" s="73" t="s">
        <v>8</v>
      </c>
      <c r="D6734" s="73"/>
      <c r="E6734" s="73"/>
      <c r="F6734" s="74" t="s">
        <v>3</v>
      </c>
      <c r="G6734" s="102">
        <f>G6736*0.75</f>
        <v>1.3679999999999999E-2</v>
      </c>
      <c r="H6734" s="361"/>
      <c r="J6734" s="369"/>
      <c r="K6734" s="91"/>
    </row>
    <row r="6735" spans="1:13" s="25" customFormat="1" x14ac:dyDescent="0.25">
      <c r="A6735" s="195"/>
      <c r="B6735" s="372"/>
      <c r="C6735" s="73" t="s">
        <v>12</v>
      </c>
      <c r="D6735" s="73"/>
      <c r="E6735" s="73"/>
      <c r="F6735" s="74" t="s">
        <v>3</v>
      </c>
      <c r="G6735" s="102">
        <f>0.3*G6734</f>
        <v>4.104E-3</v>
      </c>
      <c r="H6735" s="361"/>
      <c r="J6735" s="369"/>
      <c r="K6735" s="91"/>
    </row>
    <row r="6736" spans="1:13" s="25" customFormat="1" x14ac:dyDescent="0.25">
      <c r="A6736" s="195"/>
      <c r="B6736" s="372"/>
      <c r="C6736" s="73" t="s">
        <v>72</v>
      </c>
      <c r="D6736" s="73"/>
      <c r="E6736" s="73"/>
      <c r="F6736" s="74" t="s">
        <v>3</v>
      </c>
      <c r="G6736" s="102">
        <f>0.16*0.1*2*0.15*2*1.9</f>
        <v>1.8239999999999999E-2</v>
      </c>
      <c r="H6736" s="361"/>
      <c r="J6736" s="369"/>
      <c r="K6736" s="91"/>
    </row>
    <row r="6737" spans="1:11" s="25" customFormat="1" x14ac:dyDescent="0.25">
      <c r="A6737" s="195"/>
      <c r="B6737" s="372"/>
      <c r="C6737" s="73" t="s">
        <v>11</v>
      </c>
      <c r="D6737" s="73"/>
      <c r="E6737" s="73"/>
      <c r="F6737" s="74" t="s">
        <v>3</v>
      </c>
      <c r="G6737" s="102">
        <f>0.3*G6736</f>
        <v>5.4719999999999994E-3</v>
      </c>
      <c r="H6737" s="361"/>
      <c r="J6737" s="369"/>
      <c r="K6737" s="91"/>
    </row>
    <row r="6738" spans="1:11" s="25" customFormat="1" x14ac:dyDescent="0.25">
      <c r="A6738" s="195"/>
      <c r="B6738" s="372"/>
      <c r="C6738" s="75"/>
      <c r="D6738" s="78" t="s">
        <v>3176</v>
      </c>
      <c r="E6738" s="73"/>
      <c r="F6738" s="74"/>
      <c r="G6738" s="102"/>
      <c r="H6738" s="361"/>
      <c r="J6738" s="369"/>
      <c r="K6738" s="91"/>
    </row>
    <row r="6739" spans="1:11" s="25" customFormat="1" x14ac:dyDescent="0.25">
      <c r="A6739" s="195"/>
      <c r="B6739" s="372"/>
      <c r="C6739" s="75"/>
      <c r="D6739" s="77" t="s">
        <v>3177</v>
      </c>
      <c r="E6739" s="73"/>
      <c r="F6739" s="74" t="s">
        <v>3</v>
      </c>
      <c r="G6739" s="102">
        <f>0.15*0.085*2*8*1.125</f>
        <v>0.22950000000000001</v>
      </c>
      <c r="H6739" s="361"/>
      <c r="J6739" s="369"/>
      <c r="K6739" s="91"/>
    </row>
    <row r="6740" spans="1:11" s="25" customFormat="1" x14ac:dyDescent="0.25">
      <c r="A6740" s="195"/>
      <c r="B6740" s="372"/>
      <c r="C6740" s="75"/>
      <c r="D6740" s="77"/>
      <c r="E6740" s="73"/>
      <c r="F6740" s="74"/>
      <c r="G6740" s="102"/>
      <c r="H6740" s="361"/>
      <c r="J6740" s="369"/>
      <c r="K6740" s="91"/>
    </row>
    <row r="6741" spans="1:11" s="25" customFormat="1" x14ac:dyDescent="0.25">
      <c r="A6741" s="195"/>
      <c r="B6741" s="372"/>
      <c r="C6741" s="75" t="s">
        <v>3180</v>
      </c>
      <c r="D6741" s="77"/>
      <c r="E6741" s="73"/>
      <c r="F6741" s="74"/>
      <c r="G6741" s="102"/>
      <c r="H6741" s="361"/>
      <c r="J6741" s="369"/>
      <c r="K6741" s="91"/>
    </row>
    <row r="6742" spans="1:11" s="25" customFormat="1" x14ac:dyDescent="0.25">
      <c r="A6742" s="195"/>
      <c r="B6742" s="372"/>
      <c r="C6742" s="100" t="s">
        <v>140</v>
      </c>
      <c r="D6742" s="75"/>
      <c r="E6742" s="73"/>
      <c r="F6742" s="74" t="s">
        <v>3</v>
      </c>
      <c r="G6742" s="102">
        <f>0.008*3.14*0.08*1.3</f>
        <v>2.6124799999999999E-3</v>
      </c>
      <c r="H6742" s="361"/>
      <c r="J6742" s="369"/>
      <c r="K6742" s="91"/>
    </row>
    <row r="6743" spans="1:11" s="25" customFormat="1" ht="17.25" x14ac:dyDescent="0.25">
      <c r="A6743" s="195"/>
      <c r="B6743" s="372"/>
      <c r="C6743" s="100" t="s">
        <v>23</v>
      </c>
      <c r="D6743" s="75"/>
      <c r="E6743" s="73"/>
      <c r="F6743" s="74" t="s">
        <v>596</v>
      </c>
      <c r="G6743" s="102">
        <f>G6742*2</f>
        <v>5.2249599999999998E-3</v>
      </c>
      <c r="H6743" s="361"/>
      <c r="J6743" s="369"/>
      <c r="K6743" s="91"/>
    </row>
    <row r="6744" spans="1:11" s="25" customFormat="1" x14ac:dyDescent="0.25">
      <c r="A6744" s="195"/>
      <c r="B6744" s="372"/>
      <c r="C6744" s="100" t="s">
        <v>142</v>
      </c>
      <c r="D6744" s="75"/>
      <c r="E6744" s="73"/>
      <c r="F6744" s="74" t="s">
        <v>3</v>
      </c>
      <c r="G6744" s="102">
        <f>G6742/4</f>
        <v>6.5311999999999998E-4</v>
      </c>
      <c r="H6744" s="361"/>
      <c r="J6744" s="369"/>
      <c r="K6744" s="91"/>
    </row>
    <row r="6745" spans="1:11" s="25" customFormat="1" x14ac:dyDescent="0.25">
      <c r="A6745" s="195"/>
      <c r="B6745" s="372"/>
      <c r="C6745" s="100" t="s">
        <v>163</v>
      </c>
      <c r="D6745" s="77"/>
      <c r="E6745" s="73"/>
      <c r="F6745" s="74" t="s">
        <v>3</v>
      </c>
      <c r="G6745" s="102">
        <f>0.45*0.011*2</f>
        <v>9.8999999999999991E-3</v>
      </c>
      <c r="H6745" s="361"/>
      <c r="J6745" s="369"/>
      <c r="K6745" s="91"/>
    </row>
    <row r="6746" spans="1:11" s="25" customFormat="1" x14ac:dyDescent="0.25">
      <c r="A6746" s="195"/>
      <c r="B6746" s="372"/>
      <c r="C6746" s="100" t="s">
        <v>164</v>
      </c>
      <c r="D6746" s="77"/>
      <c r="E6746" s="73"/>
      <c r="F6746" s="74" t="s">
        <v>3</v>
      </c>
      <c r="G6746" s="102">
        <f>0.3*G6745</f>
        <v>2.9699999999999996E-3</v>
      </c>
      <c r="H6746" s="361"/>
      <c r="J6746" s="369"/>
      <c r="K6746" s="91"/>
    </row>
    <row r="6747" spans="1:11" s="25" customFormat="1" x14ac:dyDescent="0.25">
      <c r="A6747" s="195"/>
      <c r="B6747" s="372"/>
      <c r="C6747" s="100" t="s">
        <v>152</v>
      </c>
      <c r="D6747" s="77"/>
      <c r="E6747" s="73"/>
      <c r="F6747" s="74" t="s">
        <v>3</v>
      </c>
      <c r="G6747" s="102">
        <f>0.45*0.011*2*1.5</f>
        <v>1.4849999999999999E-2</v>
      </c>
      <c r="H6747" s="361"/>
      <c r="J6747" s="369"/>
      <c r="K6747" s="91"/>
    </row>
    <row r="6748" spans="1:11" s="25" customFormat="1" x14ac:dyDescent="0.25">
      <c r="A6748" s="195"/>
      <c r="B6748" s="372"/>
      <c r="C6748" s="100" t="s">
        <v>12</v>
      </c>
      <c r="D6748" s="77"/>
      <c r="E6748" s="73"/>
      <c r="F6748" s="74" t="s">
        <v>3</v>
      </c>
      <c r="G6748" s="102">
        <f>0.3*G6747</f>
        <v>4.4549999999999998E-3</v>
      </c>
      <c r="H6748" s="361"/>
      <c r="J6748" s="369"/>
      <c r="K6748" s="91"/>
    </row>
    <row r="6749" spans="1:11" s="25" customFormat="1" x14ac:dyDescent="0.25">
      <c r="A6749" s="195"/>
      <c r="B6749" s="372"/>
      <c r="C6749" s="75"/>
      <c r="D6749" s="78" t="s">
        <v>3181</v>
      </c>
      <c r="E6749" s="73"/>
      <c r="F6749" s="74"/>
      <c r="G6749" s="102"/>
      <c r="H6749" s="361"/>
      <c r="J6749" s="369"/>
      <c r="K6749" s="91"/>
    </row>
    <row r="6750" spans="1:11" s="25" customFormat="1" x14ac:dyDescent="0.25">
      <c r="A6750" s="195"/>
      <c r="B6750" s="372"/>
      <c r="C6750" s="75"/>
      <c r="D6750" s="77" t="s">
        <v>2208</v>
      </c>
      <c r="E6750" s="73"/>
      <c r="F6750" s="74" t="s">
        <v>3</v>
      </c>
      <c r="G6750" s="102">
        <v>0.09</v>
      </c>
      <c r="H6750" s="361"/>
      <c r="I6750" s="25" t="s">
        <v>3183</v>
      </c>
      <c r="J6750" s="369"/>
      <c r="K6750" s="91"/>
    </row>
    <row r="6751" spans="1:11" s="25" customFormat="1" x14ac:dyDescent="0.25">
      <c r="A6751" s="195"/>
      <c r="B6751" s="372"/>
      <c r="C6751" s="75"/>
      <c r="D6751" s="77"/>
      <c r="E6751" s="73"/>
      <c r="F6751" s="74"/>
      <c r="G6751" s="102"/>
      <c r="H6751" s="361"/>
      <c r="J6751" s="369"/>
      <c r="K6751" s="91"/>
    </row>
    <row r="6752" spans="1:11" s="25" customFormat="1" x14ac:dyDescent="0.25">
      <c r="A6752" s="195"/>
      <c r="B6752" s="372"/>
      <c r="C6752" s="75" t="s">
        <v>3184</v>
      </c>
      <c r="D6752" s="77"/>
      <c r="E6752" s="73"/>
      <c r="F6752" s="74"/>
      <c r="G6752" s="102"/>
      <c r="H6752" s="361"/>
      <c r="J6752" s="369"/>
      <c r="K6752" s="91"/>
    </row>
    <row r="6753" spans="1:13" s="25" customFormat="1" x14ac:dyDescent="0.25">
      <c r="A6753" s="195"/>
      <c r="B6753" s="372"/>
      <c r="C6753" s="100" t="s">
        <v>140</v>
      </c>
      <c r="D6753" s="75"/>
      <c r="E6753" s="73"/>
      <c r="F6753" s="74" t="s">
        <v>3</v>
      </c>
      <c r="G6753" s="102">
        <f>0.012*3.14*2*0.08*1.3</f>
        <v>7.8374400000000011E-3</v>
      </c>
      <c r="H6753" s="361"/>
      <c r="J6753" s="369" t="s">
        <v>3185</v>
      </c>
      <c r="K6753" s="91"/>
      <c r="L6753" s="25" t="s">
        <v>99</v>
      </c>
      <c r="M6753" s="25" t="s">
        <v>2425</v>
      </c>
    </row>
    <row r="6754" spans="1:13" s="25" customFormat="1" ht="17.25" x14ac:dyDescent="0.25">
      <c r="A6754" s="195"/>
      <c r="B6754" s="372"/>
      <c r="C6754" s="100" t="s">
        <v>23</v>
      </c>
      <c r="D6754" s="75"/>
      <c r="E6754" s="73"/>
      <c r="F6754" s="74" t="s">
        <v>596</v>
      </c>
      <c r="G6754" s="102">
        <f>G6753*2</f>
        <v>1.5674880000000002E-2</v>
      </c>
      <c r="H6754" s="361"/>
      <c r="J6754" s="369"/>
      <c r="K6754" s="91"/>
    </row>
    <row r="6755" spans="1:13" s="25" customFormat="1" x14ac:dyDescent="0.25">
      <c r="A6755" s="195"/>
      <c r="B6755" s="372"/>
      <c r="C6755" s="100" t="s">
        <v>142</v>
      </c>
      <c r="D6755" s="75"/>
      <c r="E6755" s="73"/>
      <c r="F6755" s="74" t="s">
        <v>3</v>
      </c>
      <c r="G6755" s="102">
        <f>G6753/4</f>
        <v>1.9593600000000003E-3</v>
      </c>
      <c r="H6755" s="361"/>
      <c r="J6755" s="369"/>
      <c r="K6755" s="91"/>
    </row>
    <row r="6756" spans="1:13" s="25" customFormat="1" x14ac:dyDescent="0.25">
      <c r="A6756" s="195"/>
      <c r="B6756" s="372"/>
      <c r="C6756" s="100" t="s">
        <v>8</v>
      </c>
      <c r="D6756" s="77"/>
      <c r="E6756" s="73"/>
      <c r="F6756" s="74" t="s">
        <v>3</v>
      </c>
      <c r="G6756" s="102">
        <f>2*0.011*1.13</f>
        <v>2.4859999999999997E-2</v>
      </c>
      <c r="H6756" s="361"/>
      <c r="J6756" s="369"/>
      <c r="K6756" s="91"/>
    </row>
    <row r="6757" spans="1:13" s="25" customFormat="1" x14ac:dyDescent="0.25">
      <c r="A6757" s="195"/>
      <c r="B6757" s="372"/>
      <c r="C6757" s="100" t="s">
        <v>152</v>
      </c>
      <c r="D6757" s="77"/>
      <c r="E6757" s="73"/>
      <c r="F6757" s="74" t="s">
        <v>3</v>
      </c>
      <c r="G6757" s="102">
        <f>2*0.011*2*1.13</f>
        <v>4.9719999999999993E-2</v>
      </c>
      <c r="H6757" s="361"/>
      <c r="J6757" s="369"/>
      <c r="K6757" s="91"/>
    </row>
    <row r="6758" spans="1:13" s="25" customFormat="1" x14ac:dyDescent="0.25">
      <c r="A6758" s="195"/>
      <c r="B6758" s="372"/>
      <c r="C6758" s="100" t="s">
        <v>143</v>
      </c>
      <c r="D6758" s="100"/>
      <c r="E6758" s="100"/>
      <c r="F6758" s="360" t="s">
        <v>3</v>
      </c>
      <c r="G6758" s="102">
        <f>G6756</f>
        <v>2.4859999999999997E-2</v>
      </c>
      <c r="H6758" s="361"/>
      <c r="J6758" s="369"/>
      <c r="K6758" s="91"/>
    </row>
    <row r="6759" spans="1:13" s="25" customFormat="1" x14ac:dyDescent="0.25">
      <c r="A6759" s="195"/>
      <c r="B6759" s="372"/>
      <c r="C6759" s="100" t="s">
        <v>12</v>
      </c>
      <c r="D6759" s="77"/>
      <c r="E6759" s="73"/>
      <c r="F6759" s="74" t="s">
        <v>3</v>
      </c>
      <c r="G6759" s="102">
        <f>0.3*(G6757+G6756+G6758)</f>
        <v>2.9831999999999994E-2</v>
      </c>
      <c r="H6759" s="361"/>
      <c r="J6759" s="369"/>
      <c r="K6759" s="91"/>
    </row>
    <row r="6760" spans="1:13" s="25" customFormat="1" x14ac:dyDescent="0.25">
      <c r="A6760" s="195"/>
      <c r="B6760" s="372"/>
      <c r="C6760" s="75"/>
      <c r="D6760" s="78" t="s">
        <v>3187</v>
      </c>
      <c r="E6760" s="73"/>
      <c r="F6760" s="74"/>
      <c r="G6760" s="102"/>
      <c r="H6760" s="361"/>
      <c r="J6760" s="369"/>
      <c r="K6760" s="91"/>
    </row>
    <row r="6761" spans="1:13" s="25" customFormat="1" x14ac:dyDescent="0.25">
      <c r="A6761" s="195"/>
      <c r="B6761" s="372"/>
      <c r="C6761" s="75"/>
      <c r="D6761" s="77" t="s">
        <v>159</v>
      </c>
      <c r="E6761" s="73"/>
      <c r="F6761" s="74" t="s">
        <v>3</v>
      </c>
      <c r="G6761" s="102">
        <v>0.55000000000000004</v>
      </c>
      <c r="H6761" s="361"/>
      <c r="I6761" s="25" t="s">
        <v>3186</v>
      </c>
      <c r="J6761" s="369"/>
      <c r="K6761" s="91"/>
    </row>
    <row r="6762" spans="1:13" s="25" customFormat="1" x14ac:dyDescent="0.25">
      <c r="A6762" s="195"/>
      <c r="B6762" s="372"/>
      <c r="C6762" s="75"/>
      <c r="D6762" s="77"/>
      <c r="E6762" s="73"/>
      <c r="F6762" s="74"/>
      <c r="G6762" s="102"/>
      <c r="H6762" s="361"/>
      <c r="J6762" s="369"/>
      <c r="K6762" s="91"/>
    </row>
    <row r="6763" spans="1:13" s="25" customFormat="1" x14ac:dyDescent="0.25">
      <c r="A6763" s="195"/>
      <c r="B6763" s="372"/>
      <c r="C6763" s="75" t="s">
        <v>3188</v>
      </c>
      <c r="D6763" s="77"/>
      <c r="E6763" s="73"/>
      <c r="F6763" s="74"/>
      <c r="G6763" s="102"/>
      <c r="H6763" s="361"/>
      <c r="J6763" s="369"/>
      <c r="K6763" s="91"/>
    </row>
    <row r="6764" spans="1:13" s="25" customFormat="1" x14ac:dyDescent="0.25">
      <c r="A6764" s="195"/>
      <c r="B6764" s="372"/>
      <c r="C6764" s="73" t="s">
        <v>2755</v>
      </c>
      <c r="D6764" s="74"/>
      <c r="E6764" s="107"/>
      <c r="F6764" s="74" t="s">
        <v>3</v>
      </c>
      <c r="G6764" s="102">
        <f>0.15*0.08*1.3</f>
        <v>1.5600000000000001E-2</v>
      </c>
      <c r="H6764" s="361"/>
      <c r="J6764" s="369"/>
      <c r="K6764" s="91"/>
    </row>
    <row r="6765" spans="1:13" s="25" customFormat="1" ht="17.25" x14ac:dyDescent="0.25">
      <c r="A6765" s="195"/>
      <c r="B6765" s="372"/>
      <c r="C6765" s="73" t="s">
        <v>1055</v>
      </c>
      <c r="D6765" s="74"/>
      <c r="E6765" s="107"/>
      <c r="F6765" s="74" t="s">
        <v>596</v>
      </c>
      <c r="G6765" s="102">
        <f>1.09*G6764</f>
        <v>1.7004000000000002E-2</v>
      </c>
      <c r="H6765" s="361"/>
      <c r="J6765" s="369"/>
      <c r="K6765" s="91"/>
    </row>
    <row r="6766" spans="1:13" s="25" customFormat="1" x14ac:dyDescent="0.25">
      <c r="A6766" s="195"/>
      <c r="B6766" s="372"/>
      <c r="C6766" s="75"/>
      <c r="D6766" s="78" t="s">
        <v>3189</v>
      </c>
      <c r="E6766" s="73"/>
      <c r="F6766" s="74"/>
      <c r="G6766" s="102"/>
      <c r="H6766" s="361"/>
      <c r="J6766" s="369"/>
      <c r="K6766" s="91"/>
    </row>
    <row r="6767" spans="1:13" s="25" customFormat="1" x14ac:dyDescent="0.25">
      <c r="A6767" s="195"/>
      <c r="B6767" s="372"/>
      <c r="C6767" s="75"/>
      <c r="D6767" s="77" t="s">
        <v>3191</v>
      </c>
      <c r="E6767" s="73"/>
      <c r="F6767" s="74" t="s">
        <v>3</v>
      </c>
      <c r="G6767" s="102">
        <f>0.065*0.04*5*8*1.15</f>
        <v>0.1196</v>
      </c>
      <c r="H6767" s="361"/>
      <c r="J6767" s="369"/>
      <c r="K6767" s="91"/>
    </row>
    <row r="6768" spans="1:13" s="25" customFormat="1" x14ac:dyDescent="0.25">
      <c r="A6768" s="195"/>
      <c r="B6768" s="372"/>
      <c r="C6768" s="75"/>
      <c r="D6768" s="78" t="s">
        <v>1109</v>
      </c>
      <c r="E6768" s="73"/>
      <c r="F6768" s="74"/>
      <c r="G6768" s="102"/>
      <c r="H6768" s="361"/>
      <c r="J6768" s="369"/>
      <c r="K6768" s="91"/>
    </row>
    <row r="6769" spans="1:11" s="25" customFormat="1" x14ac:dyDescent="0.25">
      <c r="A6769" s="195"/>
      <c r="B6769" s="372"/>
      <c r="C6769" s="75"/>
      <c r="D6769" s="77" t="s">
        <v>3191</v>
      </c>
      <c r="E6769" s="73"/>
      <c r="F6769" s="74" t="s">
        <v>3</v>
      </c>
      <c r="G6769" s="102">
        <f>0.13*1.15</f>
        <v>0.14949999999999999</v>
      </c>
      <c r="H6769" s="361"/>
      <c r="J6769" s="369"/>
      <c r="K6769" s="91"/>
    </row>
    <row r="6770" spans="1:11" s="25" customFormat="1" x14ac:dyDescent="0.25">
      <c r="A6770" s="195"/>
      <c r="B6770" s="372"/>
      <c r="C6770" s="75"/>
      <c r="D6770" s="78" t="s">
        <v>3190</v>
      </c>
      <c r="E6770" s="73"/>
      <c r="F6770" s="74"/>
      <c r="G6770" s="102"/>
      <c r="H6770" s="361"/>
      <c r="J6770" s="369"/>
      <c r="K6770" s="91"/>
    </row>
    <row r="6771" spans="1:11" s="25" customFormat="1" x14ac:dyDescent="0.25">
      <c r="A6771" s="195"/>
      <c r="B6771" s="372"/>
      <c r="C6771" s="75"/>
      <c r="D6771" s="77" t="s">
        <v>3191</v>
      </c>
      <c r="E6771" s="73"/>
      <c r="F6771" s="74" t="s">
        <v>3</v>
      </c>
      <c r="G6771" s="102">
        <f>0.025*0.055*4*8*1.129</f>
        <v>4.9676000000000005E-2</v>
      </c>
      <c r="H6771" s="361"/>
      <c r="J6771" s="369"/>
      <c r="K6771" s="91"/>
    </row>
    <row r="6772" spans="1:11" s="25" customFormat="1" x14ac:dyDescent="0.25">
      <c r="A6772" s="195"/>
      <c r="B6772" s="372"/>
      <c r="C6772" s="75"/>
      <c r="D6772" s="77"/>
      <c r="E6772" s="73"/>
      <c r="F6772" s="74"/>
      <c r="G6772" s="102"/>
      <c r="H6772" s="361"/>
      <c r="J6772" s="369"/>
      <c r="K6772" s="91"/>
    </row>
    <row r="6773" spans="1:11" s="25" customFormat="1" x14ac:dyDescent="0.25">
      <c r="A6773" s="195"/>
      <c r="B6773" s="372"/>
      <c r="C6773" s="75" t="s">
        <v>3192</v>
      </c>
      <c r="D6773" s="77"/>
      <c r="E6773" s="73"/>
      <c r="F6773" s="74"/>
      <c r="G6773" s="102"/>
      <c r="H6773" s="361"/>
      <c r="J6773" s="369"/>
      <c r="K6773" s="91"/>
    </row>
    <row r="6774" spans="1:11" s="25" customFormat="1" x14ac:dyDescent="0.25">
      <c r="A6774" s="195"/>
      <c r="B6774" s="372"/>
      <c r="C6774" s="100" t="s">
        <v>3193</v>
      </c>
      <c r="D6774" s="77"/>
      <c r="E6774" s="73"/>
      <c r="F6774" s="74" t="s">
        <v>3</v>
      </c>
      <c r="G6774" s="102">
        <v>0.04</v>
      </c>
      <c r="H6774" s="361"/>
      <c r="I6774" s="25" t="s">
        <v>3194</v>
      </c>
      <c r="J6774" s="369"/>
      <c r="K6774" s="91"/>
    </row>
    <row r="6775" spans="1:11" s="25" customFormat="1" x14ac:dyDescent="0.25">
      <c r="A6775" s="195"/>
      <c r="B6775" s="372"/>
      <c r="C6775" s="75"/>
      <c r="D6775" s="77"/>
      <c r="E6775" s="73"/>
      <c r="F6775" s="74"/>
      <c r="G6775" s="102"/>
      <c r="H6775" s="361"/>
      <c r="J6775" s="369"/>
      <c r="K6775" s="91"/>
    </row>
    <row r="6776" spans="1:11" s="25" customFormat="1" x14ac:dyDescent="0.25">
      <c r="A6776" s="195"/>
      <c r="B6776" s="372"/>
      <c r="C6776" s="75" t="s">
        <v>3195</v>
      </c>
      <c r="D6776" s="77"/>
      <c r="E6776" s="73"/>
      <c r="F6776" s="74"/>
      <c r="G6776" s="102"/>
      <c r="H6776" s="361"/>
      <c r="J6776" s="369"/>
      <c r="K6776" s="91"/>
    </row>
    <row r="6777" spans="1:11" s="25" customFormat="1" x14ac:dyDescent="0.25">
      <c r="A6777" s="195"/>
      <c r="B6777" s="372"/>
      <c r="C6777" s="73" t="s">
        <v>2755</v>
      </c>
      <c r="D6777" s="74"/>
      <c r="E6777" s="107"/>
      <c r="F6777" s="74" t="s">
        <v>3</v>
      </c>
      <c r="G6777" s="102">
        <f>0.25*0.08*1.25</f>
        <v>2.5000000000000001E-2</v>
      </c>
      <c r="H6777" s="361"/>
      <c r="J6777" s="369"/>
      <c r="K6777" s="91"/>
    </row>
    <row r="6778" spans="1:11" s="25" customFormat="1" ht="17.25" x14ac:dyDescent="0.25">
      <c r="A6778" s="195"/>
      <c r="B6778" s="372"/>
      <c r="C6778" s="73" t="s">
        <v>1055</v>
      </c>
      <c r="D6778" s="74"/>
      <c r="E6778" s="107"/>
      <c r="F6778" s="74" t="s">
        <v>596</v>
      </c>
      <c r="G6778" s="102">
        <f>1.09*G6777</f>
        <v>2.7250000000000003E-2</v>
      </c>
      <c r="H6778" s="361"/>
      <c r="J6778" s="369"/>
      <c r="K6778" s="91"/>
    </row>
    <row r="6779" spans="1:11" s="25" customFormat="1" x14ac:dyDescent="0.25">
      <c r="A6779" s="195"/>
      <c r="B6779" s="372"/>
      <c r="C6779" s="75"/>
      <c r="D6779" s="78" t="s">
        <v>3196</v>
      </c>
      <c r="E6779" s="73"/>
      <c r="F6779" s="74"/>
      <c r="G6779" s="102"/>
      <c r="H6779" s="361"/>
      <c r="J6779" s="369"/>
      <c r="K6779" s="91"/>
    </row>
    <row r="6780" spans="1:11" s="25" customFormat="1" x14ac:dyDescent="0.25">
      <c r="A6780" s="195"/>
      <c r="B6780" s="372"/>
      <c r="C6780" s="75"/>
      <c r="D6780" s="77" t="s">
        <v>3198</v>
      </c>
      <c r="E6780" s="73"/>
      <c r="F6780" s="74" t="s">
        <v>3</v>
      </c>
      <c r="G6780" s="102">
        <f>0.15*0.09*2*8*1.159</f>
        <v>0.25034400000000001</v>
      </c>
      <c r="H6780" s="361"/>
      <c r="J6780" s="369"/>
      <c r="K6780" s="91"/>
    </row>
    <row r="6781" spans="1:11" s="25" customFormat="1" x14ac:dyDescent="0.25">
      <c r="A6781" s="195"/>
      <c r="B6781" s="372"/>
      <c r="C6781" s="75"/>
      <c r="D6781" s="78" t="s">
        <v>3197</v>
      </c>
      <c r="E6781" s="73"/>
      <c r="F6781" s="74"/>
      <c r="G6781" s="102"/>
      <c r="H6781" s="361"/>
      <c r="J6781" s="369"/>
      <c r="K6781" s="91"/>
    </row>
    <row r="6782" spans="1:11" s="25" customFormat="1" x14ac:dyDescent="0.25">
      <c r="A6782" s="195"/>
      <c r="B6782" s="372"/>
      <c r="C6782" s="75"/>
      <c r="D6782" s="77" t="s">
        <v>3198</v>
      </c>
      <c r="E6782" s="73"/>
      <c r="F6782" s="74" t="s">
        <v>3</v>
      </c>
      <c r="G6782" s="102">
        <f>0.25*0.025*2*8*1.145</f>
        <v>0.1145</v>
      </c>
      <c r="H6782" s="361"/>
      <c r="J6782" s="369"/>
      <c r="K6782" s="91"/>
    </row>
    <row r="6783" spans="1:11" s="25" customFormat="1" x14ac:dyDescent="0.25">
      <c r="A6783" s="195"/>
      <c r="B6783" s="372"/>
      <c r="C6783" s="75"/>
      <c r="D6783" s="77"/>
      <c r="E6783" s="73"/>
      <c r="F6783" s="74"/>
      <c r="G6783" s="102"/>
      <c r="H6783" s="361"/>
      <c r="J6783" s="369"/>
      <c r="K6783" s="91"/>
    </row>
    <row r="6784" spans="1:11" s="25" customFormat="1" x14ac:dyDescent="0.25">
      <c r="A6784" s="195"/>
      <c r="B6784" s="372"/>
      <c r="C6784" s="75" t="s">
        <v>3199</v>
      </c>
      <c r="D6784" s="77"/>
      <c r="E6784" s="73"/>
      <c r="F6784" s="74"/>
      <c r="G6784" s="102"/>
      <c r="H6784" s="361"/>
      <c r="J6784" s="369"/>
      <c r="K6784" s="91"/>
    </row>
    <row r="6785" spans="1:13" s="25" customFormat="1" x14ac:dyDescent="0.25">
      <c r="A6785" s="195"/>
      <c r="B6785" s="372"/>
      <c r="C6785" s="73" t="s">
        <v>2755</v>
      </c>
      <c r="D6785" s="74"/>
      <c r="E6785" s="107"/>
      <c r="F6785" s="74" t="s">
        <v>3</v>
      </c>
      <c r="G6785" s="102">
        <f>0.012*3.14*2*0.08*1.3</f>
        <v>7.8374400000000011E-3</v>
      </c>
      <c r="H6785" s="361"/>
      <c r="J6785" s="369"/>
      <c r="K6785" s="91"/>
    </row>
    <row r="6786" spans="1:13" s="25" customFormat="1" ht="17.25" x14ac:dyDescent="0.25">
      <c r="A6786" s="195"/>
      <c r="B6786" s="372"/>
      <c r="C6786" s="73" t="s">
        <v>1055</v>
      </c>
      <c r="D6786" s="74"/>
      <c r="E6786" s="107"/>
      <c r="F6786" s="74" t="s">
        <v>596</v>
      </c>
      <c r="G6786" s="102">
        <f>1.09*G6785</f>
        <v>8.5428096000000012E-3</v>
      </c>
      <c r="H6786" s="361"/>
      <c r="J6786" s="369"/>
      <c r="K6786" s="91"/>
    </row>
    <row r="6787" spans="1:13" s="25" customFormat="1" x14ac:dyDescent="0.25">
      <c r="A6787" s="195"/>
      <c r="B6787" s="372"/>
      <c r="C6787" s="75"/>
      <c r="D6787" s="78" t="s">
        <v>3200</v>
      </c>
      <c r="E6787" s="73"/>
      <c r="F6787" s="74"/>
      <c r="G6787" s="102"/>
      <c r="H6787" s="361"/>
      <c r="J6787" s="369"/>
      <c r="K6787" s="91"/>
    </row>
    <row r="6788" spans="1:13" s="25" customFormat="1" x14ac:dyDescent="0.25">
      <c r="A6788" s="195"/>
      <c r="B6788" s="372"/>
      <c r="C6788" s="75"/>
      <c r="D6788" s="77" t="s">
        <v>300</v>
      </c>
      <c r="E6788" s="73"/>
      <c r="F6788" s="74" t="s">
        <v>3</v>
      </c>
      <c r="G6788" s="102">
        <f>0.115*0.08*3*8*1.13</f>
        <v>0.24950399999999998</v>
      </c>
      <c r="H6788" s="361"/>
      <c r="J6788" s="369"/>
      <c r="K6788" s="91"/>
    </row>
    <row r="6789" spans="1:13" s="25" customFormat="1" x14ac:dyDescent="0.25">
      <c r="A6789" s="195"/>
      <c r="B6789" s="372"/>
      <c r="C6789" s="75"/>
      <c r="D6789" s="77"/>
      <c r="E6789" s="73"/>
      <c r="F6789" s="74"/>
      <c r="G6789" s="102"/>
      <c r="H6789" s="361"/>
      <c r="J6789" s="369"/>
      <c r="K6789" s="91"/>
    </row>
    <row r="6790" spans="1:13" s="25" customFormat="1" x14ac:dyDescent="0.25">
      <c r="A6790" s="195"/>
      <c r="B6790" s="372"/>
      <c r="C6790" s="75" t="s">
        <v>3201</v>
      </c>
      <c r="D6790" s="77"/>
      <c r="E6790" s="73"/>
      <c r="F6790" s="74"/>
      <c r="G6790" s="102"/>
      <c r="H6790" s="361"/>
      <c r="J6790" s="369"/>
      <c r="K6790" s="91"/>
    </row>
    <row r="6791" spans="1:13" s="25" customFormat="1" x14ac:dyDescent="0.25">
      <c r="A6791" s="195"/>
      <c r="B6791" s="372"/>
      <c r="C6791" s="100" t="s">
        <v>3205</v>
      </c>
      <c r="D6791" s="77"/>
      <c r="E6791" s="73"/>
      <c r="F6791" s="74" t="s">
        <v>3</v>
      </c>
      <c r="G6791" s="102">
        <v>8.0000000000000002E-3</v>
      </c>
      <c r="H6791" s="361"/>
      <c r="I6791" s="25" t="s">
        <v>3206</v>
      </c>
      <c r="J6791" s="369"/>
      <c r="K6791" s="91"/>
    </row>
    <row r="6792" spans="1:13" s="25" customFormat="1" x14ac:dyDescent="0.25">
      <c r="A6792" s="195"/>
      <c r="B6792" s="372"/>
      <c r="C6792" s="100" t="s">
        <v>140</v>
      </c>
      <c r="D6792" s="75"/>
      <c r="E6792" s="73"/>
      <c r="F6792" s="74" t="s">
        <v>3</v>
      </c>
      <c r="G6792" s="102">
        <v>3.0000000000000001E-3</v>
      </c>
      <c r="H6792" s="361"/>
      <c r="J6792" s="369"/>
      <c r="K6792" s="91"/>
    </row>
    <row r="6793" spans="1:13" s="25" customFormat="1" ht="17.25" x14ac:dyDescent="0.25">
      <c r="A6793" s="195"/>
      <c r="B6793" s="372"/>
      <c r="C6793" s="100" t="s">
        <v>23</v>
      </c>
      <c r="D6793" s="75"/>
      <c r="E6793" s="73"/>
      <c r="F6793" s="74" t="s">
        <v>596</v>
      </c>
      <c r="G6793" s="102">
        <f>G6792*2</f>
        <v>6.0000000000000001E-3</v>
      </c>
      <c r="H6793" s="361"/>
      <c r="J6793" s="369"/>
      <c r="K6793" s="91"/>
    </row>
    <row r="6794" spans="1:13" s="25" customFormat="1" x14ac:dyDescent="0.25">
      <c r="A6794" s="195"/>
      <c r="B6794" s="372"/>
      <c r="C6794" s="100" t="s">
        <v>142</v>
      </c>
      <c r="D6794" s="75"/>
      <c r="E6794" s="73"/>
      <c r="F6794" s="74" t="s">
        <v>3</v>
      </c>
      <c r="G6794" s="102">
        <f>G6792/4</f>
        <v>7.5000000000000002E-4</v>
      </c>
      <c r="J6794" s="369"/>
      <c r="K6794" s="91"/>
    </row>
    <row r="6795" spans="1:13" s="25" customFormat="1" x14ac:dyDescent="0.25">
      <c r="A6795" s="195"/>
      <c r="B6795" s="372"/>
      <c r="C6795" s="100"/>
      <c r="D6795" s="75" t="s">
        <v>3202</v>
      </c>
      <c r="E6795" s="100"/>
      <c r="F6795" s="103"/>
      <c r="G6795" s="102"/>
      <c r="J6795" s="369"/>
      <c r="K6795" s="91"/>
    </row>
    <row r="6796" spans="1:13" x14ac:dyDescent="0.25">
      <c r="A6796" s="163"/>
      <c r="B6796" s="106"/>
      <c r="C6796" s="73"/>
      <c r="D6796" s="73" t="s">
        <v>213</v>
      </c>
      <c r="E6796" s="73"/>
      <c r="F6796" s="74" t="s">
        <v>3</v>
      </c>
      <c r="G6796" s="72">
        <f>0.06*0.021*3*2.7*1.15</f>
        <v>1.1736900000000001E-2</v>
      </c>
    </row>
    <row r="6797" spans="1:13" x14ac:dyDescent="0.25">
      <c r="A6797" s="163"/>
      <c r="B6797" s="106"/>
      <c r="C6797" s="73"/>
      <c r="D6797" s="75" t="s">
        <v>3203</v>
      </c>
      <c r="E6797" s="73"/>
      <c r="F6797" s="74"/>
      <c r="G6797" s="72"/>
    </row>
    <row r="6798" spans="1:13" x14ac:dyDescent="0.25">
      <c r="A6798" s="163"/>
      <c r="B6798" s="106"/>
      <c r="C6798" s="73"/>
      <c r="D6798" s="100" t="s">
        <v>3204</v>
      </c>
      <c r="E6798" s="73"/>
      <c r="F6798" s="74" t="s">
        <v>3</v>
      </c>
      <c r="G6798" s="72">
        <f>0.009</f>
        <v>8.9999999999999993E-3</v>
      </c>
    </row>
    <row r="6799" spans="1:13" x14ac:dyDescent="0.25">
      <c r="A6799" s="163"/>
      <c r="B6799" s="106"/>
      <c r="C6799" s="73"/>
      <c r="D6799" s="73"/>
      <c r="E6799" s="73"/>
      <c r="F6799" s="74"/>
      <c r="G6799" s="72"/>
    </row>
    <row r="6800" spans="1:13" x14ac:dyDescent="0.25">
      <c r="A6800" s="163"/>
      <c r="B6800" s="106"/>
      <c r="C6800" s="75" t="s">
        <v>3208</v>
      </c>
      <c r="D6800" s="73"/>
      <c r="E6800" s="73"/>
      <c r="F6800" s="74"/>
      <c r="G6800" s="72"/>
      <c r="J6800" s="13" t="s">
        <v>3211</v>
      </c>
      <c r="L6800" t="s">
        <v>99</v>
      </c>
      <c r="M6800" t="s">
        <v>3212</v>
      </c>
    </row>
    <row r="6801" spans="1:13" x14ac:dyDescent="0.25">
      <c r="A6801" s="163"/>
      <c r="B6801" s="106"/>
      <c r="C6801" s="73" t="s">
        <v>2755</v>
      </c>
      <c r="D6801" s="74"/>
      <c r="E6801" s="107"/>
      <c r="F6801" s="74" t="s">
        <v>3</v>
      </c>
      <c r="G6801" s="102">
        <f>0.05*0.08*1.2</f>
        <v>4.7999999999999996E-3</v>
      </c>
      <c r="J6801" s="13" t="s">
        <v>3207</v>
      </c>
      <c r="L6801" t="s">
        <v>99</v>
      </c>
      <c r="M6801" t="s">
        <v>2506</v>
      </c>
    </row>
    <row r="6802" spans="1:13" ht="17.25" x14ac:dyDescent="0.25">
      <c r="A6802" s="163"/>
      <c r="B6802" s="106"/>
      <c r="C6802" s="73" t="s">
        <v>1055</v>
      </c>
      <c r="D6802" s="74"/>
      <c r="E6802" s="107"/>
      <c r="F6802" s="74" t="s">
        <v>596</v>
      </c>
      <c r="G6802" s="102">
        <f>1.09*G6801</f>
        <v>5.2319999999999997E-3</v>
      </c>
    </row>
    <row r="6803" spans="1:13" x14ac:dyDescent="0.25">
      <c r="A6803" s="163"/>
      <c r="B6803" s="106"/>
      <c r="C6803" s="73"/>
      <c r="D6803" s="75" t="s">
        <v>3209</v>
      </c>
      <c r="E6803" s="73"/>
      <c r="F6803" s="74"/>
      <c r="G6803" s="72"/>
    </row>
    <row r="6804" spans="1:13" x14ac:dyDescent="0.25">
      <c r="A6804" s="163"/>
      <c r="B6804" s="106"/>
      <c r="C6804" s="73"/>
      <c r="D6804" s="73" t="s">
        <v>3210</v>
      </c>
      <c r="E6804" s="73"/>
      <c r="F6804" s="74" t="s">
        <v>3</v>
      </c>
      <c r="G6804" s="72">
        <f>0.006</f>
        <v>6.0000000000000001E-3</v>
      </c>
    </row>
    <row r="6805" spans="1:13" x14ac:dyDescent="0.25">
      <c r="A6805" s="163"/>
      <c r="B6805" s="106"/>
      <c r="C6805" s="73"/>
      <c r="D6805" s="75" t="s">
        <v>3213</v>
      </c>
      <c r="E6805" s="73"/>
      <c r="F6805" s="74"/>
      <c r="G6805" s="72"/>
    </row>
    <row r="6806" spans="1:13" x14ac:dyDescent="0.25">
      <c r="A6806" s="163"/>
      <c r="B6806" s="106"/>
      <c r="C6806" s="73"/>
      <c r="D6806" s="73" t="s">
        <v>3214</v>
      </c>
      <c r="E6806" s="73"/>
      <c r="F6806" s="74" t="s">
        <v>3</v>
      </c>
      <c r="G6806" s="72">
        <f>0.26*0.012*2*8*1.11</f>
        <v>5.5411200000000015E-2</v>
      </c>
      <c r="I6806" t="s">
        <v>3215</v>
      </c>
    </row>
    <row r="6807" spans="1:13" x14ac:dyDescent="0.25">
      <c r="A6807" s="163"/>
      <c r="B6807" s="106"/>
      <c r="C6807" s="73"/>
      <c r="D6807" s="73"/>
      <c r="E6807" s="73"/>
      <c r="F6807" s="74"/>
      <c r="G6807" s="72"/>
    </row>
    <row r="6808" spans="1:13" x14ac:dyDescent="0.25">
      <c r="A6808" s="163"/>
      <c r="B6808" s="106"/>
      <c r="C6808" s="75" t="s">
        <v>2480</v>
      </c>
      <c r="D6808" s="73"/>
      <c r="E6808" s="73"/>
      <c r="F6808" s="74"/>
      <c r="G6808" s="72"/>
    </row>
    <row r="6809" spans="1:13" x14ac:dyDescent="0.25">
      <c r="A6809" s="163"/>
      <c r="B6809" s="106"/>
      <c r="C6809" s="73" t="s">
        <v>2755</v>
      </c>
      <c r="D6809" s="74"/>
      <c r="E6809" s="107"/>
      <c r="F6809" s="74" t="s">
        <v>3</v>
      </c>
      <c r="G6809" s="102">
        <f>0.4*0.08*1.25</f>
        <v>0.04</v>
      </c>
    </row>
    <row r="6810" spans="1:13" ht="17.25" x14ac:dyDescent="0.25">
      <c r="A6810" s="163"/>
      <c r="B6810" s="106"/>
      <c r="C6810" s="73" t="s">
        <v>1055</v>
      </c>
      <c r="D6810" s="74"/>
      <c r="E6810" s="107"/>
      <c r="F6810" s="74" t="s">
        <v>596</v>
      </c>
      <c r="G6810" s="102">
        <f>1.09*G6809</f>
        <v>4.3600000000000007E-2</v>
      </c>
    </row>
    <row r="6811" spans="1:13" x14ac:dyDescent="0.25">
      <c r="A6811" s="163"/>
      <c r="B6811" s="106"/>
      <c r="C6811" s="77" t="s">
        <v>8</v>
      </c>
      <c r="D6811" s="73"/>
      <c r="E6811" s="73"/>
      <c r="F6811" s="74" t="s">
        <v>3</v>
      </c>
      <c r="G6811" s="72">
        <f>0.38*0.2*2*0.15*1.31</f>
        <v>2.9868000000000006E-2</v>
      </c>
    </row>
    <row r="6812" spans="1:13" x14ac:dyDescent="0.25">
      <c r="A6812" s="163"/>
      <c r="B6812" s="106"/>
      <c r="C6812" s="77" t="s">
        <v>148</v>
      </c>
      <c r="D6812" s="73"/>
      <c r="E6812" s="73"/>
      <c r="F6812" s="74" t="s">
        <v>3</v>
      </c>
      <c r="G6812" s="72">
        <f>0.38*0.2*2*0.15*2*1.31</f>
        <v>5.9736000000000011E-2</v>
      </c>
    </row>
    <row r="6813" spans="1:13" x14ac:dyDescent="0.25">
      <c r="A6813" s="163"/>
      <c r="B6813" s="106"/>
      <c r="C6813" s="77" t="s">
        <v>12</v>
      </c>
      <c r="D6813" s="73"/>
      <c r="E6813" s="73"/>
      <c r="F6813" s="74" t="s">
        <v>3</v>
      </c>
      <c r="G6813" s="72">
        <f>0.3*(G6812+G6811)</f>
        <v>2.6881200000000004E-2</v>
      </c>
    </row>
    <row r="6814" spans="1:13" x14ac:dyDescent="0.25">
      <c r="A6814" s="163"/>
      <c r="B6814" s="106"/>
      <c r="C6814" s="73"/>
      <c r="D6814" s="75" t="s">
        <v>2481</v>
      </c>
      <c r="E6814" s="73"/>
      <c r="F6814" s="74"/>
      <c r="G6814" s="72"/>
    </row>
    <row r="6815" spans="1:13" x14ac:dyDescent="0.25">
      <c r="A6815" s="163"/>
      <c r="B6815" s="106"/>
      <c r="C6815" s="73"/>
      <c r="D6815" s="73" t="s">
        <v>2755</v>
      </c>
      <c r="E6815" s="73"/>
      <c r="F6815" s="74" t="s">
        <v>3</v>
      </c>
      <c r="G6815" s="102">
        <f>0.008*3.14*2*0.08*1.3</f>
        <v>5.2249599999999998E-3</v>
      </c>
      <c r="K6815" s="371"/>
    </row>
    <row r="6816" spans="1:13" ht="17.25" x14ac:dyDescent="0.25">
      <c r="A6816" s="163"/>
      <c r="B6816" s="106"/>
      <c r="C6816" s="73"/>
      <c r="D6816" s="73" t="s">
        <v>1055</v>
      </c>
      <c r="E6816" s="73"/>
      <c r="F6816" s="74" t="s">
        <v>596</v>
      </c>
      <c r="G6816" s="102">
        <f>1.09*G6815</f>
        <v>5.6952064000000005E-3</v>
      </c>
    </row>
    <row r="6817" spans="1:13" x14ac:dyDescent="0.25">
      <c r="A6817" s="163"/>
      <c r="B6817" s="106"/>
      <c r="C6817" s="73"/>
      <c r="D6817" s="73"/>
      <c r="E6817" s="75" t="s">
        <v>3216</v>
      </c>
      <c r="F6817" s="74"/>
      <c r="G6817" s="102"/>
      <c r="K6817" s="371"/>
    </row>
    <row r="6818" spans="1:13" x14ac:dyDescent="0.25">
      <c r="A6818" s="163"/>
      <c r="B6818" s="106"/>
      <c r="C6818" s="73"/>
      <c r="D6818" s="73"/>
      <c r="E6818" s="73" t="s">
        <v>3097</v>
      </c>
      <c r="F6818" s="74" t="s">
        <v>3</v>
      </c>
      <c r="G6818" s="102">
        <f>0.21*0.065*3*8*1.129</f>
        <v>0.36986039999999998</v>
      </c>
      <c r="K6818" s="371"/>
    </row>
    <row r="6819" spans="1:13" x14ac:dyDescent="0.25">
      <c r="A6819" s="163"/>
      <c r="B6819" s="106"/>
      <c r="C6819" s="73"/>
      <c r="D6819" s="75" t="s">
        <v>2482</v>
      </c>
      <c r="E6819" s="73"/>
      <c r="F6819" s="74"/>
      <c r="G6819" s="72"/>
    </row>
    <row r="6820" spans="1:13" x14ac:dyDescent="0.25">
      <c r="A6820" s="163"/>
      <c r="B6820" s="106"/>
      <c r="C6820" s="73"/>
      <c r="D6820" s="77" t="s">
        <v>2156</v>
      </c>
      <c r="E6820" s="73"/>
      <c r="F6820" s="74" t="s">
        <v>3</v>
      </c>
      <c r="G6820" s="72">
        <f>0.38*0.21*4*8*1.12</f>
        <v>2.8600319999999999</v>
      </c>
    </row>
    <row r="6821" spans="1:13" x14ac:dyDescent="0.25">
      <c r="A6821" s="163"/>
      <c r="B6821" s="106"/>
      <c r="C6821" s="73"/>
      <c r="D6821" s="75" t="s">
        <v>2483</v>
      </c>
      <c r="E6821" s="73"/>
      <c r="F6821" s="74"/>
      <c r="G6821" s="72"/>
    </row>
    <row r="6822" spans="1:13" x14ac:dyDescent="0.25">
      <c r="A6822" s="163"/>
      <c r="B6822" s="106"/>
      <c r="C6822" s="73"/>
      <c r="D6822" s="77" t="s">
        <v>2156</v>
      </c>
      <c r="E6822" s="73"/>
      <c r="F6822" s="74" t="s">
        <v>3</v>
      </c>
      <c r="G6822" s="72">
        <f>0.065*0.03*4*8*1.12</f>
        <v>6.9888000000000006E-2</v>
      </c>
    </row>
    <row r="6823" spans="1:13" x14ac:dyDescent="0.25">
      <c r="A6823" s="163"/>
      <c r="B6823" s="106"/>
      <c r="C6823" s="73"/>
      <c r="D6823" s="75" t="s">
        <v>2484</v>
      </c>
      <c r="E6823" s="73"/>
      <c r="F6823" s="74"/>
      <c r="G6823" s="72"/>
    </row>
    <row r="6824" spans="1:13" x14ac:dyDescent="0.25">
      <c r="A6824" s="163"/>
      <c r="B6824" s="106"/>
      <c r="C6824" s="73"/>
      <c r="D6824" s="77" t="s">
        <v>2156</v>
      </c>
      <c r="E6824" s="73"/>
      <c r="F6824" s="74" t="s">
        <v>3</v>
      </c>
      <c r="G6824" s="72">
        <f>0.06*0.03*4*8*1.12</f>
        <v>6.4512E-2</v>
      </c>
    </row>
    <row r="6825" spans="1:13" x14ac:dyDescent="0.25">
      <c r="A6825" s="163"/>
      <c r="B6825" s="106"/>
      <c r="C6825" s="73"/>
      <c r="D6825" s="75" t="s">
        <v>2485</v>
      </c>
      <c r="E6825" s="73"/>
      <c r="F6825" s="74"/>
      <c r="G6825" s="72"/>
    </row>
    <row r="6826" spans="1:13" x14ac:dyDescent="0.25">
      <c r="A6826" s="163"/>
      <c r="B6826" s="106"/>
      <c r="C6826" s="73"/>
      <c r="D6826" s="77" t="s">
        <v>2156</v>
      </c>
      <c r="E6826" s="73"/>
      <c r="F6826" s="74" t="s">
        <v>3</v>
      </c>
      <c r="G6826" s="72">
        <f>0.1*0.025*4*8*1.12</f>
        <v>8.9600000000000027E-2</v>
      </c>
    </row>
    <row r="6827" spans="1:13" x14ac:dyDescent="0.25">
      <c r="A6827" s="163"/>
      <c r="B6827" s="106"/>
      <c r="C6827" s="73"/>
      <c r="D6827" s="73"/>
      <c r="E6827" s="73"/>
      <c r="F6827" s="74"/>
      <c r="G6827" s="72"/>
    </row>
    <row r="6828" spans="1:13" x14ac:dyDescent="0.25">
      <c r="A6828" s="163"/>
      <c r="B6828" s="106"/>
      <c r="C6828" s="75" t="s">
        <v>3217</v>
      </c>
      <c r="D6828" s="73"/>
      <c r="E6828" s="73"/>
      <c r="F6828" s="74"/>
      <c r="G6828" s="72"/>
    </row>
    <row r="6829" spans="1:13" x14ac:dyDescent="0.25">
      <c r="A6829" s="163"/>
      <c r="B6829" s="106"/>
      <c r="C6829" s="73" t="s">
        <v>3223</v>
      </c>
      <c r="D6829" s="73"/>
      <c r="E6829" s="73"/>
      <c r="F6829" s="74" t="s">
        <v>3</v>
      </c>
      <c r="G6829" s="102">
        <f>(0.05*5+0.025*3.14+0.2)*0.05*1.2</f>
        <v>3.1710000000000002E-2</v>
      </c>
      <c r="J6829" s="13" t="s">
        <v>3218</v>
      </c>
      <c r="L6829" t="s">
        <v>99</v>
      </c>
      <c r="M6829" t="s">
        <v>3219</v>
      </c>
    </row>
    <row r="6830" spans="1:13" ht="17.25" x14ac:dyDescent="0.25">
      <c r="A6830" s="163"/>
      <c r="B6830" s="106"/>
      <c r="C6830" s="73" t="s">
        <v>1055</v>
      </c>
      <c r="D6830" s="73"/>
      <c r="E6830" s="73"/>
      <c r="F6830" s="74" t="s">
        <v>596</v>
      </c>
      <c r="G6830" s="102">
        <f>1.09*G6829</f>
        <v>3.4563900000000002E-2</v>
      </c>
      <c r="J6830" s="13" t="s">
        <v>3207</v>
      </c>
      <c r="L6830" t="s">
        <v>99</v>
      </c>
      <c r="M6830" t="s">
        <v>2506</v>
      </c>
    </row>
    <row r="6831" spans="1:13" x14ac:dyDescent="0.25">
      <c r="A6831" s="163"/>
      <c r="B6831" s="106"/>
      <c r="C6831" s="73"/>
      <c r="D6831" s="75" t="s">
        <v>3220</v>
      </c>
      <c r="E6831" s="73"/>
      <c r="F6831" s="74"/>
      <c r="G6831" s="72"/>
    </row>
    <row r="6832" spans="1:13" x14ac:dyDescent="0.25">
      <c r="A6832" s="163"/>
      <c r="B6832" s="106"/>
      <c r="C6832" s="73"/>
      <c r="D6832" s="73" t="s">
        <v>3222</v>
      </c>
      <c r="E6832" s="73"/>
      <c r="F6832" s="74" t="s">
        <v>3</v>
      </c>
      <c r="G6832" s="72">
        <f>0.29*0.89*3*2.7*1.148</f>
        <v>2.4000202800000001</v>
      </c>
    </row>
    <row r="6833" spans="1:8" x14ac:dyDescent="0.25">
      <c r="A6833" s="163"/>
      <c r="B6833" s="106"/>
      <c r="C6833" s="73"/>
      <c r="D6833" s="75" t="s">
        <v>3221</v>
      </c>
      <c r="E6833" s="73"/>
      <c r="F6833" s="74"/>
      <c r="G6833" s="72"/>
    </row>
    <row r="6834" spans="1:8" x14ac:dyDescent="0.25">
      <c r="A6834" s="163"/>
      <c r="B6834" s="106"/>
      <c r="C6834" s="73"/>
      <c r="D6834" s="73" t="s">
        <v>3222</v>
      </c>
      <c r="E6834" s="73"/>
      <c r="F6834" s="74" t="s">
        <v>3</v>
      </c>
      <c r="G6834" s="72">
        <f>0.075*0.08*3*2.7*1.125</f>
        <v>5.4675000000000015E-2</v>
      </c>
    </row>
    <row r="6835" spans="1:8" x14ac:dyDescent="0.25">
      <c r="A6835" s="163"/>
      <c r="B6835" s="106"/>
      <c r="C6835" s="73"/>
      <c r="D6835" s="73"/>
      <c r="E6835" s="73"/>
      <c r="F6835" s="74"/>
      <c r="G6835" s="72"/>
    </row>
    <row r="6836" spans="1:8" x14ac:dyDescent="0.25">
      <c r="A6836" s="163"/>
      <c r="B6836" s="106"/>
      <c r="C6836" s="75" t="s">
        <v>3224</v>
      </c>
      <c r="D6836" s="73"/>
      <c r="E6836" s="73"/>
      <c r="F6836" s="74"/>
      <c r="G6836" s="72"/>
    </row>
    <row r="6837" spans="1:8" x14ac:dyDescent="0.25">
      <c r="A6837" s="163"/>
      <c r="B6837" s="106"/>
      <c r="C6837" s="73" t="s">
        <v>3225</v>
      </c>
      <c r="D6837" s="73"/>
      <c r="E6837" s="73"/>
      <c r="F6837" s="74" t="s">
        <v>1516</v>
      </c>
      <c r="G6837" s="72">
        <v>2</v>
      </c>
    </row>
    <row r="6838" spans="1:8" x14ac:dyDescent="0.25">
      <c r="A6838" s="163"/>
      <c r="B6838" s="106"/>
      <c r="C6838" s="73"/>
      <c r="D6838" s="75" t="s">
        <v>3226</v>
      </c>
      <c r="E6838" s="73"/>
      <c r="F6838" s="74"/>
      <c r="G6838" s="72"/>
    </row>
    <row r="6839" spans="1:8" x14ac:dyDescent="0.25">
      <c r="A6839" s="163"/>
      <c r="B6839" s="106"/>
      <c r="C6839" s="73"/>
      <c r="D6839" s="73" t="s">
        <v>3223</v>
      </c>
      <c r="E6839" s="73"/>
      <c r="F6839" s="74" t="s">
        <v>3</v>
      </c>
      <c r="G6839" s="102">
        <f>0.02*3.14*2*0.08*1.2</f>
        <v>1.2057600000000002E-2</v>
      </c>
      <c r="H6839" s="361"/>
    </row>
    <row r="6840" spans="1:8" ht="17.25" x14ac:dyDescent="0.25">
      <c r="A6840" s="163"/>
      <c r="B6840" s="106"/>
      <c r="C6840" s="73"/>
      <c r="D6840" s="73" t="s">
        <v>168</v>
      </c>
      <c r="E6840" s="73"/>
      <c r="F6840" s="74" t="s">
        <v>596</v>
      </c>
      <c r="G6840" s="102">
        <f>1.09*G6839</f>
        <v>1.3142784000000003E-2</v>
      </c>
      <c r="H6840" s="361"/>
    </row>
    <row r="6841" spans="1:8" x14ac:dyDescent="0.25">
      <c r="A6841" s="163"/>
      <c r="B6841" s="106"/>
      <c r="C6841" s="73"/>
      <c r="D6841" s="77" t="s">
        <v>8</v>
      </c>
      <c r="E6841" s="73"/>
      <c r="F6841" s="74" t="s">
        <v>3</v>
      </c>
      <c r="G6841" s="72">
        <f>G6842*0.7</f>
        <v>8.1899999999999994E-3</v>
      </c>
    </row>
    <row r="6842" spans="1:8" x14ac:dyDescent="0.25">
      <c r="A6842" s="163"/>
      <c r="B6842" s="106"/>
      <c r="C6842" s="73"/>
      <c r="D6842" s="77" t="s">
        <v>3227</v>
      </c>
      <c r="E6842" s="73"/>
      <c r="F6842" s="74" t="s">
        <v>3</v>
      </c>
      <c r="G6842" s="72">
        <f>0.15*0.1*2*0.15*2*1.3</f>
        <v>1.17E-2</v>
      </c>
    </row>
    <row r="6843" spans="1:8" x14ac:dyDescent="0.25">
      <c r="A6843" s="163"/>
      <c r="B6843" s="106"/>
      <c r="C6843" s="73"/>
      <c r="D6843" s="77" t="s">
        <v>12</v>
      </c>
      <c r="E6843" s="73"/>
      <c r="F6843" s="74" t="s">
        <v>3</v>
      </c>
      <c r="G6843" s="72">
        <f>0.3*(G6842+G6841)</f>
        <v>5.9669999999999992E-3</v>
      </c>
    </row>
    <row r="6844" spans="1:8" x14ac:dyDescent="0.25">
      <c r="A6844" s="163"/>
      <c r="B6844" s="106"/>
      <c r="C6844" s="73"/>
      <c r="D6844" s="73"/>
      <c r="E6844" s="75" t="s">
        <v>3228</v>
      </c>
      <c r="F6844" s="74"/>
      <c r="G6844" s="72"/>
    </row>
    <row r="6845" spans="1:8" x14ac:dyDescent="0.25">
      <c r="A6845" s="163"/>
      <c r="B6845" s="106"/>
      <c r="C6845" s="73"/>
      <c r="D6845" s="73"/>
      <c r="E6845" s="73" t="s">
        <v>3097</v>
      </c>
      <c r="F6845" s="74" t="s">
        <v>3</v>
      </c>
      <c r="G6845" s="72">
        <f>0.2*0.075*3*8*1.112</f>
        <v>0.40032000000000001</v>
      </c>
    </row>
    <row r="6846" spans="1:8" x14ac:dyDescent="0.25">
      <c r="A6846" s="163"/>
      <c r="B6846" s="106"/>
      <c r="C6846" s="73"/>
      <c r="D6846" s="73"/>
      <c r="E6846" s="75" t="s">
        <v>3229</v>
      </c>
      <c r="F6846" s="74"/>
      <c r="G6846" s="72"/>
    </row>
    <row r="6847" spans="1:8" x14ac:dyDescent="0.25">
      <c r="A6847" s="163"/>
      <c r="B6847" s="106"/>
      <c r="C6847" s="73"/>
      <c r="D6847" s="73"/>
      <c r="E6847" s="73" t="s">
        <v>3097</v>
      </c>
      <c r="F6847" s="74" t="s">
        <v>3</v>
      </c>
      <c r="G6847" s="72">
        <f>0.02*0.02*3*8*1.1</f>
        <v>1.0560000000000002E-2</v>
      </c>
    </row>
    <row r="6848" spans="1:8" x14ac:dyDescent="0.25">
      <c r="A6848" s="163"/>
      <c r="B6848" s="106"/>
      <c r="C6848" s="73"/>
      <c r="D6848" s="73"/>
      <c r="E6848" s="73"/>
      <c r="F6848" s="74"/>
      <c r="G6848" s="72"/>
    </row>
    <row r="6849" spans="1:13" x14ac:dyDescent="0.25">
      <c r="A6849" s="163"/>
      <c r="B6849" s="106"/>
      <c r="C6849" s="75" t="s">
        <v>3230</v>
      </c>
      <c r="D6849" s="73"/>
      <c r="E6849" s="73"/>
      <c r="F6849" s="74"/>
      <c r="G6849" s="72"/>
      <c r="J6849" s="13" t="s">
        <v>3241</v>
      </c>
      <c r="L6849" t="s">
        <v>99</v>
      </c>
      <c r="M6849" t="s">
        <v>2508</v>
      </c>
    </row>
    <row r="6850" spans="1:13" x14ac:dyDescent="0.25">
      <c r="A6850" s="163"/>
      <c r="B6850" s="106"/>
      <c r="C6850" s="73" t="s">
        <v>1902</v>
      </c>
      <c r="D6850" s="73"/>
      <c r="E6850" s="73"/>
      <c r="F6850" s="74" t="s">
        <v>3</v>
      </c>
      <c r="G6850" s="72">
        <v>3.0000000000000001E-3</v>
      </c>
      <c r="J6850" s="13" t="s">
        <v>3245</v>
      </c>
      <c r="L6850" t="s">
        <v>625</v>
      </c>
      <c r="M6850" t="s">
        <v>2167</v>
      </c>
    </row>
    <row r="6851" spans="1:13" x14ac:dyDescent="0.25">
      <c r="A6851" s="163"/>
      <c r="B6851" s="106"/>
      <c r="C6851" s="73" t="s">
        <v>3231</v>
      </c>
      <c r="D6851" s="73"/>
      <c r="E6851" s="73"/>
      <c r="F6851" s="74" t="s">
        <v>1516</v>
      </c>
      <c r="G6851" s="72">
        <v>1</v>
      </c>
    </row>
    <row r="6852" spans="1:13" x14ac:dyDescent="0.25">
      <c r="A6852" s="163"/>
      <c r="B6852" s="106"/>
      <c r="C6852" s="73"/>
      <c r="D6852" s="75" t="s">
        <v>3232</v>
      </c>
      <c r="E6852" s="73"/>
      <c r="F6852" s="74"/>
      <c r="G6852" s="72"/>
    </row>
    <row r="6853" spans="1:13" x14ac:dyDescent="0.25">
      <c r="A6853" s="163"/>
      <c r="B6853" s="106"/>
      <c r="C6853" s="73"/>
      <c r="D6853" s="100" t="s">
        <v>140</v>
      </c>
      <c r="E6853" s="75"/>
      <c r="F6853" s="74" t="s">
        <v>3</v>
      </c>
      <c r="G6853" s="102">
        <f>0.045*3.14*2*0.08*1.32</f>
        <v>2.9842560000000004E-2</v>
      </c>
      <c r="H6853" s="361"/>
    </row>
    <row r="6854" spans="1:13" ht="17.25" x14ac:dyDescent="0.25">
      <c r="A6854" s="163"/>
      <c r="B6854" s="106"/>
      <c r="C6854" s="73"/>
      <c r="D6854" s="100" t="s">
        <v>23</v>
      </c>
      <c r="E6854" s="75"/>
      <c r="F6854" s="74" t="s">
        <v>596</v>
      </c>
      <c r="G6854" s="102">
        <f>G6853*2</f>
        <v>5.9685120000000008E-2</v>
      </c>
      <c r="H6854" s="361"/>
    </row>
    <row r="6855" spans="1:13" x14ac:dyDescent="0.25">
      <c r="A6855" s="163"/>
      <c r="B6855" s="106"/>
      <c r="C6855" s="73"/>
      <c r="D6855" s="100" t="s">
        <v>142</v>
      </c>
      <c r="E6855" s="75"/>
      <c r="F6855" s="74" t="s">
        <v>3</v>
      </c>
      <c r="G6855" s="102">
        <f>G6853/4</f>
        <v>7.460640000000001E-3</v>
      </c>
      <c r="H6855" s="361"/>
    </row>
    <row r="6856" spans="1:13" x14ac:dyDescent="0.25">
      <c r="A6856" s="163"/>
      <c r="B6856" s="106"/>
      <c r="C6856" s="73"/>
      <c r="D6856" s="73" t="s">
        <v>2755</v>
      </c>
      <c r="E6856" s="75"/>
      <c r="F6856" s="74" t="s">
        <v>3</v>
      </c>
      <c r="G6856" s="102">
        <f>0.3*0.08*1.25</f>
        <v>0.03</v>
      </c>
      <c r="H6856" s="361"/>
      <c r="K6856" s="379"/>
    </row>
    <row r="6857" spans="1:13" ht="17.25" x14ac:dyDescent="0.25">
      <c r="A6857" s="163"/>
      <c r="B6857" s="106"/>
      <c r="C6857" s="73"/>
      <c r="D6857" s="73" t="s">
        <v>1055</v>
      </c>
      <c r="E6857" s="75"/>
      <c r="F6857" s="74" t="s">
        <v>596</v>
      </c>
      <c r="G6857" s="102">
        <f>1.09*G6856</f>
        <v>3.27E-2</v>
      </c>
      <c r="H6857" s="361"/>
      <c r="K6857" s="379"/>
    </row>
    <row r="6858" spans="1:13" x14ac:dyDescent="0.25">
      <c r="A6858" s="163"/>
      <c r="B6858" s="106"/>
      <c r="C6858" s="73"/>
      <c r="D6858" s="77" t="s">
        <v>1021</v>
      </c>
      <c r="E6858" s="75"/>
      <c r="F6858" s="74" t="s">
        <v>3</v>
      </c>
      <c r="G6858" s="102">
        <f>0.12*3.14*0.1*2*0.15*2*1.31</f>
        <v>2.9616480000000004E-2</v>
      </c>
      <c r="H6858" s="361"/>
      <c r="I6858" s="381">
        <v>0.6</v>
      </c>
      <c r="K6858" s="379"/>
    </row>
    <row r="6859" spans="1:13" x14ac:dyDescent="0.25">
      <c r="A6859" s="163"/>
      <c r="B6859" s="106"/>
      <c r="C6859" s="73"/>
      <c r="D6859" s="77" t="s">
        <v>661</v>
      </c>
      <c r="E6859" s="75"/>
      <c r="F6859" s="74" t="s">
        <v>3</v>
      </c>
      <c r="G6859" s="102">
        <f>G6858*0.34</f>
        <v>1.0069603200000003E-2</v>
      </c>
      <c r="H6859" s="361"/>
      <c r="I6859" s="381">
        <v>0.34</v>
      </c>
      <c r="K6859" s="379"/>
    </row>
    <row r="6860" spans="1:13" x14ac:dyDescent="0.25">
      <c r="A6860" s="163"/>
      <c r="B6860" s="106"/>
      <c r="C6860" s="73"/>
      <c r="D6860" s="77" t="s">
        <v>3244</v>
      </c>
      <c r="E6860" s="75"/>
      <c r="F6860" s="74" t="s">
        <v>3</v>
      </c>
      <c r="G6860" s="102">
        <f>G6858*0.06</f>
        <v>1.7769888000000002E-3</v>
      </c>
      <c r="H6860" s="361"/>
      <c r="I6860" s="381">
        <v>0.06</v>
      </c>
      <c r="K6860" s="379"/>
    </row>
    <row r="6861" spans="1:13" x14ac:dyDescent="0.25">
      <c r="A6861" s="163"/>
      <c r="B6861" s="106"/>
      <c r="C6861" s="73"/>
      <c r="D6861" s="73"/>
      <c r="E6861" s="75" t="s">
        <v>3233</v>
      </c>
      <c r="F6861" s="74"/>
      <c r="G6861" s="72"/>
    </row>
    <row r="6862" spans="1:13" x14ac:dyDescent="0.25">
      <c r="A6862" s="163"/>
      <c r="B6862" s="106"/>
      <c r="C6862" s="73"/>
      <c r="D6862" s="73"/>
      <c r="E6862" s="73" t="s">
        <v>3239</v>
      </c>
      <c r="F6862" s="74" t="s">
        <v>3</v>
      </c>
      <c r="G6862" s="102">
        <f>0.12*0.1*4*8*1.12</f>
        <v>0.43008000000000007</v>
      </c>
      <c r="H6862" s="361"/>
    </row>
    <row r="6863" spans="1:13" x14ac:dyDescent="0.25">
      <c r="A6863" s="163"/>
      <c r="B6863" s="106"/>
      <c r="C6863" s="73"/>
      <c r="D6863" s="73"/>
      <c r="E6863" s="75" t="s">
        <v>3234</v>
      </c>
      <c r="F6863" s="74"/>
      <c r="G6863" s="102"/>
      <c r="H6863" s="361"/>
    </row>
    <row r="6864" spans="1:13" x14ac:dyDescent="0.25">
      <c r="A6864" s="163"/>
      <c r="B6864" s="106"/>
      <c r="C6864" s="73"/>
      <c r="D6864" s="73"/>
      <c r="E6864" s="100" t="s">
        <v>3240</v>
      </c>
      <c r="F6864" s="74" t="s">
        <v>3</v>
      </c>
      <c r="G6864" s="72">
        <f>0.06*0.04*3*8*1.12</f>
        <v>6.4512E-2</v>
      </c>
    </row>
    <row r="6865" spans="1:9" x14ac:dyDescent="0.25">
      <c r="A6865" s="163"/>
      <c r="B6865" s="106"/>
      <c r="C6865" s="73"/>
      <c r="D6865" s="73"/>
      <c r="E6865" s="75" t="s">
        <v>3235</v>
      </c>
      <c r="F6865" s="74"/>
      <c r="G6865" s="72"/>
    </row>
    <row r="6866" spans="1:9" x14ac:dyDescent="0.25">
      <c r="A6866" s="163"/>
      <c r="B6866" s="106"/>
      <c r="C6866" s="73"/>
      <c r="D6866" s="73"/>
      <c r="E6866" s="73" t="s">
        <v>3238</v>
      </c>
      <c r="F6866" s="74" t="s">
        <v>3</v>
      </c>
      <c r="G6866" s="72">
        <v>2.1999999999999999E-2</v>
      </c>
      <c r="I6866" t="s">
        <v>2463</v>
      </c>
    </row>
    <row r="6867" spans="1:9" x14ac:dyDescent="0.25">
      <c r="A6867" s="163"/>
      <c r="B6867" s="106"/>
      <c r="C6867" s="73"/>
      <c r="D6867" s="73"/>
      <c r="E6867" s="382" t="s">
        <v>3236</v>
      </c>
      <c r="F6867" s="74"/>
      <c r="G6867" s="72"/>
    </row>
    <row r="6868" spans="1:9" x14ac:dyDescent="0.25">
      <c r="A6868" s="163"/>
      <c r="B6868" s="106"/>
      <c r="C6868" s="73"/>
      <c r="D6868" s="73"/>
      <c r="E6868" s="73" t="s">
        <v>3237</v>
      </c>
      <c r="F6868" s="74" t="s">
        <v>3</v>
      </c>
      <c r="G6868" s="72">
        <v>0.12</v>
      </c>
      <c r="I6868" t="s">
        <v>2966</v>
      </c>
    </row>
    <row r="6869" spans="1:9" x14ac:dyDescent="0.25">
      <c r="A6869" s="163"/>
      <c r="B6869" s="106"/>
      <c r="C6869" s="73"/>
      <c r="D6869" s="73"/>
      <c r="E6869" s="75" t="s">
        <v>3242</v>
      </c>
      <c r="F6869" s="74"/>
      <c r="G6869" s="72"/>
    </row>
    <row r="6870" spans="1:9" x14ac:dyDescent="0.25">
      <c r="A6870" s="163"/>
      <c r="B6870" s="106"/>
      <c r="C6870" s="73"/>
      <c r="D6870" s="73"/>
      <c r="E6870" s="73" t="s">
        <v>275</v>
      </c>
      <c r="F6870" s="74" t="s">
        <v>3</v>
      </c>
      <c r="G6870" s="102">
        <f>0.07*0.07*1.5*8*1.02</f>
        <v>5.9976000000000008E-2</v>
      </c>
    </row>
    <row r="6871" spans="1:9" x14ac:dyDescent="0.25">
      <c r="A6871" s="163"/>
      <c r="B6871" s="106"/>
      <c r="C6871" s="73"/>
      <c r="D6871" s="73"/>
      <c r="E6871" s="75" t="s">
        <v>3243</v>
      </c>
      <c r="F6871" s="74"/>
      <c r="G6871" s="72"/>
    </row>
    <row r="6872" spans="1:9" x14ac:dyDescent="0.25">
      <c r="A6872" s="163"/>
      <c r="B6872" s="106"/>
      <c r="C6872" s="73"/>
      <c r="D6872" s="73"/>
      <c r="E6872" s="73" t="s">
        <v>3239</v>
      </c>
      <c r="F6872" s="74" t="s">
        <v>3</v>
      </c>
      <c r="G6872" s="72">
        <f>0.017*0.03*4*8*1.12</f>
        <v>1.8278400000000004E-2</v>
      </c>
      <c r="I6872">
        <f>0.015*0.015*0.8*8*1.3</f>
        <v>1.8720000000000002E-3</v>
      </c>
    </row>
    <row r="6873" spans="1:9" x14ac:dyDescent="0.25">
      <c r="A6873" s="163"/>
      <c r="B6873" s="106"/>
      <c r="C6873" s="73"/>
      <c r="D6873" s="73"/>
      <c r="E6873" s="73"/>
      <c r="F6873" s="74"/>
      <c r="G6873" s="72"/>
    </row>
    <row r="6874" spans="1:9" x14ac:dyDescent="0.25">
      <c r="A6874" s="163"/>
      <c r="B6874" s="106"/>
      <c r="C6874" s="75" t="s">
        <v>3246</v>
      </c>
      <c r="D6874" s="73"/>
      <c r="E6874" s="73"/>
      <c r="F6874" s="74"/>
      <c r="G6874" s="72"/>
    </row>
    <row r="6875" spans="1:9" x14ac:dyDescent="0.25">
      <c r="A6875" s="163"/>
      <c r="B6875" s="106"/>
      <c r="C6875" s="73" t="s">
        <v>3247</v>
      </c>
      <c r="D6875" s="73"/>
      <c r="E6875" s="73"/>
      <c r="F6875" s="74" t="s">
        <v>3</v>
      </c>
      <c r="G6875" s="72">
        <f>0.002*1.08</f>
        <v>2.16E-3</v>
      </c>
    </row>
    <row r="6876" spans="1:9" x14ac:dyDescent="0.25">
      <c r="A6876" s="163"/>
      <c r="B6876" s="106"/>
      <c r="C6876" s="73"/>
      <c r="D6876" s="73"/>
      <c r="E6876" s="73"/>
      <c r="F6876" s="74"/>
      <c r="G6876" s="72"/>
    </row>
    <row r="6877" spans="1:9" x14ac:dyDescent="0.25">
      <c r="A6877" s="163"/>
      <c r="B6877" s="106"/>
      <c r="C6877" s="75" t="s">
        <v>3248</v>
      </c>
      <c r="D6877" s="73"/>
      <c r="E6877" s="73"/>
      <c r="F6877" s="74"/>
      <c r="G6877" s="72"/>
    </row>
    <row r="6878" spans="1:9" x14ac:dyDescent="0.25">
      <c r="A6878" s="163"/>
      <c r="B6878" s="106"/>
      <c r="C6878" s="73" t="s">
        <v>3097</v>
      </c>
      <c r="D6878" s="73"/>
      <c r="E6878" s="73"/>
      <c r="F6878" s="74" t="s">
        <v>3</v>
      </c>
      <c r="G6878" s="72">
        <f>0.24*0.012*3*8*1.16</f>
        <v>8.0179199999999978E-2</v>
      </c>
    </row>
    <row r="6879" spans="1:9" x14ac:dyDescent="0.25">
      <c r="A6879" s="163"/>
      <c r="B6879" s="106"/>
      <c r="C6879" s="73"/>
      <c r="D6879" s="73"/>
      <c r="E6879" s="73"/>
      <c r="F6879" s="74"/>
      <c r="G6879" s="72"/>
    </row>
    <row r="6880" spans="1:9" x14ac:dyDescent="0.25">
      <c r="A6880" s="163"/>
      <c r="B6880" s="106"/>
      <c r="C6880" s="75" t="s">
        <v>3249</v>
      </c>
      <c r="D6880" s="73"/>
      <c r="E6880" s="73"/>
      <c r="F6880" s="74"/>
      <c r="G6880" s="72"/>
    </row>
    <row r="6881" spans="1:12" x14ac:dyDescent="0.25">
      <c r="A6881" s="163"/>
      <c r="B6881" s="106"/>
      <c r="C6881" s="73" t="s">
        <v>3097</v>
      </c>
      <c r="D6881" s="73"/>
      <c r="E6881" s="73"/>
      <c r="F6881" s="74" t="s">
        <v>3</v>
      </c>
      <c r="G6881" s="72">
        <f>0.711*0.012*3*8*1.125</f>
        <v>0.23036400000000001</v>
      </c>
    </row>
    <row r="6882" spans="1:12" x14ac:dyDescent="0.25">
      <c r="A6882" s="163"/>
      <c r="B6882" s="106"/>
      <c r="C6882" s="73"/>
      <c r="D6882" s="73"/>
      <c r="E6882" s="73"/>
      <c r="F6882" s="74"/>
      <c r="G6882" s="72"/>
    </row>
    <row r="6883" spans="1:12" x14ac:dyDescent="0.25">
      <c r="A6883" s="163"/>
      <c r="B6883" s="106"/>
      <c r="C6883" s="75" t="s">
        <v>3250</v>
      </c>
      <c r="D6883" s="73"/>
      <c r="E6883" s="73"/>
      <c r="F6883" s="74"/>
      <c r="G6883" s="72"/>
    </row>
    <row r="6884" spans="1:12" x14ac:dyDescent="0.25">
      <c r="A6884" s="163"/>
      <c r="B6884" s="106"/>
      <c r="C6884" s="73" t="s">
        <v>3214</v>
      </c>
      <c r="D6884" s="73"/>
      <c r="E6884" s="73"/>
      <c r="F6884" s="74" t="s">
        <v>3</v>
      </c>
      <c r="G6884" s="72">
        <f>0.08*0.03*2*8*1.1</f>
        <v>4.224E-2</v>
      </c>
    </row>
    <row r="6885" spans="1:12" x14ac:dyDescent="0.25">
      <c r="A6885" s="163"/>
      <c r="B6885" s="106"/>
      <c r="C6885" s="73"/>
      <c r="D6885" s="73"/>
      <c r="E6885" s="73"/>
      <c r="F6885" s="74"/>
      <c r="G6885" s="72"/>
      <c r="J6885" s="13" t="s">
        <v>3272</v>
      </c>
      <c r="L6885" t="s">
        <v>99</v>
      </c>
    </row>
    <row r="6886" spans="1:12" x14ac:dyDescent="0.25">
      <c r="A6886" s="163"/>
      <c r="B6886" s="106"/>
      <c r="C6886" s="75" t="s">
        <v>3251</v>
      </c>
      <c r="D6886" s="73"/>
      <c r="E6886" s="73"/>
      <c r="F6886" s="74"/>
      <c r="G6886" s="72"/>
      <c r="J6886" s="13" t="s">
        <v>3273</v>
      </c>
      <c r="L6886" t="s">
        <v>99</v>
      </c>
    </row>
    <row r="6887" spans="1:12" x14ac:dyDescent="0.25">
      <c r="A6887" s="163"/>
      <c r="B6887" s="106"/>
      <c r="C6887" s="73" t="s">
        <v>275</v>
      </c>
      <c r="D6887" s="73"/>
      <c r="E6887" s="73"/>
      <c r="F6887" s="74" t="s">
        <v>3</v>
      </c>
      <c r="G6887" s="72">
        <f>0.78*0.31*1.5*8*1.1373</f>
        <v>3.2999896799999999</v>
      </c>
      <c r="J6887" s="13" t="s">
        <v>3274</v>
      </c>
      <c r="L6887" t="s">
        <v>99</v>
      </c>
    </row>
    <row r="6888" spans="1:12" x14ac:dyDescent="0.25">
      <c r="A6888" s="163"/>
      <c r="B6888" s="106"/>
      <c r="C6888" s="73"/>
      <c r="D6888" s="73"/>
      <c r="E6888" s="73"/>
      <c r="F6888" s="74"/>
      <c r="G6888" s="72"/>
      <c r="J6888" s="13" t="s">
        <v>3275</v>
      </c>
      <c r="L6888" t="s">
        <v>99</v>
      </c>
    </row>
    <row r="6889" spans="1:12" x14ac:dyDescent="0.25">
      <c r="A6889" s="163"/>
      <c r="B6889" s="106"/>
      <c r="C6889" s="75" t="s">
        <v>3252</v>
      </c>
      <c r="D6889" s="73"/>
      <c r="E6889" s="73"/>
      <c r="F6889" s="74"/>
      <c r="G6889" s="72"/>
      <c r="J6889" s="13" t="s">
        <v>3276</v>
      </c>
      <c r="L6889" t="s">
        <v>99</v>
      </c>
    </row>
    <row r="6890" spans="1:12" x14ac:dyDescent="0.25">
      <c r="A6890" s="163"/>
      <c r="B6890" s="106"/>
      <c r="C6890" s="100" t="s">
        <v>3253</v>
      </c>
      <c r="D6890" s="73"/>
      <c r="E6890" s="73"/>
      <c r="F6890" s="74" t="s">
        <v>3</v>
      </c>
      <c r="G6890" s="72">
        <f>0.075*0.13*2*8*1.155</f>
        <v>0.18018000000000001</v>
      </c>
      <c r="J6890" s="13" t="s">
        <v>3277</v>
      </c>
      <c r="L6890" t="s">
        <v>99</v>
      </c>
    </row>
    <row r="6891" spans="1:12" x14ac:dyDescent="0.25">
      <c r="A6891" s="163"/>
      <c r="B6891" s="106"/>
      <c r="C6891" s="100" t="s">
        <v>14</v>
      </c>
      <c r="D6891" s="73"/>
      <c r="E6891" s="73"/>
      <c r="F6891" s="74" t="s">
        <v>3</v>
      </c>
      <c r="G6891" s="72">
        <f>G6892*0.8</f>
        <v>7.9560000000000013E-3</v>
      </c>
      <c r="J6891" s="13" t="s">
        <v>3267</v>
      </c>
      <c r="L6891" t="s">
        <v>625</v>
      </c>
    </row>
    <row r="6892" spans="1:12" x14ac:dyDescent="0.25">
      <c r="A6892" s="163"/>
      <c r="B6892" s="106"/>
      <c r="C6892" s="100" t="s">
        <v>3254</v>
      </c>
      <c r="D6892" s="73"/>
      <c r="E6892" s="73"/>
      <c r="F6892" s="74" t="s">
        <v>3</v>
      </c>
      <c r="G6892" s="72">
        <f>0.075*0.13*2*0.15*2*1.7</f>
        <v>9.9450000000000007E-3</v>
      </c>
      <c r="J6892" s="13" t="s">
        <v>3268</v>
      </c>
      <c r="L6892" t="s">
        <v>625</v>
      </c>
    </row>
    <row r="6893" spans="1:12" x14ac:dyDescent="0.25">
      <c r="A6893" s="163"/>
      <c r="B6893" s="106"/>
      <c r="C6893" s="100" t="s">
        <v>12</v>
      </c>
      <c r="D6893" s="73"/>
      <c r="E6893" s="73"/>
      <c r="F6893" s="74" t="s">
        <v>3</v>
      </c>
      <c r="G6893" s="72">
        <f>0.3*(G6892+G6891)</f>
        <v>5.3702999999999997E-3</v>
      </c>
      <c r="J6893" s="13" t="s">
        <v>3269</v>
      </c>
      <c r="L6893" t="s">
        <v>625</v>
      </c>
    </row>
    <row r="6894" spans="1:12" x14ac:dyDescent="0.25">
      <c r="A6894" s="163"/>
      <c r="B6894" s="106"/>
      <c r="C6894" s="73"/>
      <c r="D6894" s="73"/>
      <c r="E6894" s="73"/>
      <c r="F6894" s="74"/>
      <c r="G6894" s="72"/>
      <c r="J6894" s="13" t="s">
        <v>3270</v>
      </c>
      <c r="L6894" t="s">
        <v>625</v>
      </c>
    </row>
    <row r="6895" spans="1:12" x14ac:dyDescent="0.25">
      <c r="A6895" s="163"/>
      <c r="B6895" s="106"/>
      <c r="C6895" s="75" t="s">
        <v>3255</v>
      </c>
      <c r="D6895" s="73"/>
      <c r="E6895" s="73"/>
      <c r="F6895" s="74"/>
      <c r="G6895" s="72"/>
      <c r="J6895" s="13" t="s">
        <v>3278</v>
      </c>
      <c r="L6895" t="s">
        <v>99</v>
      </c>
    </row>
    <row r="6896" spans="1:12" x14ac:dyDescent="0.25">
      <c r="A6896" s="163"/>
      <c r="B6896" s="106"/>
      <c r="C6896" s="73" t="s">
        <v>300</v>
      </c>
      <c r="D6896" s="73"/>
      <c r="E6896" s="73"/>
      <c r="F6896" s="74" t="s">
        <v>3</v>
      </c>
      <c r="G6896" s="72">
        <f>0.18*0.025*3*8*1.115</f>
        <v>0.12041999999999999</v>
      </c>
      <c r="J6896" s="13" t="s">
        <v>3271</v>
      </c>
      <c r="L6896" t="s">
        <v>99</v>
      </c>
    </row>
    <row r="6897" spans="1:12" x14ac:dyDescent="0.25">
      <c r="A6897" s="163"/>
      <c r="B6897" s="106"/>
      <c r="C6897" s="73"/>
      <c r="D6897" s="73"/>
      <c r="E6897" s="73"/>
      <c r="F6897" s="74"/>
      <c r="G6897" s="72"/>
    </row>
    <row r="6898" spans="1:12" x14ac:dyDescent="0.25">
      <c r="A6898" s="163"/>
      <c r="B6898" s="106"/>
      <c r="C6898" s="75" t="s">
        <v>3256</v>
      </c>
      <c r="D6898" s="73"/>
      <c r="E6898" s="73"/>
      <c r="F6898" s="74"/>
      <c r="G6898" s="72"/>
      <c r="J6898" t="s">
        <v>3279</v>
      </c>
      <c r="L6898" t="s">
        <v>99</v>
      </c>
    </row>
    <row r="6899" spans="1:12" x14ac:dyDescent="0.25">
      <c r="A6899" s="163"/>
      <c r="B6899" s="106"/>
      <c r="C6899" s="73" t="s">
        <v>3257</v>
      </c>
      <c r="D6899" s="73"/>
      <c r="E6899" s="73"/>
      <c r="F6899" s="74" t="s">
        <v>3</v>
      </c>
      <c r="G6899" s="72">
        <f>0.185*0.321*3*8*1.123-0.001</f>
        <v>1.5995445200000002</v>
      </c>
      <c r="J6899" t="s">
        <v>3280</v>
      </c>
    </row>
    <row r="6900" spans="1:12" ht="15.75" thickBot="1" x14ac:dyDescent="0.3">
      <c r="A6900" s="163"/>
      <c r="B6900" s="106"/>
      <c r="C6900" s="73"/>
      <c r="D6900" s="73"/>
      <c r="E6900" s="73"/>
      <c r="F6900" s="74"/>
      <c r="G6900" s="72"/>
      <c r="J6900" t="s">
        <v>3275</v>
      </c>
    </row>
    <row r="6901" spans="1:12" x14ac:dyDescent="0.25">
      <c r="A6901" s="159"/>
      <c r="B6901" s="181"/>
      <c r="C6901" s="93"/>
      <c r="D6901" s="93"/>
      <c r="E6901" s="93"/>
      <c r="F6901" s="175" t="s">
        <v>3367</v>
      </c>
      <c r="G6901" s="176"/>
      <c r="J6901" t="s">
        <v>3281</v>
      </c>
      <c r="K6901" s="379"/>
    </row>
    <row r="6902" spans="1:12" s="25" customFormat="1" x14ac:dyDescent="0.25">
      <c r="A6902" s="195"/>
      <c r="B6902" s="372"/>
      <c r="C6902" s="100"/>
      <c r="D6902" s="100"/>
      <c r="E6902" s="100"/>
      <c r="F6902" s="100"/>
      <c r="G6902" s="102"/>
      <c r="H6902" s="361"/>
      <c r="J6902" t="s">
        <v>3276</v>
      </c>
      <c r="K6902" s="91"/>
    </row>
    <row r="6903" spans="1:12" s="25" customFormat="1" x14ac:dyDescent="0.25">
      <c r="A6903" s="195"/>
      <c r="B6903" s="372"/>
      <c r="C6903" s="100"/>
      <c r="D6903" s="100"/>
      <c r="E6903" s="100"/>
      <c r="F6903" s="100"/>
      <c r="G6903" s="102"/>
      <c r="H6903" s="361"/>
      <c r="J6903" t="s">
        <v>3277</v>
      </c>
      <c r="K6903" s="91"/>
    </row>
    <row r="6904" spans="1:12" s="25" customFormat="1" x14ac:dyDescent="0.25">
      <c r="A6904" s="195"/>
      <c r="B6904" s="372"/>
      <c r="C6904" s="75"/>
      <c r="D6904" s="77"/>
      <c r="E6904" s="73"/>
      <c r="F6904" s="74"/>
      <c r="G6904" s="102"/>
      <c r="H6904" s="361"/>
      <c r="J6904" t="s">
        <v>3268</v>
      </c>
      <c r="K6904" s="91"/>
    </row>
    <row r="6905" spans="1:12" x14ac:dyDescent="0.25">
      <c r="A6905" s="163"/>
      <c r="B6905" s="106"/>
      <c r="C6905" s="75" t="s">
        <v>3260</v>
      </c>
      <c r="D6905" s="73"/>
      <c r="E6905" s="73"/>
      <c r="F6905" s="74"/>
      <c r="G6905" s="72"/>
      <c r="J6905" t="s">
        <v>3269</v>
      </c>
    </row>
    <row r="6906" spans="1:12" x14ac:dyDescent="0.25">
      <c r="A6906" s="163"/>
      <c r="B6906" s="106"/>
      <c r="C6906" s="100" t="s">
        <v>300</v>
      </c>
      <c r="D6906" s="73"/>
      <c r="E6906" s="73"/>
      <c r="F6906" s="74" t="s">
        <v>3</v>
      </c>
      <c r="G6906" s="72">
        <f>1.75*0.32*3*8*1.1161</f>
        <v>15.000384000000002</v>
      </c>
      <c r="J6906" t="s">
        <v>3282</v>
      </c>
    </row>
    <row r="6907" spans="1:12" x14ac:dyDescent="0.25">
      <c r="A6907" s="163"/>
      <c r="B6907" s="106"/>
      <c r="C6907" s="73"/>
      <c r="D6907" s="73"/>
      <c r="E6907" s="73"/>
      <c r="F6907" s="74"/>
      <c r="G6907" s="72"/>
      <c r="J6907" t="s">
        <v>3271</v>
      </c>
    </row>
    <row r="6908" spans="1:12" x14ac:dyDescent="0.25">
      <c r="A6908" s="163"/>
      <c r="B6908" s="106"/>
      <c r="C6908" s="75" t="s">
        <v>3261</v>
      </c>
      <c r="D6908" s="73"/>
      <c r="E6908" s="73"/>
      <c r="F6908" s="74"/>
      <c r="G6908" s="72"/>
    </row>
    <row r="6909" spans="1:12" x14ac:dyDescent="0.25">
      <c r="A6909" s="163"/>
      <c r="B6909" s="106"/>
      <c r="C6909" s="100" t="s">
        <v>3262</v>
      </c>
      <c r="D6909" s="73"/>
      <c r="E6909" s="73"/>
      <c r="F6909" s="74" t="s">
        <v>3</v>
      </c>
      <c r="G6909" s="72">
        <f>0.115*0.035*3*8*1.14</f>
        <v>0.11012400000000001</v>
      </c>
    </row>
    <row r="6910" spans="1:12" x14ac:dyDescent="0.25">
      <c r="A6910" s="163"/>
      <c r="B6910" s="106"/>
      <c r="C6910" s="73"/>
      <c r="D6910" s="73"/>
      <c r="E6910" s="73"/>
      <c r="F6910" s="74"/>
      <c r="G6910" s="72"/>
    </row>
    <row r="6911" spans="1:12" x14ac:dyDescent="0.25">
      <c r="A6911" s="163"/>
      <c r="B6911" s="106"/>
      <c r="C6911" s="75" t="s">
        <v>3263</v>
      </c>
      <c r="D6911" s="73"/>
      <c r="E6911" s="73"/>
      <c r="F6911" s="74"/>
      <c r="G6911" s="72"/>
    </row>
    <row r="6912" spans="1:12" x14ac:dyDescent="0.25">
      <c r="A6912" s="163"/>
      <c r="B6912" s="106"/>
      <c r="C6912" s="73" t="s">
        <v>3257</v>
      </c>
      <c r="D6912" s="73"/>
      <c r="E6912" s="73"/>
      <c r="F6912" s="74" t="s">
        <v>3</v>
      </c>
      <c r="G6912" s="72">
        <f>0.9*0.084*3*8*1.13</f>
        <v>2.0502719999999997</v>
      </c>
    </row>
    <row r="6913" spans="1:11" x14ac:dyDescent="0.25">
      <c r="A6913" s="163"/>
      <c r="B6913" s="106"/>
      <c r="C6913" s="73"/>
      <c r="D6913" s="73"/>
      <c r="E6913" s="73"/>
      <c r="F6913" s="74"/>
      <c r="G6913" s="72"/>
    </row>
    <row r="6914" spans="1:11" x14ac:dyDescent="0.25">
      <c r="A6914" s="163"/>
      <c r="B6914" s="106"/>
      <c r="C6914" s="75" t="s">
        <v>3264</v>
      </c>
      <c r="D6914" s="73"/>
      <c r="E6914" s="73"/>
      <c r="F6914" s="74"/>
      <c r="G6914" s="72"/>
    </row>
    <row r="6915" spans="1:11" x14ac:dyDescent="0.25">
      <c r="A6915" s="163"/>
      <c r="B6915" s="106"/>
      <c r="C6915" s="73" t="s">
        <v>3265</v>
      </c>
      <c r="D6915" s="73"/>
      <c r="E6915" s="73"/>
      <c r="F6915" s="74" t="s">
        <v>3</v>
      </c>
      <c r="G6915" s="72">
        <f>0.03*0.03*3*2.7*1.1</f>
        <v>8.0190000000000018E-3</v>
      </c>
    </row>
    <row r="6916" spans="1:11" x14ac:dyDescent="0.25">
      <c r="A6916" s="163"/>
      <c r="B6916" s="106"/>
      <c r="C6916" s="73"/>
      <c r="D6916" s="73"/>
      <c r="E6916" s="73"/>
      <c r="F6916" s="74"/>
      <c r="G6916" s="72"/>
      <c r="K6916" s="380"/>
    </row>
    <row r="6917" spans="1:11" x14ac:dyDescent="0.25">
      <c r="A6917" s="163"/>
      <c r="B6917" s="106"/>
      <c r="C6917" s="75" t="s">
        <v>3283</v>
      </c>
      <c r="D6917" s="73"/>
      <c r="E6917" s="73"/>
      <c r="F6917" s="74"/>
      <c r="G6917" s="72"/>
      <c r="K6917" s="380"/>
    </row>
    <row r="6918" spans="1:11" x14ac:dyDescent="0.25">
      <c r="A6918" s="163"/>
      <c r="B6918" s="106"/>
      <c r="C6918" s="73" t="s">
        <v>3284</v>
      </c>
      <c r="D6918" s="73"/>
      <c r="E6918" s="73"/>
      <c r="F6918" s="74" t="s">
        <v>3</v>
      </c>
      <c r="G6918" s="72">
        <f>1.005*0.022*3*8*1.13</f>
        <v>0.59962319999999991</v>
      </c>
      <c r="K6918" s="380"/>
    </row>
    <row r="6919" spans="1:11" x14ac:dyDescent="0.25">
      <c r="A6919" s="163"/>
      <c r="B6919" s="106"/>
      <c r="C6919" s="73" t="s">
        <v>8</v>
      </c>
      <c r="D6919" s="73"/>
      <c r="E6919" s="73"/>
      <c r="F6919" s="74" t="s">
        <v>3</v>
      </c>
      <c r="G6919" s="72">
        <f>G6921*0.75</f>
        <v>1.4850000000000002E-2</v>
      </c>
      <c r="K6919" s="380"/>
    </row>
    <row r="6920" spans="1:11" x14ac:dyDescent="0.25">
      <c r="A6920" s="163"/>
      <c r="B6920" s="106"/>
      <c r="C6920" s="73" t="s">
        <v>12</v>
      </c>
      <c r="D6920" s="73"/>
      <c r="E6920" s="73"/>
      <c r="F6920" s="74" t="s">
        <v>3</v>
      </c>
      <c r="G6920" s="72">
        <f>0.3*G6919</f>
        <v>4.4550000000000006E-3</v>
      </c>
    </row>
    <row r="6921" spans="1:11" x14ac:dyDescent="0.25">
      <c r="A6921" s="163"/>
      <c r="B6921" s="106"/>
      <c r="C6921" s="73" t="s">
        <v>72</v>
      </c>
      <c r="D6921" s="73"/>
      <c r="E6921" s="73"/>
      <c r="F6921" s="74" t="s">
        <v>3</v>
      </c>
      <c r="G6921" s="72">
        <f>1.1*0.05*2*0.15*1.2</f>
        <v>1.9800000000000002E-2</v>
      </c>
    </row>
    <row r="6922" spans="1:11" x14ac:dyDescent="0.25">
      <c r="A6922" s="163"/>
      <c r="B6922" s="106"/>
      <c r="C6922" s="73" t="s">
        <v>11</v>
      </c>
      <c r="D6922" s="73"/>
      <c r="E6922" s="73"/>
      <c r="F6922" s="74" t="s">
        <v>3</v>
      </c>
      <c r="G6922" s="72">
        <f>0.3*G6921</f>
        <v>5.94E-3</v>
      </c>
      <c r="K6922" s="380"/>
    </row>
    <row r="6923" spans="1:11" x14ac:dyDescent="0.25">
      <c r="A6923" s="163"/>
      <c r="B6923" s="106"/>
      <c r="C6923" s="73"/>
      <c r="D6923" s="73"/>
      <c r="E6923" s="73"/>
      <c r="F6923" s="74"/>
      <c r="G6923" s="72"/>
      <c r="K6923" s="380"/>
    </row>
    <row r="6924" spans="1:11" x14ac:dyDescent="0.25">
      <c r="A6924" s="163"/>
      <c r="B6924" s="106"/>
      <c r="C6924" s="75" t="s">
        <v>3285</v>
      </c>
      <c r="D6924" s="73"/>
      <c r="E6924" s="73"/>
      <c r="F6924" s="74"/>
      <c r="G6924" s="72"/>
      <c r="K6924" s="380"/>
    </row>
    <row r="6925" spans="1:11" x14ac:dyDescent="0.25">
      <c r="A6925" s="163"/>
      <c r="B6925" s="106"/>
      <c r="C6925" s="73" t="s">
        <v>3284</v>
      </c>
      <c r="D6925" s="73"/>
      <c r="E6925" s="73"/>
      <c r="F6925" s="74" t="s">
        <v>3</v>
      </c>
      <c r="G6925" s="72">
        <f>0.15*0.022*3*8*1.14</f>
        <v>9.0287999999999979E-2</v>
      </c>
      <c r="K6925" s="380"/>
    </row>
    <row r="6926" spans="1:11" x14ac:dyDescent="0.25">
      <c r="A6926" s="163"/>
      <c r="B6926" s="106"/>
      <c r="C6926" s="73" t="s">
        <v>8</v>
      </c>
      <c r="D6926" s="73"/>
      <c r="E6926" s="73"/>
      <c r="F6926" s="74" t="s">
        <v>3</v>
      </c>
      <c r="G6926" s="72">
        <f>G6928*0.75</f>
        <v>3.3750000000000004E-3</v>
      </c>
      <c r="K6926" s="380"/>
    </row>
    <row r="6927" spans="1:11" x14ac:dyDescent="0.25">
      <c r="A6927" s="163"/>
      <c r="B6927" s="106"/>
      <c r="C6927" s="73" t="s">
        <v>12</v>
      </c>
      <c r="D6927" s="73"/>
      <c r="E6927" s="73"/>
      <c r="F6927" s="74" t="s">
        <v>3</v>
      </c>
      <c r="G6927" s="72">
        <f>0.3*G6926</f>
        <v>1.0125000000000002E-3</v>
      </c>
      <c r="K6927" s="380"/>
    </row>
    <row r="6928" spans="1:11" x14ac:dyDescent="0.25">
      <c r="A6928" s="163"/>
      <c r="B6928" s="106"/>
      <c r="C6928" s="73" t="s">
        <v>72</v>
      </c>
      <c r="D6928" s="73"/>
      <c r="E6928" s="73"/>
      <c r="F6928" s="74" t="s">
        <v>3</v>
      </c>
      <c r="G6928" s="72">
        <f>0.2*0.05*2*0.15*1.5</f>
        <v>4.5000000000000005E-3</v>
      </c>
      <c r="K6928" s="380"/>
    </row>
    <row r="6929" spans="1:11" x14ac:dyDescent="0.25">
      <c r="A6929" s="163"/>
      <c r="B6929" s="106"/>
      <c r="C6929" s="73" t="s">
        <v>11</v>
      </c>
      <c r="D6929" s="73"/>
      <c r="E6929" s="73"/>
      <c r="F6929" s="74" t="s">
        <v>3</v>
      </c>
      <c r="G6929" s="72">
        <f>0.3*G6928</f>
        <v>1.3500000000000001E-3</v>
      </c>
      <c r="K6929" s="380"/>
    </row>
    <row r="6930" spans="1:11" x14ac:dyDescent="0.25">
      <c r="A6930" s="163"/>
      <c r="B6930" s="106"/>
      <c r="C6930" s="73"/>
      <c r="D6930" s="73"/>
      <c r="E6930" s="73"/>
      <c r="F6930" s="74"/>
      <c r="G6930" s="72"/>
      <c r="K6930" s="380"/>
    </row>
    <row r="6931" spans="1:11" x14ac:dyDescent="0.25">
      <c r="A6931" s="163"/>
      <c r="B6931" s="106"/>
      <c r="C6931" s="73"/>
      <c r="D6931" s="73"/>
      <c r="E6931" s="73"/>
      <c r="F6931" s="74"/>
      <c r="G6931" s="72"/>
      <c r="K6931" s="396"/>
    </row>
    <row r="6932" spans="1:11" x14ac:dyDescent="0.25">
      <c r="A6932" s="163"/>
      <c r="B6932" s="106"/>
      <c r="C6932" s="75" t="s">
        <v>3286</v>
      </c>
      <c r="D6932" s="73"/>
      <c r="E6932" s="73"/>
      <c r="F6932" s="74"/>
      <c r="G6932" s="72"/>
      <c r="K6932" s="380"/>
    </row>
    <row r="6933" spans="1:11" x14ac:dyDescent="0.25">
      <c r="A6933" s="163"/>
      <c r="B6933" s="106"/>
      <c r="C6933" s="73" t="s">
        <v>3287</v>
      </c>
      <c r="D6933" s="73"/>
      <c r="E6933" s="73"/>
      <c r="F6933" s="74" t="s">
        <v>3</v>
      </c>
      <c r="G6933" s="72">
        <f>0.225*0.03*4*8*1.159</f>
        <v>0.25034400000000001</v>
      </c>
      <c r="K6933" s="380"/>
    </row>
    <row r="6934" spans="1:11" x14ac:dyDescent="0.25">
      <c r="A6934" s="163"/>
      <c r="B6934" s="106"/>
      <c r="C6934" s="73"/>
      <c r="D6934" s="73"/>
      <c r="E6934" s="73"/>
      <c r="F6934" s="74"/>
      <c r="G6934" s="72"/>
      <c r="K6934" s="380"/>
    </row>
    <row r="6935" spans="1:11" x14ac:dyDescent="0.25">
      <c r="A6935" s="163"/>
      <c r="B6935" s="106"/>
      <c r="C6935" s="75" t="s">
        <v>3288</v>
      </c>
      <c r="D6935" s="73"/>
      <c r="E6935" s="73"/>
      <c r="F6935" s="74"/>
      <c r="G6935" s="72"/>
      <c r="K6935" s="380"/>
    </row>
    <row r="6936" spans="1:11" x14ac:dyDescent="0.25">
      <c r="A6936" s="163"/>
      <c r="B6936" s="106"/>
      <c r="C6936" s="73" t="s">
        <v>3287</v>
      </c>
      <c r="D6936" s="73"/>
      <c r="E6936" s="73"/>
      <c r="F6936" s="74" t="s">
        <v>3</v>
      </c>
      <c r="G6936" s="72">
        <f>0.105*0.04*4*8*1.115</f>
        <v>0.14985599999999999</v>
      </c>
      <c r="K6936" s="380"/>
    </row>
    <row r="6937" spans="1:11" x14ac:dyDescent="0.25">
      <c r="A6937" s="163"/>
      <c r="B6937" s="106"/>
      <c r="C6937" s="73"/>
      <c r="D6937" s="73"/>
      <c r="E6937" s="73"/>
      <c r="F6937" s="74"/>
      <c r="G6937" s="72"/>
      <c r="K6937" s="380"/>
    </row>
    <row r="6938" spans="1:11" x14ac:dyDescent="0.25">
      <c r="A6938" s="163"/>
      <c r="B6938" s="106"/>
      <c r="C6938" s="75" t="s">
        <v>3289</v>
      </c>
      <c r="D6938" s="73"/>
      <c r="E6938" s="73"/>
      <c r="F6938" s="74"/>
      <c r="G6938" s="72"/>
      <c r="K6938" s="380"/>
    </row>
    <row r="6939" spans="1:11" x14ac:dyDescent="0.25">
      <c r="A6939" s="163"/>
      <c r="B6939" s="106"/>
      <c r="C6939" s="73" t="s">
        <v>984</v>
      </c>
      <c r="D6939" s="73"/>
      <c r="E6939" s="73"/>
      <c r="F6939" s="74" t="s">
        <v>3</v>
      </c>
      <c r="G6939" s="72">
        <f>(0.159+0.062)*0.03*1*8*1.13</f>
        <v>5.9935199999999994E-2</v>
      </c>
      <c r="K6939" s="379"/>
    </row>
    <row r="6940" spans="1:11" x14ac:dyDescent="0.25">
      <c r="A6940" s="163"/>
      <c r="B6940" s="106"/>
      <c r="C6940" s="73"/>
      <c r="D6940" s="73"/>
      <c r="E6940" s="73"/>
      <c r="F6940" s="74"/>
      <c r="G6940" s="72"/>
      <c r="K6940" s="380"/>
    </row>
    <row r="6941" spans="1:11" x14ac:dyDescent="0.25">
      <c r="A6941" s="163"/>
      <c r="B6941" s="106"/>
      <c r="C6941" s="75" t="s">
        <v>3290</v>
      </c>
      <c r="D6941" s="73"/>
      <c r="E6941" s="73"/>
      <c r="F6941" s="74"/>
      <c r="G6941" s="72"/>
      <c r="K6941" s="380"/>
    </row>
    <row r="6942" spans="1:11" x14ac:dyDescent="0.25">
      <c r="A6942" s="163"/>
      <c r="B6942" s="106"/>
      <c r="C6942" s="73" t="s">
        <v>1812</v>
      </c>
      <c r="D6942" s="73"/>
      <c r="E6942" s="73"/>
      <c r="F6942" s="74" t="s">
        <v>3</v>
      </c>
      <c r="G6942" s="72">
        <f>(0.11+0.04)*0.03*0.5*8*1.15</f>
        <v>2.0699999999999996E-2</v>
      </c>
      <c r="K6942" s="380"/>
    </row>
    <row r="6943" spans="1:11" x14ac:dyDescent="0.25">
      <c r="A6943" s="163"/>
      <c r="B6943" s="106"/>
      <c r="C6943" s="73"/>
      <c r="D6943" s="73"/>
      <c r="E6943" s="73"/>
      <c r="F6943" s="74"/>
      <c r="G6943" s="72"/>
      <c r="K6943" s="380"/>
    </row>
    <row r="6944" spans="1:11" x14ac:dyDescent="0.25">
      <c r="A6944" s="163"/>
      <c r="B6944" s="106"/>
      <c r="C6944" s="75" t="s">
        <v>3291</v>
      </c>
      <c r="D6944" s="73"/>
      <c r="E6944" s="73"/>
      <c r="F6944" s="74"/>
      <c r="G6944" s="72"/>
      <c r="K6944" s="380"/>
    </row>
    <row r="6945" spans="1:11" x14ac:dyDescent="0.25">
      <c r="A6945" s="163"/>
      <c r="B6945" s="106"/>
      <c r="C6945" s="73" t="s">
        <v>2342</v>
      </c>
      <c r="D6945" s="73"/>
      <c r="E6945" s="73"/>
      <c r="F6945" s="74" t="s">
        <v>3</v>
      </c>
      <c r="G6945" s="72">
        <f>0.255*0.03*1*8*1.15</f>
        <v>7.0379999999999998E-2</v>
      </c>
      <c r="K6945" s="380"/>
    </row>
    <row r="6946" spans="1:11" x14ac:dyDescent="0.25">
      <c r="A6946" s="163"/>
      <c r="B6946" s="106"/>
      <c r="C6946" s="73"/>
      <c r="D6946" s="73"/>
      <c r="E6946" s="73"/>
      <c r="F6946" s="74"/>
      <c r="G6946" s="72"/>
      <c r="K6946" s="380"/>
    </row>
    <row r="6947" spans="1:11" x14ac:dyDescent="0.25">
      <c r="A6947" s="163"/>
      <c r="B6947" s="106"/>
      <c r="C6947" s="75" t="s">
        <v>3292</v>
      </c>
      <c r="D6947" s="73"/>
      <c r="E6947" s="73"/>
      <c r="F6947" s="74"/>
      <c r="G6947" s="72"/>
      <c r="K6947" s="380"/>
    </row>
    <row r="6948" spans="1:11" x14ac:dyDescent="0.25">
      <c r="A6948" s="163"/>
      <c r="B6948" s="106"/>
      <c r="C6948" s="73" t="s">
        <v>2342</v>
      </c>
      <c r="D6948" s="73"/>
      <c r="E6948" s="73"/>
      <c r="F6948" s="74" t="s">
        <v>3</v>
      </c>
      <c r="G6948" s="72">
        <f>0.235*0.03*1*8*1.15</f>
        <v>6.4859999999999987E-2</v>
      </c>
      <c r="K6948" s="380"/>
    </row>
    <row r="6949" spans="1:11" x14ac:dyDescent="0.25">
      <c r="A6949" s="163"/>
      <c r="B6949" s="106"/>
      <c r="C6949" s="73"/>
      <c r="D6949" s="73"/>
      <c r="E6949" s="73"/>
      <c r="F6949" s="74"/>
      <c r="G6949" s="72"/>
      <c r="K6949" s="380"/>
    </row>
    <row r="6950" spans="1:11" x14ac:dyDescent="0.25">
      <c r="A6950" s="163"/>
      <c r="B6950" s="106"/>
      <c r="C6950" s="75" t="s">
        <v>3293</v>
      </c>
      <c r="D6950" s="73"/>
      <c r="E6950" s="73"/>
      <c r="F6950" s="74"/>
      <c r="G6950" s="72"/>
      <c r="K6950" s="380"/>
    </row>
    <row r="6951" spans="1:11" x14ac:dyDescent="0.25">
      <c r="A6951" s="163"/>
      <c r="B6951" s="106"/>
      <c r="C6951" s="100" t="s">
        <v>3294</v>
      </c>
      <c r="D6951" s="73"/>
      <c r="E6951" s="73"/>
      <c r="F6951" s="74" t="s">
        <v>3</v>
      </c>
      <c r="G6951" s="72">
        <f>0.43*0.012*3*8*1.13</f>
        <v>0.13993919999999999</v>
      </c>
      <c r="K6951" s="380"/>
    </row>
    <row r="6952" spans="1:11" x14ac:dyDescent="0.25">
      <c r="A6952" s="163"/>
      <c r="B6952" s="106"/>
      <c r="C6952" s="75"/>
      <c r="D6952" s="73"/>
      <c r="E6952" s="73"/>
      <c r="F6952" s="74"/>
      <c r="G6952" s="72"/>
      <c r="K6952" s="380"/>
    </row>
    <row r="6953" spans="1:11" x14ac:dyDescent="0.25">
      <c r="A6953" s="163"/>
      <c r="B6953" s="106"/>
      <c r="C6953" s="75" t="s">
        <v>3295</v>
      </c>
      <c r="D6953" s="73"/>
      <c r="E6953" s="73"/>
      <c r="F6953" s="74"/>
      <c r="G6953" s="72"/>
      <c r="K6953" s="380"/>
    </row>
    <row r="6954" spans="1:11" x14ac:dyDescent="0.25">
      <c r="A6954" s="163"/>
      <c r="B6954" s="106"/>
      <c r="C6954" s="100" t="s">
        <v>3294</v>
      </c>
      <c r="D6954" s="73"/>
      <c r="E6954" s="73"/>
      <c r="F6954" s="74" t="s">
        <v>3</v>
      </c>
      <c r="G6954" s="72">
        <f>0.165*0.012*3*8*1.15</f>
        <v>5.4647999999999995E-2</v>
      </c>
      <c r="K6954" s="380"/>
    </row>
    <row r="6955" spans="1:11" x14ac:dyDescent="0.25">
      <c r="A6955" s="163"/>
      <c r="B6955" s="106"/>
      <c r="C6955" s="75"/>
      <c r="D6955" s="73"/>
      <c r="E6955" s="73"/>
      <c r="F6955" s="74"/>
      <c r="G6955" s="72"/>
      <c r="K6955" s="380"/>
    </row>
    <row r="6956" spans="1:11" x14ac:dyDescent="0.25">
      <c r="A6956" s="163"/>
      <c r="B6956" s="106"/>
      <c r="C6956" s="75" t="s">
        <v>3296</v>
      </c>
      <c r="D6956" s="73"/>
      <c r="E6956" s="73"/>
      <c r="F6956" s="74"/>
      <c r="G6956" s="72"/>
      <c r="K6956" s="380"/>
    </row>
    <row r="6957" spans="1:11" x14ac:dyDescent="0.25">
      <c r="A6957" s="163"/>
      <c r="B6957" s="106"/>
      <c r="C6957" s="100" t="s">
        <v>272</v>
      </c>
      <c r="D6957" s="73"/>
      <c r="E6957" s="73"/>
      <c r="F6957" s="74" t="s">
        <v>3</v>
      </c>
      <c r="G6957" s="72">
        <f>0.47*0.41*2*8*1.1353</f>
        <v>3.5003569599999995</v>
      </c>
      <c r="K6957" s="380"/>
    </row>
    <row r="6958" spans="1:11" x14ac:dyDescent="0.25">
      <c r="A6958" s="163"/>
      <c r="B6958" s="106"/>
      <c r="C6958" s="73" t="s">
        <v>2755</v>
      </c>
      <c r="D6958" s="75"/>
      <c r="E6958" s="73"/>
      <c r="F6958" s="74" t="s">
        <v>3</v>
      </c>
      <c r="G6958" s="72">
        <f>0.2*0.08*1.28</f>
        <v>2.0480000000000002E-2</v>
      </c>
      <c r="K6958" s="380"/>
    </row>
    <row r="6959" spans="1:11" ht="17.25" x14ac:dyDescent="0.25">
      <c r="A6959" s="163"/>
      <c r="B6959" s="106"/>
      <c r="C6959" s="73" t="s">
        <v>1055</v>
      </c>
      <c r="D6959" s="75"/>
      <c r="E6959" s="73"/>
      <c r="F6959" s="74" t="s">
        <v>596</v>
      </c>
      <c r="G6959" s="72">
        <f>1.09*G6958</f>
        <v>2.2323200000000005E-2</v>
      </c>
      <c r="K6959" s="380"/>
    </row>
    <row r="6960" spans="1:11" x14ac:dyDescent="0.25">
      <c r="A6960" s="163"/>
      <c r="B6960" s="106"/>
      <c r="C6960" s="75"/>
      <c r="D6960" s="73"/>
      <c r="E6960" s="73"/>
      <c r="F6960" s="74"/>
      <c r="G6960" s="72"/>
      <c r="K6960" s="380"/>
    </row>
    <row r="6961" spans="1:11" x14ac:dyDescent="0.25">
      <c r="A6961" s="163"/>
      <c r="B6961" s="106"/>
      <c r="C6961" s="75" t="s">
        <v>2419</v>
      </c>
      <c r="D6961" s="73"/>
      <c r="E6961" s="73"/>
      <c r="F6961" s="74"/>
      <c r="G6961" s="72"/>
      <c r="K6961" s="380"/>
    </row>
    <row r="6962" spans="1:11" x14ac:dyDescent="0.25">
      <c r="A6962" s="163"/>
      <c r="B6962" s="106"/>
      <c r="C6962" s="73" t="s">
        <v>51</v>
      </c>
      <c r="D6962" s="73"/>
      <c r="E6962" s="73"/>
      <c r="F6962" s="74" t="s">
        <v>3</v>
      </c>
      <c r="G6962" s="72">
        <f>0.006*3.14*2*0.08*1.2</f>
        <v>3.6172800000000005E-3</v>
      </c>
      <c r="K6962" s="380"/>
    </row>
    <row r="6963" spans="1:11" ht="17.25" x14ac:dyDescent="0.25">
      <c r="A6963" s="163"/>
      <c r="B6963" s="106"/>
      <c r="C6963" s="73" t="s">
        <v>52</v>
      </c>
      <c r="D6963" s="73"/>
      <c r="E6963" s="73"/>
      <c r="F6963" s="74" t="s">
        <v>596</v>
      </c>
      <c r="G6963" s="72">
        <f>G6962*2</f>
        <v>7.234560000000001E-3</v>
      </c>
      <c r="K6963" s="380"/>
    </row>
    <row r="6964" spans="1:11" x14ac:dyDescent="0.25">
      <c r="A6964" s="163"/>
      <c r="B6964" s="106"/>
      <c r="C6964" s="73" t="s">
        <v>24</v>
      </c>
      <c r="D6964" s="73"/>
      <c r="E6964" s="73"/>
      <c r="F6964" s="74" t="s">
        <v>3</v>
      </c>
      <c r="G6964" s="72">
        <f>G6962/4</f>
        <v>9.0432000000000012E-4</v>
      </c>
      <c r="K6964" s="380"/>
    </row>
    <row r="6965" spans="1:11" x14ac:dyDescent="0.25">
      <c r="A6965" s="163"/>
      <c r="B6965" s="106"/>
      <c r="C6965" s="73" t="s">
        <v>143</v>
      </c>
      <c r="D6965" s="73"/>
      <c r="E6965" s="73"/>
      <c r="F6965" s="74" t="s">
        <v>3</v>
      </c>
      <c r="G6965" s="72">
        <f>G6966</f>
        <v>7.7000000000000002E-3</v>
      </c>
      <c r="K6965" s="380"/>
    </row>
    <row r="6966" spans="1:11" x14ac:dyDescent="0.25">
      <c r="A6966" s="163"/>
      <c r="B6966" s="106"/>
      <c r="C6966" s="73" t="s">
        <v>8</v>
      </c>
      <c r="D6966" s="73"/>
      <c r="E6966" s="73"/>
      <c r="F6966" s="74" t="s">
        <v>3</v>
      </c>
      <c r="G6966" s="72">
        <f>G6967*0.8</f>
        <v>7.7000000000000002E-3</v>
      </c>
      <c r="K6966" s="380"/>
    </row>
    <row r="6967" spans="1:11" x14ac:dyDescent="0.25">
      <c r="A6967" s="163"/>
      <c r="B6967" s="106"/>
      <c r="C6967" s="73" t="s">
        <v>152</v>
      </c>
      <c r="D6967" s="73"/>
      <c r="E6967" s="73"/>
      <c r="F6967" s="74" t="s">
        <v>3</v>
      </c>
      <c r="G6967" s="72">
        <f>0.35*0.011*2*1.25</f>
        <v>9.6249999999999999E-3</v>
      </c>
      <c r="K6967" s="380"/>
    </row>
    <row r="6968" spans="1:11" x14ac:dyDescent="0.25">
      <c r="A6968" s="163"/>
      <c r="B6968" s="106"/>
      <c r="C6968" s="73" t="s">
        <v>12</v>
      </c>
      <c r="D6968" s="73"/>
      <c r="E6968" s="73"/>
      <c r="F6968" s="74" t="s">
        <v>3</v>
      </c>
      <c r="G6968" s="72">
        <f>0.3*(G6967+G6966+G6965)</f>
        <v>7.5074999999999994E-3</v>
      </c>
      <c r="K6968" s="380"/>
    </row>
    <row r="6969" spans="1:11" x14ac:dyDescent="0.25">
      <c r="A6969" s="163"/>
      <c r="B6969" s="106"/>
      <c r="C6969" s="73"/>
      <c r="D6969" s="75" t="s">
        <v>2420</v>
      </c>
      <c r="E6969" s="73"/>
      <c r="F6969" s="74"/>
      <c r="G6969" s="72"/>
      <c r="K6969" s="380"/>
    </row>
    <row r="6970" spans="1:11" x14ac:dyDescent="0.25">
      <c r="A6970" s="163"/>
      <c r="B6970" s="106"/>
      <c r="C6970" s="73"/>
      <c r="D6970" s="73" t="s">
        <v>154</v>
      </c>
      <c r="E6970" s="73"/>
      <c r="F6970" s="74" t="s">
        <v>3</v>
      </c>
      <c r="G6970" s="72">
        <f>0.043</f>
        <v>4.2999999999999997E-2</v>
      </c>
      <c r="K6970" s="380"/>
    </row>
    <row r="6971" spans="1:11" x14ac:dyDescent="0.25">
      <c r="A6971" s="163"/>
      <c r="B6971" s="106"/>
      <c r="C6971" s="75"/>
      <c r="D6971" s="73"/>
      <c r="E6971" s="73"/>
      <c r="F6971" s="74"/>
      <c r="G6971" s="72"/>
      <c r="K6971" s="380"/>
    </row>
    <row r="6972" spans="1:11" x14ac:dyDescent="0.25">
      <c r="A6972" s="163"/>
      <c r="B6972" s="106"/>
      <c r="C6972" s="75" t="s">
        <v>3300</v>
      </c>
      <c r="D6972" s="73"/>
      <c r="E6972" s="73"/>
      <c r="F6972" s="74"/>
      <c r="G6972" s="72"/>
      <c r="K6972" s="380"/>
    </row>
    <row r="6973" spans="1:11" x14ac:dyDescent="0.25">
      <c r="A6973" s="163"/>
      <c r="B6973" s="106"/>
      <c r="C6973" s="73" t="s">
        <v>2755</v>
      </c>
      <c r="D6973" s="75"/>
      <c r="E6973" s="73"/>
      <c r="F6973" s="74" t="s">
        <v>3</v>
      </c>
      <c r="G6973" s="72">
        <f>0.3*0.08*1.25</f>
        <v>0.03</v>
      </c>
      <c r="I6973" s="357"/>
      <c r="K6973" s="380"/>
    </row>
    <row r="6974" spans="1:11" ht="17.25" x14ac:dyDescent="0.25">
      <c r="A6974" s="163"/>
      <c r="B6974" s="106"/>
      <c r="C6974" s="73" t="s">
        <v>1055</v>
      </c>
      <c r="D6974" s="75"/>
      <c r="E6974" s="73"/>
      <c r="F6974" s="74" t="s">
        <v>596</v>
      </c>
      <c r="G6974" s="72">
        <f>1.09*G6973</f>
        <v>3.27E-2</v>
      </c>
      <c r="I6974" s="357"/>
      <c r="K6974" s="380"/>
    </row>
    <row r="6975" spans="1:11" x14ac:dyDescent="0.25">
      <c r="A6975" s="163"/>
      <c r="B6975" s="106"/>
      <c r="C6975" s="73" t="s">
        <v>51</v>
      </c>
      <c r="D6975" s="73"/>
      <c r="E6975" s="73"/>
      <c r="F6975" s="74" t="s">
        <v>3</v>
      </c>
      <c r="G6975" s="72">
        <f>0.03*0.08*1.3</f>
        <v>3.1199999999999999E-3</v>
      </c>
      <c r="I6975" s="357"/>
      <c r="K6975" s="380"/>
    </row>
    <row r="6976" spans="1:11" ht="17.25" x14ac:dyDescent="0.25">
      <c r="A6976" s="163"/>
      <c r="B6976" s="106"/>
      <c r="C6976" s="73" t="s">
        <v>52</v>
      </c>
      <c r="D6976" s="73"/>
      <c r="E6976" s="73"/>
      <c r="F6976" s="74" t="s">
        <v>596</v>
      </c>
      <c r="G6976" s="72">
        <f>G6975*2</f>
        <v>6.2399999999999999E-3</v>
      </c>
      <c r="I6976" s="357"/>
      <c r="K6976" s="380"/>
    </row>
    <row r="6977" spans="1:11" x14ac:dyDescent="0.25">
      <c r="A6977" s="163"/>
      <c r="B6977" s="106"/>
      <c r="C6977" s="73" t="s">
        <v>24</v>
      </c>
      <c r="D6977" s="73"/>
      <c r="E6977" s="73"/>
      <c r="F6977" s="74" t="s">
        <v>3</v>
      </c>
      <c r="G6977" s="72">
        <f>G6975/4</f>
        <v>7.7999999999999999E-4</v>
      </c>
      <c r="I6977" s="357"/>
      <c r="K6977" s="380"/>
    </row>
    <row r="6978" spans="1:11" x14ac:dyDescent="0.25">
      <c r="A6978" s="163"/>
      <c r="B6978" s="106"/>
      <c r="C6978" s="75"/>
      <c r="D6978" s="401" t="s">
        <v>3301</v>
      </c>
      <c r="E6978" s="73"/>
      <c r="F6978" s="74"/>
      <c r="G6978" s="72"/>
      <c r="I6978" s="357"/>
      <c r="K6978" s="380"/>
    </row>
    <row r="6979" spans="1:11" x14ac:dyDescent="0.25">
      <c r="A6979" s="163"/>
      <c r="B6979" s="106"/>
      <c r="C6979" s="75"/>
      <c r="D6979" s="73" t="s">
        <v>1143</v>
      </c>
      <c r="E6979" s="73"/>
      <c r="F6979" s="74" t="s">
        <v>3</v>
      </c>
      <c r="G6979" s="72">
        <f>0.035*0.02*3*8*1.1</f>
        <v>1.8480000000000003E-2</v>
      </c>
      <c r="I6979" s="357"/>
      <c r="K6979" s="380"/>
    </row>
    <row r="6980" spans="1:11" x14ac:dyDescent="0.25">
      <c r="A6980" s="163"/>
      <c r="B6980" s="106"/>
      <c r="C6980" s="75"/>
      <c r="D6980" s="401" t="s">
        <v>3302</v>
      </c>
      <c r="E6980" s="73"/>
      <c r="F6980" s="74"/>
      <c r="G6980" s="72"/>
      <c r="I6980" s="357"/>
      <c r="K6980" s="380"/>
    </row>
    <row r="6981" spans="1:11" x14ac:dyDescent="0.25">
      <c r="A6981" s="163"/>
      <c r="B6981" s="106"/>
      <c r="C6981" s="75"/>
      <c r="D6981" s="73" t="s">
        <v>470</v>
      </c>
      <c r="E6981" s="73"/>
      <c r="F6981" s="74" t="s">
        <v>3</v>
      </c>
      <c r="G6981" s="72">
        <f>0.06*0.15*4*8*1.11</f>
        <v>0.31968000000000002</v>
      </c>
      <c r="I6981" s="357"/>
      <c r="K6981" s="380"/>
    </row>
    <row r="6982" spans="1:11" x14ac:dyDescent="0.25">
      <c r="A6982" s="163"/>
      <c r="B6982" s="106"/>
      <c r="C6982" s="75"/>
      <c r="D6982" s="401" t="s">
        <v>3303</v>
      </c>
      <c r="E6982" s="73"/>
      <c r="F6982" s="74"/>
      <c r="G6982" s="72"/>
      <c r="I6982" s="357"/>
      <c r="K6982" s="380"/>
    </row>
    <row r="6983" spans="1:11" x14ac:dyDescent="0.25">
      <c r="A6983" s="163"/>
      <c r="B6983" s="106"/>
      <c r="C6983" s="75"/>
      <c r="D6983" s="402" t="s">
        <v>3309</v>
      </c>
      <c r="E6983" s="73"/>
      <c r="F6983" s="74" t="s">
        <v>3</v>
      </c>
      <c r="G6983" s="72">
        <f>0.06*(0.207+0.05*2+0.011*3.14*2)*3*8*1.11-0.001</f>
        <v>0.60012627199999991</v>
      </c>
      <c r="I6983" s="357"/>
      <c r="K6983" s="387"/>
    </row>
    <row r="6984" spans="1:11" x14ac:dyDescent="0.25">
      <c r="A6984" s="163"/>
      <c r="B6984" s="106"/>
      <c r="C6984" s="75"/>
      <c r="D6984" s="401" t="s">
        <v>3304</v>
      </c>
      <c r="E6984" s="73"/>
      <c r="F6984" s="74"/>
      <c r="G6984" s="72"/>
      <c r="I6984" s="357"/>
      <c r="K6984" s="387"/>
    </row>
    <row r="6985" spans="1:11" x14ac:dyDescent="0.25">
      <c r="A6985" s="163"/>
      <c r="B6985" s="106"/>
      <c r="C6985" s="75"/>
      <c r="D6985" s="402" t="s">
        <v>3309</v>
      </c>
      <c r="E6985" s="73"/>
      <c r="F6985" s="74" t="s">
        <v>3</v>
      </c>
      <c r="G6985" s="72">
        <f>0.06*(0.107+0.011*3.14*2+0.01)*3*8*1.12</f>
        <v>0.30010982400000003</v>
      </c>
      <c r="I6985" s="357"/>
      <c r="K6985" s="387"/>
    </row>
    <row r="6986" spans="1:11" x14ac:dyDescent="0.25">
      <c r="A6986" s="163"/>
      <c r="B6986" s="106"/>
      <c r="C6986" s="75"/>
      <c r="D6986" s="401" t="s">
        <v>3305</v>
      </c>
      <c r="E6986" s="73"/>
      <c r="F6986" s="74"/>
      <c r="G6986" s="72"/>
      <c r="I6986" s="357"/>
      <c r="K6986" s="387"/>
    </row>
    <row r="6987" spans="1:11" x14ac:dyDescent="0.25">
      <c r="A6987" s="163"/>
      <c r="B6987" s="106"/>
      <c r="C6987" s="75"/>
      <c r="D6987" s="402" t="s">
        <v>3309</v>
      </c>
      <c r="E6987" s="73"/>
      <c r="F6987" s="74" t="s">
        <v>3</v>
      </c>
      <c r="G6987" s="72">
        <f>0.06*(0.1+0.011*3.14+0.011*3.14/2+0.005)*3*8*1.13</f>
        <v>0.25516123199999996</v>
      </c>
      <c r="I6987" s="357"/>
      <c r="K6987" s="387"/>
    </row>
    <row r="6988" spans="1:11" x14ac:dyDescent="0.25">
      <c r="A6988" s="163"/>
      <c r="B6988" s="106"/>
      <c r="C6988" s="75"/>
      <c r="D6988" s="401" t="s">
        <v>3306</v>
      </c>
      <c r="E6988" s="73"/>
      <c r="F6988" s="74"/>
      <c r="G6988" s="72"/>
      <c r="I6988" s="357"/>
      <c r="K6988" s="387"/>
    </row>
    <row r="6989" spans="1:11" x14ac:dyDescent="0.25">
      <c r="A6989" s="163"/>
      <c r="B6989" s="106"/>
      <c r="C6989" s="75"/>
      <c r="D6989" s="402" t="s">
        <v>3309</v>
      </c>
      <c r="E6989" s="73"/>
      <c r="F6989" s="74" t="s">
        <v>3</v>
      </c>
      <c r="G6989" s="72">
        <f>0.06*(0.05+0.011*3.14*2+0.02+0.01)*3*8*1.12</f>
        <v>0.24043622400000003</v>
      </c>
      <c r="I6989" s="357"/>
      <c r="K6989" s="387"/>
    </row>
    <row r="6990" spans="1:11" x14ac:dyDescent="0.25">
      <c r="A6990" s="163"/>
      <c r="B6990" s="106"/>
      <c r="C6990" s="75"/>
      <c r="D6990" s="401" t="s">
        <v>3307</v>
      </c>
      <c r="E6990" s="73"/>
      <c r="F6990" s="74"/>
      <c r="G6990" s="72"/>
      <c r="I6990" s="357"/>
      <c r="K6990" s="387"/>
    </row>
    <row r="6991" spans="1:11" ht="60" x14ac:dyDescent="0.25">
      <c r="A6991" s="163"/>
      <c r="B6991" s="106"/>
      <c r="C6991" s="75"/>
      <c r="D6991" s="402" t="s">
        <v>2537</v>
      </c>
      <c r="E6991" s="73"/>
      <c r="F6991" s="74" t="s">
        <v>3</v>
      </c>
      <c r="G6991" s="72">
        <f>0.017*1.12</f>
        <v>1.9040000000000005E-2</v>
      </c>
      <c r="I6991" s="357" t="s">
        <v>2440</v>
      </c>
      <c r="J6991" s="389"/>
      <c r="K6991" s="387"/>
    </row>
    <row r="6992" spans="1:11" x14ac:dyDescent="0.25">
      <c r="A6992" s="163"/>
      <c r="B6992" s="106"/>
      <c r="C6992" s="75"/>
      <c r="D6992" s="401" t="s">
        <v>3308</v>
      </c>
      <c r="E6992" s="73"/>
      <c r="F6992" s="74"/>
      <c r="G6992" s="72"/>
      <c r="I6992" s="357"/>
      <c r="K6992" s="387"/>
    </row>
    <row r="6993" spans="1:12" x14ac:dyDescent="0.25">
      <c r="A6993" s="163"/>
      <c r="B6993" s="106"/>
      <c r="C6993" s="75"/>
      <c r="D6993" s="402" t="s">
        <v>3310</v>
      </c>
      <c r="E6993" s="73"/>
      <c r="F6993" s="74" t="s">
        <v>3</v>
      </c>
      <c r="G6993" s="72">
        <f>0.05*0.05*5*8*1.15</f>
        <v>0.11500000000000002</v>
      </c>
      <c r="I6993" s="357"/>
      <c r="K6993" s="387"/>
    </row>
    <row r="6994" spans="1:12" x14ac:dyDescent="0.25">
      <c r="A6994" s="163"/>
      <c r="B6994" s="106"/>
      <c r="C6994" s="75"/>
      <c r="D6994" s="73"/>
      <c r="E6994" s="73"/>
      <c r="F6994" s="74"/>
      <c r="G6994" s="72"/>
      <c r="I6994" s="357"/>
      <c r="K6994" s="387"/>
    </row>
    <row r="6995" spans="1:12" x14ac:dyDescent="0.25">
      <c r="A6995" s="163"/>
      <c r="B6995" s="106"/>
      <c r="C6995" s="75" t="s">
        <v>3311</v>
      </c>
      <c r="D6995" s="73"/>
      <c r="E6995" s="73"/>
      <c r="F6995" s="74"/>
      <c r="G6995" s="72"/>
      <c r="I6995" s="357"/>
      <c r="J6995" s="100" t="s">
        <v>3313</v>
      </c>
      <c r="K6995" s="387"/>
      <c r="L6995" t="s">
        <v>99</v>
      </c>
    </row>
    <row r="6996" spans="1:12" x14ac:dyDescent="0.25">
      <c r="A6996" s="163"/>
      <c r="B6996" s="106"/>
      <c r="C6996" s="73" t="s">
        <v>2755</v>
      </c>
      <c r="D6996" s="75"/>
      <c r="E6996" s="73"/>
      <c r="F6996" s="74" t="s">
        <v>3</v>
      </c>
      <c r="G6996" s="72">
        <f>0.12*0.08*1.2</f>
        <v>1.1519999999999999E-2</v>
      </c>
      <c r="I6996" s="357"/>
      <c r="J6996" s="100" t="s">
        <v>3312</v>
      </c>
      <c r="K6996" s="387"/>
      <c r="L6996" t="s">
        <v>99</v>
      </c>
    </row>
    <row r="6997" spans="1:12" ht="17.25" x14ac:dyDescent="0.25">
      <c r="A6997" s="163"/>
      <c r="B6997" s="106"/>
      <c r="C6997" s="73" t="s">
        <v>1055</v>
      </c>
      <c r="D6997" s="75"/>
      <c r="E6997" s="73"/>
      <c r="F6997" s="74" t="s">
        <v>596</v>
      </c>
      <c r="G6997" s="72">
        <f>1.09*G6996</f>
        <v>1.25568E-2</v>
      </c>
      <c r="I6997" s="357"/>
      <c r="J6997" s="100" t="s">
        <v>3326</v>
      </c>
      <c r="K6997" s="387"/>
      <c r="L6997" t="s">
        <v>624</v>
      </c>
    </row>
    <row r="6998" spans="1:12" x14ac:dyDescent="0.25">
      <c r="A6998" s="163"/>
      <c r="B6998" s="106"/>
      <c r="C6998" s="100" t="s">
        <v>8</v>
      </c>
      <c r="D6998" s="75"/>
      <c r="E6998" s="73"/>
      <c r="F6998" s="74" t="s">
        <v>3</v>
      </c>
      <c r="G6998" s="72">
        <f>G7000*0.8</f>
        <v>1.4040000000000004E-2</v>
      </c>
      <c r="I6998" s="357"/>
      <c r="K6998" s="388"/>
    </row>
    <row r="6999" spans="1:12" x14ac:dyDescent="0.25">
      <c r="A6999" s="163"/>
      <c r="B6999" s="106"/>
      <c r="C6999" s="186" t="s">
        <v>12</v>
      </c>
      <c r="D6999" s="75"/>
      <c r="E6999" s="73"/>
      <c r="F6999" s="74" t="s">
        <v>3</v>
      </c>
      <c r="G6999" s="72">
        <f>0.3*G6998</f>
        <v>4.2120000000000013E-3</v>
      </c>
      <c r="I6999" s="357"/>
      <c r="K6999" s="388"/>
    </row>
    <row r="7000" spans="1:12" x14ac:dyDescent="0.25">
      <c r="A7000" s="163"/>
      <c r="B7000" s="106"/>
      <c r="C7000" s="186" t="s">
        <v>72</v>
      </c>
      <c r="D7000" s="75"/>
      <c r="E7000" s="73"/>
      <c r="F7000" s="74" t="s">
        <v>3</v>
      </c>
      <c r="G7000" s="72">
        <f>0.225*0.1*2*0.15*2*1.3</f>
        <v>1.7550000000000003E-2</v>
      </c>
      <c r="I7000" s="357"/>
      <c r="K7000" s="388"/>
    </row>
    <row r="7001" spans="1:12" x14ac:dyDescent="0.25">
      <c r="A7001" s="163"/>
      <c r="B7001" s="106"/>
      <c r="C7001" s="186" t="s">
        <v>11</v>
      </c>
      <c r="D7001" s="75"/>
      <c r="E7001" s="73"/>
      <c r="F7001" s="74" t="s">
        <v>3</v>
      </c>
      <c r="G7001" s="72">
        <f>0.3*G7000</f>
        <v>5.2650000000000006E-3</v>
      </c>
      <c r="I7001" s="357"/>
      <c r="K7001" s="388"/>
    </row>
    <row r="7002" spans="1:12" x14ac:dyDescent="0.25">
      <c r="A7002" s="163"/>
      <c r="B7002" s="106"/>
      <c r="C7002" s="73"/>
      <c r="D7002" s="75" t="s">
        <v>3286</v>
      </c>
      <c r="E7002" s="73"/>
      <c r="F7002" s="74"/>
      <c r="G7002" s="72"/>
      <c r="I7002" s="357"/>
      <c r="K7002" s="388"/>
    </row>
    <row r="7003" spans="1:12" x14ac:dyDescent="0.25">
      <c r="A7003" s="163"/>
      <c r="B7003" s="106"/>
      <c r="C7003" s="73"/>
      <c r="D7003" s="100" t="s">
        <v>3314</v>
      </c>
      <c r="E7003" s="73"/>
      <c r="F7003" s="74" t="s">
        <v>3</v>
      </c>
      <c r="G7003" s="72">
        <f>0.225*0.03*4*8*1.158</f>
        <v>0.25012799999999996</v>
      </c>
      <c r="I7003" s="357"/>
      <c r="K7003" s="388"/>
    </row>
    <row r="7004" spans="1:12" x14ac:dyDescent="0.25">
      <c r="A7004" s="163"/>
      <c r="B7004" s="106"/>
      <c r="C7004" s="73"/>
      <c r="D7004" s="75"/>
      <c r="E7004" s="73"/>
      <c r="F7004" s="74"/>
      <c r="G7004" s="72"/>
      <c r="I7004" s="357"/>
      <c r="K7004" s="388"/>
    </row>
    <row r="7005" spans="1:12" x14ac:dyDescent="0.25">
      <c r="A7005" s="163"/>
      <c r="B7005" s="106"/>
      <c r="C7005" s="75" t="s">
        <v>3315</v>
      </c>
      <c r="D7005" s="75"/>
      <c r="E7005" s="73"/>
      <c r="F7005" s="74"/>
      <c r="G7005" s="72"/>
      <c r="I7005" s="357"/>
      <c r="K7005" s="388"/>
    </row>
    <row r="7006" spans="1:12" x14ac:dyDescent="0.25">
      <c r="A7006" s="163"/>
      <c r="B7006" s="106"/>
      <c r="C7006" s="73" t="s">
        <v>51</v>
      </c>
      <c r="D7006" s="73"/>
      <c r="E7006" s="73"/>
      <c r="F7006" s="74" t="s">
        <v>3</v>
      </c>
      <c r="G7006" s="72">
        <f>(0.07+0.016*3.14+0.005*3.14)*0.08*1.1</f>
        <v>1.1962720000000001E-2</v>
      </c>
      <c r="I7006" s="357"/>
      <c r="K7006" s="388"/>
    </row>
    <row r="7007" spans="1:12" ht="17.25" x14ac:dyDescent="0.25">
      <c r="A7007" s="163"/>
      <c r="B7007" s="106"/>
      <c r="C7007" s="73" t="s">
        <v>52</v>
      </c>
      <c r="D7007" s="73"/>
      <c r="E7007" s="73"/>
      <c r="F7007" s="74" t="s">
        <v>596</v>
      </c>
      <c r="G7007" s="72">
        <f>G7006*2</f>
        <v>2.3925440000000003E-2</v>
      </c>
      <c r="I7007" s="357"/>
      <c r="K7007" s="388"/>
    </row>
    <row r="7008" spans="1:12" x14ac:dyDescent="0.25">
      <c r="A7008" s="163"/>
      <c r="B7008" s="106"/>
      <c r="C7008" s="73" t="s">
        <v>24</v>
      </c>
      <c r="D7008" s="73"/>
      <c r="E7008" s="73"/>
      <c r="F7008" s="74" t="s">
        <v>3</v>
      </c>
      <c r="G7008" s="72">
        <f>G7006/4</f>
        <v>2.9906800000000003E-3</v>
      </c>
      <c r="I7008" s="357"/>
      <c r="K7008" s="388"/>
    </row>
    <row r="7009" spans="1:11" x14ac:dyDescent="0.25">
      <c r="A7009" s="163"/>
      <c r="B7009" s="106"/>
      <c r="C7009" s="77" t="s">
        <v>163</v>
      </c>
      <c r="D7009" s="75"/>
      <c r="E7009" s="73"/>
      <c r="F7009" s="74" t="s">
        <v>3</v>
      </c>
      <c r="G7009" s="72">
        <f>G7011*0.78</f>
        <v>3.4903440000000001E-2</v>
      </c>
      <c r="I7009" s="357"/>
      <c r="K7009" s="388"/>
    </row>
    <row r="7010" spans="1:11" x14ac:dyDescent="0.25">
      <c r="A7010" s="163"/>
      <c r="B7010" s="106"/>
      <c r="C7010" s="77" t="s">
        <v>164</v>
      </c>
      <c r="D7010" s="75"/>
      <c r="E7010" s="73"/>
      <c r="F7010" s="74" t="s">
        <v>3</v>
      </c>
      <c r="G7010" s="72">
        <f>0.3*G7009</f>
        <v>1.0471032E-2</v>
      </c>
      <c r="I7010" s="357"/>
      <c r="K7010" s="388"/>
    </row>
    <row r="7011" spans="1:11" x14ac:dyDescent="0.25">
      <c r="A7011" s="163"/>
      <c r="B7011" s="106"/>
      <c r="C7011" s="77" t="s">
        <v>500</v>
      </c>
      <c r="D7011" s="75"/>
      <c r="E7011" s="73"/>
      <c r="F7011" s="74" t="s">
        <v>3</v>
      </c>
      <c r="G7011" s="72">
        <f>1.1*0.018*2*1.13</f>
        <v>4.4747999999999996E-2</v>
      </c>
      <c r="I7011" s="357"/>
      <c r="K7011" s="388"/>
    </row>
    <row r="7012" spans="1:11" x14ac:dyDescent="0.25">
      <c r="A7012" s="163"/>
      <c r="B7012" s="106"/>
      <c r="C7012" s="77" t="s">
        <v>12</v>
      </c>
      <c r="D7012" s="75"/>
      <c r="E7012" s="73"/>
      <c r="F7012" s="74" t="s">
        <v>3</v>
      </c>
      <c r="G7012" s="72">
        <f>0.3*G7011</f>
        <v>1.3424399999999998E-2</v>
      </c>
      <c r="I7012" s="357"/>
      <c r="K7012" s="388"/>
    </row>
    <row r="7013" spans="1:11" x14ac:dyDescent="0.25">
      <c r="A7013" s="163"/>
      <c r="B7013" s="106"/>
      <c r="C7013" s="73"/>
      <c r="D7013" s="75" t="s">
        <v>3316</v>
      </c>
      <c r="E7013" s="73"/>
      <c r="F7013" s="74"/>
      <c r="G7013" s="72"/>
      <c r="I7013" s="357"/>
      <c r="K7013" s="388"/>
    </row>
    <row r="7014" spans="1:11" ht="75" x14ac:dyDescent="0.25">
      <c r="A7014" s="163"/>
      <c r="B7014" s="106"/>
      <c r="C7014" s="73"/>
      <c r="D7014" s="100" t="s">
        <v>3318</v>
      </c>
      <c r="E7014" s="73"/>
      <c r="F7014" s="74" t="s">
        <v>3</v>
      </c>
      <c r="G7014" s="72">
        <v>0.47</v>
      </c>
      <c r="I7014" s="357" t="s">
        <v>3319</v>
      </c>
      <c r="K7014" s="388"/>
    </row>
    <row r="7015" spans="1:11" x14ac:dyDescent="0.25">
      <c r="A7015" s="163"/>
      <c r="B7015" s="106"/>
      <c r="C7015" s="73"/>
      <c r="D7015" s="75" t="s">
        <v>3317</v>
      </c>
      <c r="E7015" s="73"/>
      <c r="F7015" s="74"/>
      <c r="G7015" s="72"/>
      <c r="I7015" s="357"/>
      <c r="K7015" s="388"/>
    </row>
    <row r="7016" spans="1:11" ht="75" x14ac:dyDescent="0.25">
      <c r="A7016" s="163"/>
      <c r="B7016" s="106"/>
      <c r="C7016" s="73"/>
      <c r="D7016" s="100" t="s">
        <v>1855</v>
      </c>
      <c r="E7016" s="73"/>
      <c r="F7016" s="74" t="s">
        <v>3</v>
      </c>
      <c r="G7016" s="72">
        <v>0.13</v>
      </c>
      <c r="I7016" s="357" t="s">
        <v>3319</v>
      </c>
      <c r="K7016" s="388"/>
    </row>
    <row r="7017" spans="1:11" x14ac:dyDescent="0.25">
      <c r="A7017" s="163"/>
      <c r="B7017" s="106"/>
      <c r="C7017" s="73"/>
      <c r="D7017" s="75"/>
      <c r="E7017" s="73"/>
      <c r="F7017" s="74"/>
      <c r="G7017" s="72"/>
      <c r="I7017" s="357"/>
      <c r="K7017" s="388"/>
    </row>
    <row r="7018" spans="1:11" x14ac:dyDescent="0.25">
      <c r="A7018" s="163"/>
      <c r="B7018" s="106"/>
      <c r="C7018" s="75" t="s">
        <v>3320</v>
      </c>
      <c r="D7018" s="75"/>
      <c r="E7018" s="73"/>
      <c r="F7018" s="74"/>
      <c r="G7018" s="72"/>
      <c r="I7018" s="357"/>
      <c r="K7018" s="388"/>
    </row>
    <row r="7019" spans="1:11" x14ac:dyDescent="0.25">
      <c r="A7019" s="163"/>
      <c r="B7019" s="106"/>
      <c r="C7019" s="73" t="s">
        <v>3321</v>
      </c>
      <c r="D7019" s="75"/>
      <c r="E7019" s="73"/>
      <c r="F7019" s="74" t="s">
        <v>3</v>
      </c>
      <c r="G7019" s="72">
        <f>(0.465+0.024)*(0.205+0.024+0.008)*2*8*1.1325</f>
        <v>2.0999811600000005</v>
      </c>
      <c r="I7019" s="357"/>
      <c r="K7019" s="388"/>
    </row>
    <row r="7020" spans="1:11" x14ac:dyDescent="0.25">
      <c r="A7020" s="163"/>
      <c r="B7020" s="106"/>
      <c r="C7020" s="73" t="s">
        <v>2755</v>
      </c>
      <c r="D7020" s="75"/>
      <c r="E7020" s="73"/>
      <c r="F7020" s="74" t="s">
        <v>3</v>
      </c>
      <c r="G7020" s="72">
        <f>0.1*0.08*1.2</f>
        <v>9.5999999999999992E-3</v>
      </c>
      <c r="I7020" s="357"/>
      <c r="K7020" s="388"/>
    </row>
    <row r="7021" spans="1:11" ht="17.25" x14ac:dyDescent="0.25">
      <c r="A7021" s="163"/>
      <c r="B7021" s="106"/>
      <c r="C7021" s="73" t="s">
        <v>1055</v>
      </c>
      <c r="D7021" s="75"/>
      <c r="E7021" s="73"/>
      <c r="F7021" s="74" t="s">
        <v>596</v>
      </c>
      <c r="G7021" s="72">
        <f>1.09*G7020</f>
        <v>1.0463999999999999E-2</v>
      </c>
      <c r="I7021" s="357"/>
      <c r="K7021" s="388"/>
    </row>
    <row r="7022" spans="1:11" x14ac:dyDescent="0.25">
      <c r="A7022" s="163"/>
      <c r="B7022" s="106"/>
      <c r="C7022" s="73"/>
      <c r="D7022" s="75"/>
      <c r="E7022" s="73"/>
      <c r="F7022" s="74"/>
      <c r="G7022" s="72"/>
      <c r="I7022" s="357"/>
      <c r="K7022" s="393"/>
    </row>
    <row r="7023" spans="1:11" x14ac:dyDescent="0.25">
      <c r="A7023" s="163"/>
      <c r="B7023" s="106"/>
      <c r="C7023" s="78" t="s">
        <v>3322</v>
      </c>
      <c r="D7023" s="75"/>
      <c r="E7023" s="73"/>
      <c r="F7023" s="74"/>
      <c r="G7023" s="72"/>
      <c r="I7023" s="357"/>
      <c r="K7023" s="393"/>
    </row>
    <row r="7024" spans="1:11" ht="45" x14ac:dyDescent="0.25">
      <c r="A7024" s="163"/>
      <c r="B7024" s="106"/>
      <c r="C7024" s="77" t="s">
        <v>3323</v>
      </c>
      <c r="D7024" s="75"/>
      <c r="E7024" s="73"/>
      <c r="F7024" s="74" t="s">
        <v>3</v>
      </c>
      <c r="G7024" s="72">
        <v>1.2E-2</v>
      </c>
      <c r="I7024" s="357" t="s">
        <v>3324</v>
      </c>
      <c r="K7024" s="393"/>
    </row>
    <row r="7025" spans="1:11" x14ac:dyDescent="0.25">
      <c r="A7025" s="163"/>
      <c r="B7025" s="106"/>
      <c r="C7025" s="73"/>
      <c r="D7025" s="75"/>
      <c r="E7025" s="73"/>
      <c r="F7025" s="74"/>
      <c r="G7025" s="72"/>
      <c r="I7025" s="357"/>
      <c r="K7025" s="393"/>
    </row>
    <row r="7026" spans="1:11" x14ac:dyDescent="0.25">
      <c r="A7026" s="163"/>
      <c r="B7026" s="106"/>
      <c r="C7026" s="78" t="s">
        <v>3325</v>
      </c>
      <c r="D7026" s="75"/>
      <c r="E7026" s="73"/>
      <c r="F7026" s="74"/>
      <c r="G7026" s="72"/>
      <c r="I7026" s="357"/>
      <c r="K7026" s="393"/>
    </row>
    <row r="7027" spans="1:11" x14ac:dyDescent="0.25">
      <c r="A7027" s="163"/>
      <c r="B7027" s="106"/>
      <c r="C7027" s="77" t="s">
        <v>3214</v>
      </c>
      <c r="D7027" s="75"/>
      <c r="E7027" s="73"/>
      <c r="F7027" s="74" t="s">
        <v>3</v>
      </c>
      <c r="G7027" s="72">
        <f>0.125*0.075*2*8*1.165</f>
        <v>0.17474999999999999</v>
      </c>
      <c r="I7027" s="357"/>
      <c r="K7027" s="393"/>
    </row>
    <row r="7028" spans="1:11" x14ac:dyDescent="0.25">
      <c r="A7028" s="163"/>
      <c r="B7028" s="106"/>
      <c r="C7028" s="77" t="s">
        <v>8</v>
      </c>
      <c r="D7028" s="75"/>
      <c r="E7028" s="73"/>
      <c r="F7028" s="74" t="s">
        <v>3</v>
      </c>
      <c r="G7028" s="72">
        <f>G7029*0.8</f>
        <v>8.1120000000000012E-3</v>
      </c>
      <c r="I7028" s="357"/>
      <c r="K7028" s="393"/>
    </row>
    <row r="7029" spans="1:11" x14ac:dyDescent="0.25">
      <c r="A7029" s="163"/>
      <c r="B7029" s="106"/>
      <c r="C7029" s="77" t="s">
        <v>115</v>
      </c>
      <c r="D7029" s="75"/>
      <c r="E7029" s="73"/>
      <c r="F7029" s="74" t="s">
        <v>3</v>
      </c>
      <c r="G7029" s="72">
        <f>0.13*0.1*2*0.15*2*1.3</f>
        <v>1.0140000000000001E-2</v>
      </c>
      <c r="I7029" s="357"/>
      <c r="K7029" s="393"/>
    </row>
    <row r="7030" spans="1:11" x14ac:dyDescent="0.25">
      <c r="A7030" s="163"/>
      <c r="B7030" s="106"/>
      <c r="C7030" s="77" t="s">
        <v>12</v>
      </c>
      <c r="D7030" s="75"/>
      <c r="E7030" s="73"/>
      <c r="F7030" s="74" t="s">
        <v>3</v>
      </c>
      <c r="G7030" s="72">
        <f>0.3*(G7029+G7028)</f>
        <v>5.4756000000000015E-3</v>
      </c>
      <c r="I7030" s="357"/>
      <c r="K7030" s="393"/>
    </row>
    <row r="7031" spans="1:11" x14ac:dyDescent="0.25">
      <c r="A7031" s="163"/>
      <c r="B7031" s="106"/>
      <c r="C7031" s="73"/>
      <c r="D7031" s="75"/>
      <c r="E7031" s="73"/>
      <c r="F7031" s="74"/>
      <c r="G7031" s="72"/>
      <c r="I7031" s="357"/>
      <c r="K7031" s="393"/>
    </row>
    <row r="7032" spans="1:11" x14ac:dyDescent="0.25">
      <c r="A7032" s="163"/>
      <c r="B7032" s="106"/>
      <c r="C7032" s="75" t="s">
        <v>3327</v>
      </c>
      <c r="D7032" s="75"/>
      <c r="E7032" s="73"/>
      <c r="F7032" s="74"/>
      <c r="G7032" s="72"/>
      <c r="I7032" s="357"/>
      <c r="K7032" s="393"/>
    </row>
    <row r="7033" spans="1:11" x14ac:dyDescent="0.25">
      <c r="A7033" s="163"/>
      <c r="B7033" s="106"/>
      <c r="C7033" s="77" t="s">
        <v>3328</v>
      </c>
      <c r="D7033" s="75"/>
      <c r="E7033" s="73"/>
      <c r="F7033" s="74" t="s">
        <v>3</v>
      </c>
      <c r="G7033" s="72">
        <f>0.02*0.03*5*8*1.1</f>
        <v>2.64E-2</v>
      </c>
      <c r="I7033" s="357"/>
      <c r="K7033" s="393"/>
    </row>
    <row r="7034" spans="1:11" x14ac:dyDescent="0.25">
      <c r="A7034" s="163"/>
      <c r="B7034" s="106"/>
      <c r="C7034" s="73"/>
      <c r="D7034" s="75"/>
      <c r="E7034" s="73"/>
      <c r="F7034" s="74"/>
      <c r="G7034" s="72"/>
      <c r="I7034" s="357"/>
      <c r="K7034" s="393"/>
    </row>
    <row r="7035" spans="1:11" x14ac:dyDescent="0.25">
      <c r="A7035" s="163"/>
      <c r="B7035" s="106"/>
      <c r="C7035" s="78" t="s">
        <v>3329</v>
      </c>
      <c r="D7035" s="75"/>
      <c r="E7035" s="73"/>
      <c r="F7035" s="74"/>
      <c r="G7035" s="72"/>
      <c r="I7035" s="357"/>
      <c r="K7035" s="393"/>
    </row>
    <row r="7036" spans="1:11" x14ac:dyDescent="0.25">
      <c r="A7036" s="163"/>
      <c r="B7036" s="106"/>
      <c r="C7036" s="77" t="s">
        <v>3330</v>
      </c>
      <c r="D7036" s="75"/>
      <c r="E7036" s="73"/>
      <c r="F7036" s="74" t="s">
        <v>3</v>
      </c>
      <c r="G7036" s="72">
        <f>0.165*0.075*3*8*1.145</f>
        <v>0.34006500000000006</v>
      </c>
      <c r="I7036" s="357"/>
      <c r="K7036" s="393"/>
    </row>
    <row r="7037" spans="1:11" x14ac:dyDescent="0.25">
      <c r="A7037" s="163"/>
      <c r="B7037" s="106"/>
      <c r="C7037" s="73"/>
      <c r="D7037" s="75"/>
      <c r="E7037" s="73"/>
      <c r="F7037" s="74"/>
      <c r="G7037" s="72"/>
      <c r="I7037" s="357"/>
      <c r="K7037" s="393"/>
    </row>
    <row r="7038" spans="1:11" x14ac:dyDescent="0.25">
      <c r="A7038" s="163"/>
      <c r="B7038" s="106"/>
      <c r="C7038" s="78" t="s">
        <v>3331</v>
      </c>
      <c r="D7038" s="75"/>
      <c r="E7038" s="73"/>
      <c r="F7038" s="74"/>
      <c r="G7038" s="72"/>
      <c r="I7038" s="357"/>
      <c r="K7038" s="393"/>
    </row>
    <row r="7039" spans="1:11" ht="60" x14ac:dyDescent="0.25">
      <c r="A7039" s="163"/>
      <c r="B7039" s="106"/>
      <c r="C7039" s="77" t="s">
        <v>3332</v>
      </c>
      <c r="D7039" s="75"/>
      <c r="E7039" s="73"/>
      <c r="F7039" s="74" t="s">
        <v>3</v>
      </c>
      <c r="G7039" s="72">
        <v>0.18</v>
      </c>
      <c r="I7039" s="357" t="s">
        <v>2422</v>
      </c>
      <c r="K7039" s="393"/>
    </row>
    <row r="7040" spans="1:11" x14ac:dyDescent="0.25">
      <c r="A7040" s="163"/>
      <c r="B7040" s="106"/>
      <c r="C7040" s="73"/>
      <c r="D7040" s="75"/>
      <c r="E7040" s="73"/>
      <c r="F7040" s="74"/>
      <c r="G7040" s="72"/>
      <c r="I7040" s="357"/>
      <c r="K7040" s="393"/>
    </row>
    <row r="7041" spans="1:11" x14ac:dyDescent="0.25">
      <c r="A7041" s="163"/>
      <c r="B7041" s="106"/>
      <c r="C7041" s="78" t="s">
        <v>3333</v>
      </c>
      <c r="D7041" s="75"/>
      <c r="E7041" s="73"/>
      <c r="F7041" s="74"/>
      <c r="G7041" s="72"/>
      <c r="I7041" s="357"/>
      <c r="K7041" s="393"/>
    </row>
    <row r="7042" spans="1:11" x14ac:dyDescent="0.25">
      <c r="A7042" s="163"/>
      <c r="B7042" s="106"/>
      <c r="C7042" s="77" t="s">
        <v>3334</v>
      </c>
      <c r="D7042" s="75"/>
      <c r="E7042" s="73"/>
      <c r="F7042" s="74" t="s">
        <v>3</v>
      </c>
      <c r="G7042" s="72">
        <f>0.76*0.04*1.5*8*1.097</f>
        <v>0.40018560000000003</v>
      </c>
      <c r="I7042" s="357"/>
      <c r="K7042" s="388"/>
    </row>
    <row r="7043" spans="1:11" x14ac:dyDescent="0.25">
      <c r="A7043" s="163"/>
      <c r="B7043" s="106"/>
      <c r="C7043" s="77" t="s">
        <v>8</v>
      </c>
      <c r="D7043" s="75"/>
      <c r="E7043" s="73"/>
      <c r="F7043" s="74" t="s">
        <v>3</v>
      </c>
      <c r="G7043" s="72">
        <f>G7044*0.75</f>
        <v>1.4804999999999999E-2</v>
      </c>
      <c r="I7043" s="357"/>
      <c r="K7043" s="393"/>
    </row>
    <row r="7044" spans="1:11" x14ac:dyDescent="0.25">
      <c r="A7044" s="163"/>
      <c r="B7044" s="106"/>
      <c r="C7044" s="77" t="s">
        <v>115</v>
      </c>
      <c r="D7044" s="75"/>
      <c r="E7044" s="73"/>
      <c r="F7044" s="74" t="s">
        <v>3</v>
      </c>
      <c r="G7044" s="72">
        <f>0.47*0.05*2*0.15*2*1.4</f>
        <v>1.9739999999999997E-2</v>
      </c>
      <c r="I7044" s="357"/>
      <c r="K7044" s="393"/>
    </row>
    <row r="7045" spans="1:11" x14ac:dyDescent="0.25">
      <c r="A7045" s="163"/>
      <c r="B7045" s="106"/>
      <c r="C7045" s="77" t="s">
        <v>12</v>
      </c>
      <c r="D7045" s="75"/>
      <c r="E7045" s="73"/>
      <c r="F7045" s="74" t="s">
        <v>3</v>
      </c>
      <c r="G7045" s="72">
        <f>0.3*(G7044+G7043)</f>
        <v>1.0363499999999998E-2</v>
      </c>
      <c r="I7045" s="357"/>
      <c r="K7045" s="393"/>
    </row>
    <row r="7046" spans="1:11" x14ac:dyDescent="0.25">
      <c r="A7046" s="163"/>
      <c r="B7046" s="106"/>
      <c r="C7046" s="77"/>
      <c r="D7046" s="75"/>
      <c r="E7046" s="73"/>
      <c r="F7046" s="74"/>
      <c r="G7046" s="72"/>
      <c r="I7046" s="357"/>
      <c r="K7046" s="393"/>
    </row>
    <row r="7047" spans="1:11" x14ac:dyDescent="0.25">
      <c r="A7047" s="163"/>
      <c r="B7047" s="106"/>
      <c r="C7047" s="75" t="s">
        <v>3335</v>
      </c>
      <c r="D7047" s="73"/>
      <c r="E7047" s="73"/>
      <c r="F7047" s="74"/>
      <c r="G7047" s="72"/>
      <c r="I7047" s="357"/>
      <c r="K7047" s="387"/>
    </row>
    <row r="7048" spans="1:11" x14ac:dyDescent="0.25">
      <c r="A7048" s="163"/>
      <c r="B7048" s="106"/>
      <c r="C7048" s="100" t="s">
        <v>1813</v>
      </c>
      <c r="D7048" s="73"/>
      <c r="E7048" s="73"/>
      <c r="F7048" s="74" t="s">
        <v>3</v>
      </c>
      <c r="G7048" s="72">
        <f>0.025*0.025*0.5*8*1.1</f>
        <v>2.7500000000000007E-3</v>
      </c>
      <c r="I7048" s="357"/>
      <c r="K7048" s="393"/>
    </row>
    <row r="7049" spans="1:11" x14ac:dyDescent="0.25">
      <c r="A7049" s="163"/>
      <c r="B7049" s="106"/>
      <c r="C7049" s="75"/>
      <c r="D7049" s="73"/>
      <c r="E7049" s="73"/>
      <c r="F7049" s="74"/>
      <c r="G7049" s="72"/>
      <c r="I7049" s="357"/>
      <c r="K7049" s="393"/>
    </row>
    <row r="7050" spans="1:11" x14ac:dyDescent="0.25">
      <c r="A7050" s="163"/>
      <c r="B7050" s="106"/>
      <c r="C7050" s="75" t="s">
        <v>3336</v>
      </c>
      <c r="D7050" s="73"/>
      <c r="E7050" s="73"/>
      <c r="F7050" s="74"/>
      <c r="G7050" s="72"/>
      <c r="I7050" s="357"/>
      <c r="K7050" s="393"/>
    </row>
    <row r="7051" spans="1:11" x14ac:dyDescent="0.25">
      <c r="A7051" s="163"/>
      <c r="B7051" s="106"/>
      <c r="C7051" s="73" t="s">
        <v>2755</v>
      </c>
      <c r="D7051" s="75"/>
      <c r="E7051" s="73"/>
      <c r="F7051" s="74" t="s">
        <v>3</v>
      </c>
      <c r="G7051" s="72">
        <f>0.016*3.14*3*0.08*1.2</f>
        <v>1.4469119999999999E-2</v>
      </c>
      <c r="I7051" s="357"/>
      <c r="K7051" s="393"/>
    </row>
    <row r="7052" spans="1:11" ht="17.25" x14ac:dyDescent="0.25">
      <c r="A7052" s="163"/>
      <c r="B7052" s="106"/>
      <c r="C7052" s="73" t="s">
        <v>1055</v>
      </c>
      <c r="D7052" s="75"/>
      <c r="E7052" s="73"/>
      <c r="F7052" s="74" t="s">
        <v>596</v>
      </c>
      <c r="G7052" s="72">
        <f>1.09*G7051</f>
        <v>1.5771340799999999E-2</v>
      </c>
      <c r="I7052" s="357"/>
      <c r="K7052" s="393"/>
    </row>
    <row r="7053" spans="1:11" x14ac:dyDescent="0.25">
      <c r="A7053" s="163"/>
      <c r="B7053" s="106"/>
      <c r="C7053" s="75"/>
      <c r="D7053" s="75" t="s">
        <v>3337</v>
      </c>
      <c r="E7053" s="73"/>
      <c r="F7053" s="74"/>
      <c r="G7053" s="72"/>
      <c r="I7053" s="357"/>
      <c r="K7053" s="393"/>
    </row>
    <row r="7054" spans="1:11" x14ac:dyDescent="0.25">
      <c r="A7054" s="163"/>
      <c r="B7054" s="106"/>
      <c r="C7054" s="75"/>
      <c r="D7054" s="73" t="s">
        <v>3214</v>
      </c>
      <c r="E7054" s="73"/>
      <c r="F7054" s="74" t="s">
        <v>3</v>
      </c>
      <c r="G7054" s="72">
        <f>0.235*0.12*2*8*1.108</f>
        <v>0.49992959999999997</v>
      </c>
      <c r="I7054" s="357"/>
      <c r="K7054" s="393"/>
    </row>
    <row r="7055" spans="1:11" x14ac:dyDescent="0.25">
      <c r="A7055" s="163"/>
      <c r="B7055" s="106"/>
      <c r="C7055" s="75"/>
      <c r="D7055" s="73"/>
      <c r="E7055" s="73"/>
      <c r="F7055" s="74"/>
      <c r="G7055" s="72"/>
      <c r="I7055" s="357"/>
      <c r="K7055" s="393"/>
    </row>
    <row r="7056" spans="1:11" x14ac:dyDescent="0.25">
      <c r="A7056" s="163"/>
      <c r="B7056" s="106"/>
      <c r="C7056" s="75" t="s">
        <v>3338</v>
      </c>
      <c r="D7056" s="73"/>
      <c r="E7056" s="73"/>
      <c r="F7056" s="74"/>
      <c r="G7056" s="72"/>
      <c r="I7056" s="357"/>
      <c r="K7056" s="393"/>
    </row>
    <row r="7057" spans="1:12" x14ac:dyDescent="0.25">
      <c r="A7057" s="163"/>
      <c r="B7057" s="106"/>
      <c r="C7057" s="73" t="s">
        <v>481</v>
      </c>
      <c r="D7057" s="73"/>
      <c r="E7057" s="73"/>
      <c r="F7057" s="74" t="s">
        <v>3</v>
      </c>
      <c r="G7057" s="72">
        <f>0.01*3.14*3*0.08*1.3</f>
        <v>9.7968000000000013E-3</v>
      </c>
      <c r="I7057" s="357"/>
      <c r="K7057" s="393"/>
    </row>
    <row r="7058" spans="1:12" ht="17.25" x14ac:dyDescent="0.25">
      <c r="A7058" s="163"/>
      <c r="B7058" s="106"/>
      <c r="C7058" s="73" t="s">
        <v>52</v>
      </c>
      <c r="D7058" s="73"/>
      <c r="E7058" s="73"/>
      <c r="F7058" s="74" t="s">
        <v>596</v>
      </c>
      <c r="G7058" s="72">
        <f>G7057*2</f>
        <v>1.9593600000000003E-2</v>
      </c>
      <c r="I7058" s="357"/>
      <c r="K7058" s="393"/>
    </row>
    <row r="7059" spans="1:12" x14ac:dyDescent="0.25">
      <c r="A7059" s="163"/>
      <c r="B7059" s="106"/>
      <c r="C7059" s="73" t="s">
        <v>24</v>
      </c>
      <c r="D7059" s="73"/>
      <c r="E7059" s="73"/>
      <c r="F7059" s="74" t="s">
        <v>3</v>
      </c>
      <c r="G7059" s="72">
        <f>G7057/4</f>
        <v>2.4492000000000003E-3</v>
      </c>
      <c r="I7059" s="357"/>
      <c r="K7059" s="393"/>
    </row>
    <row r="7060" spans="1:12" x14ac:dyDescent="0.25">
      <c r="A7060" s="163"/>
      <c r="B7060" s="106"/>
      <c r="C7060" s="77" t="s">
        <v>163</v>
      </c>
      <c r="D7060" s="75"/>
      <c r="E7060" s="73"/>
      <c r="F7060" s="74" t="s">
        <v>3</v>
      </c>
      <c r="G7060" s="72">
        <f>G7062*0.8</f>
        <v>1.99936E-2</v>
      </c>
      <c r="I7060" s="357"/>
      <c r="K7060" s="393"/>
    </row>
    <row r="7061" spans="1:12" x14ac:dyDescent="0.25">
      <c r="A7061" s="163"/>
      <c r="B7061" s="106"/>
      <c r="C7061" s="77" t="s">
        <v>164</v>
      </c>
      <c r="D7061" s="75"/>
      <c r="E7061" s="73"/>
      <c r="F7061" s="74" t="s">
        <v>3</v>
      </c>
      <c r="G7061" s="72">
        <f>0.3*G7060</f>
        <v>5.9980800000000003E-3</v>
      </c>
      <c r="I7061" s="357"/>
      <c r="K7061" s="393"/>
    </row>
    <row r="7062" spans="1:12" x14ac:dyDescent="0.25">
      <c r="A7062" s="163"/>
      <c r="B7062" s="106"/>
      <c r="C7062" s="77" t="s">
        <v>649</v>
      </c>
      <c r="D7062" s="75"/>
      <c r="E7062" s="73"/>
      <c r="F7062" s="74" t="s">
        <v>3</v>
      </c>
      <c r="G7062" s="72">
        <f>0.8*0.011*2*1.42</f>
        <v>2.4992E-2</v>
      </c>
      <c r="I7062" s="357"/>
      <c r="K7062" s="393"/>
    </row>
    <row r="7063" spans="1:12" x14ac:dyDescent="0.25">
      <c r="A7063" s="163"/>
      <c r="B7063" s="106"/>
      <c r="C7063" s="77" t="s">
        <v>148</v>
      </c>
      <c r="D7063" s="73"/>
      <c r="E7063" s="73"/>
      <c r="F7063" s="74" t="s">
        <v>3</v>
      </c>
      <c r="G7063" s="72">
        <f>0.003</f>
        <v>3.0000000000000001E-3</v>
      </c>
      <c r="I7063" s="357"/>
      <c r="K7063" s="393"/>
    </row>
    <row r="7064" spans="1:12" x14ac:dyDescent="0.25">
      <c r="A7064" s="163"/>
      <c r="B7064" s="106"/>
      <c r="C7064" s="77" t="s">
        <v>12</v>
      </c>
      <c r="D7064" s="75"/>
      <c r="E7064" s="73"/>
      <c r="F7064" s="74" t="s">
        <v>3</v>
      </c>
      <c r="G7064" s="72">
        <f>0.3*G7062</f>
        <v>7.4976000000000001E-3</v>
      </c>
      <c r="I7064" s="357"/>
      <c r="K7064" s="393"/>
    </row>
    <row r="7065" spans="1:12" x14ac:dyDescent="0.25">
      <c r="A7065" s="206"/>
      <c r="B7065" s="106"/>
      <c r="C7065" s="75"/>
      <c r="D7065" s="75" t="s">
        <v>3352</v>
      </c>
      <c r="E7065" s="73"/>
      <c r="F7065" s="74"/>
      <c r="G7065" s="72"/>
      <c r="I7065" s="357"/>
      <c r="K7065" s="393"/>
    </row>
    <row r="7066" spans="1:12" ht="60" x14ac:dyDescent="0.25">
      <c r="A7066" s="206"/>
      <c r="B7066" s="106"/>
      <c r="C7066" s="75"/>
      <c r="D7066" s="73" t="s">
        <v>3344</v>
      </c>
      <c r="E7066" s="73"/>
      <c r="F7066" s="74" t="s">
        <v>3</v>
      </c>
      <c r="G7066" s="72">
        <v>0.20499999999999999</v>
      </c>
      <c r="I7066" s="357" t="s">
        <v>2304</v>
      </c>
      <c r="K7066" s="393"/>
    </row>
    <row r="7067" spans="1:12" x14ac:dyDescent="0.25">
      <c r="A7067" s="206"/>
      <c r="B7067" s="106"/>
      <c r="C7067" s="75"/>
      <c r="D7067" s="75" t="s">
        <v>3353</v>
      </c>
      <c r="E7067" s="73"/>
      <c r="F7067" s="74"/>
      <c r="G7067" s="72"/>
      <c r="I7067" s="357"/>
      <c r="K7067" s="393"/>
    </row>
    <row r="7068" spans="1:12" ht="45" x14ac:dyDescent="0.25">
      <c r="A7068" s="163"/>
      <c r="B7068" s="106"/>
      <c r="C7068" s="75"/>
      <c r="D7068" s="73" t="s">
        <v>3344</v>
      </c>
      <c r="E7068" s="73"/>
      <c r="F7068" s="74" t="s">
        <v>3</v>
      </c>
      <c r="G7068" s="72">
        <v>1.6E-2</v>
      </c>
      <c r="I7068" s="357" t="s">
        <v>3366</v>
      </c>
      <c r="K7068" s="393"/>
    </row>
    <row r="7069" spans="1:12" x14ac:dyDescent="0.25">
      <c r="A7069" s="163"/>
      <c r="B7069" s="106"/>
      <c r="C7069" s="75"/>
      <c r="D7069" s="73"/>
      <c r="E7069" s="73"/>
      <c r="F7069" s="74"/>
      <c r="G7069" s="72"/>
      <c r="I7069" s="357"/>
      <c r="K7069" s="393"/>
    </row>
    <row r="7070" spans="1:12" x14ac:dyDescent="0.25">
      <c r="A7070" s="163"/>
      <c r="B7070" s="106"/>
      <c r="C7070" s="75" t="s">
        <v>3340</v>
      </c>
      <c r="D7070" s="73"/>
      <c r="E7070" s="73"/>
      <c r="F7070" s="74"/>
      <c r="G7070" s="72"/>
      <c r="I7070" s="357"/>
      <c r="J7070" s="13" t="s">
        <v>3339</v>
      </c>
      <c r="K7070" s="393"/>
      <c r="L7070" t="s">
        <v>99</v>
      </c>
    </row>
    <row r="7071" spans="1:12" x14ac:dyDescent="0.25">
      <c r="A7071" s="163"/>
      <c r="B7071" s="106"/>
      <c r="C7071" s="73" t="s">
        <v>481</v>
      </c>
      <c r="D7071" s="73"/>
      <c r="E7071" s="73"/>
      <c r="F7071" s="74" t="s">
        <v>3</v>
      </c>
      <c r="G7071" s="72">
        <f>0.01*3.14*3*0.08*1.3</f>
        <v>9.7968000000000013E-3</v>
      </c>
      <c r="I7071" s="357"/>
      <c r="K7071" s="393"/>
    </row>
    <row r="7072" spans="1:12" ht="17.25" x14ac:dyDescent="0.25">
      <c r="A7072" s="163"/>
      <c r="B7072" s="106"/>
      <c r="C7072" s="73" t="s">
        <v>52</v>
      </c>
      <c r="D7072" s="73"/>
      <c r="E7072" s="73"/>
      <c r="F7072" s="74" t="s">
        <v>596</v>
      </c>
      <c r="G7072" s="72">
        <f>G7071*2</f>
        <v>1.9593600000000003E-2</v>
      </c>
      <c r="I7072" s="357"/>
      <c r="K7072" s="393"/>
    </row>
    <row r="7073" spans="1:11" x14ac:dyDescent="0.25">
      <c r="A7073" s="163"/>
      <c r="B7073" s="106"/>
      <c r="C7073" s="73" t="s">
        <v>24</v>
      </c>
      <c r="D7073" s="73"/>
      <c r="E7073" s="73"/>
      <c r="F7073" s="74" t="s">
        <v>3</v>
      </c>
      <c r="G7073" s="72">
        <f>G7071/4</f>
        <v>2.4492000000000003E-3</v>
      </c>
      <c r="I7073" s="357"/>
      <c r="K7073" s="393"/>
    </row>
    <row r="7074" spans="1:11" x14ac:dyDescent="0.25">
      <c r="A7074" s="163"/>
      <c r="B7074" s="106"/>
      <c r="C7074" s="100" t="s">
        <v>163</v>
      </c>
      <c r="D7074" s="73"/>
      <c r="E7074" s="73"/>
      <c r="F7074" s="74" t="s">
        <v>3</v>
      </c>
      <c r="G7074" s="72">
        <f>G7076*0.72</f>
        <v>2.5233120000000001E-2</v>
      </c>
      <c r="I7074" s="357"/>
      <c r="K7074" s="393"/>
    </row>
    <row r="7075" spans="1:11" x14ac:dyDescent="0.25">
      <c r="A7075" s="163"/>
      <c r="B7075" s="106"/>
      <c r="C7075" s="100" t="s">
        <v>164</v>
      </c>
      <c r="D7075" s="73"/>
      <c r="E7075" s="73"/>
      <c r="F7075" s="74" t="s">
        <v>3</v>
      </c>
      <c r="G7075" s="72">
        <f>0.3*G7074</f>
        <v>7.5699360000000002E-3</v>
      </c>
      <c r="I7075" s="357"/>
      <c r="K7075" s="393"/>
    </row>
    <row r="7076" spans="1:11" x14ac:dyDescent="0.25">
      <c r="A7076" s="163"/>
      <c r="B7076" s="106"/>
      <c r="C7076" s="100" t="s">
        <v>649</v>
      </c>
      <c r="D7076" s="73"/>
      <c r="E7076" s="73"/>
      <c r="F7076" s="74" t="s">
        <v>3</v>
      </c>
      <c r="G7076" s="72">
        <f>1.35*0.011*2*1.18</f>
        <v>3.5046000000000001E-2</v>
      </c>
      <c r="I7076" s="357"/>
      <c r="K7076" s="393"/>
    </row>
    <row r="7077" spans="1:11" x14ac:dyDescent="0.25">
      <c r="A7077" s="163"/>
      <c r="B7077" s="106"/>
      <c r="C7077" s="100" t="s">
        <v>12</v>
      </c>
      <c r="D7077" s="73"/>
      <c r="E7077" s="73"/>
      <c r="F7077" s="74" t="s">
        <v>3</v>
      </c>
      <c r="G7077" s="72">
        <f>0.3*G7076</f>
        <v>1.05138E-2</v>
      </c>
      <c r="I7077" s="357"/>
      <c r="K7077" s="393"/>
    </row>
    <row r="7078" spans="1:11" x14ac:dyDescent="0.25">
      <c r="A7078" s="163"/>
      <c r="B7078" s="106"/>
      <c r="C7078" s="75"/>
      <c r="D7078" s="75" t="s">
        <v>3348</v>
      </c>
      <c r="E7078" s="73"/>
      <c r="F7078" s="74"/>
      <c r="G7078" s="72"/>
      <c r="I7078" s="357"/>
      <c r="K7078" s="393"/>
    </row>
    <row r="7079" spans="1:11" ht="60" x14ac:dyDescent="0.25">
      <c r="A7079" s="163"/>
      <c r="B7079" s="106"/>
      <c r="C7079" s="75"/>
      <c r="D7079" s="73" t="s">
        <v>3344</v>
      </c>
      <c r="E7079" s="73"/>
      <c r="F7079" s="74" t="s">
        <v>3</v>
      </c>
      <c r="G7079" s="72">
        <v>0.16500000000000001</v>
      </c>
      <c r="I7079" s="357" t="s">
        <v>3342</v>
      </c>
      <c r="K7079" s="393"/>
    </row>
    <row r="7080" spans="1:11" x14ac:dyDescent="0.25">
      <c r="A7080" s="163"/>
      <c r="B7080" s="106"/>
      <c r="C7080" s="75"/>
      <c r="D7080" s="75" t="s">
        <v>3349</v>
      </c>
      <c r="E7080" s="73"/>
      <c r="F7080" s="74"/>
      <c r="G7080" s="72"/>
      <c r="I7080" s="357"/>
      <c r="K7080" s="393"/>
    </row>
    <row r="7081" spans="1:11" ht="60" x14ac:dyDescent="0.25">
      <c r="A7081" s="163"/>
      <c r="B7081" s="106"/>
      <c r="C7081" s="75"/>
      <c r="D7081" s="100" t="s">
        <v>3344</v>
      </c>
      <c r="E7081" s="73"/>
      <c r="F7081" s="74" t="s">
        <v>3</v>
      </c>
      <c r="G7081" s="72">
        <v>8.5000000000000006E-2</v>
      </c>
      <c r="I7081" s="357" t="s">
        <v>3341</v>
      </c>
      <c r="K7081" s="393"/>
    </row>
    <row r="7082" spans="1:11" x14ac:dyDescent="0.25">
      <c r="A7082" s="163"/>
      <c r="B7082" s="106"/>
      <c r="C7082" s="75"/>
      <c r="D7082" s="75" t="s">
        <v>3350</v>
      </c>
      <c r="E7082" s="73"/>
      <c r="F7082" s="74"/>
      <c r="G7082" s="72"/>
      <c r="I7082" s="357"/>
      <c r="K7082" s="393"/>
    </row>
    <row r="7083" spans="1:11" ht="60" x14ac:dyDescent="0.25">
      <c r="A7083" s="163"/>
      <c r="B7083" s="106"/>
      <c r="C7083" s="75"/>
      <c r="D7083" s="100" t="s">
        <v>3344</v>
      </c>
      <c r="E7083" s="73"/>
      <c r="F7083" s="74" t="s">
        <v>3</v>
      </c>
      <c r="G7083" s="72">
        <v>9.1999999999999998E-2</v>
      </c>
      <c r="I7083" s="357" t="s">
        <v>2601</v>
      </c>
      <c r="K7083" s="393"/>
    </row>
    <row r="7084" spans="1:11" x14ac:dyDescent="0.25">
      <c r="A7084" s="163"/>
      <c r="B7084" s="106"/>
      <c r="C7084" s="75"/>
      <c r="D7084" s="75" t="s">
        <v>3351</v>
      </c>
      <c r="E7084" s="73"/>
      <c r="F7084" s="74"/>
      <c r="G7084" s="72"/>
      <c r="I7084" s="357"/>
      <c r="K7084" s="393"/>
    </row>
    <row r="7085" spans="1:11" ht="45" x14ac:dyDescent="0.25">
      <c r="A7085" s="163"/>
      <c r="B7085" s="106"/>
      <c r="C7085" s="75"/>
      <c r="D7085" s="100" t="s">
        <v>3344</v>
      </c>
      <c r="E7085" s="73"/>
      <c r="F7085" s="74" t="s">
        <v>3</v>
      </c>
      <c r="G7085" s="72">
        <v>2.5000000000000001E-2</v>
      </c>
      <c r="I7085" s="357" t="s">
        <v>3343</v>
      </c>
      <c r="K7085" s="393"/>
    </row>
    <row r="7086" spans="1:11" x14ac:dyDescent="0.25">
      <c r="A7086" s="163"/>
      <c r="B7086" s="106"/>
      <c r="C7086" s="75"/>
      <c r="D7086" s="73"/>
      <c r="E7086" s="73"/>
      <c r="F7086" s="74"/>
      <c r="G7086" s="72"/>
      <c r="I7086" s="357"/>
      <c r="K7086" s="393"/>
    </row>
    <row r="7087" spans="1:11" x14ac:dyDescent="0.25">
      <c r="A7087" s="163"/>
      <c r="B7087" s="106"/>
      <c r="C7087" s="75" t="s">
        <v>3345</v>
      </c>
      <c r="D7087" s="73"/>
      <c r="E7087" s="73"/>
      <c r="F7087" s="74"/>
      <c r="G7087" s="72"/>
      <c r="I7087" s="357"/>
      <c r="K7087" s="393"/>
    </row>
    <row r="7088" spans="1:11" x14ac:dyDescent="0.25">
      <c r="A7088" s="163"/>
      <c r="B7088" s="106"/>
      <c r="C7088" s="73" t="s">
        <v>481</v>
      </c>
      <c r="D7088" s="73"/>
      <c r="E7088" s="73"/>
      <c r="F7088" s="74" t="s">
        <v>3</v>
      </c>
      <c r="G7088" s="72">
        <f>0.01*3.14*3*0.08*1.3</f>
        <v>9.7968000000000013E-3</v>
      </c>
      <c r="I7088" s="357"/>
      <c r="K7088" s="393"/>
    </row>
    <row r="7089" spans="1:11" ht="17.25" x14ac:dyDescent="0.25">
      <c r="A7089" s="163"/>
      <c r="B7089" s="106"/>
      <c r="C7089" s="73" t="s">
        <v>52</v>
      </c>
      <c r="D7089" s="73"/>
      <c r="E7089" s="73"/>
      <c r="F7089" s="74" t="s">
        <v>596</v>
      </c>
      <c r="G7089" s="72">
        <f>G7088*2</f>
        <v>1.9593600000000003E-2</v>
      </c>
      <c r="I7089" s="357"/>
      <c r="K7089" s="393"/>
    </row>
    <row r="7090" spans="1:11" x14ac:dyDescent="0.25">
      <c r="A7090" s="163"/>
      <c r="B7090" s="106"/>
      <c r="C7090" s="73" t="s">
        <v>24</v>
      </c>
      <c r="D7090" s="73"/>
      <c r="E7090" s="73"/>
      <c r="F7090" s="74" t="s">
        <v>3</v>
      </c>
      <c r="G7090" s="72">
        <f>G7088/4</f>
        <v>2.4492000000000003E-3</v>
      </c>
      <c r="I7090" s="357"/>
      <c r="K7090" s="393"/>
    </row>
    <row r="7091" spans="1:11" x14ac:dyDescent="0.25">
      <c r="A7091" s="163"/>
      <c r="B7091" s="106"/>
      <c r="C7091" s="77" t="s">
        <v>163</v>
      </c>
      <c r="D7091" s="75"/>
      <c r="E7091" s="73"/>
      <c r="F7091" s="74" t="s">
        <v>3</v>
      </c>
      <c r="G7091" s="72">
        <f>G7093*0.67</f>
        <v>1.9899E-2</v>
      </c>
      <c r="I7091" s="357"/>
      <c r="K7091" s="393"/>
    </row>
    <row r="7092" spans="1:11" x14ac:dyDescent="0.25">
      <c r="A7092" s="163"/>
      <c r="B7092" s="106"/>
      <c r="C7092" s="77" t="s">
        <v>164</v>
      </c>
      <c r="D7092" s="75"/>
      <c r="E7092" s="73"/>
      <c r="F7092" s="74" t="s">
        <v>3</v>
      </c>
      <c r="G7092" s="72">
        <f>0.3*G7091</f>
        <v>5.9696999999999997E-3</v>
      </c>
      <c r="I7092" s="357"/>
      <c r="K7092" s="393"/>
    </row>
    <row r="7093" spans="1:11" x14ac:dyDescent="0.25">
      <c r="A7093" s="163"/>
      <c r="B7093" s="106"/>
      <c r="C7093" s="77" t="s">
        <v>649</v>
      </c>
      <c r="D7093" s="75"/>
      <c r="E7093" s="73"/>
      <c r="F7093" s="74" t="s">
        <v>3</v>
      </c>
      <c r="G7093" s="72">
        <f>1*0.011*2*1.35</f>
        <v>2.9700000000000001E-2</v>
      </c>
      <c r="I7093" s="357"/>
      <c r="K7093" s="393"/>
    </row>
    <row r="7094" spans="1:11" x14ac:dyDescent="0.25">
      <c r="A7094" s="163"/>
      <c r="B7094" s="106"/>
      <c r="C7094" s="77" t="s">
        <v>12</v>
      </c>
      <c r="D7094" s="75"/>
      <c r="E7094" s="73"/>
      <c r="F7094" s="74" t="s">
        <v>3</v>
      </c>
      <c r="G7094" s="72">
        <f>0.3*G7093</f>
        <v>8.9099999999999995E-3</v>
      </c>
      <c r="I7094" s="357"/>
      <c r="K7094" s="393"/>
    </row>
    <row r="7095" spans="1:11" x14ac:dyDescent="0.25">
      <c r="A7095" s="163"/>
      <c r="B7095" s="106"/>
      <c r="C7095" s="77"/>
      <c r="D7095" s="75" t="s">
        <v>3346</v>
      </c>
      <c r="E7095" s="73"/>
      <c r="F7095" s="74"/>
      <c r="G7095" s="72"/>
      <c r="K7095" s="393"/>
    </row>
    <row r="7096" spans="1:11" ht="60" x14ac:dyDescent="0.25">
      <c r="A7096" s="163"/>
      <c r="B7096" s="106"/>
      <c r="C7096" s="77"/>
      <c r="D7096" s="100" t="s">
        <v>3344</v>
      </c>
      <c r="E7096" s="73"/>
      <c r="F7096" s="74" t="s">
        <v>3</v>
      </c>
      <c r="G7096" s="72">
        <v>0.05</v>
      </c>
      <c r="I7096" s="357" t="s">
        <v>1223</v>
      </c>
      <c r="K7096" s="393"/>
    </row>
    <row r="7097" spans="1:11" x14ac:dyDescent="0.25">
      <c r="A7097" s="163"/>
      <c r="B7097" s="106"/>
      <c r="C7097" s="77"/>
      <c r="D7097" s="75" t="s">
        <v>3347</v>
      </c>
      <c r="E7097" s="73"/>
      <c r="F7097" s="74"/>
      <c r="G7097" s="72"/>
      <c r="I7097" s="357"/>
      <c r="K7097" s="393"/>
    </row>
    <row r="7098" spans="1:11" ht="60" x14ac:dyDescent="0.25">
      <c r="A7098" s="163"/>
      <c r="B7098" s="106"/>
      <c r="C7098" s="77"/>
      <c r="D7098" s="100" t="s">
        <v>3344</v>
      </c>
      <c r="E7098" s="73"/>
      <c r="F7098" s="74" t="s">
        <v>3</v>
      </c>
      <c r="G7098" s="72">
        <v>0.20499999999999999</v>
      </c>
      <c r="I7098" s="357" t="s">
        <v>3354</v>
      </c>
      <c r="K7098" s="393"/>
    </row>
    <row r="7099" spans="1:11" x14ac:dyDescent="0.25">
      <c r="A7099" s="163"/>
      <c r="B7099" s="106"/>
      <c r="C7099" s="77"/>
      <c r="D7099" s="100"/>
      <c r="E7099" s="73"/>
      <c r="F7099" s="74"/>
      <c r="G7099" s="72"/>
      <c r="I7099" s="357"/>
      <c r="K7099" s="395"/>
    </row>
    <row r="7100" spans="1:11" x14ac:dyDescent="0.25">
      <c r="A7100" s="163"/>
      <c r="B7100" s="106"/>
      <c r="C7100" s="78" t="s">
        <v>3364</v>
      </c>
      <c r="D7100" s="75"/>
      <c r="E7100" s="73"/>
      <c r="F7100" s="74"/>
      <c r="G7100" s="72"/>
      <c r="I7100" s="357"/>
      <c r="K7100" s="393"/>
    </row>
    <row r="7101" spans="1:11" x14ac:dyDescent="0.25">
      <c r="A7101" s="163"/>
      <c r="B7101" s="106"/>
      <c r="C7101" s="77" t="s">
        <v>275</v>
      </c>
      <c r="D7101" s="75"/>
      <c r="E7101" s="73"/>
      <c r="F7101" s="74" t="s">
        <v>3</v>
      </c>
      <c r="G7101" s="72">
        <f>0.19*0.05*1.5*8*1.14</f>
        <v>0.12996000000000002</v>
      </c>
      <c r="I7101" s="357"/>
      <c r="K7101" s="393"/>
    </row>
    <row r="7102" spans="1:11" x14ac:dyDescent="0.25">
      <c r="A7102" s="163"/>
      <c r="B7102" s="106"/>
      <c r="C7102" s="77"/>
      <c r="D7102" s="75"/>
      <c r="E7102" s="73"/>
      <c r="F7102" s="74"/>
      <c r="G7102" s="72"/>
      <c r="I7102" s="357"/>
      <c r="K7102" s="393"/>
    </row>
    <row r="7103" spans="1:11" x14ac:dyDescent="0.25">
      <c r="A7103" s="163"/>
      <c r="B7103" s="106"/>
      <c r="C7103" s="78" t="s">
        <v>3365</v>
      </c>
      <c r="D7103" s="75"/>
      <c r="E7103" s="73"/>
      <c r="F7103" s="74"/>
      <c r="G7103" s="72"/>
      <c r="I7103" s="357"/>
      <c r="K7103" s="393"/>
    </row>
    <row r="7104" spans="1:11" ht="15.75" thickBot="1" x14ac:dyDescent="0.3">
      <c r="A7104" s="384"/>
      <c r="B7104" s="385"/>
      <c r="C7104" s="403" t="s">
        <v>177</v>
      </c>
      <c r="D7104" s="375"/>
      <c r="E7104" s="376"/>
      <c r="F7104" s="377" t="s">
        <v>3</v>
      </c>
      <c r="G7104" s="386">
        <f>0.027*0.06*1*8*1.18</f>
        <v>1.5292799999999999E-2</v>
      </c>
      <c r="I7104" s="357"/>
      <c r="K7104" s="393"/>
    </row>
    <row r="7105" spans="1:11" ht="15.75" thickBot="1" x14ac:dyDescent="0.3">
      <c r="C7105" s="77"/>
      <c r="D7105" s="75"/>
      <c r="F7105" s="74"/>
      <c r="I7105" s="357"/>
      <c r="K7105" s="400"/>
    </row>
    <row r="7106" spans="1:11" ht="18.75" x14ac:dyDescent="0.3">
      <c r="A7106" s="159"/>
      <c r="B7106" s="181"/>
      <c r="C7106" s="65"/>
      <c r="D7106" s="184"/>
      <c r="E7106" s="178" t="s">
        <v>3374</v>
      </c>
      <c r="F7106" s="175" t="s">
        <v>3380</v>
      </c>
      <c r="G7106" s="176"/>
      <c r="I7106" s="357"/>
      <c r="K7106" s="404"/>
    </row>
    <row r="7107" spans="1:11" x14ac:dyDescent="0.25">
      <c r="A7107" s="163"/>
      <c r="B7107" s="106"/>
      <c r="C7107" s="77"/>
      <c r="D7107" s="75"/>
      <c r="E7107" s="73"/>
      <c r="F7107" s="74"/>
      <c r="G7107" s="72"/>
      <c r="H7107" s="13"/>
      <c r="I7107" s="357"/>
      <c r="K7107" s="400"/>
    </row>
    <row r="7108" spans="1:11" x14ac:dyDescent="0.25">
      <c r="A7108" s="163"/>
      <c r="B7108" s="106"/>
      <c r="C7108" s="78" t="s">
        <v>3372</v>
      </c>
      <c r="D7108" s="75"/>
      <c r="E7108" s="73"/>
      <c r="F7108" s="74"/>
      <c r="G7108" s="72"/>
      <c r="H7108" s="13"/>
      <c r="I7108" s="357"/>
      <c r="K7108" s="400"/>
    </row>
    <row r="7109" spans="1:11" x14ac:dyDescent="0.25">
      <c r="A7109" s="163"/>
      <c r="B7109" s="106"/>
      <c r="C7109" s="77" t="s">
        <v>8</v>
      </c>
      <c r="D7109" s="75"/>
      <c r="E7109" s="73"/>
      <c r="F7109" s="74" t="s">
        <v>3</v>
      </c>
      <c r="G7109" s="72">
        <f>G7111*0.75</f>
        <v>0.60001821000000011</v>
      </c>
      <c r="H7109" s="13"/>
      <c r="I7109" s="357"/>
      <c r="K7109" s="400"/>
    </row>
    <row r="7110" spans="1:11" x14ac:dyDescent="0.25">
      <c r="A7110" s="163"/>
      <c r="B7110" s="106"/>
      <c r="C7110" s="77" t="s">
        <v>12</v>
      </c>
      <c r="D7110" s="75"/>
      <c r="E7110" s="73"/>
      <c r="F7110" s="74" t="s">
        <v>3</v>
      </c>
      <c r="G7110" s="72">
        <f>0.3*G7109</f>
        <v>0.18000546300000003</v>
      </c>
      <c r="H7110" s="13"/>
      <c r="I7110" s="357"/>
      <c r="K7110" s="400"/>
    </row>
    <row r="7111" spans="1:11" x14ac:dyDescent="0.25">
      <c r="A7111" s="163"/>
      <c r="B7111" s="106"/>
      <c r="C7111" s="77" t="s">
        <v>72</v>
      </c>
      <c r="D7111" s="75"/>
      <c r="E7111" s="73"/>
      <c r="F7111" s="74" t="s">
        <v>3</v>
      </c>
      <c r="G7111" s="72">
        <f>(1.1*0.39*2+1.1*0.43*2+0.39*0.43*2)*0.15*2*1.354-0.069</f>
        <v>0.80002428000000014</v>
      </c>
      <c r="H7111" s="13"/>
      <c r="I7111" s="357"/>
      <c r="K7111" s="400"/>
    </row>
    <row r="7112" spans="1:11" x14ac:dyDescent="0.25">
      <c r="A7112" s="163"/>
      <c r="B7112" s="106"/>
      <c r="C7112" s="77" t="s">
        <v>11</v>
      </c>
      <c r="D7112" s="75"/>
      <c r="E7112" s="73"/>
      <c r="F7112" s="74" t="s">
        <v>3</v>
      </c>
      <c r="G7112" s="72">
        <f>0.3*G7111</f>
        <v>0.24000728400000004</v>
      </c>
      <c r="H7112" s="13"/>
      <c r="I7112" s="357"/>
      <c r="K7112" s="400"/>
    </row>
    <row r="7113" spans="1:11" x14ac:dyDescent="0.25">
      <c r="A7113" s="163"/>
      <c r="B7113" s="106"/>
      <c r="C7113" s="77" t="s">
        <v>1021</v>
      </c>
      <c r="D7113" s="75"/>
      <c r="E7113" s="73"/>
      <c r="F7113" s="74" t="s">
        <v>3</v>
      </c>
      <c r="G7113" s="72">
        <f>G7111</f>
        <v>0.80002428000000014</v>
      </c>
      <c r="H7113" s="13"/>
      <c r="I7113" s="357"/>
      <c r="K7113" s="400"/>
    </row>
    <row r="7114" spans="1:11" x14ac:dyDescent="0.25">
      <c r="A7114" s="163"/>
      <c r="B7114" s="106"/>
      <c r="C7114" s="77" t="s">
        <v>661</v>
      </c>
      <c r="D7114" s="75"/>
      <c r="E7114" s="73"/>
      <c r="F7114" s="74" t="s">
        <v>3</v>
      </c>
      <c r="G7114" s="72">
        <f>H7114*0.65+0.002</f>
        <v>0.21000631280000004</v>
      </c>
      <c r="H7114" s="10">
        <f>G7113*0.4</f>
        <v>0.32000971200000006</v>
      </c>
      <c r="I7114" s="357"/>
      <c r="K7114" s="400"/>
    </row>
    <row r="7115" spans="1:11" x14ac:dyDescent="0.25">
      <c r="A7115" s="163"/>
      <c r="B7115" s="106"/>
      <c r="C7115" s="77" t="s">
        <v>1993</v>
      </c>
      <c r="D7115" s="75"/>
      <c r="E7115" s="73"/>
      <c r="F7115" s="74" t="s">
        <v>3</v>
      </c>
      <c r="G7115" s="72">
        <f>H7114*0.35-0.002</f>
        <v>0.1100033992</v>
      </c>
      <c r="H7115" s="10"/>
      <c r="I7115" s="357"/>
      <c r="K7115" s="404"/>
    </row>
    <row r="7116" spans="1:11" x14ac:dyDescent="0.25">
      <c r="A7116" s="163"/>
      <c r="B7116" s="106"/>
      <c r="C7116" s="77" t="s">
        <v>13</v>
      </c>
      <c r="D7116" s="75"/>
      <c r="E7116" s="73"/>
      <c r="F7116" s="74" t="s">
        <v>3</v>
      </c>
      <c r="G7116" s="72">
        <v>0.3</v>
      </c>
      <c r="H7116" s="13"/>
      <c r="I7116" s="357"/>
      <c r="K7116" s="400"/>
    </row>
    <row r="7117" spans="1:11" x14ac:dyDescent="0.25">
      <c r="A7117" s="163"/>
      <c r="B7117" s="106"/>
      <c r="C7117" s="77" t="s">
        <v>147</v>
      </c>
      <c r="D7117" s="75"/>
      <c r="E7117" s="73"/>
      <c r="F7117" s="74" t="s">
        <v>3</v>
      </c>
      <c r="G7117" s="72">
        <v>0.12</v>
      </c>
      <c r="H7117" s="13"/>
      <c r="I7117" s="357"/>
      <c r="K7117" s="404"/>
    </row>
    <row r="7118" spans="1:11" x14ac:dyDescent="0.25">
      <c r="A7118" s="163"/>
      <c r="B7118" s="106"/>
      <c r="C7118" s="77"/>
      <c r="D7118" s="75"/>
      <c r="E7118" s="73"/>
      <c r="F7118" s="74"/>
      <c r="G7118" s="72"/>
      <c r="H7118" s="13"/>
      <c r="I7118" s="357"/>
      <c r="K7118" s="400"/>
    </row>
    <row r="7119" spans="1:11" x14ac:dyDescent="0.25">
      <c r="A7119" s="163"/>
      <c r="B7119" s="106"/>
      <c r="C7119" s="75" t="s">
        <v>3373</v>
      </c>
      <c r="D7119" s="73"/>
      <c r="E7119" s="73"/>
      <c r="F7119" s="74"/>
      <c r="G7119" s="72"/>
      <c r="H7119" s="13"/>
      <c r="I7119" s="357"/>
      <c r="K7119" s="387"/>
    </row>
    <row r="7120" spans="1:11" x14ac:dyDescent="0.25">
      <c r="A7120" s="163"/>
      <c r="B7120" s="106"/>
      <c r="C7120" s="77" t="s">
        <v>8</v>
      </c>
      <c r="D7120" s="75"/>
      <c r="E7120" s="73"/>
      <c r="F7120" s="74" t="s">
        <v>3</v>
      </c>
      <c r="G7120" s="72">
        <f>0.58*0.31*0.15*1.48</f>
        <v>3.9915599999999996E-2</v>
      </c>
      <c r="H7120" s="13"/>
      <c r="I7120" s="357"/>
      <c r="K7120" s="404"/>
    </row>
    <row r="7121" spans="1:11" x14ac:dyDescent="0.25">
      <c r="A7121" s="163"/>
      <c r="B7121" s="106"/>
      <c r="C7121" s="77" t="s">
        <v>12</v>
      </c>
      <c r="D7121" s="75"/>
      <c r="E7121" s="73"/>
      <c r="F7121" s="74" t="s">
        <v>3</v>
      </c>
      <c r="G7121" s="72">
        <f>0.3*G7120</f>
        <v>1.1974679999999998E-2</v>
      </c>
      <c r="H7121" s="13"/>
      <c r="I7121" s="357"/>
      <c r="K7121" s="404"/>
    </row>
    <row r="7122" spans="1:11" x14ac:dyDescent="0.25">
      <c r="A7122" s="163"/>
      <c r="B7122" s="106"/>
      <c r="C7122" s="77" t="s">
        <v>72</v>
      </c>
      <c r="D7122" s="75"/>
      <c r="E7122" s="73"/>
      <c r="F7122" s="74" t="s">
        <v>3</v>
      </c>
      <c r="G7122" s="72">
        <f>0.58*0.31*0.15*2*1.3</f>
        <v>7.012199999999999E-2</v>
      </c>
      <c r="H7122" s="13"/>
      <c r="I7122" s="357"/>
      <c r="K7122" s="404"/>
    </row>
    <row r="7123" spans="1:11" x14ac:dyDescent="0.25">
      <c r="A7123" s="163"/>
      <c r="B7123" s="106"/>
      <c r="C7123" s="77" t="s">
        <v>11</v>
      </c>
      <c r="D7123" s="75"/>
      <c r="E7123" s="73"/>
      <c r="F7123" s="74" t="s">
        <v>3</v>
      </c>
      <c r="G7123" s="72">
        <f>0.3*G7122</f>
        <v>2.1036599999999996E-2</v>
      </c>
      <c r="H7123" s="13"/>
      <c r="I7123" s="357"/>
      <c r="K7123" s="404"/>
    </row>
    <row r="7124" spans="1:11" x14ac:dyDescent="0.25">
      <c r="A7124" s="163"/>
      <c r="B7124" s="106"/>
      <c r="C7124" s="77" t="s">
        <v>1021</v>
      </c>
      <c r="D7124" s="75"/>
      <c r="E7124" s="73"/>
      <c r="F7124" s="74" t="s">
        <v>3</v>
      </c>
      <c r="G7124" s="72">
        <f>G7122</f>
        <v>7.012199999999999E-2</v>
      </c>
      <c r="H7124" s="13"/>
      <c r="I7124" s="357"/>
      <c r="K7124" s="404"/>
    </row>
    <row r="7125" spans="1:11" x14ac:dyDescent="0.25">
      <c r="A7125" s="163"/>
      <c r="B7125" s="106"/>
      <c r="C7125" s="77" t="s">
        <v>661</v>
      </c>
      <c r="D7125" s="75"/>
      <c r="E7125" s="73"/>
      <c r="F7125" s="74" t="s">
        <v>3</v>
      </c>
      <c r="G7125" s="72">
        <f>H7125*0.65+0.002</f>
        <v>2.0231720000000002E-2</v>
      </c>
      <c r="H7125" s="10">
        <f>G7124*0.4</f>
        <v>2.8048799999999999E-2</v>
      </c>
      <c r="I7125" s="357"/>
      <c r="K7125" s="404"/>
    </row>
    <row r="7126" spans="1:11" x14ac:dyDescent="0.25">
      <c r="A7126" s="163"/>
      <c r="B7126" s="106"/>
      <c r="C7126" s="77" t="s">
        <v>1993</v>
      </c>
      <c r="D7126" s="75"/>
      <c r="E7126" s="73"/>
      <c r="F7126" s="74" t="s">
        <v>3</v>
      </c>
      <c r="G7126" s="72">
        <f>H7125*0.35</f>
        <v>9.8170799999999989E-3</v>
      </c>
      <c r="H7126" s="10"/>
      <c r="I7126" s="357"/>
      <c r="K7126" s="404"/>
    </row>
    <row r="7127" spans="1:11" x14ac:dyDescent="0.25">
      <c r="A7127" s="163"/>
      <c r="B7127" s="106"/>
      <c r="C7127" s="77" t="s">
        <v>13</v>
      </c>
      <c r="D7127" s="75"/>
      <c r="E7127" s="73"/>
      <c r="F7127" s="74" t="s">
        <v>3</v>
      </c>
      <c r="G7127" s="72">
        <v>0.08</v>
      </c>
      <c r="H7127" s="13"/>
      <c r="I7127" s="357"/>
      <c r="K7127" s="404"/>
    </row>
    <row r="7128" spans="1:11" x14ac:dyDescent="0.25">
      <c r="A7128" s="163"/>
      <c r="B7128" s="106"/>
      <c r="C7128" s="77" t="s">
        <v>147</v>
      </c>
      <c r="D7128" s="75"/>
      <c r="E7128" s="73"/>
      <c r="F7128" s="74" t="s">
        <v>3</v>
      </c>
      <c r="G7128" s="72">
        <v>0.02</v>
      </c>
      <c r="H7128" s="13"/>
      <c r="I7128" s="357"/>
      <c r="K7128" s="404"/>
    </row>
    <row r="7129" spans="1:11" x14ac:dyDescent="0.25">
      <c r="A7129" s="163"/>
      <c r="B7129" s="106"/>
      <c r="C7129" s="77"/>
      <c r="D7129" s="75"/>
      <c r="E7129" s="73"/>
      <c r="F7129" s="74"/>
      <c r="G7129" s="72"/>
      <c r="H7129" s="13"/>
      <c r="I7129" s="357"/>
      <c r="K7129" s="404"/>
    </row>
    <row r="7130" spans="1:11" x14ac:dyDescent="0.25">
      <c r="A7130" s="163"/>
      <c r="B7130" s="106"/>
      <c r="C7130" s="78" t="s">
        <v>3375</v>
      </c>
      <c r="D7130" s="75"/>
      <c r="E7130" s="73"/>
      <c r="F7130" s="74"/>
      <c r="G7130" s="72"/>
      <c r="H7130" s="13"/>
      <c r="I7130" s="357"/>
      <c r="K7130" s="404"/>
    </row>
    <row r="7131" spans="1:11" x14ac:dyDescent="0.25">
      <c r="A7131" s="163"/>
      <c r="B7131" s="106"/>
      <c r="C7131" s="77" t="s">
        <v>8</v>
      </c>
      <c r="D7131" s="75"/>
      <c r="E7131" s="73"/>
      <c r="F7131" s="74" t="s">
        <v>3</v>
      </c>
      <c r="G7131" s="72">
        <f>G7133*0.75</f>
        <v>0.60001821000000011</v>
      </c>
      <c r="H7131" s="13"/>
      <c r="I7131" s="357"/>
      <c r="K7131" s="404"/>
    </row>
    <row r="7132" spans="1:11" x14ac:dyDescent="0.25">
      <c r="A7132" s="163"/>
      <c r="B7132" s="106"/>
      <c r="C7132" s="77" t="s">
        <v>12</v>
      </c>
      <c r="D7132" s="75"/>
      <c r="E7132" s="73"/>
      <c r="F7132" s="74" t="s">
        <v>3</v>
      </c>
      <c r="G7132" s="72">
        <f>0.3*G7131</f>
        <v>0.18000546300000003</v>
      </c>
      <c r="H7132" s="13"/>
      <c r="I7132" s="357"/>
      <c r="K7132" s="404"/>
    </row>
    <row r="7133" spans="1:11" x14ac:dyDescent="0.25">
      <c r="A7133" s="163"/>
      <c r="B7133" s="106"/>
      <c r="C7133" s="77" t="s">
        <v>72</v>
      </c>
      <c r="D7133" s="75"/>
      <c r="E7133" s="73"/>
      <c r="F7133" s="74" t="s">
        <v>3</v>
      </c>
      <c r="G7133" s="72">
        <f>(1.1*0.39*2+1.1*0.43*2+0.39*0.43*2)*0.15*2*1.354-0.069</f>
        <v>0.80002428000000014</v>
      </c>
      <c r="H7133" s="13"/>
      <c r="I7133" s="357"/>
      <c r="K7133" s="404"/>
    </row>
    <row r="7134" spans="1:11" x14ac:dyDescent="0.25">
      <c r="A7134" s="163"/>
      <c r="B7134" s="106"/>
      <c r="C7134" s="77" t="s">
        <v>11</v>
      </c>
      <c r="D7134" s="75"/>
      <c r="E7134" s="73"/>
      <c r="F7134" s="74" t="s">
        <v>3</v>
      </c>
      <c r="G7134" s="72">
        <f>0.3*G7133</f>
        <v>0.24000728400000004</v>
      </c>
      <c r="H7134" s="13"/>
      <c r="I7134" s="357"/>
      <c r="K7134" s="404"/>
    </row>
    <row r="7135" spans="1:11" x14ac:dyDescent="0.25">
      <c r="A7135" s="163"/>
      <c r="B7135" s="106"/>
      <c r="C7135" s="77" t="s">
        <v>1021</v>
      </c>
      <c r="D7135" s="75"/>
      <c r="E7135" s="73"/>
      <c r="F7135" s="74" t="s">
        <v>3</v>
      </c>
      <c r="G7135" s="72">
        <f>G7133</f>
        <v>0.80002428000000014</v>
      </c>
      <c r="H7135" s="13"/>
      <c r="I7135" s="357"/>
      <c r="K7135" s="404"/>
    </row>
    <row r="7136" spans="1:11" x14ac:dyDescent="0.25">
      <c r="A7136" s="163"/>
      <c r="B7136" s="106"/>
      <c r="C7136" s="77" t="s">
        <v>661</v>
      </c>
      <c r="D7136" s="75"/>
      <c r="E7136" s="73"/>
      <c r="F7136" s="74" t="s">
        <v>3</v>
      </c>
      <c r="G7136" s="72">
        <f>H7136*0.65+0.002</f>
        <v>0.21000631280000004</v>
      </c>
      <c r="H7136" s="10">
        <f>G7135*0.4</f>
        <v>0.32000971200000006</v>
      </c>
      <c r="I7136" s="357"/>
      <c r="K7136" s="404"/>
    </row>
    <row r="7137" spans="1:11" x14ac:dyDescent="0.25">
      <c r="A7137" s="163"/>
      <c r="B7137" s="106"/>
      <c r="C7137" s="77" t="s">
        <v>1993</v>
      </c>
      <c r="D7137" s="75"/>
      <c r="E7137" s="73"/>
      <c r="F7137" s="74" t="s">
        <v>3</v>
      </c>
      <c r="G7137" s="72">
        <f>H7136*0.35-0.002</f>
        <v>0.1100033992</v>
      </c>
      <c r="H7137" s="10"/>
      <c r="I7137" s="357"/>
      <c r="K7137" s="404"/>
    </row>
    <row r="7138" spans="1:11" x14ac:dyDescent="0.25">
      <c r="A7138" s="163"/>
      <c r="B7138" s="106"/>
      <c r="C7138" s="77" t="s">
        <v>13</v>
      </c>
      <c r="D7138" s="75"/>
      <c r="E7138" s="73"/>
      <c r="F7138" s="74" t="s">
        <v>3</v>
      </c>
      <c r="G7138" s="72">
        <v>0.3</v>
      </c>
      <c r="H7138" s="13"/>
      <c r="I7138" s="357"/>
      <c r="K7138" s="404"/>
    </row>
    <row r="7139" spans="1:11" x14ac:dyDescent="0.25">
      <c r="A7139" s="163"/>
      <c r="B7139" s="106"/>
      <c r="C7139" s="77" t="s">
        <v>147</v>
      </c>
      <c r="D7139" s="75"/>
      <c r="E7139" s="73"/>
      <c r="F7139" s="74" t="s">
        <v>3</v>
      </c>
      <c r="G7139" s="72">
        <v>0.12</v>
      </c>
      <c r="H7139" s="13"/>
      <c r="I7139" s="357"/>
      <c r="K7139" s="404"/>
    </row>
    <row r="7140" spans="1:11" x14ac:dyDescent="0.25">
      <c r="A7140" s="163"/>
      <c r="B7140" s="106"/>
      <c r="C7140" s="77"/>
      <c r="D7140" s="75"/>
      <c r="E7140" s="73"/>
      <c r="F7140" s="74"/>
      <c r="G7140" s="72"/>
      <c r="H7140" s="13"/>
      <c r="I7140" s="357"/>
      <c r="K7140" s="404"/>
    </row>
    <row r="7141" spans="1:11" x14ac:dyDescent="0.25">
      <c r="A7141" s="163"/>
      <c r="B7141" s="106"/>
      <c r="C7141" s="78" t="s">
        <v>3376</v>
      </c>
      <c r="D7141" s="75"/>
      <c r="E7141" s="73"/>
      <c r="F7141" s="74"/>
      <c r="G7141" s="72"/>
      <c r="H7141" s="13"/>
      <c r="I7141" s="357"/>
      <c r="K7141" s="404"/>
    </row>
    <row r="7142" spans="1:11" x14ac:dyDescent="0.25">
      <c r="A7142" s="163"/>
      <c r="B7142" s="106"/>
      <c r="C7142" s="77" t="s">
        <v>8</v>
      </c>
      <c r="D7142" s="75"/>
      <c r="E7142" s="73"/>
      <c r="F7142" s="74" t="s">
        <v>3</v>
      </c>
      <c r="G7142" s="72">
        <f>G7144*0.75</f>
        <v>1.8452812500000002E-2</v>
      </c>
      <c r="H7142" s="13"/>
      <c r="I7142" s="357"/>
      <c r="K7142" s="404"/>
    </row>
    <row r="7143" spans="1:11" x14ac:dyDescent="0.25">
      <c r="A7143" s="163"/>
      <c r="B7143" s="106"/>
      <c r="C7143" s="77" t="s">
        <v>12</v>
      </c>
      <c r="D7143" s="75"/>
      <c r="E7143" s="73"/>
      <c r="F7143" s="74" t="s">
        <v>3</v>
      </c>
      <c r="G7143" s="72">
        <f>0.3*G7142</f>
        <v>5.5358437500000008E-3</v>
      </c>
      <c r="H7143" s="13"/>
      <c r="I7143" s="357"/>
      <c r="K7143" s="404"/>
    </row>
    <row r="7144" spans="1:11" x14ac:dyDescent="0.25">
      <c r="A7144" s="163"/>
      <c r="B7144" s="106"/>
      <c r="C7144" s="77" t="s">
        <v>72</v>
      </c>
      <c r="D7144" s="75"/>
      <c r="E7144" s="73"/>
      <c r="F7144" s="74" t="s">
        <v>3</v>
      </c>
      <c r="G7144" s="72">
        <f>0.27*0.225*0.15*2*1.35</f>
        <v>2.4603750000000004E-2</v>
      </c>
      <c r="H7144" s="13"/>
      <c r="I7144" s="357"/>
      <c r="K7144" s="404"/>
    </row>
    <row r="7145" spans="1:11" x14ac:dyDescent="0.25">
      <c r="A7145" s="163"/>
      <c r="B7145" s="106"/>
      <c r="C7145" s="77" t="s">
        <v>11</v>
      </c>
      <c r="D7145" s="75"/>
      <c r="E7145" s="73"/>
      <c r="F7145" s="74" t="s">
        <v>3</v>
      </c>
      <c r="G7145" s="72">
        <f>0.3*G7144</f>
        <v>7.3811250000000005E-3</v>
      </c>
      <c r="H7145" s="13"/>
      <c r="I7145" s="357"/>
      <c r="K7145" s="404"/>
    </row>
    <row r="7146" spans="1:11" x14ac:dyDescent="0.25">
      <c r="A7146" s="163"/>
      <c r="B7146" s="106"/>
      <c r="C7146" s="77" t="s">
        <v>1021</v>
      </c>
      <c r="D7146" s="75"/>
      <c r="E7146" s="73"/>
      <c r="F7146" s="74" t="s">
        <v>3</v>
      </c>
      <c r="G7146" s="72">
        <f>G7144</f>
        <v>2.4603750000000004E-2</v>
      </c>
      <c r="H7146" s="13" t="s">
        <v>3393</v>
      </c>
      <c r="I7146" s="357"/>
      <c r="K7146" s="404"/>
    </row>
    <row r="7147" spans="1:11" x14ac:dyDescent="0.25">
      <c r="A7147" s="163"/>
      <c r="B7147" s="106"/>
      <c r="C7147" s="77" t="s">
        <v>661</v>
      </c>
      <c r="D7147" s="75"/>
      <c r="E7147" s="73"/>
      <c r="F7147" s="74" t="s">
        <v>3</v>
      </c>
      <c r="G7147" s="72">
        <f>H7147*0.65</f>
        <v>6.3969750000000018E-3</v>
      </c>
      <c r="H7147" s="10">
        <f>G7146*0.4</f>
        <v>9.841500000000003E-3</v>
      </c>
      <c r="I7147" s="357"/>
      <c r="K7147" s="404"/>
    </row>
    <row r="7148" spans="1:11" x14ac:dyDescent="0.25">
      <c r="A7148" s="163"/>
      <c r="B7148" s="106"/>
      <c r="C7148" s="77" t="s">
        <v>1993</v>
      </c>
      <c r="D7148" s="75"/>
      <c r="E7148" s="73"/>
      <c r="F7148" s="74" t="s">
        <v>3</v>
      </c>
      <c r="G7148" s="72">
        <f>H7147*0.35</f>
        <v>3.4445250000000008E-3</v>
      </c>
      <c r="H7148" s="10"/>
      <c r="I7148" s="357"/>
      <c r="K7148" s="404"/>
    </row>
    <row r="7149" spans="1:11" x14ac:dyDescent="0.25">
      <c r="A7149" s="163"/>
      <c r="B7149" s="106"/>
      <c r="C7149" s="77" t="s">
        <v>13</v>
      </c>
      <c r="D7149" s="75"/>
      <c r="E7149" s="73"/>
      <c r="F7149" s="74" t="s">
        <v>3</v>
      </c>
      <c r="G7149" s="72">
        <v>0.02</v>
      </c>
      <c r="H7149" s="13"/>
      <c r="I7149" s="357"/>
      <c r="K7149" s="404"/>
    </row>
    <row r="7150" spans="1:11" x14ac:dyDescent="0.25">
      <c r="A7150" s="163"/>
      <c r="B7150" s="106"/>
      <c r="C7150" s="77" t="s">
        <v>147</v>
      </c>
      <c r="D7150" s="75"/>
      <c r="E7150" s="73"/>
      <c r="F7150" s="74" t="s">
        <v>3</v>
      </c>
      <c r="G7150" s="72">
        <v>0.02</v>
      </c>
      <c r="H7150" s="13"/>
      <c r="I7150" s="357"/>
      <c r="K7150" s="404"/>
    </row>
    <row r="7151" spans="1:11" x14ac:dyDescent="0.25">
      <c r="A7151" s="163"/>
      <c r="B7151" s="106"/>
      <c r="C7151" s="77"/>
      <c r="D7151" s="75"/>
      <c r="E7151" s="73"/>
      <c r="F7151" s="74"/>
      <c r="G7151" s="72"/>
      <c r="H7151" s="13"/>
      <c r="I7151" s="357"/>
      <c r="K7151" s="404"/>
    </row>
    <row r="7152" spans="1:11" x14ac:dyDescent="0.25">
      <c r="A7152" s="163"/>
      <c r="B7152" s="106"/>
      <c r="C7152" s="78" t="s">
        <v>3377</v>
      </c>
      <c r="D7152" s="75"/>
      <c r="E7152" s="73"/>
      <c r="F7152" s="74"/>
      <c r="G7152" s="72"/>
      <c r="H7152" s="13"/>
      <c r="I7152" s="357"/>
      <c r="K7152" s="404"/>
    </row>
    <row r="7153" spans="1:11" x14ac:dyDescent="0.25">
      <c r="A7153" s="163"/>
      <c r="B7153" s="106"/>
      <c r="C7153" s="77" t="s">
        <v>8</v>
      </c>
      <c r="D7153" s="75"/>
      <c r="E7153" s="73"/>
      <c r="F7153" s="74" t="s">
        <v>3</v>
      </c>
      <c r="G7153" s="72">
        <f>G7155*0.79</f>
        <v>1.9580940000000002E-2</v>
      </c>
      <c r="H7153" s="13"/>
      <c r="I7153" s="357"/>
      <c r="K7153" s="404"/>
    </row>
    <row r="7154" spans="1:11" x14ac:dyDescent="0.25">
      <c r="A7154" s="163"/>
      <c r="B7154" s="106"/>
      <c r="C7154" s="77" t="s">
        <v>12</v>
      </c>
      <c r="D7154" s="75"/>
      <c r="E7154" s="73"/>
      <c r="F7154" s="74" t="s">
        <v>3</v>
      </c>
      <c r="G7154" s="72">
        <f>0.3*G7153</f>
        <v>5.8742820000000006E-3</v>
      </c>
      <c r="H7154" s="13"/>
      <c r="I7154" s="357"/>
      <c r="K7154" s="404"/>
    </row>
    <row r="7155" spans="1:11" x14ac:dyDescent="0.25">
      <c r="A7155" s="163"/>
      <c r="B7155" s="106"/>
      <c r="C7155" s="77" t="s">
        <v>72</v>
      </c>
      <c r="D7155" s="75"/>
      <c r="E7155" s="73"/>
      <c r="F7155" s="74" t="s">
        <v>3</v>
      </c>
      <c r="G7155" s="72">
        <f>0.34*0.18*0.15*2*1.35</f>
        <v>2.4786000000000002E-2</v>
      </c>
      <c r="H7155" s="13"/>
      <c r="I7155" s="357"/>
      <c r="K7155" s="404"/>
    </row>
    <row r="7156" spans="1:11" x14ac:dyDescent="0.25">
      <c r="A7156" s="163"/>
      <c r="B7156" s="106"/>
      <c r="C7156" s="77" t="s">
        <v>11</v>
      </c>
      <c r="D7156" s="75"/>
      <c r="E7156" s="73"/>
      <c r="F7156" s="74" t="s">
        <v>3</v>
      </c>
      <c r="G7156" s="72">
        <f>0.3*G7155</f>
        <v>7.4358000000000002E-3</v>
      </c>
      <c r="H7156" s="13"/>
      <c r="I7156" s="357"/>
      <c r="K7156" s="404"/>
    </row>
    <row r="7157" spans="1:11" x14ac:dyDescent="0.25">
      <c r="A7157" s="163"/>
      <c r="B7157" s="106"/>
      <c r="C7157" s="77" t="s">
        <v>1021</v>
      </c>
      <c r="D7157" s="75"/>
      <c r="E7157" s="73"/>
      <c r="F7157" s="74" t="s">
        <v>3</v>
      </c>
      <c r="G7157" s="72">
        <f>G7155</f>
        <v>2.4786000000000002E-2</v>
      </c>
      <c r="H7157" s="13" t="s">
        <v>3393</v>
      </c>
      <c r="I7157" s="357"/>
      <c r="K7157" s="404"/>
    </row>
    <row r="7158" spans="1:11" x14ac:dyDescent="0.25">
      <c r="A7158" s="163"/>
      <c r="B7158" s="106"/>
      <c r="C7158" s="77" t="s">
        <v>661</v>
      </c>
      <c r="D7158" s="75"/>
      <c r="E7158" s="73"/>
      <c r="F7158" s="74" t="s">
        <v>3</v>
      </c>
      <c r="G7158" s="72">
        <f>H7158*0.65</f>
        <v>6.4443600000000014E-3</v>
      </c>
      <c r="H7158" s="10">
        <f>G7157*0.4</f>
        <v>9.914400000000002E-3</v>
      </c>
      <c r="I7158" s="357"/>
      <c r="K7158" s="404"/>
    </row>
    <row r="7159" spans="1:11" x14ac:dyDescent="0.25">
      <c r="A7159" s="163"/>
      <c r="B7159" s="106"/>
      <c r="C7159" s="77" t="s">
        <v>1993</v>
      </c>
      <c r="D7159" s="75"/>
      <c r="E7159" s="73"/>
      <c r="F7159" s="74" t="s">
        <v>3</v>
      </c>
      <c r="G7159" s="72">
        <f>H7158*0.35+0.001</f>
        <v>4.4700400000000006E-3</v>
      </c>
      <c r="H7159" s="10"/>
      <c r="I7159" s="357"/>
      <c r="K7159" s="404"/>
    </row>
    <row r="7160" spans="1:11" x14ac:dyDescent="0.25">
      <c r="A7160" s="163"/>
      <c r="B7160" s="106"/>
      <c r="C7160" s="77" t="s">
        <v>13</v>
      </c>
      <c r="D7160" s="75"/>
      <c r="E7160" s="73"/>
      <c r="F7160" s="74" t="s">
        <v>3</v>
      </c>
      <c r="G7160" s="72">
        <v>0.02</v>
      </c>
      <c r="H7160" s="13"/>
      <c r="I7160" s="357"/>
      <c r="K7160" s="404"/>
    </row>
    <row r="7161" spans="1:11" x14ac:dyDescent="0.25">
      <c r="A7161" s="163"/>
      <c r="B7161" s="106"/>
      <c r="C7161" s="77" t="s">
        <v>147</v>
      </c>
      <c r="D7161" s="75"/>
      <c r="E7161" s="73"/>
      <c r="F7161" s="74" t="s">
        <v>3</v>
      </c>
      <c r="G7161" s="72">
        <v>0.02</v>
      </c>
      <c r="H7161" s="13"/>
      <c r="I7161" s="357"/>
      <c r="K7161" s="404"/>
    </row>
    <row r="7162" spans="1:11" x14ac:dyDescent="0.25">
      <c r="A7162" s="163"/>
      <c r="B7162" s="106"/>
      <c r="C7162" s="75"/>
      <c r="D7162" s="73"/>
      <c r="E7162" s="73"/>
      <c r="F7162" s="74"/>
      <c r="G7162" s="72"/>
      <c r="H7162" s="13"/>
      <c r="I7162" s="357"/>
      <c r="K7162" s="404"/>
    </row>
    <row r="7163" spans="1:11" x14ac:dyDescent="0.25">
      <c r="A7163" s="163"/>
      <c r="B7163" s="106"/>
      <c r="C7163" s="75" t="s">
        <v>3378</v>
      </c>
      <c r="D7163" s="73"/>
      <c r="E7163" s="73"/>
      <c r="F7163" s="74"/>
      <c r="G7163" s="72"/>
      <c r="H7163" s="13"/>
      <c r="I7163" s="357"/>
      <c r="K7163" s="404"/>
    </row>
    <row r="7164" spans="1:11" x14ac:dyDescent="0.25">
      <c r="A7164" s="163"/>
      <c r="B7164" s="106"/>
      <c r="C7164" s="77" t="s">
        <v>8</v>
      </c>
      <c r="D7164" s="75"/>
      <c r="E7164" s="73"/>
      <c r="F7164" s="74" t="s">
        <v>3</v>
      </c>
      <c r="G7164" s="72">
        <f>G7166*0.75</f>
        <v>0.58493542500000006</v>
      </c>
      <c r="H7164" s="13"/>
      <c r="I7164" s="357"/>
      <c r="K7164" s="404"/>
    </row>
    <row r="7165" spans="1:11" x14ac:dyDescent="0.25">
      <c r="A7165" s="163"/>
      <c r="B7165" s="106"/>
      <c r="C7165" s="77" t="s">
        <v>12</v>
      </c>
      <c r="D7165" s="75"/>
      <c r="E7165" s="73"/>
      <c r="F7165" s="74" t="s">
        <v>3</v>
      </c>
      <c r="G7165" s="72">
        <f>0.3*G7164</f>
        <v>0.17548062750000001</v>
      </c>
      <c r="H7165" s="13"/>
      <c r="I7165" s="357"/>
      <c r="K7165" s="404"/>
    </row>
    <row r="7166" spans="1:11" x14ac:dyDescent="0.25">
      <c r="A7166" s="163"/>
      <c r="B7166" s="106"/>
      <c r="C7166" s="77" t="s">
        <v>72</v>
      </c>
      <c r="D7166" s="75"/>
      <c r="E7166" s="73"/>
      <c r="F7166" s="74" t="s">
        <v>3</v>
      </c>
      <c r="G7166" s="72">
        <f>(1.1*0.44+1.1*0.44+0.44*0.3+0.4*0.435*2+0.45*0.4*2+0.7*0.25)*0.15*2*1.311</f>
        <v>0.77991390000000005</v>
      </c>
      <c r="H7166" s="13"/>
      <c r="I7166" s="357"/>
      <c r="K7166" s="404"/>
    </row>
    <row r="7167" spans="1:11" x14ac:dyDescent="0.25">
      <c r="A7167" s="163"/>
      <c r="B7167" s="106"/>
      <c r="C7167" s="77" t="s">
        <v>11</v>
      </c>
      <c r="D7167" s="75"/>
      <c r="E7167" s="73"/>
      <c r="F7167" s="74" t="s">
        <v>3</v>
      </c>
      <c r="G7167" s="72">
        <f>0.3*G7166+0.001</f>
        <v>0.23497417000000001</v>
      </c>
      <c r="H7167" s="13"/>
      <c r="I7167" s="357"/>
      <c r="K7167" s="404"/>
    </row>
    <row r="7168" spans="1:11" x14ac:dyDescent="0.25">
      <c r="A7168" s="163"/>
      <c r="B7168" s="106"/>
      <c r="C7168" s="77" t="s">
        <v>1021</v>
      </c>
      <c r="D7168" s="75"/>
      <c r="E7168" s="73"/>
      <c r="F7168" s="74" t="s">
        <v>3</v>
      </c>
      <c r="G7168" s="72">
        <f>G7166</f>
        <v>0.77991390000000005</v>
      </c>
      <c r="H7168" s="13" t="s">
        <v>3393</v>
      </c>
      <c r="I7168" s="357"/>
      <c r="K7168" s="404"/>
    </row>
    <row r="7169" spans="1:11" x14ac:dyDescent="0.25">
      <c r="A7169" s="163"/>
      <c r="B7169" s="106"/>
      <c r="C7169" s="77" t="s">
        <v>661</v>
      </c>
      <c r="D7169" s="75"/>
      <c r="E7169" s="73"/>
      <c r="F7169" s="74" t="s">
        <v>3</v>
      </c>
      <c r="G7169" s="72">
        <f>H7169*0.65-0.003</f>
        <v>0.19977761400000002</v>
      </c>
      <c r="H7169" s="10">
        <f>G7168*0.4</f>
        <v>0.31196556000000003</v>
      </c>
      <c r="I7169" s="357"/>
      <c r="K7169" s="404"/>
    </row>
    <row r="7170" spans="1:11" x14ac:dyDescent="0.25">
      <c r="A7170" s="163"/>
      <c r="B7170" s="106"/>
      <c r="C7170" s="77" t="s">
        <v>1993</v>
      </c>
      <c r="D7170" s="75"/>
      <c r="E7170" s="73"/>
      <c r="F7170" s="74" t="s">
        <v>3</v>
      </c>
      <c r="G7170" s="72">
        <f>H7169*0.35+0.001</f>
        <v>0.11018794600000001</v>
      </c>
      <c r="H7170" s="10"/>
      <c r="I7170" s="357"/>
      <c r="K7170" s="404"/>
    </row>
    <row r="7171" spans="1:11" x14ac:dyDescent="0.25">
      <c r="A7171" s="163"/>
      <c r="B7171" s="106"/>
      <c r="C7171" s="77" t="s">
        <v>13</v>
      </c>
      <c r="D7171" s="75"/>
      <c r="E7171" s="73"/>
      <c r="F7171" s="74" t="s">
        <v>3</v>
      </c>
      <c r="G7171" s="72">
        <v>0.4</v>
      </c>
      <c r="H7171" s="13"/>
      <c r="K7171" s="380"/>
    </row>
    <row r="7172" spans="1:11" x14ac:dyDescent="0.25">
      <c r="A7172" s="163"/>
      <c r="B7172" s="106"/>
      <c r="C7172" s="77" t="s">
        <v>147</v>
      </c>
      <c r="D7172" s="75"/>
      <c r="E7172" s="73"/>
      <c r="F7172" s="74" t="s">
        <v>3</v>
      </c>
      <c r="G7172" s="72">
        <v>0.12</v>
      </c>
      <c r="H7172" s="13"/>
      <c r="I7172" s="357"/>
      <c r="K7172" s="404"/>
    </row>
    <row r="7173" spans="1:11" x14ac:dyDescent="0.25">
      <c r="A7173" s="163"/>
      <c r="B7173" s="106"/>
      <c r="C7173" s="77"/>
      <c r="D7173" s="75"/>
      <c r="E7173" s="73"/>
      <c r="F7173" s="74"/>
      <c r="G7173" s="72"/>
      <c r="H7173" s="13"/>
      <c r="K7173" s="404"/>
    </row>
    <row r="7174" spans="1:11" x14ac:dyDescent="0.25">
      <c r="A7174" s="163"/>
      <c r="B7174" s="106"/>
      <c r="C7174" s="78" t="s">
        <v>3379</v>
      </c>
      <c r="D7174" s="75"/>
      <c r="E7174" s="73"/>
      <c r="F7174" s="74"/>
      <c r="G7174" s="72"/>
      <c r="H7174" s="13"/>
      <c r="K7174" s="404"/>
    </row>
    <row r="7175" spans="1:11" x14ac:dyDescent="0.25">
      <c r="A7175" s="163"/>
      <c r="B7175" s="106"/>
      <c r="C7175" s="77" t="s">
        <v>8</v>
      </c>
      <c r="D7175" s="75"/>
      <c r="E7175" s="73"/>
      <c r="F7175" s="74" t="s">
        <v>3</v>
      </c>
      <c r="G7175" s="72">
        <f>G7177*0.75</f>
        <v>6.3969750000000006E-2</v>
      </c>
      <c r="H7175" s="13"/>
      <c r="K7175" s="404"/>
    </row>
    <row r="7176" spans="1:11" x14ac:dyDescent="0.25">
      <c r="A7176" s="163"/>
      <c r="B7176" s="106"/>
      <c r="C7176" s="77" t="s">
        <v>12</v>
      </c>
      <c r="D7176" s="75"/>
      <c r="E7176" s="73"/>
      <c r="F7176" s="74" t="s">
        <v>3</v>
      </c>
      <c r="G7176" s="72">
        <f>0.3*G7175+0.001</f>
        <v>2.0190925000000002E-2</v>
      </c>
      <c r="H7176" s="13"/>
      <c r="K7176" s="404"/>
    </row>
    <row r="7177" spans="1:11" x14ac:dyDescent="0.25">
      <c r="A7177" s="163"/>
      <c r="B7177" s="106"/>
      <c r="C7177" s="77" t="s">
        <v>72</v>
      </c>
      <c r="D7177" s="75"/>
      <c r="E7177" s="73"/>
      <c r="F7177" s="74" t="s">
        <v>3</v>
      </c>
      <c r="G7177" s="72">
        <f>0.81*0.27*0.15*2*1.3</f>
        <v>8.5293000000000008E-2</v>
      </c>
      <c r="H7177" s="13"/>
      <c r="K7177" s="404"/>
    </row>
    <row r="7178" spans="1:11" x14ac:dyDescent="0.25">
      <c r="A7178" s="163"/>
      <c r="B7178" s="106"/>
      <c r="C7178" s="77" t="s">
        <v>11</v>
      </c>
      <c r="D7178" s="75"/>
      <c r="E7178" s="73"/>
      <c r="F7178" s="74" t="s">
        <v>3</v>
      </c>
      <c r="G7178" s="72">
        <f>0.3*G7177</f>
        <v>2.55879E-2</v>
      </c>
      <c r="H7178" s="13"/>
      <c r="K7178" s="404"/>
    </row>
    <row r="7179" spans="1:11" x14ac:dyDescent="0.25">
      <c r="A7179" s="163"/>
      <c r="B7179" s="106"/>
      <c r="C7179" s="77" t="s">
        <v>1021</v>
      </c>
      <c r="D7179" s="75"/>
      <c r="E7179" s="73"/>
      <c r="F7179" s="74" t="s">
        <v>3</v>
      </c>
      <c r="G7179" s="72">
        <f>G7177</f>
        <v>8.5293000000000008E-2</v>
      </c>
      <c r="H7179" s="13"/>
      <c r="K7179" s="404"/>
    </row>
    <row r="7180" spans="1:11" x14ac:dyDescent="0.25">
      <c r="A7180" s="163"/>
      <c r="B7180" s="106"/>
      <c r="C7180" s="77" t="s">
        <v>661</v>
      </c>
      <c r="D7180" s="75"/>
      <c r="E7180" s="73"/>
      <c r="F7180" s="74" t="s">
        <v>3</v>
      </c>
      <c r="G7180" s="72">
        <f>H7180*0.65+0.003</f>
        <v>2.5176180000000006E-2</v>
      </c>
      <c r="H7180" s="10">
        <f>G7179*0.4</f>
        <v>3.4117200000000007E-2</v>
      </c>
      <c r="K7180" s="404"/>
    </row>
    <row r="7181" spans="1:11" x14ac:dyDescent="0.25">
      <c r="A7181" s="163"/>
      <c r="B7181" s="106"/>
      <c r="C7181" s="77" t="s">
        <v>1993</v>
      </c>
      <c r="D7181" s="75"/>
      <c r="E7181" s="73"/>
      <c r="F7181" s="74" t="s">
        <v>3</v>
      </c>
      <c r="G7181" s="72">
        <f>H7180*0.35+0.003</f>
        <v>1.4941020000000003E-2</v>
      </c>
      <c r="H7181" s="10"/>
      <c r="K7181" s="404"/>
    </row>
    <row r="7182" spans="1:11" x14ac:dyDescent="0.25">
      <c r="A7182" s="163"/>
      <c r="B7182" s="106"/>
      <c r="C7182" s="77" t="s">
        <v>13</v>
      </c>
      <c r="D7182" s="75"/>
      <c r="E7182" s="73"/>
      <c r="F7182" s="74" t="s">
        <v>3</v>
      </c>
      <c r="G7182" s="72">
        <v>0.05</v>
      </c>
      <c r="H7182" s="13"/>
      <c r="K7182" s="404"/>
    </row>
    <row r="7183" spans="1:11" ht="15.75" thickBot="1" x14ac:dyDescent="0.3">
      <c r="A7183" s="67"/>
      <c r="B7183" s="86"/>
      <c r="C7183" s="170" t="s">
        <v>147</v>
      </c>
      <c r="D7183" s="235"/>
      <c r="E7183" s="68"/>
      <c r="F7183" s="82" t="s">
        <v>3</v>
      </c>
      <c r="G7183" s="83">
        <v>0.02</v>
      </c>
      <c r="H7183" s="13"/>
      <c r="I7183" s="357"/>
      <c r="K7183" s="404"/>
    </row>
    <row r="7184" spans="1:11" x14ac:dyDescent="0.25">
      <c r="A7184" s="159"/>
      <c r="B7184" s="181"/>
      <c r="C7184" s="65"/>
      <c r="D7184" s="184"/>
      <c r="E7184" s="93"/>
      <c r="F7184" s="175" t="s">
        <v>3390</v>
      </c>
      <c r="G7184" s="176"/>
      <c r="I7184" s="357"/>
      <c r="K7184" s="393"/>
    </row>
    <row r="7185" spans="1:13" ht="18.75" x14ac:dyDescent="0.3">
      <c r="A7185" s="163"/>
      <c r="B7185" s="106"/>
      <c r="C7185" s="77"/>
      <c r="D7185" s="75"/>
      <c r="E7185" s="188" t="s">
        <v>3389</v>
      </c>
      <c r="F7185" s="74"/>
      <c r="G7185" s="72"/>
      <c r="I7185" s="357"/>
      <c r="K7185" s="405"/>
    </row>
    <row r="7186" spans="1:13" x14ac:dyDescent="0.25">
      <c r="A7186" s="163"/>
      <c r="B7186" s="106"/>
      <c r="C7186" s="77"/>
      <c r="D7186" s="75"/>
      <c r="E7186" s="73"/>
      <c r="F7186" s="74"/>
      <c r="G7186" s="72"/>
      <c r="I7186" s="357"/>
      <c r="K7186" s="405"/>
    </row>
    <row r="7187" spans="1:13" x14ac:dyDescent="0.25">
      <c r="A7187" s="163"/>
      <c r="B7187" s="106"/>
      <c r="C7187" s="75" t="s">
        <v>2403</v>
      </c>
      <c r="D7187" s="73"/>
      <c r="E7187" s="73"/>
      <c r="F7187" s="74"/>
      <c r="G7187" s="72"/>
    </row>
    <row r="7188" spans="1:13" x14ac:dyDescent="0.25">
      <c r="A7188" s="163"/>
      <c r="B7188" s="106"/>
      <c r="C7188" s="77" t="s">
        <v>124</v>
      </c>
      <c r="D7188" s="73"/>
      <c r="E7188" s="73"/>
      <c r="F7188" s="74" t="s">
        <v>3</v>
      </c>
      <c r="G7188" s="72">
        <f>0.008*3.14*2*0.08*1.5</f>
        <v>6.0287999999999991E-3</v>
      </c>
    </row>
    <row r="7189" spans="1:13" ht="17.25" x14ac:dyDescent="0.25">
      <c r="A7189" s="163"/>
      <c r="B7189" s="106"/>
      <c r="C7189" s="77" t="s">
        <v>121</v>
      </c>
      <c r="D7189" s="73"/>
      <c r="E7189" s="73"/>
      <c r="F7189" s="74" t="s">
        <v>596</v>
      </c>
      <c r="G7189" s="72">
        <f>G7188*1.1</f>
        <v>6.6316799999999992E-3</v>
      </c>
    </row>
    <row r="7190" spans="1:13" x14ac:dyDescent="0.25">
      <c r="A7190" s="163"/>
      <c r="B7190" s="106"/>
      <c r="C7190" s="77" t="s">
        <v>114</v>
      </c>
      <c r="D7190" s="73"/>
      <c r="E7190" s="73"/>
      <c r="F7190" s="74" t="s">
        <v>3</v>
      </c>
      <c r="G7190" s="72">
        <f>G7192</f>
        <v>5.4339999999999996E-3</v>
      </c>
    </row>
    <row r="7191" spans="1:13" x14ac:dyDescent="0.25">
      <c r="A7191" s="163"/>
      <c r="B7191" s="106"/>
      <c r="C7191" s="77" t="s">
        <v>164</v>
      </c>
      <c r="D7191" s="73"/>
      <c r="E7191" s="73"/>
      <c r="F7191" s="74" t="s">
        <v>3</v>
      </c>
      <c r="G7191" s="72">
        <f>0.3*G7190</f>
        <v>1.6301999999999998E-3</v>
      </c>
    </row>
    <row r="7192" spans="1:13" x14ac:dyDescent="0.25">
      <c r="A7192" s="163"/>
      <c r="B7192" s="106"/>
      <c r="C7192" s="77" t="s">
        <v>500</v>
      </c>
      <c r="D7192" s="73"/>
      <c r="E7192" s="73"/>
      <c r="F7192" s="74" t="s">
        <v>3</v>
      </c>
      <c r="G7192" s="72">
        <f>0.19*0.011*2*1.3</f>
        <v>5.4339999999999996E-3</v>
      </c>
    </row>
    <row r="7193" spans="1:13" x14ac:dyDescent="0.25">
      <c r="A7193" s="163"/>
      <c r="B7193" s="106"/>
      <c r="C7193" s="77" t="s">
        <v>12</v>
      </c>
      <c r="D7193" s="73"/>
      <c r="E7193" s="73"/>
      <c r="F7193" s="74" t="s">
        <v>3</v>
      </c>
      <c r="G7193" s="72">
        <f>0.3*G7192</f>
        <v>1.6301999999999998E-3</v>
      </c>
    </row>
    <row r="7194" spans="1:13" x14ac:dyDescent="0.25">
      <c r="A7194" s="163"/>
      <c r="B7194" s="106"/>
      <c r="C7194" s="73"/>
      <c r="D7194" s="75" t="s">
        <v>2404</v>
      </c>
      <c r="E7194" s="73"/>
      <c r="F7194" s="74"/>
      <c r="G7194" s="72"/>
    </row>
    <row r="7195" spans="1:13" x14ac:dyDescent="0.25">
      <c r="A7195" s="163"/>
      <c r="B7195" s="106"/>
      <c r="C7195" s="73"/>
      <c r="D7195" s="73" t="s">
        <v>2405</v>
      </c>
      <c r="E7195" s="73"/>
      <c r="F7195" s="74" t="s">
        <v>3</v>
      </c>
      <c r="G7195" s="72">
        <v>3.5000000000000003E-2</v>
      </c>
      <c r="I7195" t="s">
        <v>2406</v>
      </c>
    </row>
    <row r="7196" spans="1:13" x14ac:dyDescent="0.25">
      <c r="A7196" s="163"/>
      <c r="B7196" s="106"/>
      <c r="C7196" s="73"/>
      <c r="D7196" s="75" t="s">
        <v>2407</v>
      </c>
      <c r="E7196" s="73"/>
      <c r="F7196" s="74"/>
      <c r="G7196" s="72"/>
    </row>
    <row r="7197" spans="1:13" x14ac:dyDescent="0.25">
      <c r="A7197" s="163"/>
      <c r="B7197" s="106"/>
      <c r="C7197" s="73"/>
      <c r="D7197" s="73" t="s">
        <v>300</v>
      </c>
      <c r="E7197" s="73"/>
      <c r="F7197" s="74" t="s">
        <v>3</v>
      </c>
      <c r="G7197" s="72">
        <f>0.055*0.016*3*8*1.12</f>
        <v>2.3654400000000003E-2</v>
      </c>
    </row>
    <row r="7198" spans="1:13" x14ac:dyDescent="0.25">
      <c r="A7198" s="163"/>
      <c r="B7198" s="106"/>
      <c r="C7198" s="77"/>
      <c r="D7198" s="75"/>
      <c r="E7198" s="73"/>
      <c r="F7198" s="74"/>
      <c r="G7198" s="72"/>
      <c r="I7198" s="357"/>
      <c r="K7198" s="400"/>
    </row>
    <row r="7199" spans="1:13" x14ac:dyDescent="0.25">
      <c r="A7199" s="163"/>
      <c r="B7199" s="106"/>
      <c r="C7199" s="78" t="s">
        <v>3368</v>
      </c>
      <c r="D7199" s="75"/>
      <c r="E7199" s="73"/>
      <c r="F7199" s="74"/>
      <c r="G7199" s="72"/>
      <c r="I7199" s="357"/>
      <c r="K7199" s="400"/>
    </row>
    <row r="7200" spans="1:13" x14ac:dyDescent="0.25">
      <c r="A7200" s="163"/>
      <c r="B7200" s="106"/>
      <c r="C7200" s="77" t="s">
        <v>8</v>
      </c>
      <c r="D7200" s="75"/>
      <c r="E7200" s="73"/>
      <c r="F7200" s="74" t="s">
        <v>3</v>
      </c>
      <c r="G7200" s="72">
        <f>G7202*0.68</f>
        <v>2.0196000000000002E-2</v>
      </c>
      <c r="I7200" s="357"/>
      <c r="J7200" s="13" t="s">
        <v>3371</v>
      </c>
      <c r="K7200" s="400"/>
      <c r="L7200" t="s">
        <v>2167</v>
      </c>
      <c r="M7200" t="s">
        <v>625</v>
      </c>
    </row>
    <row r="7201" spans="1:11" x14ac:dyDescent="0.25">
      <c r="A7201" s="163"/>
      <c r="B7201" s="106"/>
      <c r="C7201" s="73" t="s">
        <v>12</v>
      </c>
      <c r="D7201" s="75"/>
      <c r="E7201" s="73"/>
      <c r="F7201" s="74" t="s">
        <v>3</v>
      </c>
      <c r="G7201" s="72">
        <f>G7200*0.3</f>
        <v>6.0588000000000005E-3</v>
      </c>
      <c r="I7201" s="357"/>
      <c r="K7201" s="400"/>
    </row>
    <row r="7202" spans="1:11" x14ac:dyDescent="0.25">
      <c r="A7202" s="163"/>
      <c r="B7202" s="106"/>
      <c r="C7202" s="77" t="s">
        <v>72</v>
      </c>
      <c r="D7202" s="75"/>
      <c r="E7202" s="73"/>
      <c r="F7202" s="74" t="s">
        <v>3</v>
      </c>
      <c r="G7202" s="72">
        <f>(0.65*0.1*2-0.55*0.1)*0.15*2*1.32</f>
        <v>2.9700000000000001E-2</v>
      </c>
      <c r="I7202" s="357"/>
      <c r="K7202" s="400"/>
    </row>
    <row r="7203" spans="1:11" x14ac:dyDescent="0.25">
      <c r="A7203" s="163"/>
      <c r="B7203" s="106"/>
      <c r="C7203" s="77" t="s">
        <v>11</v>
      </c>
      <c r="D7203" s="75"/>
      <c r="E7203" s="73"/>
      <c r="F7203" s="74" t="s">
        <v>3</v>
      </c>
      <c r="G7203" s="72">
        <f>0.35*G7202</f>
        <v>1.0395E-2</v>
      </c>
      <c r="I7203" s="357"/>
      <c r="K7203" s="400"/>
    </row>
    <row r="7204" spans="1:11" x14ac:dyDescent="0.25">
      <c r="A7204" s="163"/>
      <c r="B7204" s="106"/>
      <c r="C7204" s="77" t="s">
        <v>731</v>
      </c>
      <c r="D7204" s="75"/>
      <c r="E7204" s="73"/>
      <c r="F7204" s="74" t="s">
        <v>3</v>
      </c>
      <c r="G7204" s="72">
        <f>0.55*0.07*2*0.2*1.3</f>
        <v>2.0020000000000007E-2</v>
      </c>
      <c r="I7204" s="357"/>
      <c r="K7204" s="400"/>
    </row>
    <row r="7205" spans="1:11" x14ac:dyDescent="0.25">
      <c r="A7205" s="163"/>
      <c r="B7205" s="106"/>
      <c r="C7205" s="77"/>
      <c r="D7205" s="75" t="s">
        <v>3369</v>
      </c>
      <c r="E7205" s="73"/>
      <c r="F7205" s="74"/>
      <c r="G7205" s="72"/>
      <c r="I7205" s="357"/>
      <c r="K7205" s="400"/>
    </row>
    <row r="7206" spans="1:11" x14ac:dyDescent="0.25">
      <c r="A7206" s="163"/>
      <c r="B7206" s="106"/>
      <c r="C7206" s="77"/>
      <c r="D7206" s="100" t="s">
        <v>3370</v>
      </c>
      <c r="E7206" s="73"/>
      <c r="F7206" s="74" t="s">
        <v>3</v>
      </c>
      <c r="G7206" s="72">
        <f>0.84*0.07*1.5*8*1.134</f>
        <v>0.80015039999999993</v>
      </c>
      <c r="I7206" s="357"/>
      <c r="K7206" s="400"/>
    </row>
    <row r="7207" spans="1:11" x14ac:dyDescent="0.25">
      <c r="A7207" s="163"/>
      <c r="B7207" s="106"/>
      <c r="C7207" s="77"/>
      <c r="D7207" s="75"/>
      <c r="E7207" s="73"/>
      <c r="F7207" s="74"/>
      <c r="G7207" s="72"/>
      <c r="K7207" s="404"/>
    </row>
    <row r="7208" spans="1:11" x14ac:dyDescent="0.25">
      <c r="A7208" s="163"/>
      <c r="B7208" s="106"/>
      <c r="C7208" s="78" t="s">
        <v>3381</v>
      </c>
      <c r="D7208" s="75"/>
      <c r="E7208" s="73"/>
      <c r="F7208" s="74"/>
      <c r="G7208" s="72"/>
      <c r="K7208" s="404"/>
    </row>
    <row r="7209" spans="1:11" x14ac:dyDescent="0.25">
      <c r="A7209" s="163"/>
      <c r="B7209" s="106"/>
      <c r="C7209" s="186" t="s">
        <v>3382</v>
      </c>
      <c r="D7209" s="75"/>
      <c r="E7209" s="73"/>
      <c r="F7209" s="74" t="s">
        <v>195</v>
      </c>
      <c r="G7209" s="72">
        <v>0.42</v>
      </c>
      <c r="K7209" s="405"/>
    </row>
    <row r="7210" spans="1:11" x14ac:dyDescent="0.25">
      <c r="A7210" s="163"/>
      <c r="B7210" s="106"/>
      <c r="C7210" s="78"/>
      <c r="D7210" s="75" t="s">
        <v>3383</v>
      </c>
      <c r="E7210" s="73"/>
      <c r="F7210" s="74"/>
      <c r="G7210" s="72"/>
      <c r="K7210" s="405"/>
    </row>
    <row r="7211" spans="1:11" x14ac:dyDescent="0.25">
      <c r="A7211" s="163"/>
      <c r="B7211" s="106"/>
      <c r="C7211" s="78"/>
      <c r="D7211" s="73" t="s">
        <v>481</v>
      </c>
      <c r="E7211" s="73"/>
      <c r="F7211" s="74" t="s">
        <v>3</v>
      </c>
      <c r="G7211" s="72">
        <f>0.025*3.14*0.08*1.18*2</f>
        <v>1.4820800000000002E-2</v>
      </c>
      <c r="K7211" s="405"/>
    </row>
    <row r="7212" spans="1:11" ht="17.25" x14ac:dyDescent="0.25">
      <c r="A7212" s="163"/>
      <c r="B7212" s="106"/>
      <c r="C7212" s="78"/>
      <c r="D7212" s="73" t="s">
        <v>52</v>
      </c>
      <c r="E7212" s="73"/>
      <c r="F7212" s="74" t="s">
        <v>596</v>
      </c>
      <c r="G7212" s="72">
        <f>G7211*2</f>
        <v>2.9641600000000004E-2</v>
      </c>
      <c r="K7212" s="405"/>
    </row>
    <row r="7213" spans="1:11" x14ac:dyDescent="0.25">
      <c r="A7213" s="163"/>
      <c r="B7213" s="106"/>
      <c r="C7213" s="78"/>
      <c r="D7213" s="73" t="s">
        <v>24</v>
      </c>
      <c r="E7213" s="73"/>
      <c r="F7213" s="74" t="s">
        <v>3</v>
      </c>
      <c r="G7213" s="72">
        <f>G7211/4</f>
        <v>3.7052000000000005E-3</v>
      </c>
      <c r="K7213" s="405"/>
    </row>
    <row r="7214" spans="1:11" x14ac:dyDescent="0.25">
      <c r="A7214" s="163"/>
      <c r="B7214" s="106"/>
      <c r="C7214" s="78"/>
      <c r="D7214" s="100" t="s">
        <v>8</v>
      </c>
      <c r="E7214" s="73"/>
      <c r="F7214" s="74" t="s">
        <v>3</v>
      </c>
      <c r="G7214" s="72">
        <f>G7215*0.7</f>
        <v>1.0205999999999998E-2</v>
      </c>
      <c r="K7214" s="405"/>
    </row>
    <row r="7215" spans="1:11" x14ac:dyDescent="0.25">
      <c r="A7215" s="163"/>
      <c r="B7215" s="106"/>
      <c r="C7215" s="78"/>
      <c r="D7215" s="100" t="s">
        <v>325</v>
      </c>
      <c r="E7215" s="73"/>
      <c r="F7215" s="74" t="s">
        <v>3</v>
      </c>
      <c r="G7215" s="72">
        <f>0.15*0.12*2*0.15*2*1.35</f>
        <v>1.4579999999999999E-2</v>
      </c>
      <c r="K7215" s="405"/>
    </row>
    <row r="7216" spans="1:11" x14ac:dyDescent="0.25">
      <c r="A7216" s="163"/>
      <c r="B7216" s="106"/>
      <c r="C7216" s="78"/>
      <c r="D7216" s="100" t="s">
        <v>12</v>
      </c>
      <c r="E7216" s="73"/>
      <c r="F7216" s="74" t="s">
        <v>3</v>
      </c>
      <c r="G7216" s="72">
        <f>0.3*(G7215+G7214)</f>
        <v>7.4357999999999985E-3</v>
      </c>
      <c r="K7216" s="405"/>
    </row>
    <row r="7217" spans="1:11" x14ac:dyDescent="0.25">
      <c r="A7217" s="163"/>
      <c r="B7217" s="106"/>
      <c r="C7217" s="78"/>
      <c r="D7217" s="75"/>
      <c r="E7217" s="75" t="s">
        <v>3384</v>
      </c>
      <c r="F7217" s="74"/>
      <c r="G7217" s="72"/>
      <c r="K7217" s="405"/>
    </row>
    <row r="7218" spans="1:11" x14ac:dyDescent="0.25">
      <c r="A7218" s="163"/>
      <c r="B7218" s="106"/>
      <c r="C7218" s="78"/>
      <c r="D7218" s="75"/>
      <c r="E7218" s="73" t="s">
        <v>925</v>
      </c>
      <c r="F7218" s="74" t="s">
        <v>3</v>
      </c>
      <c r="G7218" s="72">
        <v>0.08</v>
      </c>
      <c r="I7218" t="s">
        <v>3385</v>
      </c>
      <c r="K7218" s="405"/>
    </row>
    <row r="7219" spans="1:11" x14ac:dyDescent="0.25">
      <c r="A7219" s="163"/>
      <c r="B7219" s="106"/>
      <c r="C7219" s="78"/>
      <c r="D7219" s="75" t="s">
        <v>3386</v>
      </c>
      <c r="E7219" s="73"/>
      <c r="F7219" s="74"/>
      <c r="G7219" s="72"/>
      <c r="K7219" s="405"/>
    </row>
    <row r="7220" spans="1:11" x14ac:dyDescent="0.25">
      <c r="A7220" s="163"/>
      <c r="B7220" s="106"/>
      <c r="C7220" s="78"/>
      <c r="D7220" s="73" t="s">
        <v>481</v>
      </c>
      <c r="E7220" s="73"/>
      <c r="F7220" s="74" t="s">
        <v>3</v>
      </c>
      <c r="G7220" s="72">
        <f>0.025*3.14*3*0.08*1.2</f>
        <v>2.2608000000000003E-2</v>
      </c>
      <c r="K7220" s="405"/>
    </row>
    <row r="7221" spans="1:11" ht="17.25" x14ac:dyDescent="0.25">
      <c r="A7221" s="163"/>
      <c r="B7221" s="106"/>
      <c r="C7221" s="78"/>
      <c r="D7221" s="73" t="s">
        <v>52</v>
      </c>
      <c r="E7221" s="73"/>
      <c r="F7221" s="74" t="s">
        <v>596</v>
      </c>
      <c r="G7221" s="72">
        <f>G7220*2</f>
        <v>4.5216000000000006E-2</v>
      </c>
      <c r="K7221" s="405"/>
    </row>
    <row r="7222" spans="1:11" x14ac:dyDescent="0.25">
      <c r="A7222" s="163"/>
      <c r="B7222" s="106"/>
      <c r="C7222" s="78"/>
      <c r="D7222" s="73" t="s">
        <v>24</v>
      </c>
      <c r="E7222" s="73"/>
      <c r="F7222" s="74" t="s">
        <v>3</v>
      </c>
      <c r="G7222" s="72">
        <f>G7220/4</f>
        <v>5.6520000000000008E-3</v>
      </c>
      <c r="K7222" s="405"/>
    </row>
    <row r="7223" spans="1:11" x14ac:dyDescent="0.25">
      <c r="A7223" s="163"/>
      <c r="B7223" s="106"/>
      <c r="C7223" s="78"/>
      <c r="D7223" s="100" t="s">
        <v>8</v>
      </c>
      <c r="E7223" s="73"/>
      <c r="F7223" s="74" t="s">
        <v>3</v>
      </c>
      <c r="G7223" s="72">
        <f>G7224*0.75</f>
        <v>1.3649999999999999E-2</v>
      </c>
      <c r="K7223" s="405"/>
    </row>
    <row r="7224" spans="1:11" x14ac:dyDescent="0.25">
      <c r="A7224" s="163"/>
      <c r="B7224" s="106"/>
      <c r="C7224" s="78"/>
      <c r="D7224" s="100" t="s">
        <v>325</v>
      </c>
      <c r="E7224" s="73"/>
      <c r="F7224" s="74" t="s">
        <v>3</v>
      </c>
      <c r="G7224" s="72">
        <f>0.35*0.02*2*1.3</f>
        <v>1.8199999999999997E-2</v>
      </c>
      <c r="K7224" s="405"/>
    </row>
    <row r="7225" spans="1:11" x14ac:dyDescent="0.25">
      <c r="A7225" s="163"/>
      <c r="B7225" s="106"/>
      <c r="C7225" s="78"/>
      <c r="D7225" s="100" t="s">
        <v>12</v>
      </c>
      <c r="E7225" s="73"/>
      <c r="F7225" s="74" t="s">
        <v>3</v>
      </c>
      <c r="G7225" s="72">
        <f>0.3*(G7224+G7223)</f>
        <v>9.5549999999999993E-3</v>
      </c>
      <c r="K7225" s="405"/>
    </row>
    <row r="7226" spans="1:11" x14ac:dyDescent="0.25">
      <c r="A7226" s="163"/>
      <c r="B7226" s="106"/>
      <c r="C7226" s="78"/>
      <c r="D7226" s="75"/>
      <c r="E7226" s="75" t="s">
        <v>3387</v>
      </c>
      <c r="F7226" s="74"/>
      <c r="G7226" s="72"/>
      <c r="K7226" s="405"/>
    </row>
    <row r="7227" spans="1:11" ht="15.75" thickBot="1" x14ac:dyDescent="0.3">
      <c r="A7227" s="67"/>
      <c r="B7227" s="86"/>
      <c r="C7227" s="198"/>
      <c r="D7227" s="235"/>
      <c r="E7227" s="68" t="s">
        <v>925</v>
      </c>
      <c r="F7227" s="82" t="s">
        <v>3</v>
      </c>
      <c r="G7227" s="83">
        <v>0.24</v>
      </c>
      <c r="I7227" t="s">
        <v>3388</v>
      </c>
      <c r="K7227" s="405"/>
    </row>
    <row r="7228" spans="1:11" x14ac:dyDescent="0.25">
      <c r="A7228" s="159"/>
      <c r="B7228" s="181"/>
      <c r="C7228" s="200"/>
      <c r="D7228" s="184"/>
      <c r="E7228" s="93"/>
      <c r="F7228" s="175" t="s">
        <v>3405</v>
      </c>
      <c r="G7228" s="176"/>
      <c r="K7228" s="405"/>
    </row>
    <row r="7229" spans="1:11" ht="18.75" x14ac:dyDescent="0.3">
      <c r="A7229" s="163"/>
      <c r="B7229" s="106"/>
      <c r="C7229" s="78"/>
      <c r="D7229" s="75"/>
      <c r="E7229" s="188" t="s">
        <v>2125</v>
      </c>
      <c r="F7229" s="74"/>
      <c r="G7229" s="72"/>
      <c r="K7229" s="406"/>
    </row>
    <row r="7230" spans="1:11" x14ac:dyDescent="0.25">
      <c r="A7230" s="163"/>
      <c r="B7230" s="106"/>
      <c r="C7230" s="78"/>
      <c r="D7230" s="75"/>
      <c r="E7230" s="73"/>
      <c r="F7230" s="74"/>
      <c r="G7230" s="72"/>
      <c r="K7230" s="406"/>
    </row>
    <row r="7231" spans="1:11" x14ac:dyDescent="0.25">
      <c r="A7231" s="163"/>
      <c r="B7231" s="106"/>
      <c r="C7231" s="78" t="s">
        <v>3391</v>
      </c>
      <c r="D7231" s="75"/>
      <c r="E7231" s="73"/>
      <c r="F7231" s="74"/>
      <c r="G7231" s="72"/>
      <c r="K7231" s="405"/>
    </row>
    <row r="7232" spans="1:11" x14ac:dyDescent="0.25">
      <c r="A7232" s="163"/>
      <c r="B7232" s="106"/>
      <c r="C7232" s="186" t="s">
        <v>3392</v>
      </c>
      <c r="D7232" s="75"/>
      <c r="E7232" s="73"/>
      <c r="F7232" s="74" t="s">
        <v>3</v>
      </c>
      <c r="G7232" s="72">
        <f>0.235*0.035*4*8*1.141</f>
        <v>0.3003112</v>
      </c>
      <c r="K7232" s="405"/>
    </row>
    <row r="7233" spans="1:11" x14ac:dyDescent="0.25">
      <c r="A7233" s="163"/>
      <c r="B7233" s="106"/>
      <c r="C7233" s="78"/>
      <c r="D7233" s="75"/>
      <c r="E7233" s="73"/>
      <c r="F7233" s="74"/>
      <c r="G7233" s="72"/>
      <c r="K7233" s="405"/>
    </row>
    <row r="7234" spans="1:11" x14ac:dyDescent="0.25">
      <c r="A7234" s="163"/>
      <c r="B7234" s="106"/>
      <c r="C7234" s="78" t="s">
        <v>3395</v>
      </c>
      <c r="D7234" s="75"/>
      <c r="E7234" s="73"/>
      <c r="F7234" s="74"/>
      <c r="G7234" s="72"/>
      <c r="K7234" s="405"/>
    </row>
    <row r="7235" spans="1:11" x14ac:dyDescent="0.25">
      <c r="A7235" s="163"/>
      <c r="B7235" s="106"/>
      <c r="C7235" s="186" t="s">
        <v>853</v>
      </c>
      <c r="D7235" s="75"/>
      <c r="E7235" s="73"/>
      <c r="F7235" s="74" t="s">
        <v>3</v>
      </c>
      <c r="G7235" s="72">
        <f>0.111*3.14*0.009*1*8*1.18</f>
        <v>2.9611958399999999E-2</v>
      </c>
      <c r="K7235" s="405"/>
    </row>
    <row r="7236" spans="1:11" x14ac:dyDescent="0.25">
      <c r="A7236" s="163"/>
      <c r="B7236" s="106"/>
      <c r="C7236" s="78"/>
      <c r="D7236" s="75"/>
      <c r="E7236" s="73"/>
      <c r="F7236" s="74"/>
      <c r="G7236" s="72"/>
      <c r="K7236" s="405"/>
    </row>
    <row r="7237" spans="1:11" x14ac:dyDescent="0.25">
      <c r="A7237" s="163"/>
      <c r="B7237" s="106"/>
      <c r="C7237" s="78" t="s">
        <v>3396</v>
      </c>
      <c r="D7237" s="75"/>
      <c r="E7237" s="73"/>
      <c r="F7237" s="74"/>
      <c r="G7237" s="72"/>
      <c r="K7237" s="405"/>
    </row>
    <row r="7238" spans="1:11" x14ac:dyDescent="0.25">
      <c r="A7238" s="163"/>
      <c r="B7238" s="106"/>
      <c r="C7238" s="186" t="s">
        <v>853</v>
      </c>
      <c r="D7238" s="75"/>
      <c r="E7238" s="73"/>
      <c r="F7238" s="74" t="s">
        <v>3</v>
      </c>
      <c r="G7238" s="72">
        <f>0.03*0.065*1*8*1.12</f>
        <v>1.7472000000000001E-2</v>
      </c>
      <c r="K7238" s="405"/>
    </row>
    <row r="7239" spans="1:11" x14ac:dyDescent="0.25">
      <c r="A7239" s="163"/>
      <c r="B7239" s="106"/>
      <c r="C7239" s="78"/>
      <c r="D7239" s="75"/>
      <c r="E7239" s="73"/>
      <c r="F7239" s="74"/>
      <c r="G7239" s="72"/>
      <c r="K7239" s="405"/>
    </row>
    <row r="7240" spans="1:11" x14ac:dyDescent="0.25">
      <c r="A7240" s="163"/>
      <c r="B7240" s="106"/>
      <c r="C7240" s="78" t="s">
        <v>3397</v>
      </c>
      <c r="D7240" s="75"/>
      <c r="E7240" s="73"/>
      <c r="F7240" s="74"/>
      <c r="G7240" s="72"/>
      <c r="K7240" s="405"/>
    </row>
    <row r="7241" spans="1:11" x14ac:dyDescent="0.25">
      <c r="A7241" s="163"/>
      <c r="B7241" s="106"/>
      <c r="C7241" s="186" t="s">
        <v>3398</v>
      </c>
      <c r="D7241" s="75"/>
      <c r="E7241" s="73"/>
      <c r="F7241" s="74" t="s">
        <v>3</v>
      </c>
      <c r="G7241" s="72">
        <f>0.035*0.045*1.5*8*1.15</f>
        <v>2.1734999999999997E-2</v>
      </c>
      <c r="K7241" s="405"/>
    </row>
    <row r="7242" spans="1:11" x14ac:dyDescent="0.25">
      <c r="A7242" s="163"/>
      <c r="B7242" s="106"/>
      <c r="C7242" s="78"/>
      <c r="D7242" s="75"/>
      <c r="E7242" s="73"/>
      <c r="F7242" s="74"/>
      <c r="G7242" s="72"/>
      <c r="K7242" s="405"/>
    </row>
    <row r="7243" spans="1:11" x14ac:dyDescent="0.25">
      <c r="A7243" s="163"/>
      <c r="B7243" s="106"/>
      <c r="C7243" s="78" t="s">
        <v>3399</v>
      </c>
      <c r="D7243" s="75"/>
      <c r="E7243" s="73"/>
      <c r="F7243" s="74"/>
      <c r="G7243" s="72"/>
      <c r="K7243" s="405"/>
    </row>
    <row r="7244" spans="1:11" x14ac:dyDescent="0.25">
      <c r="A7244" s="163"/>
      <c r="B7244" s="106"/>
      <c r="C7244" s="186" t="s">
        <v>384</v>
      </c>
      <c r="D7244" s="75"/>
      <c r="E7244" s="73"/>
      <c r="F7244" s="74" t="s">
        <v>3</v>
      </c>
      <c r="G7244" s="72">
        <v>1.4E-2</v>
      </c>
      <c r="I7244" t="s">
        <v>3400</v>
      </c>
      <c r="K7244" s="405"/>
    </row>
    <row r="7245" spans="1:11" x14ac:dyDescent="0.25">
      <c r="A7245" s="163"/>
      <c r="B7245" s="106"/>
      <c r="C7245" s="78"/>
      <c r="D7245" s="75"/>
      <c r="E7245" s="73"/>
      <c r="F7245" s="74"/>
      <c r="G7245" s="72"/>
      <c r="K7245" s="405"/>
    </row>
    <row r="7246" spans="1:11" x14ac:dyDescent="0.25">
      <c r="A7246" s="163"/>
      <c r="B7246" s="106"/>
      <c r="C7246" s="78" t="s">
        <v>3401</v>
      </c>
      <c r="D7246" s="75"/>
      <c r="E7246" s="73"/>
      <c r="F7246" s="74"/>
      <c r="G7246" s="72"/>
      <c r="K7246" s="405"/>
    </row>
    <row r="7247" spans="1:11" x14ac:dyDescent="0.25">
      <c r="A7247" s="163"/>
      <c r="B7247" s="106"/>
      <c r="C7247" s="186" t="s">
        <v>3402</v>
      </c>
      <c r="D7247" s="75"/>
      <c r="E7247" s="73"/>
      <c r="F7247" s="74" t="s">
        <v>3</v>
      </c>
      <c r="G7247" s="72">
        <f>0.03*0.03*1*8</f>
        <v>7.1999999999999998E-3</v>
      </c>
      <c r="K7247" s="405"/>
    </row>
    <row r="7248" spans="1:11" x14ac:dyDescent="0.25">
      <c r="A7248" s="163"/>
      <c r="B7248" s="106"/>
      <c r="C7248" s="78"/>
      <c r="D7248" s="75"/>
      <c r="E7248" s="73"/>
      <c r="F7248" s="74"/>
      <c r="G7248" s="72"/>
      <c r="K7248" s="405"/>
    </row>
    <row r="7249" spans="1:11" x14ac:dyDescent="0.25">
      <c r="A7249" s="163"/>
      <c r="B7249" s="106"/>
      <c r="C7249" s="78" t="s">
        <v>3403</v>
      </c>
      <c r="D7249" s="75"/>
      <c r="E7249" s="73"/>
      <c r="F7249" s="74"/>
      <c r="G7249" s="72"/>
      <c r="K7249" s="405"/>
    </row>
    <row r="7250" spans="1:11" ht="15.75" thickBot="1" x14ac:dyDescent="0.3">
      <c r="A7250" s="67"/>
      <c r="B7250" s="86"/>
      <c r="C7250" s="197" t="s">
        <v>3404</v>
      </c>
      <c r="D7250" s="235"/>
      <c r="E7250" s="68"/>
      <c r="F7250" s="82" t="s">
        <v>3</v>
      </c>
      <c r="G7250" s="83">
        <f>0.13*0.03*3*8*1.12</f>
        <v>0.10483199999999999</v>
      </c>
      <c r="K7250" s="405"/>
    </row>
    <row r="7251" spans="1:11" x14ac:dyDescent="0.25">
      <c r="A7251" s="159"/>
      <c r="B7251" s="181"/>
      <c r="C7251" s="200"/>
      <c r="D7251" s="184"/>
      <c r="E7251" s="93"/>
      <c r="F7251" s="175" t="s">
        <v>3431</v>
      </c>
      <c r="G7251" s="176"/>
      <c r="K7251" s="405"/>
    </row>
    <row r="7252" spans="1:11" ht="18.75" x14ac:dyDescent="0.3">
      <c r="A7252" s="163"/>
      <c r="B7252" s="106"/>
      <c r="C7252" s="188" t="s">
        <v>3432</v>
      </c>
      <c r="E7252" s="73"/>
      <c r="F7252" s="74"/>
      <c r="G7252" s="72"/>
      <c r="K7252" s="405"/>
    </row>
    <row r="7253" spans="1:11" x14ac:dyDescent="0.25">
      <c r="A7253" s="163"/>
      <c r="B7253" s="106"/>
      <c r="C7253" s="78"/>
      <c r="D7253" s="75"/>
      <c r="E7253" s="73"/>
      <c r="F7253" s="74"/>
      <c r="G7253" s="72"/>
      <c r="K7253" s="405"/>
    </row>
    <row r="7254" spans="1:11" x14ac:dyDescent="0.25">
      <c r="A7254" s="163"/>
      <c r="B7254" s="106"/>
      <c r="C7254" s="78" t="s">
        <v>3406</v>
      </c>
      <c r="D7254" s="75"/>
      <c r="E7254" s="73"/>
      <c r="F7254" s="74"/>
      <c r="G7254" s="72"/>
      <c r="K7254" s="405"/>
    </row>
    <row r="7255" spans="1:11" x14ac:dyDescent="0.25">
      <c r="A7255" s="163"/>
      <c r="B7255" s="106"/>
      <c r="C7255" s="186" t="s">
        <v>3409</v>
      </c>
      <c r="D7255" s="75"/>
      <c r="E7255" s="73"/>
      <c r="F7255" s="74" t="s">
        <v>3</v>
      </c>
      <c r="G7255" s="72">
        <f>0.12*0.12*3.5*1.4*1.13</f>
        <v>7.9732799999999993E-2</v>
      </c>
      <c r="K7255" s="405"/>
    </row>
    <row r="7256" spans="1:11" x14ac:dyDescent="0.25">
      <c r="A7256" s="163"/>
      <c r="B7256" s="106"/>
      <c r="C7256" s="78"/>
      <c r="D7256" s="75"/>
      <c r="E7256" s="73"/>
      <c r="F7256" s="74"/>
      <c r="G7256" s="72"/>
      <c r="K7256" s="405"/>
    </row>
    <row r="7257" spans="1:11" x14ac:dyDescent="0.25">
      <c r="A7257" s="163"/>
      <c r="B7257" s="106"/>
      <c r="C7257" s="78" t="s">
        <v>3407</v>
      </c>
      <c r="D7257" s="75"/>
      <c r="E7257" s="73"/>
      <c r="F7257" s="74"/>
      <c r="G7257" s="72"/>
      <c r="K7257" s="405"/>
    </row>
    <row r="7258" spans="1:11" x14ac:dyDescent="0.25">
      <c r="A7258" s="163"/>
      <c r="B7258" s="106"/>
      <c r="C7258" s="186" t="s">
        <v>3408</v>
      </c>
      <c r="D7258" s="75"/>
      <c r="E7258" s="73"/>
      <c r="F7258" s="74" t="s">
        <v>3</v>
      </c>
      <c r="G7258" s="148">
        <f>0.027*0.017*1*0.75*1.15</f>
        <v>3.9588750000000005E-4</v>
      </c>
      <c r="K7258" s="405"/>
    </row>
    <row r="7259" spans="1:11" x14ac:dyDescent="0.25">
      <c r="A7259" s="163"/>
      <c r="B7259" s="106"/>
      <c r="C7259" s="78"/>
      <c r="D7259" s="75"/>
      <c r="E7259" s="73"/>
      <c r="F7259" s="74"/>
      <c r="G7259" s="72"/>
      <c r="K7259" s="405"/>
    </row>
    <row r="7260" spans="1:11" x14ac:dyDescent="0.25">
      <c r="A7260" s="163"/>
      <c r="B7260" s="106"/>
      <c r="C7260" s="78" t="s">
        <v>3411</v>
      </c>
      <c r="D7260" s="75"/>
      <c r="E7260" s="73"/>
      <c r="F7260" s="74"/>
      <c r="G7260" s="72"/>
      <c r="K7260" s="405"/>
    </row>
    <row r="7261" spans="1:11" x14ac:dyDescent="0.25">
      <c r="A7261" s="163"/>
      <c r="B7261" s="106"/>
      <c r="C7261" s="186" t="s">
        <v>671</v>
      </c>
      <c r="D7261" s="75"/>
      <c r="E7261" s="73"/>
      <c r="F7261" s="74" t="s">
        <v>3</v>
      </c>
      <c r="G7261" s="72">
        <v>0.05</v>
      </c>
      <c r="K7261" s="405"/>
    </row>
    <row r="7262" spans="1:11" x14ac:dyDescent="0.25">
      <c r="A7262" s="163"/>
      <c r="B7262" s="106"/>
      <c r="C7262" s="78"/>
      <c r="D7262" s="78" t="s">
        <v>3410</v>
      </c>
      <c r="E7262" s="73"/>
      <c r="F7262" s="74"/>
      <c r="G7262" s="72"/>
      <c r="K7262" s="405"/>
    </row>
    <row r="7263" spans="1:11" x14ac:dyDescent="0.25">
      <c r="A7263" s="163"/>
      <c r="B7263" s="106"/>
      <c r="C7263" s="78"/>
      <c r="D7263" s="100" t="s">
        <v>3413</v>
      </c>
      <c r="E7263" s="73"/>
      <c r="F7263" s="74" t="s">
        <v>3</v>
      </c>
      <c r="G7263" s="72">
        <f>0.95*0.02*8*1.4*1.13</f>
        <v>0.24046399999999996</v>
      </c>
      <c r="K7263" s="405"/>
    </row>
    <row r="7264" spans="1:11" x14ac:dyDescent="0.25">
      <c r="A7264" s="163"/>
      <c r="B7264" s="106"/>
      <c r="C7264" s="78"/>
      <c r="D7264" s="75" t="s">
        <v>3412</v>
      </c>
      <c r="E7264" s="73"/>
      <c r="F7264" s="74"/>
      <c r="G7264" s="72"/>
      <c r="K7264" s="405"/>
    </row>
    <row r="7265" spans="1:11" x14ac:dyDescent="0.25">
      <c r="A7265" s="163"/>
      <c r="B7265" s="106"/>
      <c r="C7265" s="78"/>
      <c r="D7265" s="100" t="s">
        <v>3414</v>
      </c>
      <c r="E7265" s="73"/>
      <c r="F7265" s="74" t="s">
        <v>3</v>
      </c>
      <c r="G7265" s="72">
        <f>0.96*0.075*0.3*9*1.13</f>
        <v>0.21967199999999998</v>
      </c>
      <c r="K7265" s="405"/>
    </row>
    <row r="7266" spans="1:11" x14ac:dyDescent="0.25">
      <c r="A7266" s="163"/>
      <c r="B7266" s="106"/>
      <c r="C7266" s="78"/>
      <c r="D7266" s="75"/>
      <c r="E7266" s="73"/>
      <c r="F7266" s="74"/>
      <c r="G7266" s="72"/>
      <c r="K7266" s="405"/>
    </row>
    <row r="7267" spans="1:11" x14ac:dyDescent="0.25">
      <c r="A7267" s="163"/>
      <c r="B7267" s="106"/>
      <c r="C7267" s="78" t="s">
        <v>3415</v>
      </c>
      <c r="D7267" s="75"/>
      <c r="E7267" s="73"/>
      <c r="F7267" s="74"/>
      <c r="G7267" s="72"/>
      <c r="K7267" s="405"/>
    </row>
    <row r="7268" spans="1:11" x14ac:dyDescent="0.25">
      <c r="A7268" s="163"/>
      <c r="B7268" s="106"/>
      <c r="C7268" s="78"/>
      <c r="D7268" s="75" t="s">
        <v>3416</v>
      </c>
      <c r="E7268" s="73"/>
      <c r="F7268" s="74"/>
      <c r="G7268" s="72"/>
      <c r="K7268" s="405"/>
    </row>
    <row r="7269" spans="1:11" x14ac:dyDescent="0.25">
      <c r="A7269" s="163"/>
      <c r="B7269" s="106"/>
      <c r="C7269" s="78"/>
      <c r="D7269" s="100" t="s">
        <v>3419</v>
      </c>
      <c r="E7269" s="73"/>
      <c r="F7269" s="74" t="s">
        <v>3</v>
      </c>
      <c r="G7269" s="72">
        <f>0.155*0.255*0.15*9*1.22</f>
        <v>6.509767499999998E-2</v>
      </c>
      <c r="K7269" s="405"/>
    </row>
    <row r="7270" spans="1:11" x14ac:dyDescent="0.25">
      <c r="A7270" s="163"/>
      <c r="B7270" s="106"/>
      <c r="C7270" s="78"/>
      <c r="D7270" s="75" t="s">
        <v>3417</v>
      </c>
      <c r="E7270" s="73"/>
      <c r="F7270" s="74"/>
      <c r="G7270" s="72"/>
      <c r="K7270" s="405"/>
    </row>
    <row r="7271" spans="1:11" x14ac:dyDescent="0.25">
      <c r="A7271" s="163"/>
      <c r="B7271" s="106"/>
      <c r="C7271" s="78"/>
      <c r="D7271" s="100" t="s">
        <v>1624</v>
      </c>
      <c r="E7271" s="73"/>
      <c r="F7271" s="74" t="s">
        <v>3</v>
      </c>
      <c r="G7271" s="72">
        <f>0.16*0.255*3*1.4*1.17</f>
        <v>0.20049120000000001</v>
      </c>
      <c r="K7271" s="405"/>
    </row>
    <row r="7272" spans="1:11" x14ac:dyDescent="0.25">
      <c r="A7272" s="163"/>
      <c r="B7272" s="106"/>
      <c r="C7272" s="78"/>
      <c r="D7272" s="75" t="s">
        <v>3418</v>
      </c>
      <c r="E7272" s="73"/>
      <c r="F7272" s="74"/>
      <c r="G7272" s="72"/>
      <c r="K7272" s="405"/>
    </row>
    <row r="7273" spans="1:11" x14ac:dyDescent="0.25">
      <c r="A7273" s="163"/>
      <c r="B7273" s="106"/>
      <c r="C7273" s="78"/>
      <c r="D7273" s="100" t="s">
        <v>3419</v>
      </c>
      <c r="E7273" s="73"/>
      <c r="F7273" s="74" t="s">
        <v>3</v>
      </c>
      <c r="G7273" s="72">
        <f>0.155*0.255*0.15*9*1.22</f>
        <v>6.509767499999998E-2</v>
      </c>
      <c r="K7273" s="405"/>
    </row>
    <row r="7274" spans="1:11" x14ac:dyDescent="0.25">
      <c r="A7274" s="163"/>
      <c r="B7274" s="106"/>
      <c r="C7274" s="78"/>
      <c r="D7274" s="73"/>
      <c r="E7274" s="73"/>
      <c r="F7274" s="74"/>
      <c r="G7274" s="72"/>
      <c r="K7274" s="405"/>
    </row>
    <row r="7275" spans="1:11" x14ac:dyDescent="0.25">
      <c r="A7275" s="163"/>
      <c r="B7275" s="106"/>
      <c r="C7275" s="78" t="s">
        <v>3420</v>
      </c>
      <c r="D7275" s="73"/>
      <c r="E7275" s="73"/>
      <c r="F7275" s="74"/>
      <c r="G7275" s="72"/>
      <c r="K7275" s="407"/>
    </row>
    <row r="7276" spans="1:11" x14ac:dyDescent="0.25">
      <c r="A7276" s="163"/>
      <c r="B7276" s="106"/>
      <c r="C7276" s="78"/>
      <c r="D7276" s="75" t="s">
        <v>3422</v>
      </c>
      <c r="E7276" s="73"/>
      <c r="F7276" s="74"/>
      <c r="G7276" s="72"/>
      <c r="K7276" s="407"/>
    </row>
    <row r="7277" spans="1:11" x14ac:dyDescent="0.25">
      <c r="A7277" s="163"/>
      <c r="B7277" s="106"/>
      <c r="C7277" s="78"/>
      <c r="D7277" s="73" t="s">
        <v>3424</v>
      </c>
      <c r="E7277" s="73"/>
      <c r="F7277" s="74" t="s">
        <v>3</v>
      </c>
      <c r="G7277" s="72">
        <f>0.175*0.175*0.15*8*1.15</f>
        <v>4.2262499999999988E-2</v>
      </c>
      <c r="K7277" s="407"/>
    </row>
    <row r="7278" spans="1:11" x14ac:dyDescent="0.25">
      <c r="A7278" s="163"/>
      <c r="B7278" s="106"/>
      <c r="C7278" s="78"/>
      <c r="D7278" s="75" t="s">
        <v>3421</v>
      </c>
      <c r="E7278" s="73"/>
      <c r="F7278" s="74"/>
      <c r="G7278" s="72"/>
      <c r="K7278" s="407"/>
    </row>
    <row r="7279" spans="1:11" x14ac:dyDescent="0.25">
      <c r="A7279" s="163"/>
      <c r="B7279" s="106"/>
      <c r="C7279" s="78"/>
      <c r="D7279" s="73" t="s">
        <v>3424</v>
      </c>
      <c r="E7279" s="73"/>
      <c r="F7279" s="74" t="s">
        <v>3</v>
      </c>
      <c r="G7279" s="72">
        <f>0.175*0.175*0.15*8*1.15</f>
        <v>4.2262499999999988E-2</v>
      </c>
      <c r="K7279" s="407"/>
    </row>
    <row r="7280" spans="1:11" x14ac:dyDescent="0.25">
      <c r="A7280" s="163"/>
      <c r="B7280" s="106"/>
      <c r="C7280" s="78"/>
      <c r="D7280" s="75" t="s">
        <v>3423</v>
      </c>
      <c r="E7280" s="73"/>
      <c r="F7280" s="74"/>
      <c r="G7280" s="72"/>
      <c r="K7280" s="407"/>
    </row>
    <row r="7281" spans="1:11" x14ac:dyDescent="0.25">
      <c r="A7281" s="163"/>
      <c r="B7281" s="106"/>
      <c r="C7281" s="78"/>
      <c r="D7281" s="100" t="s">
        <v>1624</v>
      </c>
      <c r="E7281" s="73"/>
      <c r="F7281" s="74" t="s">
        <v>3</v>
      </c>
      <c r="G7281" s="72">
        <f>0.175*0.17*3*1.4*1.2</f>
        <v>0.14993999999999999</v>
      </c>
      <c r="K7281" s="407"/>
    </row>
    <row r="7282" spans="1:11" x14ac:dyDescent="0.25">
      <c r="A7282" s="163"/>
      <c r="B7282" s="106"/>
      <c r="C7282" s="78"/>
      <c r="D7282" s="73"/>
      <c r="E7282" s="73"/>
      <c r="F7282" s="74"/>
      <c r="G7282" s="72"/>
      <c r="K7282" s="407"/>
    </row>
    <row r="7283" spans="1:11" x14ac:dyDescent="0.25">
      <c r="A7283" s="163"/>
      <c r="B7283" s="106"/>
      <c r="C7283" s="78" t="s">
        <v>3425</v>
      </c>
      <c r="D7283" s="73"/>
      <c r="E7283" s="73"/>
      <c r="F7283" s="74"/>
      <c r="G7283" s="72"/>
      <c r="K7283" s="407"/>
    </row>
    <row r="7284" spans="1:11" x14ac:dyDescent="0.25">
      <c r="A7284" s="163"/>
      <c r="B7284" s="106"/>
      <c r="C7284" s="78"/>
      <c r="D7284" s="75" t="s">
        <v>3425</v>
      </c>
      <c r="E7284" s="73"/>
      <c r="F7284" s="74"/>
      <c r="G7284" s="72"/>
      <c r="K7284" s="407"/>
    </row>
    <row r="7285" spans="1:11" x14ac:dyDescent="0.25">
      <c r="A7285" s="163"/>
      <c r="B7285" s="106"/>
      <c r="C7285" s="78"/>
      <c r="D7285" s="100" t="s">
        <v>3428</v>
      </c>
      <c r="E7285" s="73"/>
      <c r="F7285" s="74" t="s">
        <v>3</v>
      </c>
      <c r="G7285" s="72">
        <f>0.68*0.1*4*2*1.05-0.001</f>
        <v>0.57020000000000004</v>
      </c>
      <c r="K7285" s="407"/>
    </row>
    <row r="7286" spans="1:11" x14ac:dyDescent="0.25">
      <c r="A7286" s="163"/>
      <c r="B7286" s="106"/>
      <c r="C7286" s="78"/>
      <c r="D7286" s="75" t="s">
        <v>3426</v>
      </c>
      <c r="E7286" s="73"/>
      <c r="F7286" s="74"/>
      <c r="G7286" s="72"/>
      <c r="K7286" s="407"/>
    </row>
    <row r="7287" spans="1:11" x14ac:dyDescent="0.25">
      <c r="A7287" s="163"/>
      <c r="B7287" s="106"/>
      <c r="C7287" s="78"/>
      <c r="D7287" s="73" t="s">
        <v>6</v>
      </c>
      <c r="E7287" s="73"/>
      <c r="F7287" s="74" t="s">
        <v>3</v>
      </c>
      <c r="G7287" s="72">
        <f>0.69*0.105*0.15*9*1.07</f>
        <v>0.10465402499999998</v>
      </c>
      <c r="K7287" s="407"/>
    </row>
    <row r="7288" spans="1:11" x14ac:dyDescent="0.25">
      <c r="A7288" s="163"/>
      <c r="B7288" s="106"/>
      <c r="C7288" s="78"/>
      <c r="D7288" s="75" t="s">
        <v>3427</v>
      </c>
      <c r="E7288" s="73"/>
      <c r="F7288" s="74"/>
      <c r="G7288" s="72"/>
      <c r="K7288" s="407"/>
    </row>
    <row r="7289" spans="1:11" x14ac:dyDescent="0.25">
      <c r="A7289" s="163"/>
      <c r="B7289" s="106"/>
      <c r="C7289" s="78"/>
      <c r="D7289" s="73" t="s">
        <v>6</v>
      </c>
      <c r="E7289" s="73"/>
      <c r="F7289" s="74" t="s">
        <v>3</v>
      </c>
      <c r="G7289" s="72">
        <f>0.69*0.105*0.15*9*1.07</f>
        <v>0.10465402499999998</v>
      </c>
      <c r="K7289" s="407"/>
    </row>
    <row r="7290" spans="1:11" x14ac:dyDescent="0.25">
      <c r="A7290" s="163"/>
      <c r="B7290" s="106"/>
      <c r="C7290" s="78"/>
      <c r="D7290" s="73"/>
      <c r="E7290" s="73"/>
      <c r="F7290" s="74"/>
      <c r="G7290" s="72"/>
      <c r="K7290" s="407"/>
    </row>
    <row r="7291" spans="1:11" x14ac:dyDescent="0.25">
      <c r="A7291" s="163"/>
      <c r="B7291" s="106"/>
      <c r="C7291" s="78" t="s">
        <v>3429</v>
      </c>
      <c r="D7291" s="73"/>
      <c r="E7291" s="73"/>
      <c r="F7291" s="74"/>
      <c r="G7291" s="72"/>
      <c r="K7291" s="407"/>
    </row>
    <row r="7292" spans="1:11" x14ac:dyDescent="0.25">
      <c r="A7292" s="163"/>
      <c r="B7292" s="106"/>
      <c r="C7292" s="186" t="s">
        <v>3430</v>
      </c>
      <c r="D7292" s="73"/>
      <c r="E7292" s="73"/>
      <c r="F7292" s="74" t="s">
        <v>3</v>
      </c>
      <c r="G7292" s="72">
        <f>0.03*0.03*1.5*1.45*1.5</f>
        <v>2.9362500000000001E-3</v>
      </c>
      <c r="K7292" s="407"/>
    </row>
    <row r="7293" spans="1:11" ht="15.75" thickBot="1" x14ac:dyDescent="0.3">
      <c r="A7293" s="67"/>
      <c r="B7293" s="86"/>
      <c r="C7293" s="198"/>
      <c r="D7293" s="235"/>
      <c r="E7293" s="68"/>
      <c r="F7293" s="82"/>
      <c r="G7293" s="83"/>
      <c r="K7293" s="405"/>
    </row>
    <row r="7294" spans="1:11" x14ac:dyDescent="0.25">
      <c r="A7294" s="159"/>
      <c r="B7294" s="181"/>
      <c r="C7294" s="200"/>
      <c r="D7294" s="184"/>
      <c r="E7294" s="93"/>
      <c r="F7294" s="175" t="s">
        <v>3436</v>
      </c>
      <c r="G7294" s="176"/>
      <c r="K7294" s="405"/>
    </row>
    <row r="7295" spans="1:11" x14ac:dyDescent="0.25">
      <c r="A7295" s="163"/>
      <c r="B7295" s="106"/>
      <c r="C7295" s="78" t="s">
        <v>3435</v>
      </c>
      <c r="D7295" s="75"/>
      <c r="E7295" s="73"/>
      <c r="F7295" s="74"/>
      <c r="G7295" s="72"/>
      <c r="K7295" s="408"/>
    </row>
    <row r="7296" spans="1:11" x14ac:dyDescent="0.25">
      <c r="A7296" s="163"/>
      <c r="B7296" s="106"/>
      <c r="C7296" s="73" t="s">
        <v>2755</v>
      </c>
      <c r="D7296" s="75"/>
      <c r="E7296" s="73"/>
      <c r="F7296" s="74" t="s">
        <v>3</v>
      </c>
      <c r="G7296" s="72">
        <f>0.003</f>
        <v>3.0000000000000001E-3</v>
      </c>
      <c r="K7296" s="408"/>
    </row>
    <row r="7297" spans="1:11" ht="17.25" x14ac:dyDescent="0.25">
      <c r="A7297" s="163"/>
      <c r="B7297" s="106"/>
      <c r="C7297" s="73" t="s">
        <v>1055</v>
      </c>
      <c r="D7297" s="75"/>
      <c r="E7297" s="73"/>
      <c r="F7297" s="74" t="s">
        <v>596</v>
      </c>
      <c r="G7297" s="72">
        <f>1.09*G7296</f>
        <v>3.2700000000000003E-3</v>
      </c>
      <c r="K7297" s="408"/>
    </row>
    <row r="7298" spans="1:11" x14ac:dyDescent="0.25">
      <c r="A7298" s="163"/>
      <c r="B7298" s="106"/>
      <c r="C7298" s="78"/>
      <c r="D7298" s="78" t="s">
        <v>3433</v>
      </c>
      <c r="E7298" s="73"/>
      <c r="F7298" s="74"/>
      <c r="G7298" s="72"/>
      <c r="K7298" s="408"/>
    </row>
    <row r="7299" spans="1:11" x14ac:dyDescent="0.25">
      <c r="A7299" s="163"/>
      <c r="B7299" s="106"/>
      <c r="C7299" s="73"/>
      <c r="D7299" s="186" t="s">
        <v>3214</v>
      </c>
      <c r="E7299" s="73"/>
      <c r="F7299" s="74" t="s">
        <v>3</v>
      </c>
      <c r="G7299" s="72">
        <f>0.12*0.055*2*8*1.14</f>
        <v>0.12038399999999999</v>
      </c>
      <c r="K7299" s="408"/>
    </row>
    <row r="7300" spans="1:11" x14ac:dyDescent="0.25">
      <c r="A7300" s="163"/>
      <c r="B7300" s="106"/>
      <c r="C7300" s="73"/>
      <c r="D7300" s="78" t="s">
        <v>3434</v>
      </c>
      <c r="E7300" s="73"/>
      <c r="F7300" s="74"/>
      <c r="G7300" s="72"/>
      <c r="K7300" s="408"/>
    </row>
    <row r="7301" spans="1:11" x14ac:dyDescent="0.25">
      <c r="A7301" s="163"/>
      <c r="B7301" s="106"/>
      <c r="C7301" s="73"/>
      <c r="D7301" s="186" t="s">
        <v>3214</v>
      </c>
      <c r="E7301" s="73"/>
      <c r="F7301" s="74" t="s">
        <v>3</v>
      </c>
      <c r="G7301" s="72">
        <f>0.12*0.055*2*8*1.14</f>
        <v>0.12038399999999999</v>
      </c>
      <c r="K7301" s="408"/>
    </row>
    <row r="7302" spans="1:11" ht="15.75" thickBot="1" x14ac:dyDescent="0.3">
      <c r="A7302" s="67"/>
      <c r="B7302" s="86"/>
      <c r="C7302" s="68"/>
      <c r="D7302" s="68"/>
      <c r="E7302" s="68"/>
      <c r="F7302" s="82"/>
      <c r="G7302" s="83"/>
      <c r="K7302" s="408"/>
    </row>
    <row r="7303" spans="1:11" x14ac:dyDescent="0.25">
      <c r="A7303" s="159"/>
      <c r="B7303" s="181"/>
      <c r="C7303" s="93"/>
      <c r="D7303" s="184"/>
      <c r="E7303" s="93"/>
      <c r="F7303" s="175" t="s">
        <v>3500</v>
      </c>
      <c r="G7303" s="176"/>
      <c r="K7303" s="408"/>
    </row>
    <row r="7304" spans="1:11" ht="18.75" x14ac:dyDescent="0.3">
      <c r="A7304" s="163"/>
      <c r="B7304" s="106"/>
      <c r="C7304" s="73"/>
      <c r="D7304" s="75"/>
      <c r="E7304" s="188" t="s">
        <v>2125</v>
      </c>
      <c r="F7304" s="74"/>
      <c r="G7304" s="72"/>
      <c r="K7304" s="409"/>
    </row>
    <row r="7305" spans="1:11" x14ac:dyDescent="0.25">
      <c r="A7305" s="163"/>
      <c r="B7305" s="106"/>
      <c r="C7305" s="73"/>
      <c r="D7305" s="75"/>
      <c r="E7305" s="73"/>
      <c r="F7305" s="74"/>
      <c r="G7305" s="72"/>
      <c r="K7305" s="409"/>
    </row>
    <row r="7306" spans="1:11" x14ac:dyDescent="0.25">
      <c r="A7306" s="163"/>
      <c r="B7306" s="106"/>
      <c r="C7306" s="75" t="s">
        <v>3457</v>
      </c>
      <c r="D7306" s="75"/>
      <c r="E7306" s="73"/>
      <c r="F7306" s="74"/>
      <c r="G7306" s="72"/>
      <c r="K7306" s="409"/>
    </row>
    <row r="7307" spans="1:11" x14ac:dyDescent="0.25">
      <c r="A7307" s="163"/>
      <c r="B7307" s="106"/>
      <c r="C7307" s="73" t="s">
        <v>832</v>
      </c>
      <c r="D7307" s="75"/>
      <c r="E7307" s="73"/>
      <c r="F7307" s="74" t="s">
        <v>3</v>
      </c>
      <c r="G7307" s="72">
        <f>0.045</f>
        <v>4.4999999999999998E-2</v>
      </c>
      <c r="I7307" t="s">
        <v>1459</v>
      </c>
      <c r="K7307" s="409"/>
    </row>
    <row r="7308" spans="1:11" x14ac:dyDescent="0.25">
      <c r="A7308" s="163"/>
      <c r="B7308" s="106"/>
      <c r="C7308" s="73"/>
      <c r="D7308" s="75"/>
      <c r="E7308" s="73"/>
      <c r="F7308" s="74"/>
      <c r="G7308" s="72"/>
      <c r="K7308" s="409"/>
    </row>
    <row r="7309" spans="1:11" x14ac:dyDescent="0.25">
      <c r="A7309" s="163"/>
      <c r="B7309" s="106"/>
      <c r="C7309" s="75" t="s">
        <v>3437</v>
      </c>
      <c r="D7309" s="75"/>
      <c r="E7309" s="73"/>
      <c r="F7309" s="74"/>
      <c r="G7309" s="72"/>
      <c r="K7309" s="409"/>
    </row>
    <row r="7310" spans="1:11" x14ac:dyDescent="0.25">
      <c r="A7310" s="163"/>
      <c r="B7310" s="106"/>
      <c r="C7310" s="73" t="s">
        <v>3438</v>
      </c>
      <c r="D7310" s="75"/>
      <c r="E7310" s="73"/>
      <c r="F7310" s="74" t="s">
        <v>3</v>
      </c>
      <c r="G7310" s="72">
        <v>7.0000000000000007E-2</v>
      </c>
      <c r="I7310" t="s">
        <v>3439</v>
      </c>
      <c r="K7310" s="409"/>
    </row>
    <row r="7311" spans="1:11" x14ac:dyDescent="0.25">
      <c r="A7311" s="163"/>
      <c r="B7311" s="106"/>
      <c r="C7311" s="73"/>
      <c r="D7311" s="75"/>
      <c r="E7311" s="73"/>
      <c r="F7311" s="74"/>
      <c r="G7311" s="72"/>
      <c r="K7311" s="409"/>
    </row>
    <row r="7312" spans="1:11" x14ac:dyDescent="0.25">
      <c r="A7312" s="163"/>
      <c r="B7312" s="106"/>
      <c r="C7312" s="75" t="s">
        <v>3440</v>
      </c>
      <c r="D7312" s="75"/>
      <c r="E7312" s="73"/>
      <c r="F7312" s="74"/>
      <c r="G7312" s="72"/>
      <c r="K7312" s="409"/>
    </row>
    <row r="7313" spans="1:11" x14ac:dyDescent="0.25">
      <c r="A7313" s="163"/>
      <c r="B7313" s="106"/>
      <c r="C7313" s="73" t="s">
        <v>3441</v>
      </c>
      <c r="D7313" s="75"/>
      <c r="E7313" s="73"/>
      <c r="F7313" s="74" t="s">
        <v>3</v>
      </c>
      <c r="G7313" s="72">
        <v>3.3000000000000002E-2</v>
      </c>
      <c r="I7313" t="s">
        <v>3442</v>
      </c>
      <c r="K7313" s="409"/>
    </row>
    <row r="7314" spans="1:11" x14ac:dyDescent="0.25">
      <c r="A7314" s="163"/>
      <c r="B7314" s="106"/>
      <c r="C7314" s="73"/>
      <c r="D7314" s="75"/>
      <c r="E7314" s="73"/>
      <c r="F7314" s="74"/>
      <c r="G7314" s="72"/>
      <c r="K7314" s="409"/>
    </row>
    <row r="7315" spans="1:11" x14ac:dyDescent="0.25">
      <c r="A7315" s="163"/>
      <c r="B7315" s="106"/>
      <c r="C7315" s="75" t="s">
        <v>3443</v>
      </c>
      <c r="D7315" s="75"/>
      <c r="E7315" s="73"/>
      <c r="F7315" s="74"/>
      <c r="G7315" s="72"/>
      <c r="K7315" s="409"/>
    </row>
    <row r="7316" spans="1:11" x14ac:dyDescent="0.25">
      <c r="A7316" s="163"/>
      <c r="B7316" s="106"/>
      <c r="C7316" s="73" t="s">
        <v>3438</v>
      </c>
      <c r="D7316" s="75"/>
      <c r="E7316" s="73"/>
      <c r="F7316" s="74" t="s">
        <v>3</v>
      </c>
      <c r="G7316" s="72">
        <v>0.09</v>
      </c>
      <c r="I7316" t="s">
        <v>3444</v>
      </c>
      <c r="K7316" s="409"/>
    </row>
    <row r="7317" spans="1:11" x14ac:dyDescent="0.25">
      <c r="A7317" s="163"/>
      <c r="B7317" s="106"/>
      <c r="C7317" s="73"/>
      <c r="D7317" s="75"/>
      <c r="E7317" s="73"/>
      <c r="F7317" s="74"/>
      <c r="G7317" s="72"/>
      <c r="K7317" s="409"/>
    </row>
    <row r="7318" spans="1:11" x14ac:dyDescent="0.25">
      <c r="A7318" s="163"/>
      <c r="B7318" s="106"/>
      <c r="C7318" s="75" t="s">
        <v>3449</v>
      </c>
      <c r="D7318" s="75"/>
      <c r="E7318" s="73"/>
      <c r="F7318" s="74"/>
      <c r="G7318" s="72"/>
      <c r="K7318" s="409"/>
    </row>
    <row r="7319" spans="1:11" x14ac:dyDescent="0.25">
      <c r="A7319" s="163"/>
      <c r="B7319" s="106"/>
      <c r="C7319" s="100" t="s">
        <v>3450</v>
      </c>
      <c r="D7319" s="75"/>
      <c r="E7319" s="73"/>
      <c r="F7319" s="74" t="s">
        <v>1516</v>
      </c>
      <c r="G7319" s="72">
        <v>2</v>
      </c>
      <c r="K7319" s="409"/>
    </row>
    <row r="7320" spans="1:11" x14ac:dyDescent="0.25">
      <c r="A7320" s="163"/>
      <c r="B7320" s="106"/>
      <c r="C7320" s="73"/>
      <c r="D7320" s="75" t="s">
        <v>3446</v>
      </c>
      <c r="E7320" s="73"/>
      <c r="F7320" s="74"/>
      <c r="G7320" s="72"/>
      <c r="K7320" s="409"/>
    </row>
    <row r="7321" spans="1:11" x14ac:dyDescent="0.25">
      <c r="A7321" s="163"/>
      <c r="B7321" s="106"/>
      <c r="C7321" s="73"/>
      <c r="D7321" s="100" t="s">
        <v>3105</v>
      </c>
      <c r="E7321" s="73"/>
      <c r="F7321" s="74" t="s">
        <v>3</v>
      </c>
      <c r="G7321" s="72">
        <f>0.11*0.025*4*9*1.16</f>
        <v>0.11484</v>
      </c>
      <c r="K7321" s="409"/>
    </row>
    <row r="7322" spans="1:11" x14ac:dyDescent="0.25">
      <c r="A7322" s="163"/>
      <c r="B7322" s="106"/>
      <c r="C7322" s="73"/>
      <c r="D7322" s="73" t="s">
        <v>671</v>
      </c>
      <c r="E7322" s="73"/>
      <c r="F7322" s="74" t="s">
        <v>3</v>
      </c>
      <c r="G7322" s="72">
        <v>4.0000000000000001E-3</v>
      </c>
      <c r="K7322" s="409"/>
    </row>
    <row r="7323" spans="1:11" x14ac:dyDescent="0.25">
      <c r="A7323" s="163"/>
      <c r="B7323" s="106"/>
      <c r="C7323" s="73"/>
      <c r="D7323" s="73" t="s">
        <v>672</v>
      </c>
      <c r="E7323" s="73"/>
      <c r="F7323" s="74" t="s">
        <v>3</v>
      </c>
      <c r="G7323" s="72">
        <v>0.01</v>
      </c>
      <c r="K7323" s="409"/>
    </row>
    <row r="7324" spans="1:11" x14ac:dyDescent="0.25">
      <c r="A7324" s="163"/>
      <c r="B7324" s="106"/>
      <c r="C7324" s="73"/>
      <c r="D7324" s="75" t="s">
        <v>3447</v>
      </c>
      <c r="E7324" s="73"/>
      <c r="F7324" s="74"/>
      <c r="G7324" s="72"/>
      <c r="K7324" s="409"/>
    </row>
    <row r="7325" spans="1:11" x14ac:dyDescent="0.25">
      <c r="A7325" s="163"/>
      <c r="B7325" s="106"/>
      <c r="C7325" s="73"/>
      <c r="D7325" s="100" t="s">
        <v>3448</v>
      </c>
      <c r="E7325" s="73"/>
      <c r="F7325" s="74" t="s">
        <v>3</v>
      </c>
      <c r="G7325" s="72">
        <f>0.15*0.025*0.2*9*20*1.145</f>
        <v>0.15457500000000002</v>
      </c>
      <c r="K7325" s="409"/>
    </row>
    <row r="7326" spans="1:11" x14ac:dyDescent="0.25">
      <c r="A7326" s="163"/>
      <c r="B7326" s="106"/>
      <c r="C7326" s="73"/>
      <c r="D7326" s="75"/>
      <c r="E7326" s="73"/>
      <c r="F7326" s="74"/>
      <c r="G7326" s="72"/>
      <c r="K7326" s="409"/>
    </row>
    <row r="7327" spans="1:11" x14ac:dyDescent="0.25">
      <c r="A7327" s="163"/>
      <c r="B7327" s="106"/>
      <c r="C7327" s="75" t="s">
        <v>3445</v>
      </c>
      <c r="D7327" s="75"/>
      <c r="E7327" s="73"/>
      <c r="F7327" s="74"/>
      <c r="G7327" s="72"/>
      <c r="K7327" s="409"/>
    </row>
    <row r="7328" spans="1:11" x14ac:dyDescent="0.25">
      <c r="A7328" s="163"/>
      <c r="B7328" s="106"/>
      <c r="C7328" s="100" t="s">
        <v>3451</v>
      </c>
      <c r="D7328" s="75"/>
      <c r="E7328" s="73"/>
      <c r="F7328" s="74" t="s">
        <v>1516</v>
      </c>
      <c r="G7328" s="72">
        <v>2</v>
      </c>
      <c r="K7328" s="409"/>
    </row>
    <row r="7329" spans="1:11" x14ac:dyDescent="0.25">
      <c r="A7329" s="163"/>
      <c r="B7329" s="106"/>
      <c r="C7329" s="73"/>
      <c r="D7329" s="75" t="s">
        <v>3452</v>
      </c>
      <c r="E7329" s="73"/>
      <c r="F7329" s="74"/>
      <c r="G7329" s="72"/>
      <c r="K7329" s="409"/>
    </row>
    <row r="7330" spans="1:11" x14ac:dyDescent="0.25">
      <c r="A7330" s="163"/>
      <c r="B7330" s="106"/>
      <c r="C7330" s="73"/>
      <c r="D7330" s="100" t="s">
        <v>3455</v>
      </c>
      <c r="E7330" s="73"/>
      <c r="F7330" s="74" t="s">
        <v>3</v>
      </c>
      <c r="G7330" s="72">
        <f>0.15*0.025*0.2*9*20*1.15</f>
        <v>0.15525</v>
      </c>
      <c r="K7330" s="409"/>
    </row>
    <row r="7331" spans="1:11" x14ac:dyDescent="0.25">
      <c r="A7331" s="163"/>
      <c r="B7331" s="106"/>
      <c r="C7331" s="73"/>
      <c r="D7331" s="73" t="s">
        <v>671</v>
      </c>
      <c r="E7331" s="73"/>
      <c r="F7331" s="74" t="s">
        <v>3</v>
      </c>
      <c r="G7331" s="72">
        <v>4.0000000000000001E-3</v>
      </c>
      <c r="K7331" s="409"/>
    </row>
    <row r="7332" spans="1:11" x14ac:dyDescent="0.25">
      <c r="A7332" s="163"/>
      <c r="B7332" s="106"/>
      <c r="C7332" s="73"/>
      <c r="D7332" s="73" t="s">
        <v>672</v>
      </c>
      <c r="E7332" s="73"/>
      <c r="F7332" s="74" t="s">
        <v>3</v>
      </c>
      <c r="G7332" s="72">
        <v>0.01</v>
      </c>
      <c r="K7332" s="409"/>
    </row>
    <row r="7333" spans="1:11" x14ac:dyDescent="0.25">
      <c r="A7333" s="163"/>
      <c r="B7333" s="106"/>
      <c r="C7333" s="73"/>
      <c r="D7333" s="75" t="s">
        <v>3453</v>
      </c>
      <c r="E7333" s="73"/>
      <c r="F7333" s="74"/>
      <c r="G7333" s="72"/>
      <c r="K7333" s="409"/>
    </row>
    <row r="7334" spans="1:11" x14ac:dyDescent="0.25">
      <c r="A7334" s="163"/>
      <c r="B7334" s="106"/>
      <c r="C7334" s="73"/>
      <c r="D7334" s="100" t="s">
        <v>3454</v>
      </c>
      <c r="E7334" s="73"/>
      <c r="F7334" s="74" t="s">
        <v>3</v>
      </c>
      <c r="G7334" s="72">
        <f>0.07*0.025*3*9*1.17</f>
        <v>5.5282500000000012E-2</v>
      </c>
      <c r="K7334" s="409"/>
    </row>
    <row r="7335" spans="1:11" x14ac:dyDescent="0.25">
      <c r="A7335" s="163"/>
      <c r="B7335" s="106"/>
      <c r="C7335" s="73"/>
      <c r="D7335" s="75"/>
      <c r="E7335" s="73"/>
      <c r="F7335" s="74"/>
      <c r="G7335" s="72"/>
      <c r="K7335" s="409"/>
    </row>
    <row r="7336" spans="1:11" x14ac:dyDescent="0.25">
      <c r="A7336" s="163"/>
      <c r="B7336" s="106"/>
      <c r="C7336" s="75" t="s">
        <v>3456</v>
      </c>
      <c r="D7336" s="75"/>
      <c r="E7336" s="73"/>
      <c r="F7336" s="74"/>
      <c r="G7336" s="72"/>
      <c r="K7336" s="409"/>
    </row>
    <row r="7337" spans="1:11" x14ac:dyDescent="0.25">
      <c r="A7337" s="163"/>
      <c r="B7337" s="106"/>
      <c r="C7337" s="73" t="s">
        <v>3458</v>
      </c>
      <c r="D7337" s="75"/>
      <c r="E7337" s="73"/>
      <c r="F7337" s="74" t="s">
        <v>3</v>
      </c>
      <c r="G7337" s="72">
        <f>0.03*0.025*2*8*1.15</f>
        <v>1.38E-2</v>
      </c>
      <c r="K7337" s="409"/>
    </row>
    <row r="7338" spans="1:11" x14ac:dyDescent="0.25">
      <c r="A7338" s="163"/>
      <c r="B7338" s="106"/>
      <c r="C7338" s="73"/>
      <c r="D7338" s="75"/>
      <c r="E7338" s="73"/>
      <c r="F7338" s="74"/>
      <c r="G7338" s="72"/>
      <c r="K7338" s="409"/>
    </row>
    <row r="7339" spans="1:11" x14ac:dyDescent="0.25">
      <c r="A7339" s="163"/>
      <c r="B7339" s="106"/>
      <c r="C7339" s="75" t="s">
        <v>3459</v>
      </c>
      <c r="D7339" s="75"/>
      <c r="E7339" s="73"/>
      <c r="F7339" s="74"/>
      <c r="G7339" s="72"/>
      <c r="K7339" s="409"/>
    </row>
    <row r="7340" spans="1:11" x14ac:dyDescent="0.25">
      <c r="A7340" s="163"/>
      <c r="B7340" s="106"/>
      <c r="C7340" s="73" t="s">
        <v>3060</v>
      </c>
      <c r="D7340" s="75"/>
      <c r="E7340" s="73"/>
      <c r="F7340" s="74" t="s">
        <v>3</v>
      </c>
      <c r="G7340" s="72">
        <f>0.59*0.01*4*8*1.11</f>
        <v>0.209568</v>
      </c>
      <c r="K7340" s="409"/>
    </row>
    <row r="7341" spans="1:11" x14ac:dyDescent="0.25">
      <c r="A7341" s="163"/>
      <c r="B7341" s="106"/>
      <c r="C7341" s="73"/>
      <c r="D7341" s="75"/>
      <c r="E7341" s="73"/>
      <c r="F7341" s="74"/>
      <c r="G7341" s="72"/>
      <c r="K7341" s="409"/>
    </row>
    <row r="7342" spans="1:11" x14ac:dyDescent="0.25">
      <c r="A7342" s="163"/>
      <c r="B7342" s="106"/>
      <c r="C7342" s="75" t="s">
        <v>3460</v>
      </c>
      <c r="D7342" s="75"/>
      <c r="E7342" s="73"/>
      <c r="F7342" s="74"/>
      <c r="G7342" s="72"/>
      <c r="K7342" s="409"/>
    </row>
    <row r="7343" spans="1:11" x14ac:dyDescent="0.25">
      <c r="A7343" s="163"/>
      <c r="B7343" s="106"/>
      <c r="C7343" s="73" t="s">
        <v>3461</v>
      </c>
      <c r="D7343" s="75"/>
      <c r="E7343" s="73"/>
      <c r="F7343" s="74" t="s">
        <v>3</v>
      </c>
      <c r="G7343" s="72">
        <f>0.465*0.02*2*8*1.14</f>
        <v>0.16963200000000001</v>
      </c>
      <c r="K7343" s="409"/>
    </row>
    <row r="7344" spans="1:11" x14ac:dyDescent="0.25">
      <c r="A7344" s="163"/>
      <c r="B7344" s="106"/>
      <c r="C7344" s="73"/>
      <c r="D7344" s="75"/>
      <c r="E7344" s="73"/>
      <c r="F7344" s="74"/>
      <c r="G7344" s="72"/>
      <c r="K7344" s="409"/>
    </row>
    <row r="7345" spans="1:11" x14ac:dyDescent="0.25">
      <c r="A7345" s="163"/>
      <c r="B7345" s="106"/>
      <c r="C7345" s="75" t="s">
        <v>3462</v>
      </c>
      <c r="D7345" s="75"/>
      <c r="E7345" s="73"/>
      <c r="F7345" s="74"/>
      <c r="G7345" s="72"/>
      <c r="K7345" s="409"/>
    </row>
    <row r="7346" spans="1:11" x14ac:dyDescent="0.25">
      <c r="A7346" s="163"/>
      <c r="B7346" s="106"/>
      <c r="C7346" s="186" t="s">
        <v>2827</v>
      </c>
      <c r="D7346" s="75"/>
      <c r="E7346" s="73"/>
      <c r="F7346" s="74" t="s">
        <v>3</v>
      </c>
      <c r="G7346" s="72">
        <v>0.01</v>
      </c>
      <c r="I7346" t="s">
        <v>3463</v>
      </c>
      <c r="K7346" s="408"/>
    </row>
    <row r="7347" spans="1:11" x14ac:dyDescent="0.25">
      <c r="A7347" s="163"/>
      <c r="B7347" s="106"/>
      <c r="C7347" s="78"/>
      <c r="D7347" s="75"/>
      <c r="E7347" s="73"/>
      <c r="F7347" s="74"/>
      <c r="G7347" s="72"/>
      <c r="K7347" s="408"/>
    </row>
    <row r="7348" spans="1:11" x14ac:dyDescent="0.25">
      <c r="A7348" s="163"/>
      <c r="B7348" s="106"/>
      <c r="C7348" s="78" t="s">
        <v>3464</v>
      </c>
      <c r="D7348" s="75"/>
      <c r="E7348" s="73"/>
      <c r="F7348" s="74"/>
      <c r="G7348" s="72"/>
      <c r="K7348" s="405"/>
    </row>
    <row r="7349" spans="1:11" x14ac:dyDescent="0.25">
      <c r="A7349" s="163"/>
      <c r="B7349" s="106"/>
      <c r="C7349" s="73" t="s">
        <v>3223</v>
      </c>
      <c r="D7349" s="73"/>
      <c r="E7349" s="73"/>
      <c r="F7349" s="74" t="s">
        <v>3</v>
      </c>
      <c r="G7349" s="72">
        <f>0.025*3.14*0.05*1.5</f>
        <v>5.8875000000000004E-3</v>
      </c>
      <c r="K7349" s="409"/>
    </row>
    <row r="7350" spans="1:11" ht="17.25" x14ac:dyDescent="0.25">
      <c r="A7350" s="163"/>
      <c r="B7350" s="106"/>
      <c r="C7350" s="73" t="s">
        <v>168</v>
      </c>
      <c r="D7350" s="73"/>
      <c r="E7350" s="73"/>
      <c r="F7350" s="74" t="s">
        <v>596</v>
      </c>
      <c r="G7350" s="72">
        <f>1.09*G7349</f>
        <v>6.4173750000000012E-3</v>
      </c>
      <c r="K7350" s="409"/>
    </row>
    <row r="7351" spans="1:11" x14ac:dyDescent="0.25">
      <c r="A7351" s="163"/>
      <c r="B7351" s="106"/>
      <c r="C7351" s="78"/>
      <c r="D7351" s="75" t="s">
        <v>3465</v>
      </c>
      <c r="E7351" s="73"/>
      <c r="F7351" s="74"/>
      <c r="G7351" s="72"/>
      <c r="K7351" s="409"/>
    </row>
    <row r="7352" spans="1:11" x14ac:dyDescent="0.25">
      <c r="A7352" s="163"/>
      <c r="B7352" s="106"/>
      <c r="C7352" s="78"/>
      <c r="D7352" s="100" t="s">
        <v>3467</v>
      </c>
      <c r="E7352" s="73"/>
      <c r="F7352" s="74" t="s">
        <v>3</v>
      </c>
      <c r="G7352" s="72">
        <f>0.13</f>
        <v>0.13</v>
      </c>
      <c r="I7352" t="s">
        <v>3466</v>
      </c>
      <c r="K7352" s="409"/>
    </row>
    <row r="7353" spans="1:11" x14ac:dyDescent="0.25">
      <c r="A7353" s="163"/>
      <c r="B7353" s="106"/>
      <c r="C7353" s="78"/>
      <c r="D7353" s="75" t="s">
        <v>3468</v>
      </c>
      <c r="E7353" s="73"/>
      <c r="F7353" s="74"/>
      <c r="G7353" s="72"/>
      <c r="K7353" s="409"/>
    </row>
    <row r="7354" spans="1:11" x14ac:dyDescent="0.25">
      <c r="A7354" s="163"/>
      <c r="B7354" s="106"/>
      <c r="C7354" s="78"/>
      <c r="D7354" s="100" t="s">
        <v>598</v>
      </c>
      <c r="E7354" s="73"/>
      <c r="F7354" s="74" t="s">
        <v>3</v>
      </c>
      <c r="G7354" s="72">
        <f>0.04*0.015*2.5*2.7*1.12</f>
        <v>4.5360000000000001E-3</v>
      </c>
      <c r="K7354" s="409"/>
    </row>
    <row r="7355" spans="1:11" x14ac:dyDescent="0.25">
      <c r="A7355" s="163"/>
      <c r="B7355" s="106"/>
      <c r="C7355" s="78"/>
      <c r="D7355" s="75"/>
      <c r="E7355" s="73"/>
      <c r="F7355" s="74"/>
      <c r="G7355" s="72"/>
      <c r="K7355" s="409"/>
    </row>
    <row r="7356" spans="1:11" x14ac:dyDescent="0.25">
      <c r="A7356" s="163"/>
      <c r="B7356" s="106"/>
      <c r="C7356" s="78" t="s">
        <v>3469</v>
      </c>
      <c r="D7356" s="75"/>
      <c r="E7356" s="73"/>
      <c r="F7356" s="74"/>
      <c r="G7356" s="72"/>
      <c r="K7356" s="409"/>
    </row>
    <row r="7357" spans="1:11" x14ac:dyDescent="0.25">
      <c r="A7357" s="163"/>
      <c r="B7357" s="106"/>
      <c r="C7357" s="186" t="s">
        <v>3470</v>
      </c>
      <c r="D7357" s="75"/>
      <c r="E7357" s="73"/>
      <c r="F7357" s="74" t="s">
        <v>3</v>
      </c>
      <c r="G7357" s="72">
        <f>(0.055+0.025*3.14+0.03*3.14)*0.05*1.1</f>
        <v>1.2523500000000002E-2</v>
      </c>
      <c r="K7357" s="409"/>
    </row>
    <row r="7358" spans="1:11" x14ac:dyDescent="0.25">
      <c r="A7358" s="163"/>
      <c r="B7358" s="106"/>
      <c r="C7358" s="186" t="s">
        <v>672</v>
      </c>
      <c r="D7358" s="75"/>
      <c r="E7358" s="73"/>
      <c r="F7358" s="74" t="s">
        <v>3</v>
      </c>
      <c r="G7358" s="72">
        <f>G7357*2</f>
        <v>2.5047000000000003E-2</v>
      </c>
      <c r="K7358" s="409"/>
    </row>
    <row r="7359" spans="1:11" x14ac:dyDescent="0.25">
      <c r="A7359" s="163"/>
      <c r="B7359" s="106"/>
      <c r="C7359" s="78"/>
      <c r="D7359" s="75" t="s">
        <v>3471</v>
      </c>
      <c r="E7359" s="73"/>
      <c r="F7359" s="74"/>
      <c r="G7359" s="72"/>
      <c r="K7359" s="409"/>
    </row>
    <row r="7360" spans="1:11" x14ac:dyDescent="0.25">
      <c r="A7360" s="163"/>
      <c r="B7360" s="106"/>
      <c r="C7360" s="78"/>
      <c r="D7360" s="100" t="s">
        <v>3472</v>
      </c>
      <c r="E7360" s="73"/>
      <c r="F7360" s="74" t="s">
        <v>3</v>
      </c>
      <c r="G7360" s="72">
        <f>0.12*0.07*1*8.5*1.12</f>
        <v>7.9968000000000011E-2</v>
      </c>
      <c r="K7360" s="409"/>
    </row>
    <row r="7361" spans="1:11" x14ac:dyDescent="0.25">
      <c r="A7361" s="163"/>
      <c r="B7361" s="106"/>
      <c r="C7361" s="78"/>
      <c r="D7361" s="186" t="s">
        <v>3477</v>
      </c>
      <c r="E7361" s="75"/>
      <c r="F7361" s="74" t="s">
        <v>3</v>
      </c>
      <c r="G7361" s="72">
        <f>(0.055)*0.05*1.1</f>
        <v>3.0250000000000003E-3</v>
      </c>
      <c r="K7361" s="409"/>
    </row>
    <row r="7362" spans="1:11" x14ac:dyDescent="0.25">
      <c r="A7362" s="163"/>
      <c r="B7362" s="106"/>
      <c r="C7362" s="78"/>
      <c r="D7362" s="186" t="s">
        <v>672</v>
      </c>
      <c r="E7362" s="75"/>
      <c r="F7362" s="74" t="s">
        <v>3</v>
      </c>
      <c r="G7362" s="72">
        <f>G7361*2</f>
        <v>6.0500000000000007E-3</v>
      </c>
      <c r="K7362" s="409"/>
    </row>
    <row r="7363" spans="1:11" x14ac:dyDescent="0.25">
      <c r="A7363" s="163"/>
      <c r="B7363" s="106"/>
      <c r="C7363" s="78"/>
      <c r="D7363" s="75" t="s">
        <v>3473</v>
      </c>
      <c r="E7363" s="73"/>
      <c r="F7363" s="74"/>
      <c r="G7363" s="72"/>
      <c r="K7363" s="409"/>
    </row>
    <row r="7364" spans="1:11" x14ac:dyDescent="0.25">
      <c r="A7364" s="163"/>
      <c r="B7364" s="106"/>
      <c r="C7364" s="78"/>
      <c r="D7364" s="100" t="s">
        <v>3472</v>
      </c>
      <c r="E7364" s="73"/>
      <c r="F7364" s="74" t="s">
        <v>3</v>
      </c>
      <c r="G7364" s="72">
        <f>0.03*0.03*1*8.5*1.1</f>
        <v>8.4150000000000006E-3</v>
      </c>
      <c r="K7364" s="409"/>
    </row>
    <row r="7365" spans="1:11" x14ac:dyDescent="0.25">
      <c r="A7365" s="163"/>
      <c r="B7365" s="106"/>
      <c r="C7365" s="78"/>
      <c r="D7365" s="75" t="s">
        <v>3474</v>
      </c>
      <c r="E7365" s="73"/>
      <c r="F7365" s="74"/>
      <c r="G7365" s="72"/>
      <c r="K7365" s="409"/>
    </row>
    <row r="7366" spans="1:11" x14ac:dyDescent="0.25">
      <c r="A7366" s="163"/>
      <c r="B7366" s="106"/>
      <c r="C7366" s="78"/>
      <c r="D7366" s="100" t="s">
        <v>3475</v>
      </c>
      <c r="E7366" s="73"/>
      <c r="F7366" s="74" t="s">
        <v>3</v>
      </c>
      <c r="G7366" s="72">
        <v>3.0000000000000001E-3</v>
      </c>
      <c r="I7366" t="s">
        <v>3476</v>
      </c>
      <c r="K7366" s="409"/>
    </row>
    <row r="7367" spans="1:11" x14ac:dyDescent="0.25">
      <c r="A7367" s="163"/>
      <c r="B7367" s="106"/>
      <c r="C7367" s="78"/>
      <c r="D7367" s="75"/>
      <c r="E7367" s="73"/>
      <c r="F7367" s="74"/>
      <c r="G7367" s="72"/>
      <c r="K7367" s="409"/>
    </row>
    <row r="7368" spans="1:11" x14ac:dyDescent="0.25">
      <c r="A7368" s="163"/>
      <c r="B7368" s="106"/>
      <c r="C7368" s="78" t="s">
        <v>3478</v>
      </c>
      <c r="D7368" s="75"/>
      <c r="E7368" s="73"/>
      <c r="F7368" s="74"/>
      <c r="G7368" s="72"/>
      <c r="K7368" s="409"/>
    </row>
    <row r="7369" spans="1:11" x14ac:dyDescent="0.25">
      <c r="A7369" s="163"/>
      <c r="B7369" s="106"/>
      <c r="C7369" s="186" t="s">
        <v>3479</v>
      </c>
      <c r="D7369" s="75"/>
      <c r="E7369" s="73"/>
      <c r="F7369" s="74" t="s">
        <v>3</v>
      </c>
      <c r="G7369" s="72">
        <f>0.035*0.035*4*8*1.15</f>
        <v>4.5080000000000002E-2</v>
      </c>
      <c r="K7369" s="409"/>
    </row>
    <row r="7370" spans="1:11" x14ac:dyDescent="0.25">
      <c r="A7370" s="163"/>
      <c r="B7370" s="106"/>
      <c r="C7370" s="78"/>
      <c r="D7370" s="75"/>
      <c r="E7370" s="73"/>
      <c r="F7370" s="74"/>
      <c r="G7370" s="72"/>
      <c r="K7370" s="409"/>
    </row>
    <row r="7371" spans="1:11" x14ac:dyDescent="0.25">
      <c r="A7371" s="163"/>
      <c r="B7371" s="106"/>
      <c r="C7371" s="75" t="s">
        <v>3480</v>
      </c>
      <c r="D7371" s="73"/>
      <c r="E7371" s="73"/>
      <c r="F7371" s="74"/>
      <c r="G7371" s="72"/>
      <c r="K7371" s="409"/>
    </row>
    <row r="7372" spans="1:11" x14ac:dyDescent="0.25">
      <c r="A7372" s="163"/>
      <c r="B7372" s="106"/>
      <c r="C7372" s="73" t="s">
        <v>3223</v>
      </c>
      <c r="D7372" s="73"/>
      <c r="E7372" s="73"/>
      <c r="F7372" s="74" t="s">
        <v>3</v>
      </c>
      <c r="G7372" s="72">
        <f>0.07*0.05*1.3</f>
        <v>4.5500000000000011E-3</v>
      </c>
      <c r="K7372" s="409"/>
    </row>
    <row r="7373" spans="1:11" ht="17.25" x14ac:dyDescent="0.25">
      <c r="A7373" s="163"/>
      <c r="B7373" s="106"/>
      <c r="C7373" s="73" t="s">
        <v>168</v>
      </c>
      <c r="D7373" s="73"/>
      <c r="E7373" s="73"/>
      <c r="F7373" s="74" t="s">
        <v>596</v>
      </c>
      <c r="G7373" s="72">
        <f>1.09*G7372</f>
        <v>4.9595000000000012E-3</v>
      </c>
      <c r="K7373" s="409"/>
    </row>
    <row r="7374" spans="1:11" x14ac:dyDescent="0.25">
      <c r="A7374" s="163"/>
      <c r="B7374" s="106"/>
      <c r="C7374" s="78"/>
      <c r="D7374" s="75" t="s">
        <v>3481</v>
      </c>
      <c r="E7374" s="73"/>
      <c r="F7374" s="74"/>
      <c r="G7374" s="72"/>
      <c r="K7374" s="409"/>
    </row>
    <row r="7375" spans="1:11" x14ac:dyDescent="0.25">
      <c r="A7375" s="163"/>
      <c r="B7375" s="106"/>
      <c r="C7375" s="78"/>
      <c r="D7375" s="100" t="s">
        <v>213</v>
      </c>
      <c r="E7375" s="73"/>
      <c r="F7375" s="74" t="s">
        <v>3</v>
      </c>
      <c r="G7375" s="72">
        <f>0.04*0.01*3*2.7*1.12</f>
        <v>3.628800000000001E-3</v>
      </c>
      <c r="K7375" s="409"/>
    </row>
    <row r="7376" spans="1:11" x14ac:dyDescent="0.25">
      <c r="A7376" s="163"/>
      <c r="B7376" s="106"/>
      <c r="C7376" s="78"/>
      <c r="D7376" s="75" t="s">
        <v>3482</v>
      </c>
      <c r="E7376" s="73"/>
      <c r="F7376" s="74"/>
      <c r="G7376" s="72"/>
      <c r="K7376" s="409"/>
    </row>
    <row r="7377" spans="1:11" x14ac:dyDescent="0.25">
      <c r="A7377" s="163"/>
      <c r="B7377" s="106"/>
      <c r="C7377" s="78"/>
      <c r="D7377" s="73" t="s">
        <v>3223</v>
      </c>
      <c r="E7377" s="73"/>
      <c r="F7377" s="74" t="s">
        <v>3</v>
      </c>
      <c r="G7377" s="72">
        <f>1.7*0.05*1.29</f>
        <v>0.10965000000000001</v>
      </c>
      <c r="K7377" s="409"/>
    </row>
    <row r="7378" spans="1:11" ht="17.25" x14ac:dyDescent="0.25">
      <c r="A7378" s="163"/>
      <c r="B7378" s="106"/>
      <c r="C7378" s="78"/>
      <c r="D7378" s="73" t="s">
        <v>168</v>
      </c>
      <c r="E7378" s="73"/>
      <c r="F7378" s="74" t="s">
        <v>596</v>
      </c>
      <c r="G7378" s="72">
        <f>1.09*G7377</f>
        <v>0.11951850000000003</v>
      </c>
      <c r="K7378" s="409"/>
    </row>
    <row r="7379" spans="1:11" x14ac:dyDescent="0.25">
      <c r="A7379" s="163"/>
      <c r="B7379" s="106"/>
      <c r="C7379" s="78"/>
      <c r="D7379" s="100" t="s">
        <v>64</v>
      </c>
      <c r="E7379" s="73"/>
      <c r="F7379" s="74" t="s">
        <v>3</v>
      </c>
      <c r="G7379" s="72">
        <f>(0.27*0.08+0.27*0.07+0.025*0.025+0.065*0.02*2)*0.2*4*1.13</f>
        <v>3.9527400000000004E-2</v>
      </c>
      <c r="K7379" s="409"/>
    </row>
    <row r="7380" spans="1:11" x14ac:dyDescent="0.25">
      <c r="A7380" s="163"/>
      <c r="B7380" s="106"/>
      <c r="C7380" s="78"/>
      <c r="D7380" s="75"/>
      <c r="E7380" s="75" t="s">
        <v>3483</v>
      </c>
      <c r="F7380" s="74"/>
      <c r="G7380" s="72"/>
      <c r="K7380" s="409"/>
    </row>
    <row r="7381" spans="1:11" x14ac:dyDescent="0.25">
      <c r="A7381" s="163"/>
      <c r="B7381" s="106"/>
      <c r="C7381" s="78"/>
      <c r="D7381" s="75"/>
      <c r="E7381" s="73" t="s">
        <v>213</v>
      </c>
      <c r="F7381" s="74" t="s">
        <v>3</v>
      </c>
      <c r="G7381" s="72">
        <f>0.055*0.035*3*2.7*1.18</f>
        <v>1.8399150000000003E-2</v>
      </c>
      <c r="K7381" s="409"/>
    </row>
    <row r="7382" spans="1:11" x14ac:dyDescent="0.25">
      <c r="A7382" s="163"/>
      <c r="B7382" s="106"/>
      <c r="C7382" s="78"/>
      <c r="D7382" s="75"/>
      <c r="E7382" s="75" t="s">
        <v>3484</v>
      </c>
      <c r="F7382" s="74"/>
      <c r="G7382" s="72"/>
      <c r="K7382" s="409"/>
    </row>
    <row r="7383" spans="1:11" x14ac:dyDescent="0.25">
      <c r="A7383" s="163"/>
      <c r="B7383" s="106"/>
      <c r="C7383" s="78"/>
      <c r="D7383" s="75"/>
      <c r="E7383" s="73" t="s">
        <v>651</v>
      </c>
      <c r="F7383" s="74" t="s">
        <v>3</v>
      </c>
      <c r="G7383" s="72">
        <f>0.5*0.28*2*2.7*1.1899</f>
        <v>0.89956440000000015</v>
      </c>
      <c r="K7383" s="409"/>
    </row>
    <row r="7384" spans="1:11" x14ac:dyDescent="0.25">
      <c r="A7384" s="163"/>
      <c r="B7384" s="106"/>
      <c r="C7384" s="78"/>
      <c r="D7384" s="75"/>
      <c r="E7384" s="75" t="s">
        <v>3485</v>
      </c>
      <c r="F7384" s="74"/>
      <c r="G7384" s="72"/>
      <c r="K7384" s="409"/>
    </row>
    <row r="7385" spans="1:11" x14ac:dyDescent="0.25">
      <c r="A7385" s="163"/>
      <c r="B7385" s="106"/>
      <c r="C7385" s="78"/>
      <c r="D7385" s="75"/>
      <c r="E7385" s="73" t="s">
        <v>651</v>
      </c>
      <c r="F7385" s="74" t="s">
        <v>3</v>
      </c>
      <c r="G7385" s="72">
        <f>0.31*0.24*2*2.7*1.169</f>
        <v>0.46965744000000004</v>
      </c>
      <c r="K7385" s="405"/>
    </row>
    <row r="7386" spans="1:11" x14ac:dyDescent="0.25">
      <c r="A7386" s="163"/>
      <c r="B7386" s="106"/>
      <c r="C7386" s="78"/>
      <c r="D7386" s="75"/>
      <c r="E7386" s="75" t="s">
        <v>3486</v>
      </c>
      <c r="F7386" s="74"/>
      <c r="G7386" s="72"/>
      <c r="K7386" s="409"/>
    </row>
    <row r="7387" spans="1:11" x14ac:dyDescent="0.25">
      <c r="A7387" s="163"/>
      <c r="B7387" s="106"/>
      <c r="C7387" s="78"/>
      <c r="D7387" s="75"/>
      <c r="E7387" s="73" t="s">
        <v>651</v>
      </c>
      <c r="F7387" s="74" t="s">
        <v>3</v>
      </c>
      <c r="G7387" s="72">
        <f>0.1*0.3*2*2.7*1.175</f>
        <v>0.19035000000000002</v>
      </c>
      <c r="K7387" s="409"/>
    </row>
    <row r="7388" spans="1:11" x14ac:dyDescent="0.25">
      <c r="A7388" s="163"/>
      <c r="B7388" s="106"/>
      <c r="C7388" s="78"/>
      <c r="D7388" s="75"/>
      <c r="E7388" s="75" t="s">
        <v>3487</v>
      </c>
      <c r="F7388" s="74"/>
      <c r="G7388" s="72"/>
      <c r="K7388" s="409"/>
    </row>
    <row r="7389" spans="1:11" x14ac:dyDescent="0.25">
      <c r="A7389" s="163"/>
      <c r="B7389" s="106"/>
      <c r="C7389" s="78"/>
      <c r="D7389" s="75"/>
      <c r="E7389" s="73" t="s">
        <v>651</v>
      </c>
      <c r="F7389" s="74" t="s">
        <v>3</v>
      </c>
      <c r="G7389" s="72">
        <f>0.065*0.02*2*2.7*1.12</f>
        <v>7.862400000000002E-3</v>
      </c>
      <c r="K7389" s="409"/>
    </row>
    <row r="7390" spans="1:11" x14ac:dyDescent="0.25">
      <c r="A7390" s="163"/>
      <c r="B7390" s="106"/>
      <c r="C7390" s="78"/>
      <c r="D7390" s="75"/>
      <c r="E7390" s="75" t="s">
        <v>3488</v>
      </c>
      <c r="F7390" s="74"/>
      <c r="G7390" s="72"/>
      <c r="K7390" s="409"/>
    </row>
    <row r="7391" spans="1:11" x14ac:dyDescent="0.25">
      <c r="A7391" s="163"/>
      <c r="B7391" s="106"/>
      <c r="C7391" s="78"/>
      <c r="D7391" s="75"/>
      <c r="E7391" s="73" t="s">
        <v>651</v>
      </c>
      <c r="F7391" s="74" t="s">
        <v>3</v>
      </c>
      <c r="G7391" s="72">
        <f>0.4*0.276*2*2.7*1.124</f>
        <v>0.67008384000000021</v>
      </c>
      <c r="K7391" s="409"/>
    </row>
    <row r="7392" spans="1:11" x14ac:dyDescent="0.25">
      <c r="A7392" s="163"/>
      <c r="B7392" s="106"/>
      <c r="C7392" s="78"/>
      <c r="D7392" s="75"/>
      <c r="E7392" s="75" t="s">
        <v>3489</v>
      </c>
      <c r="F7392" s="74"/>
      <c r="G7392" s="72"/>
      <c r="K7392" s="409"/>
    </row>
    <row r="7393" spans="1:11" x14ac:dyDescent="0.25">
      <c r="A7393" s="163"/>
      <c r="B7393" s="106"/>
      <c r="C7393" s="78"/>
      <c r="D7393" s="75"/>
      <c r="E7393" s="73" t="s">
        <v>1138</v>
      </c>
      <c r="F7393" s="74" t="s">
        <v>3</v>
      </c>
      <c r="G7393" s="72">
        <f>0.07*0.01*4*2.7*1.1</f>
        <v>8.3160000000000022E-3</v>
      </c>
      <c r="K7393" s="409"/>
    </row>
    <row r="7394" spans="1:11" x14ac:dyDescent="0.25">
      <c r="A7394" s="163"/>
      <c r="B7394" s="106"/>
      <c r="C7394" s="78"/>
      <c r="D7394" s="75" t="s">
        <v>3490</v>
      </c>
      <c r="E7394" s="73"/>
      <c r="F7394" s="74"/>
      <c r="G7394" s="72"/>
      <c r="K7394" s="409"/>
    </row>
    <row r="7395" spans="1:11" x14ac:dyDescent="0.25">
      <c r="A7395" s="163"/>
      <c r="B7395" s="106"/>
      <c r="C7395" s="78"/>
      <c r="D7395" s="73" t="s">
        <v>3223</v>
      </c>
      <c r="E7395" s="73"/>
      <c r="F7395" s="74" t="s">
        <v>3</v>
      </c>
      <c r="G7395" s="72">
        <f>0.18*0.05*1.3</f>
        <v>1.17E-2</v>
      </c>
      <c r="K7395" s="409"/>
    </row>
    <row r="7396" spans="1:11" ht="17.25" x14ac:dyDescent="0.25">
      <c r="A7396" s="163"/>
      <c r="B7396" s="106"/>
      <c r="C7396" s="78"/>
      <c r="D7396" s="73" t="s">
        <v>168</v>
      </c>
      <c r="E7396" s="73"/>
      <c r="F7396" s="74" t="s">
        <v>596</v>
      </c>
      <c r="G7396" s="72">
        <f>1.09*G7395</f>
        <v>1.2753E-2</v>
      </c>
      <c r="K7396" s="409"/>
    </row>
    <row r="7397" spans="1:11" x14ac:dyDescent="0.25">
      <c r="A7397" s="163"/>
      <c r="B7397" s="106"/>
      <c r="C7397" s="78"/>
      <c r="D7397" s="100" t="s">
        <v>3491</v>
      </c>
      <c r="E7397" s="73"/>
      <c r="F7397" s="74" t="s">
        <v>3</v>
      </c>
      <c r="G7397" s="72">
        <f>0.07*0.02*0.2*4*1.5</f>
        <v>1.6800000000000001E-3</v>
      </c>
      <c r="K7397" s="409"/>
    </row>
    <row r="7398" spans="1:11" x14ac:dyDescent="0.25">
      <c r="A7398" s="163"/>
      <c r="B7398" s="106"/>
      <c r="C7398" s="78"/>
      <c r="D7398" s="75"/>
      <c r="E7398" s="75" t="s">
        <v>3492</v>
      </c>
      <c r="F7398" s="74"/>
      <c r="G7398" s="72"/>
      <c r="K7398" s="409"/>
    </row>
    <row r="7399" spans="1:11" x14ac:dyDescent="0.25">
      <c r="A7399" s="163"/>
      <c r="B7399" s="106"/>
      <c r="C7399" s="78"/>
      <c r="D7399" s="75"/>
      <c r="E7399" s="73" t="s">
        <v>651</v>
      </c>
      <c r="F7399" s="74" t="s">
        <v>3</v>
      </c>
      <c r="G7399" s="72">
        <f>0.36*0.21*2*2.7*1.151</f>
        <v>0.46988424000000006</v>
      </c>
      <c r="K7399" s="409"/>
    </row>
    <row r="7400" spans="1:11" x14ac:dyDescent="0.25">
      <c r="A7400" s="163"/>
      <c r="B7400" s="106"/>
      <c r="C7400" s="78"/>
      <c r="D7400" s="75"/>
      <c r="E7400" s="75" t="s">
        <v>3494</v>
      </c>
      <c r="F7400" s="74"/>
      <c r="G7400" s="72"/>
      <c r="K7400" s="409"/>
    </row>
    <row r="7401" spans="1:11" x14ac:dyDescent="0.25">
      <c r="A7401" s="163"/>
      <c r="B7401" s="106"/>
      <c r="C7401" s="78"/>
      <c r="D7401" s="75"/>
      <c r="E7401" s="73" t="s">
        <v>651</v>
      </c>
      <c r="F7401" s="74" t="s">
        <v>3</v>
      </c>
      <c r="G7401" s="72">
        <f>0.07*0.03*2*2.7*1.1</f>
        <v>1.2474000000000004E-2</v>
      </c>
      <c r="K7401" s="409"/>
    </row>
    <row r="7402" spans="1:11" x14ac:dyDescent="0.25">
      <c r="A7402" s="163"/>
      <c r="B7402" s="106"/>
      <c r="C7402" s="78"/>
      <c r="D7402" s="75"/>
      <c r="E7402" s="75" t="s">
        <v>3493</v>
      </c>
      <c r="F7402" s="74"/>
      <c r="G7402" s="72"/>
      <c r="K7402" s="409"/>
    </row>
    <row r="7403" spans="1:11" x14ac:dyDescent="0.25">
      <c r="A7403" s="163"/>
      <c r="B7403" s="106"/>
      <c r="C7403" s="78"/>
      <c r="D7403" s="75"/>
      <c r="E7403" s="73" t="s">
        <v>651</v>
      </c>
      <c r="F7403" s="74" t="s">
        <v>3</v>
      </c>
      <c r="G7403" s="72">
        <f>0.06*0.025*3*2.7*1.1</f>
        <v>1.3365000000000004E-2</v>
      </c>
      <c r="K7403" s="409"/>
    </row>
    <row r="7404" spans="1:11" x14ac:dyDescent="0.25">
      <c r="A7404" s="163"/>
      <c r="B7404" s="106"/>
      <c r="C7404" s="78"/>
      <c r="D7404" s="75"/>
      <c r="E7404" s="73"/>
      <c r="F7404" s="74"/>
      <c r="G7404" s="72"/>
      <c r="K7404" s="409"/>
    </row>
    <row r="7405" spans="1:11" x14ac:dyDescent="0.25">
      <c r="A7405" s="163"/>
      <c r="B7405" s="106"/>
      <c r="C7405" s="78" t="s">
        <v>3495</v>
      </c>
      <c r="D7405" s="75"/>
      <c r="E7405" s="73"/>
      <c r="F7405" s="74"/>
      <c r="G7405" s="72"/>
      <c r="K7405" s="409"/>
    </row>
    <row r="7406" spans="1:11" x14ac:dyDescent="0.25">
      <c r="A7406" s="163"/>
      <c r="B7406" s="106"/>
      <c r="C7406" s="186" t="s">
        <v>3496</v>
      </c>
      <c r="D7406" s="75"/>
      <c r="E7406" s="73"/>
      <c r="F7406" s="74" t="s">
        <v>3</v>
      </c>
      <c r="G7406" s="72">
        <f>0.16*0.05*5*2.7*1.115</f>
        <v>0.12042000000000001</v>
      </c>
      <c r="K7406" s="409"/>
    </row>
    <row r="7407" spans="1:11" x14ac:dyDescent="0.25">
      <c r="A7407" s="163"/>
      <c r="B7407" s="106"/>
      <c r="C7407" s="78"/>
      <c r="D7407" s="75"/>
      <c r="E7407" s="73"/>
      <c r="F7407" s="74"/>
      <c r="G7407" s="72"/>
      <c r="K7407" s="409"/>
    </row>
    <row r="7408" spans="1:11" x14ac:dyDescent="0.25">
      <c r="A7408" s="163"/>
      <c r="B7408" s="106"/>
      <c r="C7408" s="78" t="s">
        <v>3497</v>
      </c>
      <c r="D7408" s="75"/>
      <c r="E7408" s="73"/>
      <c r="F7408" s="74"/>
      <c r="G7408" s="72"/>
      <c r="K7408" s="409"/>
    </row>
    <row r="7409" spans="1:11" x14ac:dyDescent="0.25">
      <c r="A7409" s="163"/>
      <c r="B7409" s="106"/>
      <c r="C7409" s="100" t="s">
        <v>140</v>
      </c>
      <c r="D7409" s="75"/>
      <c r="E7409" s="73"/>
      <c r="F7409" s="74" t="s">
        <v>3</v>
      </c>
      <c r="G7409" s="72">
        <f>0.012*3.14*0.08*1.2</f>
        <v>3.6172800000000005E-3</v>
      </c>
      <c r="K7409" s="409"/>
    </row>
    <row r="7410" spans="1:11" ht="17.25" x14ac:dyDescent="0.25">
      <c r="A7410" s="163"/>
      <c r="B7410" s="106"/>
      <c r="C7410" s="100" t="s">
        <v>23</v>
      </c>
      <c r="D7410" s="75"/>
      <c r="E7410" s="73"/>
      <c r="F7410" s="74" t="s">
        <v>596</v>
      </c>
      <c r="G7410" s="72">
        <f>G7409*2</f>
        <v>7.234560000000001E-3</v>
      </c>
      <c r="K7410" s="409"/>
    </row>
    <row r="7411" spans="1:11" x14ac:dyDescent="0.25">
      <c r="A7411" s="163"/>
      <c r="B7411" s="106"/>
      <c r="C7411" s="100" t="s">
        <v>142</v>
      </c>
      <c r="D7411" s="75"/>
      <c r="E7411" s="73"/>
      <c r="F7411" s="74" t="s">
        <v>3</v>
      </c>
      <c r="G7411" s="72">
        <f>G7409/4</f>
        <v>9.0432000000000012E-4</v>
      </c>
      <c r="K7411" s="409"/>
    </row>
    <row r="7412" spans="1:11" x14ac:dyDescent="0.25">
      <c r="A7412" s="163"/>
      <c r="B7412" s="106"/>
      <c r="C7412" s="78"/>
      <c r="D7412" s="75" t="s">
        <v>3498</v>
      </c>
      <c r="E7412" s="73"/>
      <c r="F7412" s="74"/>
      <c r="G7412" s="72"/>
      <c r="K7412" s="409"/>
    </row>
    <row r="7413" spans="1:11" ht="15.75" thickBot="1" x14ac:dyDescent="0.3">
      <c r="A7413" s="67"/>
      <c r="B7413" s="86"/>
      <c r="C7413" s="198"/>
      <c r="D7413" s="104" t="s">
        <v>3499</v>
      </c>
      <c r="E7413" s="68"/>
      <c r="F7413" s="82" t="s">
        <v>3</v>
      </c>
      <c r="G7413" s="83">
        <v>2.5000000000000001E-2</v>
      </c>
      <c r="I7413" t="s">
        <v>2273</v>
      </c>
      <c r="K7413" s="409"/>
    </row>
    <row r="7414" spans="1:11" x14ac:dyDescent="0.25">
      <c r="A7414" s="159"/>
      <c r="B7414" s="181"/>
      <c r="C7414" s="200"/>
      <c r="D7414" s="184"/>
      <c r="E7414" s="93"/>
      <c r="F7414" s="175" t="s">
        <v>3512</v>
      </c>
      <c r="G7414" s="176"/>
      <c r="K7414" s="409"/>
    </row>
    <row r="7415" spans="1:11" ht="15.75" x14ac:dyDescent="0.25">
      <c r="A7415" s="163"/>
      <c r="B7415" s="106"/>
      <c r="C7415" s="73"/>
      <c r="D7415" s="73"/>
      <c r="E7415" s="187" t="s">
        <v>3511</v>
      </c>
      <c r="F7415" s="74"/>
      <c r="G7415" s="72"/>
      <c r="K7415" s="410"/>
    </row>
    <row r="7416" spans="1:11" x14ac:dyDescent="0.25">
      <c r="A7416" s="163"/>
      <c r="B7416" s="106"/>
      <c r="C7416" s="78"/>
      <c r="D7416" s="75"/>
      <c r="E7416" s="73"/>
      <c r="F7416" s="74"/>
      <c r="G7416" s="72"/>
      <c r="K7416" s="410"/>
    </row>
    <row r="7417" spans="1:11" x14ac:dyDescent="0.25">
      <c r="A7417" s="163"/>
      <c r="B7417" s="106"/>
      <c r="C7417" s="78" t="s">
        <v>3504</v>
      </c>
      <c r="D7417" s="75"/>
      <c r="E7417" s="73"/>
      <c r="F7417" s="74"/>
      <c r="G7417" s="72"/>
      <c r="K7417" s="410"/>
    </row>
    <row r="7418" spans="1:11" x14ac:dyDescent="0.25">
      <c r="A7418" s="163"/>
      <c r="B7418" s="106"/>
      <c r="C7418" s="186" t="s">
        <v>415</v>
      </c>
      <c r="D7418" s="75"/>
      <c r="E7418" s="73"/>
      <c r="F7418" s="74" t="s">
        <v>3</v>
      </c>
      <c r="G7418" s="72">
        <f>0.045*0.02*1.5*8*1.12</f>
        <v>1.2096000000000003E-2</v>
      </c>
      <c r="K7418" s="410"/>
    </row>
    <row r="7419" spans="1:11" x14ac:dyDescent="0.25">
      <c r="A7419" s="163"/>
      <c r="B7419" s="106"/>
      <c r="C7419" s="78"/>
      <c r="D7419" s="75"/>
      <c r="E7419" s="73"/>
      <c r="F7419" s="74"/>
      <c r="G7419" s="72"/>
      <c r="K7419" s="410"/>
    </row>
    <row r="7420" spans="1:11" x14ac:dyDescent="0.25">
      <c r="A7420" s="163"/>
      <c r="B7420" s="106"/>
      <c r="C7420" s="78" t="s">
        <v>3505</v>
      </c>
      <c r="D7420" s="75"/>
      <c r="E7420" s="73"/>
      <c r="F7420" s="74"/>
      <c r="G7420" s="72"/>
      <c r="K7420" s="410"/>
    </row>
    <row r="7421" spans="1:11" x14ac:dyDescent="0.25">
      <c r="A7421" s="163"/>
      <c r="B7421" s="106"/>
      <c r="C7421" s="186" t="s">
        <v>3509</v>
      </c>
      <c r="D7421" s="75"/>
      <c r="E7421" s="73"/>
      <c r="F7421" s="74" t="s">
        <v>3</v>
      </c>
      <c r="G7421" s="72">
        <f>0.025*0.076*3*8*1.15</f>
        <v>5.2440000000000001E-2</v>
      </c>
      <c r="K7421" s="410"/>
    </row>
    <row r="7422" spans="1:11" x14ac:dyDescent="0.25">
      <c r="A7422" s="163"/>
      <c r="B7422" s="106"/>
      <c r="C7422" s="78"/>
      <c r="D7422" s="75"/>
      <c r="E7422" s="73"/>
      <c r="F7422" s="74"/>
      <c r="G7422" s="72"/>
      <c r="K7422" s="410"/>
    </row>
    <row r="7423" spans="1:11" x14ac:dyDescent="0.25">
      <c r="A7423" s="163"/>
      <c r="B7423" s="106"/>
      <c r="C7423" s="78" t="s">
        <v>3506</v>
      </c>
      <c r="D7423" s="75"/>
      <c r="E7423" s="73"/>
      <c r="F7423" s="74"/>
      <c r="G7423" s="72"/>
      <c r="K7423" s="410"/>
    </row>
    <row r="7424" spans="1:11" x14ac:dyDescent="0.25">
      <c r="A7424" s="163"/>
      <c r="B7424" s="106"/>
      <c r="C7424" s="186" t="s">
        <v>3509</v>
      </c>
      <c r="D7424" s="75"/>
      <c r="E7424" s="73"/>
      <c r="F7424" s="74" t="s">
        <v>3</v>
      </c>
      <c r="G7424" s="72">
        <f>0.06*0.045*3*8*1.08</f>
        <v>6.9984000000000005E-2</v>
      </c>
      <c r="K7424" s="410"/>
    </row>
    <row r="7425" spans="1:11" x14ac:dyDescent="0.25">
      <c r="A7425" s="163"/>
      <c r="B7425" s="106"/>
      <c r="C7425" s="78"/>
      <c r="D7425" s="75"/>
      <c r="E7425" s="73"/>
      <c r="F7425" s="74"/>
      <c r="G7425" s="72"/>
      <c r="K7425" s="410"/>
    </row>
    <row r="7426" spans="1:11" x14ac:dyDescent="0.25">
      <c r="A7426" s="163"/>
      <c r="B7426" s="106"/>
      <c r="C7426" s="78" t="s">
        <v>3507</v>
      </c>
      <c r="D7426" s="75"/>
      <c r="E7426" s="73"/>
      <c r="F7426" s="74"/>
      <c r="G7426" s="72"/>
      <c r="K7426" s="410"/>
    </row>
    <row r="7427" spans="1:11" x14ac:dyDescent="0.25">
      <c r="A7427" s="163"/>
      <c r="B7427" s="106"/>
      <c r="C7427" s="186" t="s">
        <v>3509</v>
      </c>
      <c r="D7427" s="75"/>
      <c r="E7427" s="73"/>
      <c r="F7427" s="74" t="s">
        <v>3</v>
      </c>
      <c r="G7427" s="72">
        <f>0.025*0.025*3*8*1.12</f>
        <v>1.6800000000000006E-2</v>
      </c>
      <c r="K7427" s="410"/>
    </row>
    <row r="7428" spans="1:11" x14ac:dyDescent="0.25">
      <c r="A7428" s="163"/>
      <c r="B7428" s="106"/>
      <c r="C7428" s="78"/>
      <c r="D7428" s="75"/>
      <c r="E7428" s="73"/>
      <c r="F7428" s="74"/>
      <c r="G7428" s="72"/>
      <c r="K7428" s="410"/>
    </row>
    <row r="7429" spans="1:11" x14ac:dyDescent="0.25">
      <c r="A7429" s="163"/>
      <c r="B7429" s="106"/>
      <c r="C7429" s="78" t="s">
        <v>3508</v>
      </c>
      <c r="D7429" s="75"/>
      <c r="E7429" s="73"/>
      <c r="F7429" s="74"/>
      <c r="G7429" s="72"/>
      <c r="K7429" s="410"/>
    </row>
    <row r="7430" spans="1:11" x14ac:dyDescent="0.25">
      <c r="A7430" s="163"/>
      <c r="B7430" s="106"/>
      <c r="C7430" s="186" t="s">
        <v>3510</v>
      </c>
      <c r="D7430" s="75"/>
      <c r="E7430" s="73"/>
      <c r="F7430" s="74" t="s">
        <v>3</v>
      </c>
      <c r="G7430" s="72">
        <f>0.105*0.197*4*8*1.11</f>
        <v>0.73473120000000003</v>
      </c>
      <c r="K7430" s="410"/>
    </row>
    <row r="7431" spans="1:11" x14ac:dyDescent="0.25">
      <c r="A7431" s="163"/>
      <c r="B7431" s="106"/>
      <c r="C7431" s="78"/>
      <c r="D7431" s="75"/>
      <c r="E7431" s="73"/>
      <c r="F7431" s="74"/>
      <c r="G7431" s="72"/>
      <c r="K7431" s="410"/>
    </row>
    <row r="7432" spans="1:11" ht="15.75" thickBot="1" x14ac:dyDescent="0.3">
      <c r="A7432" s="73"/>
      <c r="B7432" s="106"/>
      <c r="C7432" s="78"/>
      <c r="D7432" s="75"/>
      <c r="E7432" s="73"/>
      <c r="F7432" s="260" t="s">
        <v>3556</v>
      </c>
      <c r="G7432" s="261"/>
      <c r="K7432" s="410"/>
    </row>
    <row r="7433" spans="1:11" ht="15.75" x14ac:dyDescent="0.25">
      <c r="A7433" s="159"/>
      <c r="B7433" s="181"/>
      <c r="C7433" s="200"/>
      <c r="D7433" s="184"/>
      <c r="E7433" s="416" t="s">
        <v>3555</v>
      </c>
      <c r="F7433" s="160"/>
      <c r="G7433" s="90"/>
      <c r="K7433" s="412"/>
    </row>
    <row r="7434" spans="1:11" ht="7.5" customHeight="1" x14ac:dyDescent="0.25">
      <c r="A7434" s="163"/>
      <c r="B7434" s="106"/>
      <c r="C7434" s="78"/>
      <c r="D7434" s="75"/>
      <c r="E7434" s="73"/>
      <c r="F7434" s="74"/>
      <c r="G7434" s="72"/>
      <c r="K7434" s="409"/>
    </row>
    <row r="7435" spans="1:11" x14ac:dyDescent="0.25">
      <c r="A7435" s="163"/>
      <c r="B7435" s="106"/>
      <c r="C7435" s="78" t="s">
        <v>3513</v>
      </c>
      <c r="D7435" s="75"/>
      <c r="E7435" s="73"/>
      <c r="F7435" s="74"/>
      <c r="G7435" s="72"/>
      <c r="K7435" s="409"/>
    </row>
    <row r="7436" spans="1:11" x14ac:dyDescent="0.25">
      <c r="A7436" s="163"/>
      <c r="B7436" s="106"/>
      <c r="C7436" s="186" t="s">
        <v>3515</v>
      </c>
      <c r="D7436" s="75"/>
      <c r="E7436" s="73"/>
      <c r="F7436" s="74" t="s">
        <v>3</v>
      </c>
      <c r="G7436" s="72">
        <v>0.3</v>
      </c>
      <c r="I7436" t="s">
        <v>2041</v>
      </c>
      <c r="K7436" s="409"/>
    </row>
    <row r="7437" spans="1:11" x14ac:dyDescent="0.25">
      <c r="A7437" s="163"/>
      <c r="B7437" s="106"/>
      <c r="C7437" s="186" t="s">
        <v>8</v>
      </c>
      <c r="D7437" s="75"/>
      <c r="E7437" s="73"/>
      <c r="F7437" s="74" t="s">
        <v>3</v>
      </c>
      <c r="G7437" s="72">
        <f>G7438*0.8</f>
        <v>1.1440000000000002E-2</v>
      </c>
      <c r="K7437" s="411"/>
    </row>
    <row r="7438" spans="1:11" x14ac:dyDescent="0.25">
      <c r="A7438" s="163"/>
      <c r="B7438" s="106"/>
      <c r="C7438" s="186" t="s">
        <v>115</v>
      </c>
      <c r="D7438" s="75"/>
      <c r="E7438" s="73"/>
      <c r="F7438" s="74" t="s">
        <v>3</v>
      </c>
      <c r="G7438" s="72">
        <f>0.275*0.02*2*1.3</f>
        <v>1.4300000000000002E-2</v>
      </c>
      <c r="K7438" s="411"/>
    </row>
    <row r="7439" spans="1:11" x14ac:dyDescent="0.25">
      <c r="A7439" s="163"/>
      <c r="B7439" s="106"/>
      <c r="C7439" s="186" t="s">
        <v>12</v>
      </c>
      <c r="D7439" s="75"/>
      <c r="E7439" s="73"/>
      <c r="F7439" s="74" t="s">
        <v>3</v>
      </c>
      <c r="G7439" s="72">
        <f>0.3*(G7438+G7437)</f>
        <v>7.7220000000000014E-3</v>
      </c>
      <c r="K7439" s="411"/>
    </row>
    <row r="7440" spans="1:11" x14ac:dyDescent="0.25">
      <c r="A7440" s="163"/>
      <c r="B7440" s="106"/>
      <c r="C7440" s="78"/>
      <c r="D7440" s="75"/>
      <c r="E7440" s="73"/>
      <c r="F7440" s="74"/>
      <c r="G7440" s="72"/>
      <c r="K7440" s="409"/>
    </row>
    <row r="7441" spans="1:11" x14ac:dyDescent="0.25">
      <c r="A7441" s="163"/>
      <c r="B7441" s="106"/>
      <c r="C7441" s="78" t="s">
        <v>3514</v>
      </c>
      <c r="D7441" s="75"/>
      <c r="E7441" s="73"/>
      <c r="F7441" s="74"/>
      <c r="G7441" s="72"/>
      <c r="K7441" s="409"/>
    </row>
    <row r="7442" spans="1:11" x14ac:dyDescent="0.25">
      <c r="A7442" s="163"/>
      <c r="B7442" s="106"/>
      <c r="C7442" s="186" t="s">
        <v>3515</v>
      </c>
      <c r="D7442" s="75"/>
      <c r="E7442" s="73"/>
      <c r="F7442" s="74" t="s">
        <v>3</v>
      </c>
      <c r="G7442" s="72">
        <v>0.22</v>
      </c>
      <c r="I7442" t="s">
        <v>2443</v>
      </c>
      <c r="K7442" s="409"/>
    </row>
    <row r="7443" spans="1:11" x14ac:dyDescent="0.25">
      <c r="A7443" s="163"/>
      <c r="B7443" s="106"/>
      <c r="C7443" s="186" t="s">
        <v>8</v>
      </c>
      <c r="D7443" s="75"/>
      <c r="E7443" s="73"/>
      <c r="F7443" s="74" t="s">
        <v>3</v>
      </c>
      <c r="G7443" s="72">
        <f>G7444*0.8</f>
        <v>8.735999999999999E-3</v>
      </c>
      <c r="K7443" s="409"/>
    </row>
    <row r="7444" spans="1:11" x14ac:dyDescent="0.25">
      <c r="A7444" s="163"/>
      <c r="B7444" s="106"/>
      <c r="C7444" s="186" t="s">
        <v>115</v>
      </c>
      <c r="D7444" s="75"/>
      <c r="E7444" s="73"/>
      <c r="F7444" s="74" t="s">
        <v>3</v>
      </c>
      <c r="G7444" s="72">
        <f>0.21*0.02*2*1.3</f>
        <v>1.0919999999999999E-2</v>
      </c>
      <c r="K7444" s="409"/>
    </row>
    <row r="7445" spans="1:11" x14ac:dyDescent="0.25">
      <c r="A7445" s="163"/>
      <c r="B7445" s="106"/>
      <c r="C7445" s="186" t="s">
        <v>12</v>
      </c>
      <c r="D7445" s="75"/>
      <c r="E7445" s="73"/>
      <c r="F7445" s="74" t="s">
        <v>3</v>
      </c>
      <c r="G7445" s="72">
        <f>0.3*(G7444+G7443)</f>
        <v>5.8967999999999998E-3</v>
      </c>
      <c r="K7445" s="409"/>
    </row>
    <row r="7446" spans="1:11" x14ac:dyDescent="0.25">
      <c r="A7446" s="163"/>
      <c r="B7446" s="106"/>
      <c r="C7446" s="186"/>
      <c r="D7446" s="75"/>
      <c r="E7446" s="73"/>
      <c r="F7446" s="74"/>
      <c r="G7446" s="72"/>
      <c r="K7446" s="411"/>
    </row>
    <row r="7447" spans="1:11" x14ac:dyDescent="0.25">
      <c r="A7447" s="163"/>
      <c r="B7447" s="106"/>
      <c r="C7447" s="78" t="s">
        <v>3516</v>
      </c>
      <c r="D7447" s="75"/>
      <c r="E7447" s="73"/>
      <c r="F7447" s="74"/>
      <c r="G7447" s="72"/>
      <c r="K7447" s="411"/>
    </row>
    <row r="7448" spans="1:11" x14ac:dyDescent="0.25">
      <c r="A7448" s="163"/>
      <c r="B7448" s="106"/>
      <c r="C7448" s="186" t="s">
        <v>671</v>
      </c>
      <c r="D7448" s="75"/>
      <c r="E7448" s="73"/>
      <c r="F7448" s="74" t="s">
        <v>3</v>
      </c>
      <c r="G7448" s="72">
        <v>5.0000000000000001E-3</v>
      </c>
      <c r="K7448" s="411"/>
    </row>
    <row r="7449" spans="1:11" x14ac:dyDescent="0.25">
      <c r="A7449" s="163"/>
      <c r="B7449" s="106"/>
      <c r="C7449" s="186" t="s">
        <v>672</v>
      </c>
      <c r="D7449" s="75"/>
      <c r="E7449" s="73"/>
      <c r="F7449" s="74" t="s">
        <v>3</v>
      </c>
      <c r="G7449" s="72">
        <f>G7448*3</f>
        <v>1.4999999999999999E-2</v>
      </c>
      <c r="K7449" s="411"/>
    </row>
    <row r="7450" spans="1:11" x14ac:dyDescent="0.25">
      <c r="A7450" s="163"/>
      <c r="B7450" s="106"/>
      <c r="C7450" s="186" t="s">
        <v>3517</v>
      </c>
      <c r="D7450" s="75"/>
      <c r="E7450" s="73"/>
      <c r="F7450" s="74" t="s">
        <v>195</v>
      </c>
      <c r="G7450" s="72">
        <v>0.28000000000000003</v>
      </c>
      <c r="I7450" t="s">
        <v>1982</v>
      </c>
      <c r="K7450" s="411"/>
    </row>
    <row r="7451" spans="1:11" x14ac:dyDescent="0.25">
      <c r="A7451" s="163"/>
      <c r="B7451" s="106"/>
      <c r="C7451" s="186" t="s">
        <v>3518</v>
      </c>
      <c r="D7451" s="75"/>
      <c r="E7451" s="73"/>
      <c r="F7451" s="74" t="s">
        <v>3</v>
      </c>
      <c r="G7451" s="72">
        <v>2E-3</v>
      </c>
      <c r="I7451" t="s">
        <v>1982</v>
      </c>
      <c r="K7451" s="411"/>
    </row>
    <row r="7452" spans="1:11" x14ac:dyDescent="0.25">
      <c r="A7452" s="163"/>
      <c r="B7452" s="106"/>
      <c r="C7452" s="186"/>
      <c r="D7452" s="75"/>
      <c r="E7452" s="73"/>
      <c r="F7452" s="74"/>
      <c r="G7452" s="72"/>
      <c r="K7452" s="411"/>
    </row>
    <row r="7453" spans="1:11" x14ac:dyDescent="0.25">
      <c r="A7453" s="163"/>
      <c r="B7453" s="106"/>
      <c r="C7453" s="78" t="s">
        <v>3519</v>
      </c>
      <c r="D7453" s="75"/>
      <c r="E7453" s="73"/>
      <c r="F7453" s="74"/>
      <c r="G7453" s="72"/>
      <c r="K7453" s="411"/>
    </row>
    <row r="7454" spans="1:11" x14ac:dyDescent="0.25">
      <c r="A7454" s="163"/>
      <c r="B7454" s="106"/>
      <c r="C7454" s="73" t="s">
        <v>2755</v>
      </c>
      <c r="D7454" s="75"/>
      <c r="E7454" s="73"/>
      <c r="F7454" s="74" t="s">
        <v>3</v>
      </c>
      <c r="G7454" s="72">
        <f>0.26*0.08*1.2</f>
        <v>2.4960000000000003E-2</v>
      </c>
      <c r="K7454" s="411"/>
    </row>
    <row r="7455" spans="1:11" ht="17.25" x14ac:dyDescent="0.25">
      <c r="A7455" s="163"/>
      <c r="B7455" s="106"/>
      <c r="C7455" s="73" t="s">
        <v>1055</v>
      </c>
      <c r="D7455" s="75"/>
      <c r="E7455" s="73"/>
      <c r="F7455" s="74" t="s">
        <v>596</v>
      </c>
      <c r="G7455" s="72">
        <f>G7454*1.1</f>
        <v>2.7456000000000005E-2</v>
      </c>
      <c r="K7455" s="411"/>
    </row>
    <row r="7456" spans="1:11" x14ac:dyDescent="0.25">
      <c r="A7456" s="163"/>
      <c r="B7456" s="106"/>
      <c r="C7456" s="186"/>
      <c r="D7456" s="75" t="s">
        <v>3520</v>
      </c>
      <c r="E7456" s="73"/>
      <c r="F7456" s="74"/>
      <c r="G7456" s="72"/>
      <c r="K7456" s="411"/>
    </row>
    <row r="7457" spans="1:13" x14ac:dyDescent="0.25">
      <c r="A7457" s="163"/>
      <c r="B7457" s="106"/>
      <c r="C7457" s="186"/>
      <c r="D7457" s="100" t="s">
        <v>3521</v>
      </c>
      <c r="E7457" s="73"/>
      <c r="F7457" s="74" t="s">
        <v>3</v>
      </c>
      <c r="G7457" s="72">
        <f>0.21*0.06*1.5*8*1.125</f>
        <v>0.17009999999999997</v>
      </c>
      <c r="K7457" s="411"/>
    </row>
    <row r="7458" spans="1:13" x14ac:dyDescent="0.25">
      <c r="A7458" s="163"/>
      <c r="B7458" s="106"/>
      <c r="C7458" s="186"/>
      <c r="D7458" s="75" t="s">
        <v>3522</v>
      </c>
      <c r="E7458" s="73"/>
      <c r="F7458" s="74"/>
      <c r="G7458" s="72"/>
      <c r="K7458" s="411"/>
    </row>
    <row r="7459" spans="1:13" x14ac:dyDescent="0.25">
      <c r="A7459" s="163"/>
      <c r="B7459" s="106"/>
      <c r="C7459" s="186"/>
      <c r="D7459" s="100" t="s">
        <v>3521</v>
      </c>
      <c r="E7459" s="73"/>
      <c r="F7459" s="74" t="s">
        <v>3</v>
      </c>
      <c r="G7459" s="72">
        <f>0.243*0.06*1.5*8*1.142</f>
        <v>0.19980431999999998</v>
      </c>
      <c r="K7459" s="411"/>
    </row>
    <row r="7460" spans="1:13" x14ac:dyDescent="0.25">
      <c r="A7460" s="163"/>
      <c r="B7460" s="106"/>
      <c r="C7460" s="186"/>
      <c r="D7460" s="75"/>
      <c r="E7460" s="73"/>
      <c r="F7460" s="74"/>
      <c r="G7460" s="72"/>
      <c r="K7460" s="411"/>
    </row>
    <row r="7461" spans="1:13" x14ac:dyDescent="0.25">
      <c r="A7461" s="163"/>
      <c r="B7461" s="106"/>
      <c r="C7461" s="78" t="s">
        <v>3523</v>
      </c>
      <c r="D7461" s="75"/>
      <c r="E7461" s="73"/>
      <c r="F7461" s="74"/>
      <c r="G7461" s="72"/>
      <c r="K7461" s="411"/>
    </row>
    <row r="7462" spans="1:13" x14ac:dyDescent="0.25">
      <c r="A7462" s="163"/>
      <c r="B7462" s="106"/>
      <c r="C7462" s="186" t="s">
        <v>3524</v>
      </c>
      <c r="D7462" s="75"/>
      <c r="E7462" s="73"/>
      <c r="F7462" s="74" t="s">
        <v>3</v>
      </c>
      <c r="G7462" s="72">
        <f>0.885*0.32*12.76*1.19</f>
        <v>4.3002220800000002</v>
      </c>
      <c r="K7462" s="411"/>
    </row>
    <row r="7463" spans="1:13" x14ac:dyDescent="0.25">
      <c r="A7463" s="163"/>
      <c r="B7463" s="106"/>
      <c r="C7463" s="186"/>
      <c r="D7463" s="75"/>
      <c r="E7463" s="73"/>
      <c r="F7463" s="74"/>
      <c r="G7463" s="72"/>
      <c r="K7463" s="411"/>
    </row>
    <row r="7464" spans="1:13" x14ac:dyDescent="0.25">
      <c r="A7464" s="163"/>
      <c r="B7464" s="106"/>
      <c r="C7464" s="78" t="s">
        <v>3527</v>
      </c>
      <c r="D7464" s="75"/>
      <c r="E7464" s="73"/>
      <c r="F7464" s="74"/>
      <c r="G7464" s="72"/>
      <c r="K7464" s="411"/>
    </row>
    <row r="7465" spans="1:13" x14ac:dyDescent="0.25">
      <c r="A7465" s="163"/>
      <c r="B7465" s="106"/>
      <c r="C7465" s="186" t="s">
        <v>3542</v>
      </c>
      <c r="D7465" s="75"/>
      <c r="E7465" s="73"/>
      <c r="F7465" s="74" t="s">
        <v>1516</v>
      </c>
      <c r="G7465" s="72">
        <v>2</v>
      </c>
      <c r="I7465" s="100"/>
      <c r="J7465" s="100"/>
      <c r="K7465" s="100"/>
      <c r="L7465" s="103"/>
    </row>
    <row r="7466" spans="1:13" x14ac:dyDescent="0.25">
      <c r="A7466" s="163"/>
      <c r="B7466" s="106"/>
      <c r="C7466" s="186"/>
      <c r="D7466" s="75"/>
      <c r="E7466" s="73"/>
      <c r="F7466" s="74"/>
      <c r="G7466" s="72"/>
      <c r="I7466" s="73"/>
      <c r="J7466" s="73"/>
      <c r="K7466" s="73"/>
      <c r="L7466" s="74"/>
    </row>
    <row r="7467" spans="1:13" x14ac:dyDescent="0.25">
      <c r="A7467" s="163"/>
      <c r="B7467" s="106"/>
      <c r="C7467" s="186"/>
      <c r="D7467" s="75" t="s">
        <v>3528</v>
      </c>
      <c r="E7467" s="73"/>
      <c r="F7467" s="74"/>
      <c r="G7467" s="72"/>
      <c r="I7467" s="73"/>
      <c r="J7467" s="73"/>
      <c r="K7467" s="73"/>
      <c r="L7467" s="74"/>
    </row>
    <row r="7468" spans="1:13" x14ac:dyDescent="0.25">
      <c r="A7468" s="163"/>
      <c r="B7468" s="106"/>
      <c r="C7468" s="186"/>
      <c r="D7468" s="100" t="s">
        <v>3095</v>
      </c>
      <c r="E7468" s="100"/>
      <c r="F7468" s="103" t="s">
        <v>3</v>
      </c>
      <c r="G7468" s="72">
        <f>0.19*0.025*0.2*8.96*1.145*20</f>
        <v>0.19492480000000006</v>
      </c>
      <c r="I7468" s="73"/>
      <c r="J7468" s="73"/>
      <c r="K7468" s="73"/>
      <c r="L7468" s="74"/>
      <c r="M7468" s="107"/>
    </row>
    <row r="7469" spans="1:13" x14ac:dyDescent="0.25">
      <c r="A7469" s="163"/>
      <c r="B7469" s="106"/>
      <c r="C7469" s="186"/>
      <c r="D7469" s="73" t="s">
        <v>671</v>
      </c>
      <c r="E7469" s="73"/>
      <c r="F7469" s="74" t="s">
        <v>3</v>
      </c>
      <c r="G7469" s="72">
        <v>5.0000000000000001E-3</v>
      </c>
      <c r="I7469" s="73"/>
      <c r="J7469" s="73"/>
      <c r="K7469" s="73"/>
      <c r="L7469" s="74"/>
      <c r="M7469" s="107"/>
    </row>
    <row r="7470" spans="1:13" x14ac:dyDescent="0.25">
      <c r="A7470" s="163"/>
      <c r="B7470" s="106"/>
      <c r="C7470" s="186"/>
      <c r="D7470" s="73" t="s">
        <v>672</v>
      </c>
      <c r="E7470" s="73"/>
      <c r="F7470" s="74" t="s">
        <v>3</v>
      </c>
      <c r="G7470" s="72">
        <v>1.4999999999999999E-2</v>
      </c>
      <c r="I7470" s="73"/>
      <c r="J7470" s="73"/>
      <c r="K7470" s="73"/>
      <c r="L7470" s="74"/>
      <c r="M7470" s="107"/>
    </row>
    <row r="7471" spans="1:13" x14ac:dyDescent="0.25">
      <c r="A7471" s="163"/>
      <c r="B7471" s="106"/>
      <c r="C7471" s="186"/>
      <c r="D7471" s="75" t="s">
        <v>3529</v>
      </c>
      <c r="E7471" s="73"/>
      <c r="F7471" s="74"/>
      <c r="G7471" s="72"/>
      <c r="K7471" s="411"/>
    </row>
    <row r="7472" spans="1:13" x14ac:dyDescent="0.25">
      <c r="A7472" s="163"/>
      <c r="B7472" s="106"/>
      <c r="C7472" s="186"/>
      <c r="D7472" s="186" t="s">
        <v>3530</v>
      </c>
      <c r="E7472" s="100"/>
      <c r="F7472" s="103" t="s">
        <v>3</v>
      </c>
      <c r="G7472" s="72">
        <f>0.11*0.025*3*8.96*1.15</f>
        <v>8.5008000000000014E-2</v>
      </c>
      <c r="K7472" s="412"/>
    </row>
    <row r="7473" spans="1:11" x14ac:dyDescent="0.25">
      <c r="A7473" s="163"/>
      <c r="B7473" s="106"/>
      <c r="C7473" s="186"/>
      <c r="D7473" s="73"/>
      <c r="E7473" s="73"/>
      <c r="F7473" s="74"/>
      <c r="G7473" s="72"/>
      <c r="K7473" s="412"/>
    </row>
    <row r="7474" spans="1:11" x14ac:dyDescent="0.25">
      <c r="A7474" s="163"/>
      <c r="B7474" s="106"/>
      <c r="C7474" s="78" t="s">
        <v>3537</v>
      </c>
      <c r="D7474" s="73"/>
      <c r="E7474" s="73"/>
      <c r="F7474" s="74"/>
      <c r="G7474" s="72"/>
      <c r="K7474" s="412"/>
    </row>
    <row r="7475" spans="1:11" x14ac:dyDescent="0.25">
      <c r="A7475" s="163"/>
      <c r="B7475" s="106"/>
      <c r="C7475" s="73" t="s">
        <v>3541</v>
      </c>
      <c r="D7475" s="73"/>
      <c r="E7475" s="73"/>
      <c r="F7475" s="74" t="s">
        <v>1516</v>
      </c>
      <c r="G7475" s="72">
        <v>2</v>
      </c>
      <c r="K7475" s="412"/>
    </row>
    <row r="7476" spans="1:11" x14ac:dyDescent="0.25">
      <c r="A7476" s="163"/>
      <c r="B7476" s="106"/>
      <c r="C7476" s="73"/>
      <c r="D7476" s="78" t="s">
        <v>3532</v>
      </c>
      <c r="E7476" s="75"/>
      <c r="F7476" s="74"/>
      <c r="G7476" s="72"/>
      <c r="K7476" s="412"/>
    </row>
    <row r="7477" spans="1:11" x14ac:dyDescent="0.25">
      <c r="A7477" s="163"/>
      <c r="B7477" s="106"/>
      <c r="C7477" s="73"/>
      <c r="D7477" s="186" t="s">
        <v>3533</v>
      </c>
      <c r="E7477" s="75"/>
      <c r="F7477" s="74" t="s">
        <v>3</v>
      </c>
      <c r="G7477" s="72">
        <v>2E-3</v>
      </c>
      <c r="I7477" t="s">
        <v>2304</v>
      </c>
      <c r="K7477" s="412"/>
    </row>
    <row r="7478" spans="1:11" x14ac:dyDescent="0.25">
      <c r="A7478" s="163"/>
      <c r="B7478" s="106"/>
      <c r="C7478" s="73"/>
      <c r="D7478" s="186" t="s">
        <v>3534</v>
      </c>
      <c r="E7478" s="75"/>
      <c r="F7478" s="74" t="s">
        <v>195</v>
      </c>
      <c r="G7478" s="72">
        <v>1.1499999999999999</v>
      </c>
      <c r="I7478" t="s">
        <v>3535</v>
      </c>
      <c r="K7478" s="412"/>
    </row>
    <row r="7479" spans="1:11" x14ac:dyDescent="0.25">
      <c r="A7479" s="163"/>
      <c r="B7479" s="106"/>
      <c r="C7479" s="186"/>
      <c r="D7479" s="73" t="s">
        <v>671</v>
      </c>
      <c r="E7479" s="73"/>
      <c r="F7479" s="74" t="s">
        <v>3</v>
      </c>
      <c r="G7479" s="72">
        <v>5.0000000000000001E-3</v>
      </c>
      <c r="K7479" s="412"/>
    </row>
    <row r="7480" spans="1:11" x14ac:dyDescent="0.25">
      <c r="A7480" s="163"/>
      <c r="B7480" s="106"/>
      <c r="C7480" s="186"/>
      <c r="D7480" s="73" t="s">
        <v>672</v>
      </c>
      <c r="E7480" s="73"/>
      <c r="F7480" s="74" t="s">
        <v>3</v>
      </c>
      <c r="G7480" s="72">
        <v>1.4999999999999999E-2</v>
      </c>
      <c r="K7480" s="412"/>
    </row>
    <row r="7481" spans="1:11" x14ac:dyDescent="0.25">
      <c r="A7481" s="163"/>
      <c r="B7481" s="106"/>
      <c r="C7481" s="186"/>
      <c r="D7481" s="73"/>
      <c r="E7481" s="401" t="s">
        <v>3531</v>
      </c>
      <c r="F7481" s="74"/>
      <c r="G7481" s="72"/>
      <c r="K7481" s="412"/>
    </row>
    <row r="7482" spans="1:11" x14ac:dyDescent="0.25">
      <c r="A7482" s="163"/>
      <c r="B7482" s="106"/>
      <c r="C7482" s="73"/>
      <c r="D7482" s="73"/>
      <c r="E7482" s="73" t="s">
        <v>3223</v>
      </c>
      <c r="F7482" s="74" t="s">
        <v>3</v>
      </c>
      <c r="G7482" s="72">
        <f>0.04*0.05*1.3</f>
        <v>2.6000000000000003E-3</v>
      </c>
      <c r="K7482" s="412"/>
    </row>
    <row r="7483" spans="1:11" ht="17.25" x14ac:dyDescent="0.25">
      <c r="A7483" s="163"/>
      <c r="B7483" s="106"/>
      <c r="C7483" s="73"/>
      <c r="D7483" s="73"/>
      <c r="E7483" s="73" t="s">
        <v>168</v>
      </c>
      <c r="F7483" s="74" t="s">
        <v>596</v>
      </c>
      <c r="G7483" s="72">
        <f>G7482*1.1</f>
        <v>2.8600000000000006E-3</v>
      </c>
      <c r="K7483" s="412"/>
    </row>
    <row r="7484" spans="1:11" x14ac:dyDescent="0.25">
      <c r="A7484" s="163"/>
      <c r="B7484" s="106"/>
      <c r="C7484" s="73"/>
      <c r="D7484" s="186"/>
      <c r="E7484" s="401" t="s">
        <v>3538</v>
      </c>
      <c r="F7484" s="74"/>
      <c r="G7484" s="72"/>
      <c r="K7484" s="412"/>
    </row>
    <row r="7485" spans="1:11" x14ac:dyDescent="0.25">
      <c r="A7485" s="163"/>
      <c r="B7485" s="106"/>
      <c r="C7485" s="73"/>
      <c r="D7485" s="186"/>
      <c r="E7485" s="73" t="s">
        <v>3540</v>
      </c>
      <c r="F7485" s="74" t="s">
        <v>3</v>
      </c>
      <c r="G7485" s="72">
        <f>0.06*0.035*6*2.7*1.12</f>
        <v>3.8102400000000015E-2</v>
      </c>
      <c r="K7485" s="412"/>
    </row>
    <row r="7486" spans="1:11" x14ac:dyDescent="0.25">
      <c r="A7486" s="163"/>
      <c r="B7486" s="106"/>
      <c r="C7486" s="73"/>
      <c r="D7486" s="186"/>
      <c r="E7486" s="401" t="s">
        <v>3539</v>
      </c>
      <c r="F7486" s="74"/>
      <c r="G7486" s="72"/>
      <c r="I7486" s="357"/>
      <c r="K7486" s="412"/>
    </row>
    <row r="7487" spans="1:11" x14ac:dyDescent="0.25">
      <c r="A7487" s="163"/>
      <c r="B7487" s="106"/>
      <c r="C7487" s="73"/>
      <c r="D7487" s="186"/>
      <c r="E7487" s="73" t="s">
        <v>3540</v>
      </c>
      <c r="F7487" s="74" t="s">
        <v>3</v>
      </c>
      <c r="G7487" s="72">
        <f>0.075*0.083*6*2.7*1.09</f>
        <v>0.10992105000000001</v>
      </c>
      <c r="I7487" s="357"/>
      <c r="K7487" s="412"/>
    </row>
    <row r="7488" spans="1:11" x14ac:dyDescent="0.25">
      <c r="A7488" s="163"/>
      <c r="B7488" s="106"/>
      <c r="C7488" s="73"/>
      <c r="D7488" s="73"/>
      <c r="E7488" s="73"/>
      <c r="F7488" s="74"/>
      <c r="G7488" s="72"/>
      <c r="K7488" s="412"/>
    </row>
    <row r="7489" spans="1:11" x14ac:dyDescent="0.25">
      <c r="A7489" s="163"/>
      <c r="B7489" s="106"/>
      <c r="C7489" s="78" t="s">
        <v>3501</v>
      </c>
      <c r="D7489" s="75"/>
      <c r="E7489" s="73"/>
      <c r="F7489" s="74"/>
      <c r="G7489" s="72"/>
      <c r="K7489" s="410"/>
    </row>
    <row r="7490" spans="1:11" x14ac:dyDescent="0.25">
      <c r="A7490" s="163"/>
      <c r="B7490" s="106"/>
      <c r="C7490" s="186" t="s">
        <v>410</v>
      </c>
      <c r="D7490" s="75"/>
      <c r="E7490" s="73"/>
      <c r="F7490" s="74" t="s">
        <v>3</v>
      </c>
      <c r="G7490" s="72">
        <f>0.085*0.05*5*2.7*1.13</f>
        <v>6.4833750000000009E-2</v>
      </c>
      <c r="K7490" s="410"/>
    </row>
    <row r="7491" spans="1:11" x14ac:dyDescent="0.25">
      <c r="A7491" s="163"/>
      <c r="B7491" s="106"/>
      <c r="C7491" s="78"/>
      <c r="D7491" s="75"/>
      <c r="E7491" s="73"/>
      <c r="F7491" s="74"/>
      <c r="G7491" s="72"/>
      <c r="K7491" s="410"/>
    </row>
    <row r="7492" spans="1:11" x14ac:dyDescent="0.25">
      <c r="A7492" s="163"/>
      <c r="B7492" s="106"/>
      <c r="C7492" s="78" t="s">
        <v>3502</v>
      </c>
      <c r="D7492" s="75"/>
      <c r="E7492" s="73"/>
      <c r="F7492" s="74"/>
      <c r="G7492" s="72"/>
      <c r="K7492" s="410"/>
    </row>
    <row r="7493" spans="1:11" x14ac:dyDescent="0.25">
      <c r="A7493" s="163"/>
      <c r="B7493" s="106"/>
      <c r="C7493" s="186" t="s">
        <v>410</v>
      </c>
      <c r="D7493" s="75"/>
      <c r="E7493" s="73"/>
      <c r="F7493" s="74" t="s">
        <v>3</v>
      </c>
      <c r="G7493" s="72">
        <f>0.12*0.05*5*2.7*1.11</f>
        <v>8.9910000000000018E-2</v>
      </c>
      <c r="K7493" s="410"/>
    </row>
    <row r="7494" spans="1:11" x14ac:dyDescent="0.25">
      <c r="A7494" s="163"/>
      <c r="B7494" s="106"/>
      <c r="C7494" s="78"/>
      <c r="D7494" s="75"/>
      <c r="E7494" s="73"/>
      <c r="F7494" s="74"/>
      <c r="G7494" s="72"/>
      <c r="K7494" s="410"/>
    </row>
    <row r="7495" spans="1:11" x14ac:dyDescent="0.25">
      <c r="A7495" s="163"/>
      <c r="B7495" s="106"/>
      <c r="C7495" s="78" t="s">
        <v>3503</v>
      </c>
      <c r="D7495" s="75"/>
      <c r="E7495" s="73"/>
      <c r="F7495" s="74"/>
      <c r="G7495" s="72"/>
      <c r="K7495" s="410"/>
    </row>
    <row r="7496" spans="1:11" x14ac:dyDescent="0.25">
      <c r="A7496" s="163"/>
      <c r="B7496" s="106"/>
      <c r="C7496" s="186" t="s">
        <v>410</v>
      </c>
      <c r="D7496" s="75"/>
      <c r="E7496" s="73"/>
      <c r="F7496" s="74" t="s">
        <v>3</v>
      </c>
      <c r="G7496" s="72">
        <f>0.085*0.035*5*2.7*1.11</f>
        <v>4.4580375000000012E-2</v>
      </c>
      <c r="K7496" s="410"/>
    </row>
    <row r="7497" spans="1:11" x14ac:dyDescent="0.25">
      <c r="A7497" s="163"/>
      <c r="B7497" s="106"/>
      <c r="C7497" s="78"/>
      <c r="D7497" s="75"/>
      <c r="E7497" s="73"/>
      <c r="F7497" s="74"/>
      <c r="G7497" s="72"/>
      <c r="K7497" s="410"/>
    </row>
    <row r="7498" spans="1:11" x14ac:dyDescent="0.25">
      <c r="A7498" s="163"/>
      <c r="B7498" s="106"/>
      <c r="C7498" s="78" t="s">
        <v>3546</v>
      </c>
      <c r="D7498" s="75"/>
      <c r="E7498" s="73"/>
      <c r="F7498" s="74"/>
      <c r="G7498" s="72"/>
      <c r="K7498" s="412"/>
    </row>
    <row r="7499" spans="1:11" x14ac:dyDescent="0.25">
      <c r="A7499" s="163"/>
      <c r="B7499" s="106"/>
      <c r="C7499" s="186" t="s">
        <v>2599</v>
      </c>
      <c r="D7499" s="75"/>
      <c r="E7499" s="73"/>
      <c r="F7499" s="74" t="s">
        <v>3</v>
      </c>
      <c r="G7499" s="72">
        <v>3.0000000000000001E-3</v>
      </c>
      <c r="K7499" s="412"/>
    </row>
    <row r="7500" spans="1:11" x14ac:dyDescent="0.25">
      <c r="A7500" s="163"/>
      <c r="B7500" s="106"/>
      <c r="C7500" s="186"/>
      <c r="D7500" s="75"/>
      <c r="E7500" s="73"/>
      <c r="F7500" s="74"/>
      <c r="G7500" s="72"/>
      <c r="K7500" s="412"/>
    </row>
    <row r="7501" spans="1:11" x14ac:dyDescent="0.25">
      <c r="A7501" s="163"/>
      <c r="B7501" s="106"/>
      <c r="C7501" s="78" t="s">
        <v>3549</v>
      </c>
      <c r="D7501" s="75"/>
      <c r="E7501" s="73"/>
      <c r="F7501" s="74"/>
      <c r="G7501" s="72"/>
      <c r="K7501" s="412"/>
    </row>
    <row r="7502" spans="1:11" x14ac:dyDescent="0.25">
      <c r="A7502" s="163"/>
      <c r="B7502" s="106"/>
      <c r="C7502" s="186" t="s">
        <v>3547</v>
      </c>
      <c r="D7502" s="75"/>
      <c r="E7502" s="73"/>
      <c r="F7502" s="74" t="s">
        <v>3</v>
      </c>
      <c r="G7502" s="72">
        <f>0.105*0.105*0.5*8*1.14</f>
        <v>5.0273999999999985E-2</v>
      </c>
      <c r="K7502" s="412"/>
    </row>
    <row r="7503" spans="1:11" x14ac:dyDescent="0.25">
      <c r="A7503" s="163"/>
      <c r="B7503" s="106"/>
      <c r="C7503" s="186"/>
      <c r="D7503" s="75"/>
      <c r="E7503" s="73"/>
      <c r="F7503" s="74"/>
      <c r="G7503" s="72"/>
      <c r="K7503" s="412"/>
    </row>
    <row r="7504" spans="1:11" x14ac:dyDescent="0.25">
      <c r="A7504" s="163"/>
      <c r="B7504" s="106"/>
      <c r="C7504" s="78" t="s">
        <v>3548</v>
      </c>
      <c r="D7504" s="75"/>
      <c r="E7504" s="73"/>
      <c r="F7504" s="74"/>
      <c r="G7504" s="72"/>
      <c r="K7504" s="412"/>
    </row>
    <row r="7505" spans="1:11" x14ac:dyDescent="0.25">
      <c r="A7505" s="163"/>
      <c r="B7505" s="106"/>
      <c r="C7505" s="186" t="s">
        <v>984</v>
      </c>
      <c r="D7505" s="75"/>
      <c r="E7505" s="73"/>
      <c r="F7505" s="74" t="s">
        <v>3</v>
      </c>
      <c r="G7505" s="72">
        <f>0.105*0.105*1*8*1.13</f>
        <v>9.9665999999999977E-2</v>
      </c>
      <c r="K7505" s="412"/>
    </row>
    <row r="7506" spans="1:11" x14ac:dyDescent="0.25">
      <c r="A7506" s="163"/>
      <c r="B7506" s="106"/>
      <c r="C7506" s="186"/>
      <c r="D7506" s="75"/>
      <c r="E7506" s="73"/>
      <c r="F7506" s="74"/>
      <c r="G7506" s="72"/>
      <c r="K7506" s="412"/>
    </row>
    <row r="7507" spans="1:11" x14ac:dyDescent="0.25">
      <c r="A7507" s="163"/>
      <c r="B7507" s="106"/>
      <c r="C7507" s="78" t="s">
        <v>3550</v>
      </c>
      <c r="D7507" s="75"/>
      <c r="E7507" s="73"/>
      <c r="F7507" s="74"/>
      <c r="G7507" s="72"/>
      <c r="K7507" s="412"/>
    </row>
    <row r="7508" spans="1:11" x14ac:dyDescent="0.25">
      <c r="A7508" s="163"/>
      <c r="B7508" s="106"/>
      <c r="C7508" s="186" t="s">
        <v>3551</v>
      </c>
      <c r="D7508" s="75"/>
      <c r="E7508" s="73"/>
      <c r="F7508" s="74" t="s">
        <v>3</v>
      </c>
      <c r="G7508" s="72">
        <f>0.105*0.105*0.5*8*1.14</f>
        <v>5.0273999999999985E-2</v>
      </c>
      <c r="K7508" s="412"/>
    </row>
    <row r="7509" spans="1:11" x14ac:dyDescent="0.25">
      <c r="A7509" s="163"/>
      <c r="B7509" s="106"/>
      <c r="C7509" s="186"/>
      <c r="D7509" s="75"/>
      <c r="E7509" s="73"/>
      <c r="F7509" s="74"/>
      <c r="G7509" s="72"/>
      <c r="K7509" s="412"/>
    </row>
    <row r="7510" spans="1:11" x14ac:dyDescent="0.25">
      <c r="A7510" s="163"/>
      <c r="B7510" s="106"/>
      <c r="C7510" s="78" t="s">
        <v>3552</v>
      </c>
      <c r="D7510" s="75"/>
      <c r="E7510" s="73"/>
      <c r="F7510" s="74"/>
      <c r="G7510" s="72"/>
      <c r="K7510" s="412"/>
    </row>
    <row r="7511" spans="1:11" x14ac:dyDescent="0.25">
      <c r="A7511" s="163"/>
      <c r="B7511" s="106"/>
      <c r="C7511" s="186" t="s">
        <v>3402</v>
      </c>
      <c r="D7511" s="75"/>
      <c r="E7511" s="73"/>
      <c r="F7511" s="74" t="s">
        <v>3</v>
      </c>
      <c r="G7511" s="72">
        <f>0.09*0.09*1*8*1.15</f>
        <v>7.4519999999999989E-2</v>
      </c>
      <c r="K7511" s="412"/>
    </row>
    <row r="7512" spans="1:11" x14ac:dyDescent="0.25">
      <c r="A7512" s="163"/>
      <c r="B7512" s="106"/>
      <c r="C7512" s="186"/>
      <c r="D7512" s="75"/>
      <c r="E7512" s="73"/>
      <c r="F7512" s="74"/>
      <c r="G7512" s="72"/>
      <c r="K7512" s="412"/>
    </row>
    <row r="7513" spans="1:11" x14ac:dyDescent="0.25">
      <c r="A7513" s="163"/>
      <c r="B7513" s="106"/>
      <c r="C7513" s="78" t="s">
        <v>3554</v>
      </c>
      <c r="D7513" s="75"/>
      <c r="E7513" s="73"/>
      <c r="F7513" s="74"/>
      <c r="G7513" s="72"/>
      <c r="K7513" s="412"/>
    </row>
    <row r="7514" spans="1:11" x14ac:dyDescent="0.25">
      <c r="A7514" s="163"/>
      <c r="B7514" s="106"/>
      <c r="C7514" s="186" t="s">
        <v>2640</v>
      </c>
      <c r="D7514" s="75"/>
      <c r="E7514" s="73"/>
      <c r="F7514" s="74" t="s">
        <v>3</v>
      </c>
      <c r="G7514" s="72">
        <f>0.105*0.105*0.25*8*1.12</f>
        <v>2.4695999999999999E-2</v>
      </c>
      <c r="K7514" s="412"/>
    </row>
    <row r="7515" spans="1:11" x14ac:dyDescent="0.25">
      <c r="A7515" s="163"/>
      <c r="B7515" s="106"/>
      <c r="C7515" s="186"/>
      <c r="D7515" s="75"/>
      <c r="E7515" s="73"/>
      <c r="F7515" s="74"/>
      <c r="G7515" s="72"/>
      <c r="K7515" s="412"/>
    </row>
    <row r="7516" spans="1:11" x14ac:dyDescent="0.25">
      <c r="A7516" s="163"/>
      <c r="B7516" s="106"/>
      <c r="C7516" s="78" t="s">
        <v>3553</v>
      </c>
      <c r="D7516" s="75"/>
      <c r="E7516" s="73"/>
      <c r="F7516" s="74"/>
      <c r="G7516" s="72"/>
      <c r="K7516" s="412"/>
    </row>
    <row r="7517" spans="1:11" ht="15.75" thickBot="1" x14ac:dyDescent="0.3">
      <c r="A7517" s="67"/>
      <c r="B7517" s="86"/>
      <c r="C7517" s="197" t="s">
        <v>2640</v>
      </c>
      <c r="D7517" s="235"/>
      <c r="E7517" s="68"/>
      <c r="F7517" s="82" t="s">
        <v>3</v>
      </c>
      <c r="G7517" s="83">
        <f>0.09*0.09*0.25*8*1.12</f>
        <v>1.8144E-2</v>
      </c>
      <c r="K7517" s="412"/>
    </row>
    <row r="7518" spans="1:11" x14ac:dyDescent="0.25">
      <c r="A7518" s="163"/>
      <c r="B7518" s="106"/>
      <c r="C7518" s="186"/>
      <c r="D7518" s="75"/>
      <c r="E7518" s="73"/>
      <c r="F7518" s="260" t="s">
        <v>3569</v>
      </c>
      <c r="G7518" s="328"/>
      <c r="K7518" s="412"/>
    </row>
    <row r="7519" spans="1:11" x14ac:dyDescent="0.25">
      <c r="A7519" s="163"/>
      <c r="B7519" s="106"/>
      <c r="C7519" s="78" t="s">
        <v>3525</v>
      </c>
      <c r="D7519" s="75"/>
      <c r="E7519" s="73"/>
      <c r="F7519" s="74"/>
      <c r="G7519" s="72"/>
      <c r="K7519" s="412"/>
    </row>
    <row r="7520" spans="1:11" x14ac:dyDescent="0.25">
      <c r="A7520" s="163"/>
      <c r="B7520" s="106"/>
      <c r="C7520" s="186" t="s">
        <v>3526</v>
      </c>
      <c r="D7520" s="75"/>
      <c r="E7520" s="73"/>
      <c r="F7520" s="74" t="s">
        <v>3</v>
      </c>
      <c r="G7520" s="72">
        <f>0.1*0.1*3*8.5*1.06</f>
        <v>0.2703000000000001</v>
      </c>
      <c r="H7520" t="s">
        <v>1565</v>
      </c>
      <c r="K7520" s="412"/>
    </row>
    <row r="7521" spans="1:11" x14ac:dyDescent="0.25">
      <c r="A7521" s="163"/>
      <c r="B7521" s="106"/>
      <c r="C7521" s="186"/>
      <c r="D7521" s="75"/>
      <c r="E7521" s="73"/>
      <c r="F7521" s="74"/>
      <c r="G7521" s="72"/>
      <c r="H7521" t="s">
        <v>1565</v>
      </c>
      <c r="K7521" s="412"/>
    </row>
    <row r="7522" spans="1:11" x14ac:dyDescent="0.25">
      <c r="A7522" s="163"/>
      <c r="B7522" s="106"/>
      <c r="C7522" s="78" t="s">
        <v>3543</v>
      </c>
      <c r="D7522" s="75"/>
      <c r="E7522" s="73"/>
      <c r="F7522" s="74"/>
      <c r="G7522" s="72"/>
      <c r="K7522" s="412"/>
    </row>
    <row r="7523" spans="1:11" x14ac:dyDescent="0.25">
      <c r="A7523" s="163"/>
      <c r="B7523" s="106"/>
      <c r="C7523" s="186" t="s">
        <v>3545</v>
      </c>
      <c r="D7523" s="75"/>
      <c r="E7523" s="73"/>
      <c r="F7523" s="74" t="s">
        <v>3</v>
      </c>
      <c r="G7523" s="148">
        <f>0.015*0.015*0.18*8.5</f>
        <v>3.4424999999999994E-4</v>
      </c>
      <c r="K7523" s="412"/>
    </row>
    <row r="7524" spans="1:11" x14ac:dyDescent="0.25">
      <c r="A7524" s="163"/>
      <c r="B7524" s="106"/>
      <c r="C7524" s="186"/>
      <c r="D7524" s="75"/>
      <c r="E7524" s="73"/>
      <c r="F7524" s="74"/>
      <c r="G7524" s="72"/>
      <c r="K7524" s="412"/>
    </row>
    <row r="7525" spans="1:11" x14ac:dyDescent="0.25">
      <c r="A7525" s="163"/>
      <c r="B7525" s="106"/>
      <c r="C7525" s="78" t="s">
        <v>3544</v>
      </c>
      <c r="D7525" s="75"/>
      <c r="E7525" s="73"/>
      <c r="F7525" s="74"/>
      <c r="G7525" s="72"/>
      <c r="K7525" s="412"/>
    </row>
    <row r="7526" spans="1:11" x14ac:dyDescent="0.25">
      <c r="A7526" s="163"/>
      <c r="B7526" s="106"/>
      <c r="C7526" s="186" t="s">
        <v>3545</v>
      </c>
      <c r="D7526" s="75"/>
      <c r="E7526" s="73"/>
      <c r="F7526" s="74" t="s">
        <v>3</v>
      </c>
      <c r="G7526" s="148">
        <f>0.02*0.02*0.18*8.5</f>
        <v>6.1200000000000002E-4</v>
      </c>
      <c r="K7526" s="412"/>
    </row>
    <row r="7527" spans="1:11" x14ac:dyDescent="0.25">
      <c r="A7527" s="163"/>
      <c r="B7527" s="106"/>
      <c r="C7527" s="186"/>
      <c r="D7527" s="75"/>
      <c r="E7527" s="73"/>
      <c r="F7527" s="74"/>
      <c r="G7527" s="72"/>
      <c r="K7527" s="412"/>
    </row>
    <row r="7528" spans="1:11" x14ac:dyDescent="0.25">
      <c r="A7528" s="163"/>
      <c r="B7528" s="106"/>
      <c r="C7528" s="78" t="s">
        <v>3557</v>
      </c>
      <c r="D7528" s="75"/>
      <c r="E7528" s="73"/>
      <c r="F7528" s="74"/>
      <c r="G7528" s="72"/>
      <c r="K7528" s="412"/>
    </row>
    <row r="7529" spans="1:11" x14ac:dyDescent="0.25">
      <c r="A7529" s="163"/>
      <c r="B7529" s="106"/>
      <c r="C7529" s="186" t="s">
        <v>984</v>
      </c>
      <c r="D7529" s="75"/>
      <c r="E7529" s="73"/>
      <c r="F7529" s="74" t="s">
        <v>3</v>
      </c>
      <c r="G7529" s="72">
        <f>0.15*0.016*1*8*1.12</f>
        <v>2.1503999999999999E-2</v>
      </c>
      <c r="K7529" s="412"/>
    </row>
    <row r="7530" spans="1:11" x14ac:dyDescent="0.25">
      <c r="A7530" s="163"/>
      <c r="B7530" s="106"/>
      <c r="C7530" s="186"/>
      <c r="D7530" s="75"/>
      <c r="E7530" s="73"/>
      <c r="F7530" s="74"/>
      <c r="G7530" s="72"/>
      <c r="K7530" s="412"/>
    </row>
    <row r="7531" spans="1:11" x14ac:dyDescent="0.25">
      <c r="A7531" s="163"/>
      <c r="B7531" s="106"/>
      <c r="C7531" s="78" t="s">
        <v>3558</v>
      </c>
      <c r="D7531" s="75"/>
      <c r="E7531" s="73"/>
      <c r="F7531" s="74"/>
      <c r="G7531" s="72"/>
      <c r="K7531" s="412"/>
    </row>
    <row r="7532" spans="1:11" x14ac:dyDescent="0.25">
      <c r="A7532" s="163"/>
      <c r="B7532" s="106"/>
      <c r="C7532" s="186" t="s">
        <v>3559</v>
      </c>
      <c r="D7532" s="75"/>
      <c r="E7532" s="73"/>
      <c r="F7532" s="74" t="s">
        <v>3</v>
      </c>
      <c r="G7532" s="72">
        <v>6.5000000000000002E-2</v>
      </c>
      <c r="I7532" t="s">
        <v>1174</v>
      </c>
      <c r="K7532" s="412"/>
    </row>
    <row r="7533" spans="1:11" x14ac:dyDescent="0.25">
      <c r="A7533" s="163"/>
      <c r="B7533" s="106"/>
      <c r="C7533" s="186"/>
      <c r="D7533" s="75"/>
      <c r="E7533" s="73"/>
      <c r="F7533" s="74"/>
      <c r="G7533" s="72"/>
      <c r="K7533" s="413"/>
    </row>
    <row r="7534" spans="1:11" x14ac:dyDescent="0.25">
      <c r="A7534" s="163"/>
      <c r="B7534" s="106"/>
      <c r="C7534" s="78" t="s">
        <v>3560</v>
      </c>
      <c r="D7534" s="75"/>
      <c r="E7534" s="73"/>
      <c r="F7534" s="74"/>
      <c r="G7534" s="72"/>
      <c r="K7534" s="413"/>
    </row>
    <row r="7535" spans="1:11" x14ac:dyDescent="0.25">
      <c r="A7535" s="163"/>
      <c r="B7535" s="106"/>
      <c r="C7535" s="186" t="s">
        <v>3559</v>
      </c>
      <c r="D7535" s="75"/>
      <c r="E7535" s="73"/>
      <c r="F7535" s="74" t="s">
        <v>3</v>
      </c>
      <c r="G7535" s="72">
        <v>0.115</v>
      </c>
      <c r="I7535" t="s">
        <v>3561</v>
      </c>
      <c r="K7535" s="413"/>
    </row>
    <row r="7536" spans="1:11" x14ac:dyDescent="0.25">
      <c r="A7536" s="163"/>
      <c r="B7536" s="106"/>
      <c r="C7536" s="186"/>
      <c r="D7536" s="75"/>
      <c r="E7536" s="73"/>
      <c r="F7536" s="74"/>
      <c r="G7536" s="72"/>
      <c r="K7536" s="413"/>
    </row>
    <row r="7537" spans="1:11" x14ac:dyDescent="0.25">
      <c r="A7537" s="163"/>
      <c r="B7537" s="106"/>
      <c r="C7537" s="78" t="s">
        <v>3562</v>
      </c>
      <c r="D7537" s="75"/>
      <c r="E7537" s="73"/>
      <c r="F7537" s="74"/>
      <c r="G7537" s="72"/>
      <c r="K7537" s="413"/>
    </row>
    <row r="7538" spans="1:11" x14ac:dyDescent="0.25">
      <c r="A7538" s="163"/>
      <c r="B7538" s="106"/>
      <c r="C7538" s="186" t="s">
        <v>3563</v>
      </c>
      <c r="D7538" s="75"/>
      <c r="E7538" s="73"/>
      <c r="F7538" s="74" t="s">
        <v>3</v>
      </c>
      <c r="G7538" s="72">
        <f>0.09*0.07*2*8*1.14</f>
        <v>0.11491199999999999</v>
      </c>
      <c r="K7538" s="413"/>
    </row>
    <row r="7539" spans="1:11" x14ac:dyDescent="0.25">
      <c r="A7539" s="163"/>
      <c r="B7539" s="106"/>
      <c r="C7539" s="186"/>
      <c r="D7539" s="75"/>
      <c r="E7539" s="73"/>
      <c r="F7539" s="74"/>
      <c r="G7539" s="72"/>
      <c r="K7539" s="413"/>
    </row>
    <row r="7540" spans="1:11" x14ac:dyDescent="0.25">
      <c r="A7540" s="163"/>
      <c r="B7540" s="106"/>
      <c r="C7540" s="78" t="s">
        <v>3564</v>
      </c>
      <c r="D7540" s="75"/>
      <c r="E7540" s="73"/>
      <c r="F7540" s="74"/>
      <c r="G7540" s="72"/>
      <c r="K7540" s="413"/>
    </row>
    <row r="7541" spans="1:11" x14ac:dyDescent="0.25">
      <c r="A7541" s="163"/>
      <c r="B7541" s="106"/>
      <c r="C7541" s="186" t="s">
        <v>3565</v>
      </c>
      <c r="D7541" s="75"/>
      <c r="E7541" s="73"/>
      <c r="F7541" s="74" t="s">
        <v>3</v>
      </c>
      <c r="G7541" s="72">
        <v>1E-3</v>
      </c>
      <c r="I7541" t="s">
        <v>3566</v>
      </c>
      <c r="K7541" s="412"/>
    </row>
    <row r="7542" spans="1:11" x14ac:dyDescent="0.25">
      <c r="A7542" s="163"/>
      <c r="B7542" s="106"/>
      <c r="C7542" s="186"/>
      <c r="D7542" s="75"/>
      <c r="E7542" s="73"/>
      <c r="F7542" s="74"/>
      <c r="G7542" s="72"/>
      <c r="K7542" s="413"/>
    </row>
    <row r="7543" spans="1:11" x14ac:dyDescent="0.25">
      <c r="A7543" s="163"/>
      <c r="B7543" s="106"/>
      <c r="C7543" s="78" t="s">
        <v>3567</v>
      </c>
      <c r="D7543" s="75"/>
      <c r="E7543" s="73"/>
      <c r="F7543" s="74"/>
      <c r="G7543" s="72"/>
      <c r="K7543" s="413"/>
    </row>
    <row r="7544" spans="1:11" x14ac:dyDescent="0.25">
      <c r="A7544" s="163"/>
      <c r="B7544" s="106"/>
      <c r="C7544" s="186" t="s">
        <v>3568</v>
      </c>
      <c r="D7544" s="75"/>
      <c r="E7544" s="73"/>
      <c r="F7544" s="74" t="s">
        <v>3</v>
      </c>
      <c r="G7544" s="72">
        <v>7.8E-2</v>
      </c>
      <c r="K7544" s="413"/>
    </row>
    <row r="7545" spans="1:11" x14ac:dyDescent="0.25">
      <c r="A7545" s="163"/>
      <c r="B7545" s="106"/>
      <c r="C7545" s="186"/>
      <c r="D7545" s="75"/>
      <c r="E7545" s="73"/>
      <c r="F7545" s="74"/>
      <c r="G7545" s="72"/>
      <c r="K7545" s="413"/>
    </row>
    <row r="7546" spans="1:11" x14ac:dyDescent="0.25">
      <c r="C7546" s="186"/>
      <c r="D7546" s="75"/>
      <c r="F7546" s="74"/>
      <c r="G7546" s="72"/>
      <c r="K7546" s="413"/>
    </row>
    <row r="7547" spans="1:11" x14ac:dyDescent="0.25">
      <c r="C7547" s="78" t="s">
        <v>3570</v>
      </c>
      <c r="D7547" s="75"/>
      <c r="F7547" s="74"/>
      <c r="G7547" s="72"/>
      <c r="H7547" s="163"/>
      <c r="K7547" s="413"/>
    </row>
    <row r="7548" spans="1:11" x14ac:dyDescent="0.25">
      <c r="C7548" s="186" t="s">
        <v>3571</v>
      </c>
      <c r="D7548" s="75"/>
      <c r="F7548" s="74" t="s">
        <v>3</v>
      </c>
      <c r="G7548" s="72">
        <f>0.03*0.025*1*8.5*1.1</f>
        <v>7.0125000000000014E-3</v>
      </c>
      <c r="H7548" s="163"/>
      <c r="K7548" s="413"/>
    </row>
    <row r="7549" spans="1:11" ht="15.75" thickBot="1" x14ac:dyDescent="0.3">
      <c r="A7549" s="68"/>
      <c r="B7549" s="86"/>
      <c r="C7549" s="197"/>
      <c r="D7549" s="235"/>
      <c r="E7549" s="68"/>
      <c r="F7549" s="82"/>
      <c r="G7549" s="83"/>
      <c r="K7549" s="413"/>
    </row>
    <row r="7550" spans="1:11" x14ac:dyDescent="0.25">
      <c r="A7550" s="159"/>
      <c r="B7550" s="181"/>
      <c r="C7550" s="201"/>
      <c r="D7550" s="184"/>
      <c r="E7550" s="93"/>
      <c r="F7550" s="175" t="s">
        <v>3584</v>
      </c>
      <c r="G7550" s="176"/>
      <c r="K7550" s="413"/>
    </row>
    <row r="7551" spans="1:11" x14ac:dyDescent="0.25">
      <c r="A7551" s="163"/>
      <c r="B7551" s="106"/>
      <c r="C7551" s="186"/>
      <c r="D7551" s="75"/>
      <c r="E7551" s="390" t="s">
        <v>3585</v>
      </c>
      <c r="F7551" s="74"/>
      <c r="G7551" s="72"/>
      <c r="K7551" s="414"/>
    </row>
    <row r="7552" spans="1:11" x14ac:dyDescent="0.25">
      <c r="A7552" s="163"/>
      <c r="B7552" s="106"/>
      <c r="C7552" s="186"/>
      <c r="D7552" s="75"/>
      <c r="E7552" s="73"/>
      <c r="F7552" s="74"/>
      <c r="G7552" s="72"/>
      <c r="K7552" s="414"/>
    </row>
    <row r="7553" spans="1:11" x14ac:dyDescent="0.25">
      <c r="A7553" s="163"/>
      <c r="B7553" s="106"/>
      <c r="C7553" s="78" t="s">
        <v>3572</v>
      </c>
      <c r="D7553" s="75"/>
      <c r="E7553" s="73"/>
      <c r="F7553" s="74"/>
      <c r="G7553" s="72"/>
      <c r="K7553" s="413"/>
    </row>
    <row r="7554" spans="1:11" x14ac:dyDescent="0.25">
      <c r="A7554" s="163"/>
      <c r="B7554" s="106"/>
      <c r="C7554" s="186" t="s">
        <v>3582</v>
      </c>
      <c r="D7554" s="75"/>
      <c r="E7554" s="73"/>
      <c r="F7554" s="74" t="s">
        <v>1516</v>
      </c>
      <c r="G7554" s="72">
        <v>8</v>
      </c>
      <c r="K7554" s="414"/>
    </row>
    <row r="7555" spans="1:11" x14ac:dyDescent="0.25">
      <c r="A7555" s="163"/>
      <c r="B7555" s="106"/>
      <c r="C7555" s="186" t="s">
        <v>3583</v>
      </c>
      <c r="D7555" s="75"/>
      <c r="E7555" s="73"/>
      <c r="F7555" s="74" t="s">
        <v>1516</v>
      </c>
      <c r="G7555" s="72">
        <v>8</v>
      </c>
      <c r="K7555" s="414"/>
    </row>
    <row r="7556" spans="1:11" x14ac:dyDescent="0.25">
      <c r="A7556" s="163"/>
      <c r="B7556" s="106"/>
      <c r="C7556" s="78"/>
      <c r="D7556" s="75" t="s">
        <v>3581</v>
      </c>
      <c r="E7556" s="73"/>
      <c r="F7556" s="74"/>
      <c r="G7556" s="72"/>
      <c r="K7556" s="414"/>
    </row>
    <row r="7557" spans="1:11" x14ac:dyDescent="0.25">
      <c r="A7557" s="163"/>
      <c r="B7557" s="106"/>
      <c r="C7557" s="78"/>
      <c r="D7557" s="100" t="s">
        <v>8</v>
      </c>
      <c r="E7557" s="73"/>
      <c r="F7557" s="74" t="s">
        <v>3</v>
      </c>
      <c r="G7557" s="72">
        <f>G7558*0.85</f>
        <v>9.9450000000000007E-3</v>
      </c>
      <c r="K7557" s="414"/>
    </row>
    <row r="7558" spans="1:11" x14ac:dyDescent="0.25">
      <c r="A7558" s="163"/>
      <c r="B7558" s="106"/>
      <c r="C7558" s="78"/>
      <c r="D7558" s="100" t="s">
        <v>115</v>
      </c>
      <c r="E7558" s="73"/>
      <c r="F7558" s="74" t="s">
        <v>3</v>
      </c>
      <c r="G7558" s="72">
        <f>0.1*0.1*3*0.15*2*1.3</f>
        <v>1.1700000000000002E-2</v>
      </c>
      <c r="K7558" s="414"/>
    </row>
    <row r="7559" spans="1:11" x14ac:dyDescent="0.25">
      <c r="A7559" s="163"/>
      <c r="B7559" s="106"/>
      <c r="C7559" s="78"/>
      <c r="D7559" s="100" t="s">
        <v>12</v>
      </c>
      <c r="E7559" s="73"/>
      <c r="F7559" s="74" t="s">
        <v>3</v>
      </c>
      <c r="G7559" s="72">
        <f>0.3*(G7558+G7557)</f>
        <v>6.493500000000001E-3</v>
      </c>
      <c r="K7559" s="414"/>
    </row>
    <row r="7560" spans="1:11" x14ac:dyDescent="0.25">
      <c r="A7560" s="163"/>
      <c r="B7560" s="106"/>
      <c r="C7560" s="78" t="s">
        <v>3573</v>
      </c>
      <c r="D7560" s="75"/>
      <c r="E7560" s="73"/>
      <c r="F7560" s="74"/>
      <c r="G7560" s="72"/>
      <c r="K7560" s="413"/>
    </row>
    <row r="7561" spans="1:11" x14ac:dyDescent="0.25">
      <c r="A7561" s="163"/>
      <c r="B7561" s="106"/>
      <c r="C7561" s="73" t="s">
        <v>3223</v>
      </c>
      <c r="D7561" s="73"/>
      <c r="E7561" s="73"/>
      <c r="F7561" s="74" t="s">
        <v>3</v>
      </c>
      <c r="G7561" s="72">
        <f>(0.18+0.08+0.075+0.08)*0.08*1.35</f>
        <v>4.4820000000000006E-2</v>
      </c>
      <c r="K7561" s="413"/>
    </row>
    <row r="7562" spans="1:11" ht="17.25" x14ac:dyDescent="0.25">
      <c r="A7562" s="163"/>
      <c r="B7562" s="106"/>
      <c r="C7562" s="73" t="s">
        <v>168</v>
      </c>
      <c r="D7562" s="73"/>
      <c r="E7562" s="73"/>
      <c r="F7562" s="74" t="s">
        <v>596</v>
      </c>
      <c r="G7562" s="72">
        <f>G7561*1.1+0.001</f>
        <v>5.0302000000000013E-2</v>
      </c>
      <c r="K7562" s="413"/>
    </row>
    <row r="7563" spans="1:11" x14ac:dyDescent="0.25">
      <c r="A7563" s="163"/>
      <c r="B7563" s="106"/>
      <c r="C7563" s="186" t="s">
        <v>163</v>
      </c>
      <c r="D7563" s="75"/>
      <c r="E7563" s="73"/>
      <c r="F7563" s="74" t="s">
        <v>3</v>
      </c>
      <c r="G7563" s="72">
        <f>G7565*0.8</f>
        <v>0.1999872</v>
      </c>
      <c r="I7563" s="417"/>
      <c r="K7563" s="413"/>
    </row>
    <row r="7564" spans="1:11" x14ac:dyDescent="0.25">
      <c r="A7564" s="163"/>
      <c r="B7564" s="106"/>
      <c r="C7564" s="186" t="s">
        <v>164</v>
      </c>
      <c r="D7564" s="75"/>
      <c r="E7564" s="73"/>
      <c r="F7564" s="74" t="s">
        <v>3</v>
      </c>
      <c r="G7564" s="72">
        <f>0.3*G7563</f>
        <v>5.999616E-2</v>
      </c>
      <c r="K7564" s="413"/>
    </row>
    <row r="7565" spans="1:11" x14ac:dyDescent="0.25">
      <c r="A7565" s="163"/>
      <c r="B7565" s="106"/>
      <c r="C7565" s="186" t="s">
        <v>115</v>
      </c>
      <c r="D7565" s="75"/>
      <c r="E7565" s="73"/>
      <c r="F7565" s="74" t="s">
        <v>3</v>
      </c>
      <c r="G7565" s="72">
        <f>1.12*0.31*2*0.15*2*1.2</f>
        <v>0.24998399999999998</v>
      </c>
      <c r="K7565" s="413"/>
    </row>
    <row r="7566" spans="1:11" x14ac:dyDescent="0.25">
      <c r="A7566" s="163"/>
      <c r="B7566" s="106"/>
      <c r="C7566" s="186" t="s">
        <v>12</v>
      </c>
      <c r="D7566" s="75"/>
      <c r="E7566" s="73"/>
      <c r="F7566" s="74" t="s">
        <v>3</v>
      </c>
      <c r="G7566" s="72">
        <f>0.3*G7565</f>
        <v>7.4995199999999998E-2</v>
      </c>
      <c r="K7566" s="413"/>
    </row>
    <row r="7567" spans="1:11" x14ac:dyDescent="0.25">
      <c r="A7567" s="163"/>
      <c r="B7567" s="106"/>
      <c r="C7567" s="186" t="s">
        <v>147</v>
      </c>
      <c r="D7567" s="75"/>
      <c r="E7567" s="73"/>
      <c r="F7567" s="74" t="s">
        <v>3</v>
      </c>
      <c r="G7567" s="72">
        <f>0.05</f>
        <v>0.05</v>
      </c>
      <c r="K7567" s="413"/>
    </row>
    <row r="7568" spans="1:11" x14ac:dyDescent="0.25">
      <c r="A7568" s="163"/>
      <c r="B7568" s="106"/>
      <c r="C7568" s="186"/>
      <c r="D7568" s="75" t="s">
        <v>3574</v>
      </c>
      <c r="E7568" s="73"/>
      <c r="F7568" s="74"/>
      <c r="G7568" s="72"/>
      <c r="K7568" s="413"/>
    </row>
    <row r="7569" spans="1:11" x14ac:dyDescent="0.25">
      <c r="A7569" s="163"/>
      <c r="B7569" s="106"/>
      <c r="C7569" s="186"/>
      <c r="D7569" s="100" t="s">
        <v>3575</v>
      </c>
      <c r="E7569" s="73"/>
      <c r="F7569" s="74" t="s">
        <v>3</v>
      </c>
      <c r="G7569" s="72">
        <f>0.04*0.04*6*2.7*1.15</f>
        <v>2.9808000000000005E-2</v>
      </c>
      <c r="K7569" s="413"/>
    </row>
    <row r="7570" spans="1:11" x14ac:dyDescent="0.25">
      <c r="A7570" s="163"/>
      <c r="B7570" s="106"/>
      <c r="C7570" s="186"/>
      <c r="D7570" s="75" t="s">
        <v>3576</v>
      </c>
      <c r="E7570" s="73"/>
      <c r="F7570" s="74"/>
      <c r="G7570" s="72"/>
      <c r="K7570" s="413"/>
    </row>
    <row r="7571" spans="1:11" x14ac:dyDescent="0.25">
      <c r="A7571" s="163"/>
      <c r="B7571" s="106"/>
      <c r="C7571" s="186"/>
      <c r="D7571" s="100" t="s">
        <v>3577</v>
      </c>
      <c r="E7571" s="73"/>
      <c r="F7571" s="74" t="s">
        <v>3</v>
      </c>
      <c r="G7571" s="72">
        <f>0.005</f>
        <v>5.0000000000000001E-3</v>
      </c>
      <c r="I7571" t="s">
        <v>703</v>
      </c>
      <c r="K7571" s="413"/>
    </row>
    <row r="7572" spans="1:11" x14ac:dyDescent="0.25">
      <c r="A7572" s="163"/>
      <c r="B7572" s="106"/>
      <c r="C7572" s="186"/>
      <c r="D7572" s="75"/>
      <c r="E7572" s="75" t="s">
        <v>3578</v>
      </c>
      <c r="F7572" s="74"/>
      <c r="G7572" s="72"/>
      <c r="K7572" s="414"/>
    </row>
    <row r="7573" spans="1:11" x14ac:dyDescent="0.25">
      <c r="A7573" s="163"/>
      <c r="B7573" s="106"/>
      <c r="C7573" s="186"/>
      <c r="D7573" s="75"/>
      <c r="E7573" s="73" t="s">
        <v>3223</v>
      </c>
      <c r="F7573" s="74" t="s">
        <v>3</v>
      </c>
      <c r="G7573" s="72">
        <f>0.03*0.08*1.3</f>
        <v>3.1199999999999999E-3</v>
      </c>
      <c r="K7573" s="414"/>
    </row>
    <row r="7574" spans="1:11" ht="17.25" x14ac:dyDescent="0.25">
      <c r="A7574" s="163"/>
      <c r="B7574" s="106"/>
      <c r="C7574" s="186"/>
      <c r="D7574" s="75"/>
      <c r="E7574" s="73" t="s">
        <v>168</v>
      </c>
      <c r="F7574" s="74" t="s">
        <v>596</v>
      </c>
      <c r="G7574" s="72">
        <f>G7573*1.1</f>
        <v>3.4320000000000002E-3</v>
      </c>
      <c r="K7574" s="414"/>
    </row>
    <row r="7575" spans="1:11" x14ac:dyDescent="0.25">
      <c r="A7575" s="163"/>
      <c r="B7575" s="106"/>
      <c r="C7575" s="186"/>
      <c r="D7575" s="75"/>
      <c r="E7575" s="78" t="s">
        <v>3579</v>
      </c>
      <c r="F7575" s="74"/>
      <c r="G7575" s="72"/>
      <c r="K7575" s="414"/>
    </row>
    <row r="7576" spans="1:11" ht="15.75" thickBot="1" x14ac:dyDescent="0.3">
      <c r="A7576" s="67"/>
      <c r="B7576" s="86"/>
      <c r="C7576" s="197"/>
      <c r="D7576" s="235"/>
      <c r="E7576" s="104" t="s">
        <v>3580</v>
      </c>
      <c r="F7576" s="82" t="s">
        <v>3</v>
      </c>
      <c r="G7576" s="83">
        <f>0.08*0.04*6*2.7*1.15</f>
        <v>5.9616000000000009E-2</v>
      </c>
      <c r="K7576" s="414"/>
    </row>
    <row r="7577" spans="1:11" x14ac:dyDescent="0.25">
      <c r="A7577" s="159"/>
      <c r="B7577" s="181"/>
      <c r="C7577" s="201"/>
      <c r="D7577" s="184"/>
      <c r="E7577" s="93"/>
      <c r="F7577" s="175" t="s">
        <v>3584</v>
      </c>
      <c r="G7577" s="176"/>
      <c r="K7577" s="414"/>
    </row>
    <row r="7578" spans="1:11" ht="18.75" x14ac:dyDescent="0.3">
      <c r="A7578" s="163"/>
      <c r="B7578" s="106"/>
      <c r="C7578" s="186"/>
      <c r="D7578" s="75"/>
      <c r="E7578" s="188" t="s">
        <v>3587</v>
      </c>
      <c r="F7578" s="74"/>
      <c r="G7578" s="72"/>
      <c r="K7578" s="418"/>
    </row>
    <row r="7579" spans="1:11" x14ac:dyDescent="0.25">
      <c r="A7579" s="163"/>
      <c r="B7579" s="106"/>
      <c r="C7579" s="186"/>
      <c r="D7579" s="75"/>
      <c r="E7579" s="73"/>
      <c r="F7579" s="74"/>
      <c r="G7579" s="72"/>
      <c r="K7579" s="418"/>
    </row>
    <row r="7580" spans="1:11" x14ac:dyDescent="0.25">
      <c r="A7580" s="163"/>
      <c r="B7580" s="106"/>
      <c r="C7580" s="78" t="s">
        <v>3586</v>
      </c>
      <c r="D7580" s="75"/>
      <c r="E7580" s="73"/>
      <c r="F7580" s="74"/>
      <c r="G7580" s="72"/>
      <c r="K7580" s="418"/>
    </row>
    <row r="7581" spans="1:11" x14ac:dyDescent="0.25">
      <c r="A7581" s="163"/>
      <c r="B7581" s="106"/>
      <c r="C7581" s="73" t="s">
        <v>2755</v>
      </c>
      <c r="D7581" s="75"/>
      <c r="E7581" s="73"/>
      <c r="F7581" s="74" t="s">
        <v>3</v>
      </c>
      <c r="G7581" s="72">
        <f>(0.25+0.18*6+0.11*3+0.1+0.1+0.1)*0.08*1.28-0.001</f>
        <v>0.19970400000000002</v>
      </c>
      <c r="K7581" s="418"/>
    </row>
    <row r="7582" spans="1:11" ht="17.25" x14ac:dyDescent="0.25">
      <c r="A7582" s="163"/>
      <c r="B7582" s="106"/>
      <c r="C7582" s="73" t="s">
        <v>1055</v>
      </c>
      <c r="D7582" s="75"/>
      <c r="E7582" s="73"/>
      <c r="F7582" s="74" t="s">
        <v>596</v>
      </c>
      <c r="G7582" s="72">
        <f>G7581*1.1</f>
        <v>0.21967440000000005</v>
      </c>
      <c r="K7582" s="418"/>
    </row>
    <row r="7583" spans="1:11" x14ac:dyDescent="0.25">
      <c r="A7583" s="163"/>
      <c r="B7583" s="106"/>
      <c r="C7583" s="186" t="s">
        <v>3588</v>
      </c>
      <c r="D7583" s="75"/>
      <c r="E7583" s="73"/>
      <c r="F7583" s="74" t="s">
        <v>3</v>
      </c>
      <c r="G7583" s="72">
        <f>0.8*G7584</f>
        <v>0.19966500000000004</v>
      </c>
      <c r="K7583" s="418"/>
    </row>
    <row r="7584" spans="1:11" x14ac:dyDescent="0.25">
      <c r="A7584" s="163"/>
      <c r="B7584" s="106"/>
      <c r="C7584" s="186" t="s">
        <v>115</v>
      </c>
      <c r="D7584" s="75"/>
      <c r="E7584" s="73"/>
      <c r="F7584" s="74" t="s">
        <v>3</v>
      </c>
      <c r="G7584" s="72">
        <f>(0.745*0.31-0.11*0.5+0.1*0.75+0.18*0.22*3)*2*0.15*2*1.125</f>
        <v>0.24958125000000003</v>
      </c>
      <c r="K7584" s="418"/>
    </row>
    <row r="7585" spans="1:11" x14ac:dyDescent="0.25">
      <c r="A7585" s="163"/>
      <c r="B7585" s="106"/>
      <c r="C7585" s="186" t="s">
        <v>12</v>
      </c>
      <c r="D7585" s="75"/>
      <c r="E7585" s="73"/>
      <c r="F7585" s="74" t="s">
        <v>3</v>
      </c>
      <c r="G7585" s="72">
        <f>0.3*(G7584+G7583)</f>
        <v>0.13477387500000002</v>
      </c>
      <c r="K7585" s="418"/>
    </row>
    <row r="7586" spans="1:11" x14ac:dyDescent="0.25">
      <c r="A7586" s="163"/>
      <c r="B7586" s="106"/>
      <c r="C7586" s="186"/>
      <c r="D7586" s="75" t="s">
        <v>3589</v>
      </c>
      <c r="E7586" s="73"/>
      <c r="F7586" s="74"/>
      <c r="G7586" s="72"/>
      <c r="K7586" s="418"/>
    </row>
    <row r="7587" spans="1:11" x14ac:dyDescent="0.25">
      <c r="A7587" s="163"/>
      <c r="B7587" s="106"/>
      <c r="C7587" s="186"/>
      <c r="D7587" s="100" t="s">
        <v>3597</v>
      </c>
      <c r="E7587" s="73"/>
      <c r="F7587" s="74" t="s">
        <v>3</v>
      </c>
      <c r="G7587" s="72">
        <f>0.745*0.31*4*8*1.1231</f>
        <v>8.30015824</v>
      </c>
      <c r="K7587" s="418"/>
    </row>
    <row r="7588" spans="1:11" x14ac:dyDescent="0.25">
      <c r="A7588" s="163"/>
      <c r="B7588" s="106"/>
      <c r="C7588" s="186"/>
      <c r="D7588" s="75" t="s">
        <v>3590</v>
      </c>
      <c r="E7588" s="73"/>
      <c r="F7588" s="74"/>
      <c r="G7588" s="72"/>
      <c r="K7588" s="418"/>
    </row>
    <row r="7589" spans="1:11" x14ac:dyDescent="0.25">
      <c r="A7589" s="163"/>
      <c r="B7589" s="106"/>
      <c r="C7589" s="186"/>
      <c r="D7589" s="100" t="s">
        <v>3598</v>
      </c>
      <c r="E7589" s="73"/>
      <c r="F7589" s="74" t="s">
        <v>3</v>
      </c>
      <c r="G7589" s="72">
        <f>0.76*0.115*3*8*1.0965</f>
        <v>2.3000183999999999</v>
      </c>
      <c r="K7589" s="418"/>
    </row>
    <row r="7590" spans="1:11" x14ac:dyDescent="0.25">
      <c r="A7590" s="163"/>
      <c r="B7590" s="106"/>
      <c r="C7590" s="186"/>
      <c r="D7590" s="75" t="s">
        <v>3591</v>
      </c>
      <c r="E7590" s="73"/>
      <c r="F7590" s="74"/>
      <c r="G7590" s="72"/>
      <c r="K7590" s="418"/>
    </row>
    <row r="7591" spans="1:11" x14ac:dyDescent="0.25">
      <c r="A7591" s="163"/>
      <c r="B7591" s="106"/>
      <c r="C7591" s="186"/>
      <c r="D7591" s="100" t="s">
        <v>3597</v>
      </c>
      <c r="E7591" s="73"/>
      <c r="F7591" s="74" t="s">
        <v>3</v>
      </c>
      <c r="G7591" s="72">
        <f>0.18*0.25*4*8*1.042</f>
        <v>1.50048</v>
      </c>
      <c r="K7591" s="418"/>
    </row>
    <row r="7592" spans="1:11" x14ac:dyDescent="0.25">
      <c r="A7592" s="163"/>
      <c r="B7592" s="106"/>
      <c r="C7592" s="186"/>
      <c r="D7592" s="75" t="s">
        <v>3592</v>
      </c>
      <c r="E7592" s="73"/>
      <c r="F7592" s="74"/>
      <c r="G7592" s="72"/>
      <c r="K7592" s="418"/>
    </row>
    <row r="7593" spans="1:11" x14ac:dyDescent="0.25">
      <c r="A7593" s="163"/>
      <c r="B7593" s="106"/>
      <c r="C7593" s="186"/>
      <c r="D7593" s="100" t="s">
        <v>3597</v>
      </c>
      <c r="E7593" s="73"/>
      <c r="F7593" s="74" t="s">
        <v>3</v>
      </c>
      <c r="G7593" s="72">
        <f>0.18*0.23*4*8*1.0945</f>
        <v>1.4499936</v>
      </c>
      <c r="H7593" s="10"/>
      <c r="K7593" s="418"/>
    </row>
    <row r="7594" spans="1:11" x14ac:dyDescent="0.25">
      <c r="A7594" s="163"/>
      <c r="B7594" s="106"/>
      <c r="C7594" s="186"/>
      <c r="D7594" s="75" t="s">
        <v>3593</v>
      </c>
      <c r="E7594" s="73"/>
      <c r="F7594" s="74"/>
      <c r="G7594" s="72"/>
      <c r="K7594" s="418"/>
    </row>
    <row r="7595" spans="1:11" x14ac:dyDescent="0.25">
      <c r="A7595" s="163"/>
      <c r="B7595" s="106"/>
      <c r="C7595" s="186"/>
      <c r="D7595" s="100" t="s">
        <v>3597</v>
      </c>
      <c r="E7595" s="73"/>
      <c r="F7595" s="74" t="s">
        <v>3</v>
      </c>
      <c r="G7595" s="72">
        <f>0.18*0.225*4*8*1.042</f>
        <v>1.3504320000000001</v>
      </c>
      <c r="H7595" s="10"/>
      <c r="K7595" s="418"/>
    </row>
    <row r="7596" spans="1:11" x14ac:dyDescent="0.25">
      <c r="A7596" s="163"/>
      <c r="B7596" s="106"/>
      <c r="C7596" s="186"/>
      <c r="D7596" s="75"/>
      <c r="E7596" s="73"/>
      <c r="F7596" s="74"/>
      <c r="G7596" s="72"/>
      <c r="K7596" s="418"/>
    </row>
    <row r="7597" spans="1:11" x14ac:dyDescent="0.25">
      <c r="A7597" s="163"/>
      <c r="B7597" s="106"/>
      <c r="C7597" s="78" t="s">
        <v>3594</v>
      </c>
      <c r="D7597" s="75"/>
      <c r="E7597" s="73"/>
      <c r="F7597" s="74"/>
      <c r="G7597" s="72"/>
      <c r="K7597" s="418"/>
    </row>
    <row r="7598" spans="1:11" x14ac:dyDescent="0.25">
      <c r="A7598" s="163"/>
      <c r="B7598" s="106"/>
      <c r="C7598" s="73" t="s">
        <v>2755</v>
      </c>
      <c r="D7598" s="75"/>
      <c r="E7598" s="73"/>
      <c r="F7598" s="74" t="s">
        <v>3</v>
      </c>
      <c r="G7598" s="72">
        <f>0.006*3.14*4*0.08*1.2</f>
        <v>7.234560000000001E-3</v>
      </c>
      <c r="K7598" s="414"/>
    </row>
    <row r="7599" spans="1:11" ht="17.25" x14ac:dyDescent="0.25">
      <c r="A7599" s="163"/>
      <c r="B7599" s="106"/>
      <c r="C7599" s="73" t="s">
        <v>1055</v>
      </c>
      <c r="D7599" s="75"/>
      <c r="E7599" s="73"/>
      <c r="F7599" s="74" t="s">
        <v>596</v>
      </c>
      <c r="G7599" s="72">
        <f>G7598*1.1</f>
        <v>7.9580160000000018E-3</v>
      </c>
      <c r="K7599" s="414"/>
    </row>
    <row r="7600" spans="1:11" x14ac:dyDescent="0.25">
      <c r="A7600" s="163"/>
      <c r="B7600" s="106"/>
      <c r="C7600" s="186" t="s">
        <v>3588</v>
      </c>
      <c r="D7600" s="75"/>
      <c r="E7600" s="73"/>
      <c r="F7600" s="74" t="s">
        <v>3</v>
      </c>
      <c r="G7600" s="72">
        <f>G7601*0.77</f>
        <v>3.465E-2</v>
      </c>
      <c r="K7600" s="414"/>
    </row>
    <row r="7601" spans="1:11" x14ac:dyDescent="0.25">
      <c r="A7601" s="163"/>
      <c r="B7601" s="106"/>
      <c r="C7601" s="186" t="s">
        <v>115</v>
      </c>
      <c r="D7601" s="75"/>
      <c r="E7601" s="73"/>
      <c r="F7601" s="74" t="s">
        <v>3</v>
      </c>
      <c r="G7601" s="72">
        <f>0.3*0.2*2*0.15*2*1.25</f>
        <v>4.4999999999999998E-2</v>
      </c>
      <c r="K7601" s="414"/>
    </row>
    <row r="7602" spans="1:11" x14ac:dyDescent="0.25">
      <c r="A7602" s="163"/>
      <c r="B7602" s="106"/>
      <c r="C7602" s="186" t="s">
        <v>12</v>
      </c>
      <c r="D7602" s="75"/>
      <c r="E7602" s="73"/>
      <c r="F7602" s="74" t="s">
        <v>3</v>
      </c>
      <c r="G7602" s="72">
        <f>0.3*(G7601+G7600)</f>
        <v>2.3895E-2</v>
      </c>
      <c r="K7602" s="414"/>
    </row>
    <row r="7603" spans="1:11" x14ac:dyDescent="0.25">
      <c r="A7603" s="163"/>
      <c r="B7603" s="106"/>
      <c r="C7603" s="186"/>
      <c r="D7603" s="75" t="s">
        <v>3595</v>
      </c>
      <c r="E7603" s="73"/>
      <c r="F7603" s="74"/>
      <c r="G7603" s="72"/>
      <c r="K7603" s="414"/>
    </row>
    <row r="7604" spans="1:11" ht="15.75" thickBot="1" x14ac:dyDescent="0.3">
      <c r="A7604" s="67"/>
      <c r="B7604" s="86"/>
      <c r="C7604" s="197"/>
      <c r="D7604" s="104" t="s">
        <v>3596</v>
      </c>
      <c r="E7604" s="68"/>
      <c r="F7604" s="82" t="s">
        <v>3</v>
      </c>
      <c r="G7604" s="83">
        <f>0.29*0.21*3*8*1.15-0.001</f>
        <v>1.6798399999999998</v>
      </c>
      <c r="K7604" s="414"/>
    </row>
    <row r="7605" spans="1:11" x14ac:dyDescent="0.25">
      <c r="A7605" s="159"/>
      <c r="B7605" s="181"/>
      <c r="C7605" s="201"/>
      <c r="D7605" s="184"/>
      <c r="E7605" s="93"/>
      <c r="F7605" s="160"/>
      <c r="G7605" s="90"/>
      <c r="K7605" s="414"/>
    </row>
    <row r="7606" spans="1:11" x14ac:dyDescent="0.25">
      <c r="A7606" s="163"/>
      <c r="B7606" s="106"/>
      <c r="C7606" s="78" t="s">
        <v>3600</v>
      </c>
      <c r="D7606" s="75"/>
      <c r="E7606" s="73"/>
      <c r="F7606" s="74"/>
      <c r="G7606" s="72"/>
      <c r="K7606" s="414"/>
    </row>
    <row r="7607" spans="1:11" ht="15.75" thickBot="1" x14ac:dyDescent="0.3">
      <c r="A7607" s="163"/>
      <c r="B7607" s="106"/>
      <c r="C7607" s="186" t="s">
        <v>3601</v>
      </c>
      <c r="D7607" s="75"/>
      <c r="E7607" s="73"/>
      <c r="F7607" s="74" t="s">
        <v>3</v>
      </c>
      <c r="G7607" s="72">
        <f>0.06*0.012*2*8*1.1</f>
        <v>1.2671999999999999E-2</v>
      </c>
      <c r="K7607" s="414"/>
    </row>
    <row r="7608" spans="1:11" x14ac:dyDescent="0.25">
      <c r="A7608" s="159"/>
      <c r="B7608" s="181"/>
      <c r="C7608" s="201"/>
      <c r="D7608" s="184"/>
      <c r="E7608" s="93"/>
      <c r="F7608" s="160"/>
      <c r="G7608" s="175" t="s">
        <v>3648</v>
      </c>
      <c r="H7608" s="176"/>
      <c r="K7608" s="419"/>
    </row>
    <row r="7609" spans="1:11" ht="18.75" x14ac:dyDescent="0.3">
      <c r="A7609" s="163"/>
      <c r="B7609" s="106"/>
      <c r="C7609" s="186"/>
      <c r="D7609" s="75"/>
      <c r="E7609" s="188" t="s">
        <v>3606</v>
      </c>
      <c r="F7609" s="74"/>
      <c r="G7609" s="153"/>
      <c r="H7609" s="164"/>
      <c r="K7609" s="419"/>
    </row>
    <row r="7610" spans="1:11" x14ac:dyDescent="0.25">
      <c r="A7610" s="163"/>
      <c r="B7610" s="106"/>
      <c r="C7610" s="186"/>
      <c r="D7610" s="75"/>
      <c r="E7610" s="73"/>
      <c r="F7610" s="74"/>
      <c r="G7610" s="153"/>
      <c r="H7610" s="164"/>
      <c r="K7610" s="419"/>
    </row>
    <row r="7611" spans="1:11" x14ac:dyDescent="0.25">
      <c r="A7611" s="163"/>
      <c r="B7611" s="78"/>
      <c r="C7611" s="78" t="s">
        <v>3602</v>
      </c>
      <c r="D7611" s="75"/>
      <c r="E7611" s="73"/>
      <c r="F7611" s="74"/>
      <c r="G7611" s="153"/>
      <c r="H7611" s="164"/>
      <c r="K7611" s="414"/>
    </row>
    <row r="7612" spans="1:11" x14ac:dyDescent="0.25">
      <c r="A7612" s="163"/>
      <c r="B7612" s="106"/>
      <c r="C7612" s="186" t="s">
        <v>3603</v>
      </c>
      <c r="D7612" s="75"/>
      <c r="E7612" s="73"/>
      <c r="F7612" s="74" t="s">
        <v>3</v>
      </c>
      <c r="G7612" s="153">
        <f>0.315*0.21*3*8*1.134</f>
        <v>1.8003384</v>
      </c>
      <c r="H7612" s="164"/>
      <c r="K7612" s="414"/>
    </row>
    <row r="7613" spans="1:11" x14ac:dyDescent="0.25">
      <c r="A7613" s="163"/>
      <c r="B7613" s="106"/>
      <c r="C7613" s="186" t="s">
        <v>3588</v>
      </c>
      <c r="D7613" s="75"/>
      <c r="E7613" s="73"/>
      <c r="F7613" s="74" t="s">
        <v>3</v>
      </c>
      <c r="G7613" s="153">
        <f>G7614*0.7</f>
        <v>3.4728749999999996E-2</v>
      </c>
      <c r="H7613" s="164"/>
      <c r="K7613" s="419"/>
    </row>
    <row r="7614" spans="1:11" x14ac:dyDescent="0.25">
      <c r="A7614" s="163"/>
      <c r="B7614" s="106"/>
      <c r="C7614" s="186" t="s">
        <v>115</v>
      </c>
      <c r="D7614" s="75"/>
      <c r="E7614" s="73"/>
      <c r="F7614" s="74" t="s">
        <v>3</v>
      </c>
      <c r="G7614" s="153">
        <f>0.315*0.21*2*0.15*2*1.25</f>
        <v>4.9612499999999997E-2</v>
      </c>
      <c r="H7614" s="164"/>
      <c r="K7614" s="414"/>
    </row>
    <row r="7615" spans="1:11" ht="15.75" thickBot="1" x14ac:dyDescent="0.3">
      <c r="A7615" s="67"/>
      <c r="B7615" s="86"/>
      <c r="C7615" s="197" t="s">
        <v>12</v>
      </c>
      <c r="D7615" s="235"/>
      <c r="E7615" s="68"/>
      <c r="F7615" s="82" t="s">
        <v>3</v>
      </c>
      <c r="G7615" s="89">
        <f>0.3*(G7614+G7613)</f>
        <v>2.5302374999999998E-2</v>
      </c>
      <c r="H7615" s="165"/>
      <c r="K7615" s="419"/>
    </row>
    <row r="7616" spans="1:11" x14ac:dyDescent="0.25">
      <c r="A7616" s="159"/>
      <c r="B7616" s="181"/>
      <c r="C7616" s="201"/>
      <c r="D7616" s="184"/>
      <c r="E7616" s="93"/>
      <c r="F7616" s="160"/>
      <c r="G7616" s="161"/>
      <c r="H7616" s="162"/>
      <c r="K7616" s="419"/>
    </row>
    <row r="7617" spans="1:12" ht="18.75" x14ac:dyDescent="0.3">
      <c r="A7617" s="163"/>
      <c r="B7617" s="106"/>
      <c r="C7617" s="186"/>
      <c r="D7617" s="75"/>
      <c r="E7617" s="188" t="s">
        <v>3646</v>
      </c>
      <c r="F7617" s="74"/>
      <c r="G7617" s="153"/>
      <c r="H7617" s="164"/>
      <c r="K7617" s="420"/>
    </row>
    <row r="7618" spans="1:12" x14ac:dyDescent="0.25">
      <c r="A7618" s="163"/>
      <c r="B7618" s="106"/>
      <c r="C7618" s="186"/>
      <c r="D7618" s="75"/>
      <c r="E7618" s="73"/>
      <c r="F7618" s="74"/>
      <c r="G7618" s="153"/>
      <c r="H7618" s="164"/>
      <c r="K7618" s="420"/>
    </row>
    <row r="7619" spans="1:12" x14ac:dyDescent="0.25">
      <c r="A7619" s="163"/>
      <c r="B7619" s="106"/>
      <c r="C7619" s="78" t="s">
        <v>3604</v>
      </c>
      <c r="D7619" s="75"/>
      <c r="E7619" s="73"/>
      <c r="F7619" s="74"/>
      <c r="G7619" s="153"/>
      <c r="H7619" s="164"/>
      <c r="J7619" s="13" t="s">
        <v>3607</v>
      </c>
      <c r="K7619" s="419"/>
      <c r="L7619" t="s">
        <v>625</v>
      </c>
    </row>
    <row r="7620" spans="1:12" x14ac:dyDescent="0.25">
      <c r="A7620" s="163"/>
      <c r="B7620" s="106"/>
      <c r="C7620" s="186" t="s">
        <v>3605</v>
      </c>
      <c r="D7620" s="75"/>
      <c r="E7620" s="73"/>
      <c r="F7620" s="74" t="s">
        <v>1516</v>
      </c>
      <c r="G7620" s="153">
        <v>7</v>
      </c>
      <c r="H7620" s="164"/>
      <c r="K7620" s="419"/>
    </row>
    <row r="7621" spans="1:12" x14ac:dyDescent="0.25">
      <c r="A7621" s="163"/>
      <c r="B7621" s="106"/>
      <c r="C7621" s="186"/>
      <c r="D7621" s="75"/>
      <c r="E7621" s="73"/>
      <c r="F7621" s="74"/>
      <c r="G7621" s="153"/>
      <c r="H7621" s="164"/>
      <c r="K7621" s="419"/>
    </row>
    <row r="7622" spans="1:12" x14ac:dyDescent="0.25">
      <c r="A7622" s="163"/>
      <c r="B7622" s="106"/>
      <c r="C7622" s="78" t="s">
        <v>3608</v>
      </c>
      <c r="D7622" s="75"/>
      <c r="E7622" s="73"/>
      <c r="F7622" s="74"/>
      <c r="G7622" s="153"/>
      <c r="H7622" s="164"/>
      <c r="K7622" s="419"/>
    </row>
    <row r="7623" spans="1:12" x14ac:dyDescent="0.25">
      <c r="A7623" s="163"/>
      <c r="B7623" s="106"/>
      <c r="C7623" s="186" t="s">
        <v>3609</v>
      </c>
      <c r="D7623" s="75"/>
      <c r="E7623" s="73"/>
      <c r="F7623" s="74" t="s">
        <v>3</v>
      </c>
      <c r="G7623" s="153">
        <f>0.04*0.04*2*2.7</f>
        <v>8.6400000000000018E-3</v>
      </c>
      <c r="H7623" s="164"/>
      <c r="K7623" s="419"/>
    </row>
    <row r="7624" spans="1:12" x14ac:dyDescent="0.25">
      <c r="A7624" s="163"/>
      <c r="B7624" s="106"/>
      <c r="C7624" s="186"/>
      <c r="D7624" s="75"/>
      <c r="E7624" s="73"/>
      <c r="F7624" s="74"/>
      <c r="G7624" s="153"/>
      <c r="H7624" s="164"/>
      <c r="K7624" s="419"/>
    </row>
    <row r="7625" spans="1:12" x14ac:dyDescent="0.25">
      <c r="A7625" s="163"/>
      <c r="B7625" s="106"/>
      <c r="C7625" s="78" t="s">
        <v>3610</v>
      </c>
      <c r="D7625" s="75"/>
      <c r="E7625" s="73"/>
      <c r="F7625" s="74"/>
      <c r="G7625" s="153"/>
      <c r="H7625" s="164"/>
      <c r="J7625" s="13" t="s">
        <v>3614</v>
      </c>
      <c r="K7625" s="419"/>
      <c r="L7625" t="s">
        <v>3615</v>
      </c>
    </row>
    <row r="7626" spans="1:12" x14ac:dyDescent="0.25">
      <c r="A7626" s="163"/>
      <c r="B7626" s="106"/>
      <c r="C7626" s="73" t="s">
        <v>3223</v>
      </c>
      <c r="D7626" s="73"/>
      <c r="E7626" s="73"/>
      <c r="F7626" s="74" t="s">
        <v>3</v>
      </c>
      <c r="G7626" s="153">
        <f>0.06*3.14*0.05*1.3</f>
        <v>1.2246000000000002E-2</v>
      </c>
      <c r="H7626" s="164"/>
      <c r="J7626" s="13" t="s">
        <v>3616</v>
      </c>
      <c r="K7626" s="419"/>
      <c r="L7626" t="s">
        <v>3615</v>
      </c>
    </row>
    <row r="7627" spans="1:12" ht="17.25" x14ac:dyDescent="0.25">
      <c r="A7627" s="163"/>
      <c r="B7627" s="106"/>
      <c r="C7627" s="73" t="s">
        <v>168</v>
      </c>
      <c r="D7627" s="73"/>
      <c r="E7627" s="73"/>
      <c r="F7627" s="74" t="s">
        <v>596</v>
      </c>
      <c r="G7627" s="153">
        <f>G7626*1.1</f>
        <v>1.3470600000000003E-2</v>
      </c>
      <c r="H7627" s="164"/>
      <c r="J7627" s="13" t="s">
        <v>3636</v>
      </c>
      <c r="K7627" s="419"/>
      <c r="L7627" t="s">
        <v>3615</v>
      </c>
    </row>
    <row r="7628" spans="1:12" x14ac:dyDescent="0.25">
      <c r="A7628" s="163"/>
      <c r="B7628" s="106"/>
      <c r="C7628" s="186"/>
      <c r="D7628" s="75" t="s">
        <v>3611</v>
      </c>
      <c r="E7628" s="73"/>
      <c r="F7628" s="74"/>
      <c r="G7628" s="153"/>
      <c r="H7628" s="164"/>
      <c r="K7628" s="419"/>
    </row>
    <row r="7629" spans="1:12" x14ac:dyDescent="0.25">
      <c r="A7629" s="163"/>
      <c r="B7629" s="106"/>
      <c r="C7629" s="186"/>
      <c r="D7629" s="73" t="s">
        <v>3223</v>
      </c>
      <c r="E7629" s="73"/>
      <c r="F7629" s="74" t="s">
        <v>3</v>
      </c>
      <c r="G7629" s="153">
        <f>0.055*3.14*0.05*1.3</f>
        <v>1.1225500000000003E-2</v>
      </c>
      <c r="H7629" s="164"/>
      <c r="K7629" s="419"/>
    </row>
    <row r="7630" spans="1:12" ht="17.25" x14ac:dyDescent="0.25">
      <c r="A7630" s="163"/>
      <c r="B7630" s="106"/>
      <c r="C7630" s="186"/>
      <c r="D7630" s="73" t="s">
        <v>168</v>
      </c>
      <c r="E7630" s="73"/>
      <c r="F7630" s="74" t="s">
        <v>596</v>
      </c>
      <c r="G7630" s="153">
        <f>G7629*1.1</f>
        <v>1.2348050000000005E-2</v>
      </c>
      <c r="H7630" s="164"/>
      <c r="K7630" s="419"/>
    </row>
    <row r="7631" spans="1:12" x14ac:dyDescent="0.25">
      <c r="A7631" s="163"/>
      <c r="B7631" s="106"/>
      <c r="C7631" s="186"/>
      <c r="D7631" s="75"/>
      <c r="E7631" s="75" t="s">
        <v>3612</v>
      </c>
      <c r="F7631" s="74"/>
      <c r="G7631" s="153"/>
      <c r="H7631" s="164"/>
      <c r="K7631" s="419"/>
    </row>
    <row r="7632" spans="1:12" x14ac:dyDescent="0.25">
      <c r="A7632" s="163"/>
      <c r="B7632" s="106"/>
      <c r="C7632" s="186"/>
      <c r="D7632" s="75"/>
      <c r="E7632" s="73" t="s">
        <v>3613</v>
      </c>
      <c r="F7632" s="74" t="s">
        <v>3</v>
      </c>
      <c r="G7632" s="153">
        <f>0.06*0.06*2*2.7*1.1</f>
        <v>2.1384000000000004E-2</v>
      </c>
      <c r="H7632" s="164"/>
      <c r="K7632" s="419"/>
    </row>
    <row r="7633" spans="1:11" x14ac:dyDescent="0.25">
      <c r="A7633" s="163"/>
      <c r="B7633" s="106"/>
      <c r="C7633" s="186"/>
      <c r="D7633" s="75"/>
      <c r="E7633" s="73"/>
      <c r="F7633" s="74"/>
      <c r="G7633" s="153"/>
      <c r="H7633" s="164"/>
      <c r="K7633" s="419"/>
    </row>
    <row r="7634" spans="1:11" x14ac:dyDescent="0.25">
      <c r="A7634" s="163"/>
      <c r="B7634" s="106"/>
      <c r="C7634" s="78" t="s">
        <v>3617</v>
      </c>
      <c r="D7634" s="75"/>
      <c r="E7634" s="73"/>
      <c r="F7634" s="74"/>
      <c r="G7634" s="153"/>
      <c r="H7634" s="164"/>
      <c r="K7634" s="419"/>
    </row>
    <row r="7635" spans="1:11" x14ac:dyDescent="0.25">
      <c r="A7635" s="163"/>
      <c r="B7635" s="106"/>
      <c r="C7635" s="186" t="s">
        <v>159</v>
      </c>
      <c r="D7635" s="75"/>
      <c r="E7635" s="73"/>
      <c r="F7635" s="74" t="s">
        <v>3</v>
      </c>
      <c r="G7635" s="153">
        <v>0.14499999999999999</v>
      </c>
      <c r="H7635" s="164"/>
      <c r="I7635" t="s">
        <v>3618</v>
      </c>
      <c r="K7635" s="419"/>
    </row>
    <row r="7636" spans="1:11" x14ac:dyDescent="0.25">
      <c r="A7636" s="163"/>
      <c r="B7636" s="106"/>
      <c r="C7636" s="186"/>
      <c r="D7636" s="75"/>
      <c r="E7636" s="73"/>
      <c r="F7636" s="74"/>
      <c r="G7636" s="153"/>
      <c r="H7636" s="164"/>
      <c r="K7636" s="419"/>
    </row>
    <row r="7637" spans="1:11" x14ac:dyDescent="0.25">
      <c r="A7637" s="163"/>
      <c r="B7637" s="106"/>
      <c r="C7637" s="78" t="s">
        <v>3619</v>
      </c>
      <c r="D7637" s="75"/>
      <c r="E7637" s="73"/>
      <c r="F7637" s="74"/>
      <c r="G7637" s="153"/>
      <c r="H7637" s="164"/>
      <c r="K7637" s="419"/>
    </row>
    <row r="7638" spans="1:11" x14ac:dyDescent="0.25">
      <c r="A7638" s="163"/>
      <c r="B7638" s="106"/>
      <c r="C7638" s="186" t="s">
        <v>3620</v>
      </c>
      <c r="D7638" s="75"/>
      <c r="E7638" s="73"/>
      <c r="F7638" s="74" t="s">
        <v>3</v>
      </c>
      <c r="G7638" s="153">
        <f>0.032*0.032*0.5*8.5*1.1</f>
        <v>4.7872000000000001E-3</v>
      </c>
      <c r="H7638" s="164"/>
      <c r="K7638" s="419"/>
    </row>
    <row r="7639" spans="1:11" x14ac:dyDescent="0.25">
      <c r="A7639" s="163"/>
      <c r="B7639" s="106"/>
      <c r="C7639" s="186"/>
      <c r="D7639" s="75"/>
      <c r="E7639" s="73"/>
      <c r="F7639" s="74"/>
      <c r="G7639" s="153"/>
      <c r="H7639" s="164"/>
      <c r="K7639" s="419"/>
    </row>
    <row r="7640" spans="1:11" x14ac:dyDescent="0.25">
      <c r="A7640" s="163"/>
      <c r="B7640" s="106"/>
      <c r="C7640" s="78" t="s">
        <v>3621</v>
      </c>
      <c r="D7640" s="75"/>
      <c r="E7640" s="73"/>
      <c r="F7640" s="74"/>
      <c r="G7640" s="428"/>
      <c r="H7640" s="164"/>
      <c r="K7640" s="419"/>
    </row>
    <row r="7641" spans="1:11" x14ac:dyDescent="0.25">
      <c r="A7641" s="163"/>
      <c r="B7641" s="106"/>
      <c r="C7641" s="186" t="s">
        <v>89</v>
      </c>
      <c r="D7641" s="75"/>
      <c r="E7641" s="73"/>
      <c r="F7641" s="74" t="s">
        <v>3</v>
      </c>
      <c r="G7641" s="153">
        <f>0.066*0.015*4*8*1.12</f>
        <v>3.5481600000000002E-2</v>
      </c>
      <c r="H7641" s="164"/>
      <c r="K7641" s="419"/>
    </row>
    <row r="7642" spans="1:11" x14ac:dyDescent="0.25">
      <c r="A7642" s="163"/>
      <c r="B7642" s="106"/>
      <c r="C7642" s="186"/>
      <c r="D7642" s="75"/>
      <c r="E7642" s="73"/>
      <c r="F7642" s="74"/>
      <c r="G7642" s="153"/>
      <c r="H7642" s="164"/>
      <c r="K7642" s="419"/>
    </row>
    <row r="7643" spans="1:11" x14ac:dyDescent="0.25">
      <c r="A7643" s="163"/>
      <c r="B7643" s="106"/>
      <c r="C7643" s="78" t="s">
        <v>3622</v>
      </c>
      <c r="D7643" s="75"/>
      <c r="E7643" s="73"/>
      <c r="F7643" s="74"/>
      <c r="G7643" s="153"/>
      <c r="H7643" s="164"/>
      <c r="K7643" s="419"/>
    </row>
    <row r="7644" spans="1:11" x14ac:dyDescent="0.25">
      <c r="A7644" s="163"/>
      <c r="B7644" s="106"/>
      <c r="C7644" s="186" t="s">
        <v>3623</v>
      </c>
      <c r="D7644" s="75"/>
      <c r="E7644" s="73"/>
      <c r="F7644" s="74" t="s">
        <v>3</v>
      </c>
      <c r="G7644" s="153">
        <v>0.25</v>
      </c>
      <c r="H7644" s="164"/>
      <c r="I7644" t="s">
        <v>3624</v>
      </c>
      <c r="K7644" s="419"/>
    </row>
    <row r="7645" spans="1:11" x14ac:dyDescent="0.25">
      <c r="A7645" s="163"/>
      <c r="B7645" s="106"/>
      <c r="C7645" s="186"/>
      <c r="D7645" s="75"/>
      <c r="E7645" s="73"/>
      <c r="F7645" s="74"/>
      <c r="G7645" s="153"/>
      <c r="H7645" s="164"/>
      <c r="K7645" s="419"/>
    </row>
    <row r="7646" spans="1:11" x14ac:dyDescent="0.25">
      <c r="A7646" s="163"/>
      <c r="B7646" s="106"/>
      <c r="C7646" s="78" t="s">
        <v>3625</v>
      </c>
      <c r="D7646" s="75"/>
      <c r="E7646" s="73"/>
      <c r="F7646" s="74"/>
      <c r="G7646" s="153"/>
      <c r="H7646" s="164"/>
      <c r="K7646" s="419"/>
    </row>
    <row r="7647" spans="1:11" x14ac:dyDescent="0.25">
      <c r="A7647" s="163"/>
      <c r="B7647" s="106"/>
      <c r="C7647" s="186" t="s">
        <v>3623</v>
      </c>
      <c r="D7647" s="75"/>
      <c r="E7647" s="73"/>
      <c r="F7647" s="74" t="s">
        <v>3</v>
      </c>
      <c r="G7647" s="153">
        <v>0.18</v>
      </c>
      <c r="H7647" s="164"/>
      <c r="I7647" t="s">
        <v>3626</v>
      </c>
      <c r="K7647" s="419"/>
    </row>
    <row r="7648" spans="1:11" x14ac:dyDescent="0.25">
      <c r="A7648" s="163"/>
      <c r="B7648" s="106"/>
      <c r="C7648" s="186"/>
      <c r="D7648" s="75"/>
      <c r="E7648" s="73"/>
      <c r="F7648" s="74"/>
      <c r="G7648" s="153"/>
      <c r="H7648" s="164"/>
      <c r="K7648" s="419"/>
    </row>
    <row r="7649" spans="1:11" x14ac:dyDescent="0.25">
      <c r="A7649" s="163"/>
      <c r="B7649" s="106"/>
      <c r="C7649" s="78" t="s">
        <v>3627</v>
      </c>
      <c r="D7649" s="75"/>
      <c r="E7649" s="73"/>
      <c r="F7649" s="74"/>
      <c r="G7649" s="153"/>
      <c r="H7649" s="164"/>
      <c r="K7649" s="419"/>
    </row>
    <row r="7650" spans="1:11" x14ac:dyDescent="0.25">
      <c r="A7650" s="163"/>
      <c r="B7650" s="106"/>
      <c r="C7650" s="186" t="s">
        <v>499</v>
      </c>
      <c r="D7650" s="75"/>
      <c r="E7650" s="73"/>
      <c r="F7650" s="74" t="s">
        <v>3</v>
      </c>
      <c r="G7650" s="153">
        <v>0.15</v>
      </c>
      <c r="H7650" s="164"/>
      <c r="I7650" t="s">
        <v>3628</v>
      </c>
      <c r="K7650" s="419"/>
    </row>
    <row r="7651" spans="1:11" x14ac:dyDescent="0.25">
      <c r="A7651" s="163"/>
      <c r="B7651" s="106"/>
      <c r="C7651" s="186"/>
      <c r="D7651" s="75"/>
      <c r="E7651" s="73"/>
      <c r="F7651" s="74"/>
      <c r="G7651" s="153"/>
      <c r="H7651" s="164"/>
      <c r="K7651" s="419"/>
    </row>
    <row r="7652" spans="1:11" x14ac:dyDescent="0.25">
      <c r="A7652" s="163"/>
      <c r="B7652" s="106"/>
      <c r="C7652" s="78" t="s">
        <v>3629</v>
      </c>
      <c r="D7652" s="75"/>
      <c r="E7652" s="73"/>
      <c r="F7652" s="74"/>
      <c r="G7652" s="153"/>
      <c r="H7652" s="164"/>
      <c r="K7652" s="419"/>
    </row>
    <row r="7653" spans="1:11" x14ac:dyDescent="0.25">
      <c r="A7653" s="163"/>
      <c r="B7653" s="106"/>
      <c r="C7653" s="73" t="s">
        <v>2755</v>
      </c>
      <c r="D7653" s="75"/>
      <c r="E7653" s="73"/>
      <c r="F7653" s="74" t="s">
        <v>3</v>
      </c>
      <c r="G7653" s="153">
        <f>0.04*0.08*1.2</f>
        <v>3.8400000000000001E-3</v>
      </c>
      <c r="H7653" s="164"/>
      <c r="K7653" s="419"/>
    </row>
    <row r="7654" spans="1:11" ht="17.25" x14ac:dyDescent="0.25">
      <c r="A7654" s="163"/>
      <c r="B7654" s="106"/>
      <c r="C7654" s="73" t="s">
        <v>1055</v>
      </c>
      <c r="D7654" s="75"/>
      <c r="E7654" s="73"/>
      <c r="F7654" s="74" t="s">
        <v>596</v>
      </c>
      <c r="G7654" s="153">
        <f>G7653*1.1</f>
        <v>4.2240000000000003E-3</v>
      </c>
      <c r="H7654" s="164"/>
      <c r="K7654" s="419"/>
    </row>
    <row r="7655" spans="1:11" x14ac:dyDescent="0.25">
      <c r="A7655" s="163"/>
      <c r="B7655" s="106"/>
      <c r="C7655" s="186"/>
      <c r="D7655" s="75" t="s">
        <v>3630</v>
      </c>
      <c r="E7655" s="73"/>
      <c r="F7655" s="74"/>
      <c r="G7655" s="153"/>
      <c r="H7655" s="164"/>
      <c r="K7655" s="419"/>
    </row>
    <row r="7656" spans="1:11" x14ac:dyDescent="0.25">
      <c r="A7656" s="163"/>
      <c r="B7656" s="106"/>
      <c r="C7656" s="186"/>
      <c r="D7656" s="100" t="s">
        <v>3631</v>
      </c>
      <c r="E7656" s="73"/>
      <c r="F7656" s="74" t="s">
        <v>3</v>
      </c>
      <c r="G7656" s="153">
        <f>0.355*0.035*1.5*8*1.14</f>
        <v>0.16997399999999999</v>
      </c>
      <c r="H7656" s="164"/>
      <c r="K7656" s="419"/>
    </row>
    <row r="7657" spans="1:11" x14ac:dyDescent="0.25">
      <c r="A7657" s="163"/>
      <c r="B7657" s="106"/>
      <c r="C7657" s="186"/>
      <c r="D7657" s="78" t="s">
        <v>3632</v>
      </c>
      <c r="E7657" s="77"/>
      <c r="F7657" s="152"/>
      <c r="G7657" s="427"/>
      <c r="H7657" s="164"/>
      <c r="K7657" s="419"/>
    </row>
    <row r="7658" spans="1:11" x14ac:dyDescent="0.25">
      <c r="A7658" s="163"/>
      <c r="B7658" s="106"/>
      <c r="C7658" s="186"/>
      <c r="D7658" s="186" t="s">
        <v>3639</v>
      </c>
      <c r="E7658" s="77"/>
      <c r="F7658" s="152" t="s">
        <v>3</v>
      </c>
      <c r="G7658" s="427">
        <v>1.0999999999999999E-2</v>
      </c>
      <c r="H7658" s="164"/>
      <c r="I7658" t="s">
        <v>2152</v>
      </c>
      <c r="K7658" s="419"/>
    </row>
    <row r="7659" spans="1:11" x14ac:dyDescent="0.25">
      <c r="A7659" s="163"/>
      <c r="B7659" s="106"/>
      <c r="C7659" s="186"/>
      <c r="D7659" s="75"/>
      <c r="E7659" s="73"/>
      <c r="F7659" s="74"/>
      <c r="G7659" s="153"/>
      <c r="H7659" s="164"/>
      <c r="K7659" s="419"/>
    </row>
    <row r="7660" spans="1:11" x14ac:dyDescent="0.25">
      <c r="A7660" s="163"/>
      <c r="B7660" s="106"/>
      <c r="C7660" s="78" t="s">
        <v>3633</v>
      </c>
      <c r="D7660" s="75"/>
      <c r="E7660" s="73"/>
      <c r="F7660" s="74"/>
      <c r="G7660" s="153"/>
      <c r="H7660" s="164"/>
      <c r="K7660" s="419"/>
    </row>
    <row r="7661" spans="1:11" x14ac:dyDescent="0.25">
      <c r="A7661" s="163"/>
      <c r="B7661" s="106"/>
      <c r="C7661" s="77" t="s">
        <v>3394</v>
      </c>
      <c r="D7661" s="73"/>
      <c r="E7661" s="73"/>
      <c r="F7661" s="74" t="s">
        <v>3</v>
      </c>
      <c r="G7661" s="153">
        <f>0.01*3.14*2*0.08*1.2</f>
        <v>6.0288000000000008E-3</v>
      </c>
      <c r="H7661" s="164"/>
      <c r="K7661" s="419"/>
    </row>
    <row r="7662" spans="1:11" ht="17.25" x14ac:dyDescent="0.25">
      <c r="A7662" s="163"/>
      <c r="B7662" s="106"/>
      <c r="C7662" s="77" t="s">
        <v>121</v>
      </c>
      <c r="D7662" s="73"/>
      <c r="E7662" s="73"/>
      <c r="F7662" s="74" t="s">
        <v>596</v>
      </c>
      <c r="G7662" s="153">
        <f>G7661*1.1</f>
        <v>6.6316800000000018E-3</v>
      </c>
      <c r="H7662" s="164"/>
      <c r="K7662" s="419"/>
    </row>
    <row r="7663" spans="1:11" x14ac:dyDescent="0.25">
      <c r="A7663" s="163"/>
      <c r="B7663" s="106"/>
      <c r="C7663" s="186" t="s">
        <v>114</v>
      </c>
      <c r="D7663" s="75"/>
      <c r="E7663" s="73"/>
      <c r="F7663" s="74" t="s">
        <v>3</v>
      </c>
      <c r="G7663" s="153">
        <f>G7665</f>
        <v>3.5639999999999995E-3</v>
      </c>
      <c r="H7663" s="164"/>
      <c r="K7663" s="419"/>
    </row>
    <row r="7664" spans="1:11" x14ac:dyDescent="0.25">
      <c r="A7664" s="163"/>
      <c r="B7664" s="106"/>
      <c r="C7664" s="186" t="s">
        <v>164</v>
      </c>
      <c r="D7664" s="75"/>
      <c r="E7664" s="73"/>
      <c r="F7664" s="74" t="s">
        <v>3</v>
      </c>
      <c r="G7664" s="153">
        <f>0.3*G7663</f>
        <v>1.0691999999999998E-3</v>
      </c>
      <c r="H7664" s="164"/>
      <c r="K7664" s="419"/>
    </row>
    <row r="7665" spans="1:11" x14ac:dyDescent="0.25">
      <c r="A7665" s="163"/>
      <c r="B7665" s="106"/>
      <c r="C7665" s="186" t="s">
        <v>500</v>
      </c>
      <c r="D7665" s="75"/>
      <c r="E7665" s="73"/>
      <c r="F7665" s="74" t="s">
        <v>3</v>
      </c>
      <c r="G7665" s="153">
        <f>0.12*0.011*2*1.35</f>
        <v>3.5639999999999995E-3</v>
      </c>
      <c r="H7665" s="164"/>
      <c r="K7665" s="419"/>
    </row>
    <row r="7666" spans="1:11" x14ac:dyDescent="0.25">
      <c r="A7666" s="163"/>
      <c r="B7666" s="106"/>
      <c r="C7666" s="186" t="s">
        <v>12</v>
      </c>
      <c r="D7666" s="75"/>
      <c r="E7666" s="73"/>
      <c r="F7666" s="74" t="s">
        <v>3</v>
      </c>
      <c r="G7666" s="153">
        <f>0.3*G7665</f>
        <v>1.0691999999999998E-3</v>
      </c>
      <c r="H7666" s="164"/>
      <c r="K7666" s="419"/>
    </row>
    <row r="7667" spans="1:11" x14ac:dyDescent="0.25">
      <c r="A7667" s="163"/>
      <c r="B7667" s="106"/>
      <c r="C7667" s="186"/>
      <c r="D7667" s="75" t="s">
        <v>3634</v>
      </c>
      <c r="E7667" s="73"/>
      <c r="F7667" s="74"/>
      <c r="G7667" s="153"/>
      <c r="H7667" s="164"/>
      <c r="K7667" s="419"/>
    </row>
    <row r="7668" spans="1:11" x14ac:dyDescent="0.25">
      <c r="A7668" s="163"/>
      <c r="B7668" s="106"/>
      <c r="C7668" s="186"/>
      <c r="D7668" s="186" t="s">
        <v>1484</v>
      </c>
      <c r="E7668" s="73"/>
      <c r="F7668" s="74" t="s">
        <v>3</v>
      </c>
      <c r="G7668" s="153">
        <v>0.41</v>
      </c>
      <c r="H7668" s="164"/>
      <c r="I7668" t="s">
        <v>3635</v>
      </c>
      <c r="K7668" s="419"/>
    </row>
    <row r="7669" spans="1:11" x14ac:dyDescent="0.25">
      <c r="A7669" s="163"/>
      <c r="B7669" s="106"/>
      <c r="C7669" s="186"/>
      <c r="D7669" s="75"/>
      <c r="E7669" s="73"/>
      <c r="F7669" s="74"/>
      <c r="G7669" s="153"/>
      <c r="H7669" s="164"/>
      <c r="K7669" s="419"/>
    </row>
    <row r="7670" spans="1:11" x14ac:dyDescent="0.25">
      <c r="A7670" s="163"/>
      <c r="B7670" s="106"/>
      <c r="C7670" s="78" t="s">
        <v>3637</v>
      </c>
      <c r="D7670" s="75"/>
      <c r="E7670" s="73"/>
      <c r="F7670" s="74"/>
      <c r="G7670" s="153"/>
      <c r="H7670" s="164"/>
      <c r="K7670" s="419"/>
    </row>
    <row r="7671" spans="1:11" x14ac:dyDescent="0.25">
      <c r="A7671" s="163"/>
      <c r="B7671" s="106"/>
      <c r="C7671" s="73" t="s">
        <v>2755</v>
      </c>
      <c r="D7671" s="75"/>
      <c r="E7671" s="73"/>
      <c r="F7671" s="74" t="s">
        <v>3</v>
      </c>
      <c r="G7671" s="153">
        <f>0.07*0.08*1.15</f>
        <v>6.4400000000000004E-3</v>
      </c>
      <c r="H7671" s="164"/>
      <c r="K7671" s="420"/>
    </row>
    <row r="7672" spans="1:11" ht="17.25" x14ac:dyDescent="0.25">
      <c r="A7672" s="163"/>
      <c r="B7672" s="106"/>
      <c r="C7672" s="73" t="s">
        <v>1055</v>
      </c>
      <c r="D7672" s="75"/>
      <c r="E7672" s="73"/>
      <c r="F7672" s="74" t="s">
        <v>596</v>
      </c>
      <c r="G7672" s="153">
        <f>G7671*1.1</f>
        <v>7.0840000000000009E-3</v>
      </c>
      <c r="H7672" s="164"/>
      <c r="K7672" s="420"/>
    </row>
    <row r="7673" spans="1:11" x14ac:dyDescent="0.25">
      <c r="A7673" s="163"/>
      <c r="B7673" s="106"/>
      <c r="C7673" s="186" t="s">
        <v>8</v>
      </c>
      <c r="D7673" s="75"/>
      <c r="E7673" s="73"/>
      <c r="F7673" s="74" t="s">
        <v>3</v>
      </c>
      <c r="G7673" s="153">
        <f>G7674</f>
        <v>7.6032000000000001E-3</v>
      </c>
      <c r="H7673" s="164"/>
      <c r="K7673" s="420"/>
    </row>
    <row r="7674" spans="1:11" x14ac:dyDescent="0.25">
      <c r="A7674" s="163"/>
      <c r="B7674" s="106"/>
      <c r="C7674" s="186" t="s">
        <v>115</v>
      </c>
      <c r="D7674" s="75"/>
      <c r="E7674" s="73"/>
      <c r="F7674" s="74" t="s">
        <v>3</v>
      </c>
      <c r="G7674" s="153">
        <f>0.12*0.08*2*0.15*2*1.32</f>
        <v>7.6032000000000001E-3</v>
      </c>
      <c r="H7674" s="164"/>
      <c r="K7674" s="420"/>
    </row>
    <row r="7675" spans="1:11" x14ac:dyDescent="0.25">
      <c r="A7675" s="163"/>
      <c r="B7675" s="106"/>
      <c r="C7675" s="186" t="s">
        <v>12</v>
      </c>
      <c r="D7675" s="75"/>
      <c r="E7675" s="73"/>
      <c r="F7675" s="74" t="s">
        <v>3</v>
      </c>
      <c r="G7675" s="153">
        <f>0.3*(G7674+G7673)</f>
        <v>4.5619199999999997E-3</v>
      </c>
      <c r="H7675" s="164"/>
      <c r="K7675" s="420"/>
    </row>
    <row r="7676" spans="1:11" x14ac:dyDescent="0.25">
      <c r="A7676" s="163"/>
      <c r="B7676" s="106"/>
      <c r="C7676" s="78"/>
      <c r="D7676" s="75" t="s">
        <v>3638</v>
      </c>
      <c r="E7676" s="73"/>
      <c r="F7676" s="74"/>
      <c r="G7676" s="153"/>
      <c r="H7676" s="164"/>
      <c r="K7676" s="420"/>
    </row>
    <row r="7677" spans="1:11" x14ac:dyDescent="0.25">
      <c r="A7677" s="163"/>
      <c r="B7677" s="106"/>
      <c r="C7677" s="78"/>
      <c r="D7677" s="100" t="s">
        <v>3639</v>
      </c>
      <c r="E7677" s="73"/>
      <c r="F7677" s="74" t="s">
        <v>3</v>
      </c>
      <c r="G7677" s="153">
        <v>1.0999999999999999E-2</v>
      </c>
      <c r="H7677" s="164"/>
      <c r="I7677" t="s">
        <v>2152</v>
      </c>
      <c r="K7677" s="420"/>
    </row>
    <row r="7678" spans="1:11" x14ac:dyDescent="0.25">
      <c r="A7678" s="163"/>
      <c r="B7678" s="106"/>
      <c r="C7678" s="78"/>
      <c r="D7678" s="75" t="s">
        <v>3640</v>
      </c>
      <c r="E7678" s="73"/>
      <c r="F7678" s="74"/>
      <c r="G7678" s="153"/>
      <c r="H7678" s="164"/>
      <c r="K7678" s="420"/>
    </row>
    <row r="7679" spans="1:11" x14ac:dyDescent="0.25">
      <c r="A7679" s="163"/>
      <c r="B7679" s="106"/>
      <c r="C7679" s="78"/>
      <c r="D7679" s="100" t="s">
        <v>3631</v>
      </c>
      <c r="E7679" s="73"/>
      <c r="F7679" s="74" t="s">
        <v>3</v>
      </c>
      <c r="G7679" s="153">
        <f>0.2*0.035*1.5*8*1.125</f>
        <v>9.4500000000000028E-2</v>
      </c>
      <c r="H7679" s="164"/>
      <c r="K7679" s="420"/>
    </row>
    <row r="7680" spans="1:11" x14ac:dyDescent="0.25">
      <c r="A7680" s="163"/>
      <c r="B7680" s="106"/>
      <c r="C7680" s="78"/>
      <c r="D7680" s="75"/>
      <c r="E7680" s="73"/>
      <c r="F7680" s="74"/>
      <c r="G7680" s="153"/>
      <c r="H7680" s="164"/>
      <c r="K7680" s="420"/>
    </row>
    <row r="7681" spans="1:11" x14ac:dyDescent="0.25">
      <c r="A7681" s="163"/>
      <c r="B7681" s="106"/>
      <c r="C7681" s="78" t="s">
        <v>3653</v>
      </c>
      <c r="D7681" s="75"/>
      <c r="E7681" s="73"/>
      <c r="F7681" s="74"/>
      <c r="G7681" s="153"/>
      <c r="H7681" s="164"/>
      <c r="K7681" s="420"/>
    </row>
    <row r="7682" spans="1:11" x14ac:dyDescent="0.25">
      <c r="A7682" s="163"/>
      <c r="B7682" s="106"/>
      <c r="C7682" s="73" t="s">
        <v>2755</v>
      </c>
      <c r="D7682" s="75"/>
      <c r="E7682" s="73"/>
      <c r="F7682" s="74" t="s">
        <v>3</v>
      </c>
      <c r="G7682" s="153">
        <f>0.07*0.08*1.15</f>
        <v>6.4400000000000004E-3</v>
      </c>
      <c r="H7682" s="164"/>
      <c r="K7682" s="420"/>
    </row>
    <row r="7683" spans="1:11" ht="17.25" x14ac:dyDescent="0.25">
      <c r="A7683" s="163"/>
      <c r="B7683" s="106"/>
      <c r="C7683" s="73" t="s">
        <v>1055</v>
      </c>
      <c r="D7683" s="75"/>
      <c r="E7683" s="73"/>
      <c r="F7683" s="74" t="s">
        <v>596</v>
      </c>
      <c r="G7683" s="153">
        <f>G7682*1.1</f>
        <v>7.0840000000000009E-3</v>
      </c>
      <c r="H7683" s="164"/>
      <c r="K7683" s="420"/>
    </row>
    <row r="7684" spans="1:11" x14ac:dyDescent="0.25">
      <c r="A7684" s="163"/>
      <c r="B7684" s="106"/>
      <c r="C7684" s="186" t="s">
        <v>8</v>
      </c>
      <c r="D7684" s="75"/>
      <c r="E7684" s="73"/>
      <c r="F7684" s="74" t="s">
        <v>3</v>
      </c>
      <c r="G7684" s="153">
        <f>G7685*0.8</f>
        <v>1.2672000000000001E-2</v>
      </c>
      <c r="H7684" s="164"/>
      <c r="K7684" s="420"/>
    </row>
    <row r="7685" spans="1:11" x14ac:dyDescent="0.25">
      <c r="A7685" s="163"/>
      <c r="B7685" s="106"/>
      <c r="C7685" s="186" t="s">
        <v>115</v>
      </c>
      <c r="D7685" s="75"/>
      <c r="E7685" s="73"/>
      <c r="F7685" s="74" t="s">
        <v>3</v>
      </c>
      <c r="G7685" s="153">
        <f>0.25*0.08*2*0.15*2*1.32</f>
        <v>1.584E-2</v>
      </c>
      <c r="H7685" s="164"/>
      <c r="K7685" s="420"/>
    </row>
    <row r="7686" spans="1:11" x14ac:dyDescent="0.25">
      <c r="A7686" s="163"/>
      <c r="B7686" s="106"/>
      <c r="C7686" s="186" t="s">
        <v>12</v>
      </c>
      <c r="D7686" s="75"/>
      <c r="E7686" s="73"/>
      <c r="F7686" s="74" t="s">
        <v>3</v>
      </c>
      <c r="G7686" s="153">
        <f>0.3*(G7685+G7684)</f>
        <v>8.5535999999999997E-3</v>
      </c>
      <c r="H7686" s="164"/>
      <c r="K7686" s="420"/>
    </row>
    <row r="7687" spans="1:11" x14ac:dyDescent="0.25">
      <c r="A7687" s="163"/>
      <c r="B7687" s="106"/>
      <c r="C7687" s="78"/>
      <c r="D7687" s="75" t="s">
        <v>3652</v>
      </c>
      <c r="E7687" s="73"/>
      <c r="F7687" s="74"/>
      <c r="G7687" s="153"/>
      <c r="H7687" s="164"/>
      <c r="K7687" s="420"/>
    </row>
    <row r="7688" spans="1:11" x14ac:dyDescent="0.25">
      <c r="A7688" s="163"/>
      <c r="B7688" s="106"/>
      <c r="C7688" s="78"/>
      <c r="D7688" s="100" t="s">
        <v>3631</v>
      </c>
      <c r="E7688" s="73"/>
      <c r="F7688" s="74" t="s">
        <v>3</v>
      </c>
      <c r="G7688" s="153">
        <f>0.34*0.035*1.5*8*1.12</f>
        <v>0.15993600000000005</v>
      </c>
      <c r="H7688" s="164"/>
      <c r="K7688" s="420"/>
    </row>
    <row r="7689" spans="1:11" x14ac:dyDescent="0.25">
      <c r="A7689" s="163"/>
      <c r="B7689" s="106"/>
      <c r="C7689" s="78"/>
      <c r="D7689" s="100"/>
      <c r="E7689" s="73"/>
      <c r="F7689" s="74"/>
      <c r="G7689" s="153"/>
      <c r="H7689" s="164"/>
      <c r="K7689" s="420"/>
    </row>
    <row r="7690" spans="1:11" x14ac:dyDescent="0.25">
      <c r="A7690" s="163"/>
      <c r="B7690" s="106"/>
      <c r="C7690" s="78" t="s">
        <v>3525</v>
      </c>
      <c r="D7690" s="75"/>
      <c r="E7690" s="73"/>
      <c r="F7690" s="74"/>
      <c r="G7690" s="153"/>
      <c r="H7690" s="164"/>
      <c r="K7690" s="420"/>
    </row>
    <row r="7691" spans="1:11" x14ac:dyDescent="0.25">
      <c r="A7691" s="163"/>
      <c r="B7691" s="106"/>
      <c r="C7691" s="186" t="s">
        <v>3526</v>
      </c>
      <c r="D7691" s="75"/>
      <c r="E7691" s="73"/>
      <c r="F7691" s="74" t="s">
        <v>3</v>
      </c>
      <c r="G7691" s="153">
        <f>0.1*0.1*3*8.5*1.06</f>
        <v>0.2703000000000001</v>
      </c>
      <c r="H7691" s="164"/>
      <c r="K7691" s="420"/>
    </row>
    <row r="7692" spans="1:11" x14ac:dyDescent="0.25">
      <c r="A7692" s="163"/>
      <c r="B7692" s="106"/>
      <c r="C7692" s="78"/>
      <c r="D7692" s="100"/>
      <c r="E7692" s="73"/>
      <c r="F7692" s="74"/>
      <c r="G7692" s="153"/>
      <c r="H7692" s="164"/>
      <c r="K7692" s="420"/>
    </row>
    <row r="7693" spans="1:11" x14ac:dyDescent="0.25">
      <c r="A7693" s="163"/>
      <c r="B7693" s="106"/>
      <c r="C7693" s="78" t="s">
        <v>3641</v>
      </c>
      <c r="D7693" s="100"/>
      <c r="E7693" s="73"/>
      <c r="F7693" s="74"/>
      <c r="G7693" s="153"/>
      <c r="H7693" s="164"/>
      <c r="K7693" s="420"/>
    </row>
    <row r="7694" spans="1:11" x14ac:dyDescent="0.25">
      <c r="A7694" s="163"/>
      <c r="B7694" s="106"/>
      <c r="C7694" s="73" t="s">
        <v>481</v>
      </c>
      <c r="D7694" s="73"/>
      <c r="E7694" s="73"/>
      <c r="F7694" s="74" t="s">
        <v>3</v>
      </c>
      <c r="G7694" s="153">
        <f>0.014*3.14*2*0.08*1.2</f>
        <v>8.4403200000000012E-3</v>
      </c>
      <c r="H7694" s="164"/>
      <c r="K7694" s="420"/>
    </row>
    <row r="7695" spans="1:11" ht="17.25" x14ac:dyDescent="0.25">
      <c r="A7695" s="163"/>
      <c r="B7695" s="106"/>
      <c r="C7695" s="73" t="s">
        <v>52</v>
      </c>
      <c r="D7695" s="73"/>
      <c r="E7695" s="73"/>
      <c r="F7695" s="74" t="s">
        <v>596</v>
      </c>
      <c r="G7695" s="153">
        <f>G7694*2</f>
        <v>1.6880640000000002E-2</v>
      </c>
      <c r="H7695" s="164"/>
      <c r="K7695" s="420"/>
    </row>
    <row r="7696" spans="1:11" x14ac:dyDescent="0.25">
      <c r="A7696" s="163"/>
      <c r="B7696" s="106"/>
      <c r="C7696" s="73" t="s">
        <v>24</v>
      </c>
      <c r="D7696" s="73"/>
      <c r="E7696" s="73"/>
      <c r="F7696" s="74" t="s">
        <v>3</v>
      </c>
      <c r="G7696" s="153">
        <f>G7694/4</f>
        <v>2.1100800000000003E-3</v>
      </c>
      <c r="H7696" s="164"/>
      <c r="K7696" s="420"/>
    </row>
    <row r="7697" spans="1:11" x14ac:dyDescent="0.25">
      <c r="A7697" s="163"/>
      <c r="B7697" s="106"/>
      <c r="C7697" s="186" t="s">
        <v>8</v>
      </c>
      <c r="D7697" s="100"/>
      <c r="E7697" s="73"/>
      <c r="F7697" s="74" t="s">
        <v>3</v>
      </c>
      <c r="G7697" s="153">
        <f>G7698*0.8</f>
        <v>1.3727999999999999E-2</v>
      </c>
      <c r="H7697" s="164"/>
      <c r="K7697" s="420"/>
    </row>
    <row r="7698" spans="1:11" x14ac:dyDescent="0.25">
      <c r="A7698" s="163"/>
      <c r="B7698" s="106"/>
      <c r="C7698" s="186" t="s">
        <v>3643</v>
      </c>
      <c r="D7698" s="100"/>
      <c r="E7698" s="73"/>
      <c r="F7698" s="74" t="s">
        <v>3</v>
      </c>
      <c r="G7698" s="153">
        <f>0.6*0.011*2*1.3</f>
        <v>1.7159999999999998E-2</v>
      </c>
      <c r="H7698" s="164"/>
      <c r="K7698" s="420"/>
    </row>
    <row r="7699" spans="1:11" x14ac:dyDescent="0.25">
      <c r="A7699" s="163"/>
      <c r="B7699" s="106"/>
      <c r="C7699" s="186" t="s">
        <v>143</v>
      </c>
      <c r="D7699" s="100"/>
      <c r="E7699" s="73"/>
      <c r="F7699" s="74" t="s">
        <v>3</v>
      </c>
      <c r="G7699" s="153">
        <f>G7697</f>
        <v>1.3727999999999999E-2</v>
      </c>
      <c r="H7699" s="164"/>
      <c r="K7699" s="420"/>
    </row>
    <row r="7700" spans="1:11" x14ac:dyDescent="0.25">
      <c r="A7700" s="163"/>
      <c r="B7700" s="106"/>
      <c r="C7700" s="186" t="s">
        <v>12</v>
      </c>
      <c r="D7700" s="100"/>
      <c r="E7700" s="73"/>
      <c r="F7700" s="74" t="s">
        <v>3</v>
      </c>
      <c r="G7700" s="153">
        <f>0.3*(G7699+G7698+G7697)</f>
        <v>1.3384799999999999E-2</v>
      </c>
      <c r="H7700" s="164"/>
      <c r="K7700" s="420"/>
    </row>
    <row r="7701" spans="1:11" x14ac:dyDescent="0.25">
      <c r="A7701" s="163"/>
      <c r="B7701" s="106"/>
      <c r="C7701" s="78"/>
      <c r="D7701" s="75" t="s">
        <v>3642</v>
      </c>
      <c r="E7701" s="73"/>
      <c r="F7701" s="74"/>
      <c r="G7701" s="153"/>
      <c r="H7701" s="164"/>
      <c r="K7701" s="420"/>
    </row>
    <row r="7702" spans="1:11" x14ac:dyDescent="0.25">
      <c r="A7702" s="163"/>
      <c r="B7702" s="106"/>
      <c r="C7702" s="78"/>
      <c r="D7702" s="100" t="s">
        <v>1530</v>
      </c>
      <c r="E7702" s="73"/>
      <c r="F7702" s="74" t="s">
        <v>3</v>
      </c>
      <c r="G7702" s="153">
        <v>0.22</v>
      </c>
      <c r="H7702" s="164"/>
      <c r="I7702" t="s">
        <v>3644</v>
      </c>
      <c r="K7702" s="420"/>
    </row>
    <row r="7703" spans="1:11" x14ac:dyDescent="0.25">
      <c r="A7703" s="163"/>
      <c r="B7703" s="106"/>
      <c r="C7703" s="78"/>
      <c r="D7703" s="100"/>
      <c r="E7703" s="73"/>
      <c r="F7703" s="74"/>
      <c r="G7703" s="153"/>
      <c r="H7703" s="164"/>
      <c r="K7703" s="420"/>
    </row>
    <row r="7704" spans="1:11" x14ac:dyDescent="0.25">
      <c r="A7704" s="163"/>
      <c r="B7704" s="106"/>
      <c r="C7704" s="78" t="s">
        <v>2416</v>
      </c>
      <c r="D7704" s="100"/>
      <c r="E7704" s="73"/>
      <c r="F7704" s="74"/>
      <c r="G7704" s="153"/>
      <c r="H7704" s="164"/>
      <c r="K7704" s="420"/>
    </row>
    <row r="7705" spans="1:11" x14ac:dyDescent="0.25">
      <c r="A7705" s="163"/>
      <c r="B7705" s="106"/>
      <c r="C7705" s="73" t="s">
        <v>481</v>
      </c>
      <c r="D7705" s="73"/>
      <c r="E7705" s="73"/>
      <c r="F7705" s="74" t="s">
        <v>3</v>
      </c>
      <c r="G7705" s="153">
        <f>0.008*3.14*3*0.08*1.2</f>
        <v>7.2345599999999993E-3</v>
      </c>
      <c r="H7705" s="164"/>
      <c r="K7705" s="420"/>
    </row>
    <row r="7706" spans="1:11" ht="17.25" x14ac:dyDescent="0.25">
      <c r="A7706" s="163"/>
      <c r="B7706" s="106"/>
      <c r="C7706" s="73" t="s">
        <v>52</v>
      </c>
      <c r="D7706" s="73"/>
      <c r="E7706" s="73"/>
      <c r="F7706" s="74" t="s">
        <v>596</v>
      </c>
      <c r="G7706" s="153">
        <f>G7705*2</f>
        <v>1.4469119999999999E-2</v>
      </c>
      <c r="H7706" s="164"/>
      <c r="K7706" s="420"/>
    </row>
    <row r="7707" spans="1:11" x14ac:dyDescent="0.25">
      <c r="A7707" s="163"/>
      <c r="B7707" s="106"/>
      <c r="C7707" s="73" t="s">
        <v>24</v>
      </c>
      <c r="D7707" s="73"/>
      <c r="E7707" s="73"/>
      <c r="F7707" s="74" t="s">
        <v>3</v>
      </c>
      <c r="G7707" s="153">
        <f>G7705/4</f>
        <v>1.8086399999999998E-3</v>
      </c>
      <c r="H7707" s="164"/>
      <c r="K7707" s="420"/>
    </row>
    <row r="7708" spans="1:11" x14ac:dyDescent="0.25">
      <c r="A7708" s="163"/>
      <c r="B7708" s="106"/>
      <c r="C7708" s="186" t="s">
        <v>114</v>
      </c>
      <c r="D7708" s="100"/>
      <c r="E7708" s="73"/>
      <c r="F7708" s="74" t="s">
        <v>3</v>
      </c>
      <c r="G7708" s="153">
        <f>G7711*0.8</f>
        <v>5.28E-3</v>
      </c>
      <c r="H7708" s="164"/>
      <c r="K7708" s="420"/>
    </row>
    <row r="7709" spans="1:11" x14ac:dyDescent="0.25">
      <c r="A7709" s="163"/>
      <c r="B7709" s="106"/>
      <c r="C7709" s="186" t="s">
        <v>163</v>
      </c>
      <c r="D7709" s="100"/>
      <c r="E7709" s="73"/>
      <c r="F7709" s="74" t="s">
        <v>3</v>
      </c>
      <c r="G7709" s="153">
        <f>G7708</f>
        <v>5.28E-3</v>
      </c>
      <c r="H7709" s="164"/>
      <c r="K7709" s="420"/>
    </row>
    <row r="7710" spans="1:11" x14ac:dyDescent="0.25">
      <c r="A7710" s="163"/>
      <c r="B7710" s="106"/>
      <c r="C7710" s="186" t="s">
        <v>164</v>
      </c>
      <c r="D7710" s="100"/>
      <c r="E7710" s="73"/>
      <c r="F7710" s="74" t="s">
        <v>3</v>
      </c>
      <c r="G7710" s="153">
        <f>0.3*(G7709+G7708)</f>
        <v>3.1679999999999998E-3</v>
      </c>
      <c r="H7710" s="164"/>
      <c r="K7710" s="420"/>
    </row>
    <row r="7711" spans="1:11" x14ac:dyDescent="0.25">
      <c r="A7711" s="163"/>
      <c r="B7711" s="106"/>
      <c r="C7711" s="186" t="s">
        <v>72</v>
      </c>
      <c r="D7711" s="100"/>
      <c r="E7711" s="73"/>
      <c r="F7711" s="74" t="s">
        <v>3</v>
      </c>
      <c r="G7711" s="153">
        <f>0.2*0.011*2*1.5</f>
        <v>6.6E-3</v>
      </c>
      <c r="H7711" s="164"/>
      <c r="K7711" s="420"/>
    </row>
    <row r="7712" spans="1:11" x14ac:dyDescent="0.25">
      <c r="A7712" s="163"/>
      <c r="B7712" s="106"/>
      <c r="C7712" s="186" t="s">
        <v>11</v>
      </c>
      <c r="D7712" s="100"/>
      <c r="E7712" s="73"/>
      <c r="F7712" s="74" t="s">
        <v>3</v>
      </c>
      <c r="G7712" s="153">
        <f>0.3*G7711</f>
        <v>1.98E-3</v>
      </c>
      <c r="H7712" s="164"/>
      <c r="K7712" s="420"/>
    </row>
    <row r="7713" spans="1:11" x14ac:dyDescent="0.25">
      <c r="A7713" s="163"/>
      <c r="B7713" s="106"/>
      <c r="C7713" s="78"/>
      <c r="D7713" s="75" t="s">
        <v>2417</v>
      </c>
      <c r="E7713" s="73"/>
      <c r="F7713" s="74"/>
      <c r="G7713" s="153"/>
      <c r="H7713" s="164"/>
      <c r="K7713" s="420"/>
    </row>
    <row r="7714" spans="1:11" x14ac:dyDescent="0.25">
      <c r="A7714" s="163"/>
      <c r="B7714" s="106"/>
      <c r="C7714" s="78"/>
      <c r="D7714" s="100" t="s">
        <v>2405</v>
      </c>
      <c r="E7714" s="73"/>
      <c r="F7714" s="74" t="s">
        <v>3</v>
      </c>
      <c r="G7714" s="153">
        <v>0.04</v>
      </c>
      <c r="H7714" s="164"/>
      <c r="I7714" t="s">
        <v>3645</v>
      </c>
      <c r="K7714" s="420"/>
    </row>
    <row r="7715" spans="1:11" x14ac:dyDescent="0.25">
      <c r="A7715" s="163"/>
      <c r="B7715" s="106"/>
      <c r="C7715" s="78"/>
      <c r="D7715" s="75"/>
      <c r="E7715" s="73"/>
      <c r="F7715" s="74"/>
      <c r="G7715" s="153"/>
      <c r="H7715" s="164"/>
      <c r="K7715" s="420"/>
    </row>
    <row r="7716" spans="1:11" x14ac:dyDescent="0.25">
      <c r="A7716" s="163"/>
      <c r="B7716" s="106"/>
      <c r="C7716" s="78" t="s">
        <v>3647</v>
      </c>
      <c r="D7716" s="75"/>
      <c r="E7716" s="73"/>
      <c r="F7716" s="74"/>
      <c r="G7716" s="153"/>
      <c r="H7716" s="164"/>
      <c r="K7716" s="420"/>
    </row>
    <row r="7717" spans="1:11" x14ac:dyDescent="0.25">
      <c r="A7717" s="163"/>
      <c r="B7717" s="106"/>
      <c r="C7717" s="186" t="s">
        <v>412</v>
      </c>
      <c r="D7717" s="75"/>
      <c r="E7717" s="73"/>
      <c r="F7717" s="74" t="s">
        <v>3</v>
      </c>
      <c r="G7717" s="153">
        <f>(0.075*3.14*0.75+0.033+0.025)*0.025*2*8*1.17</f>
        <v>0.10980449999999999</v>
      </c>
      <c r="H7717" s="164"/>
      <c r="K7717" s="420"/>
    </row>
    <row r="7718" spans="1:11" ht="15.75" thickBot="1" x14ac:dyDescent="0.3">
      <c r="A7718" s="421"/>
      <c r="B7718" s="422"/>
      <c r="C7718" s="423"/>
      <c r="D7718" s="424"/>
      <c r="E7718" s="425"/>
      <c r="F7718" s="426"/>
      <c r="G7718" s="429"/>
      <c r="H7718" s="430"/>
      <c r="K7718" s="420"/>
    </row>
    <row r="7719" spans="1:11" x14ac:dyDescent="0.25">
      <c r="A7719" s="163"/>
      <c r="B7719" s="106"/>
      <c r="C7719" s="78"/>
      <c r="D7719" s="75"/>
      <c r="E7719" s="73"/>
      <c r="F7719" s="74"/>
      <c r="G7719" s="153"/>
      <c r="H7719" s="164" t="s">
        <v>3754</v>
      </c>
      <c r="K7719" s="420"/>
    </row>
    <row r="7720" spans="1:11" x14ac:dyDescent="0.25">
      <c r="A7720" s="163"/>
      <c r="B7720" s="106"/>
      <c r="C7720" s="78" t="s">
        <v>3649</v>
      </c>
      <c r="D7720" s="75"/>
      <c r="E7720" s="73"/>
      <c r="F7720" s="74"/>
      <c r="G7720" s="153"/>
      <c r="H7720" s="164"/>
      <c r="K7720" s="420"/>
    </row>
    <row r="7721" spans="1:11" x14ac:dyDescent="0.25">
      <c r="A7721" s="163"/>
      <c r="B7721" s="106"/>
      <c r="C7721" s="186" t="s">
        <v>3575</v>
      </c>
      <c r="D7721" s="75"/>
      <c r="E7721" s="73"/>
      <c r="F7721" s="74" t="s">
        <v>3</v>
      </c>
      <c r="G7721" s="153">
        <f>1.25*0.18*6*2.7*1.1248</f>
        <v>4.0998960000000002</v>
      </c>
      <c r="H7721" s="164"/>
      <c r="K7721" s="420"/>
    </row>
    <row r="7722" spans="1:11" x14ac:dyDescent="0.25">
      <c r="A7722" s="163"/>
      <c r="B7722" s="106"/>
      <c r="C7722" s="78"/>
      <c r="D7722" s="75"/>
      <c r="E7722" s="73"/>
      <c r="F7722" s="74"/>
      <c r="G7722" s="153"/>
      <c r="H7722" s="164"/>
      <c r="K7722" s="420"/>
    </row>
    <row r="7723" spans="1:11" x14ac:dyDescent="0.25">
      <c r="A7723" s="163"/>
      <c r="B7723" s="106"/>
      <c r="C7723" s="78" t="s">
        <v>3650</v>
      </c>
      <c r="D7723" s="75"/>
      <c r="E7723" s="73"/>
      <c r="F7723" s="74"/>
      <c r="G7723" s="153"/>
      <c r="H7723" s="164"/>
      <c r="K7723" s="420"/>
    </row>
    <row r="7724" spans="1:11" x14ac:dyDescent="0.25">
      <c r="A7724" s="163"/>
      <c r="B7724" s="106"/>
      <c r="C7724" s="186" t="s">
        <v>159</v>
      </c>
      <c r="D7724" s="75"/>
      <c r="E7724" s="73"/>
      <c r="F7724" s="74" t="s">
        <v>3</v>
      </c>
      <c r="G7724" s="153">
        <v>0.34</v>
      </c>
      <c r="H7724" s="164"/>
      <c r="I7724" t="s">
        <v>3651</v>
      </c>
      <c r="K7724" s="420"/>
    </row>
    <row r="7725" spans="1:11" x14ac:dyDescent="0.25">
      <c r="A7725" s="163"/>
      <c r="B7725" s="106"/>
      <c r="C7725" s="78"/>
      <c r="D7725" s="75"/>
      <c r="E7725" s="73"/>
      <c r="F7725" s="74"/>
      <c r="G7725" s="153"/>
      <c r="H7725" s="164"/>
      <c r="K7725" s="420"/>
    </row>
    <row r="7726" spans="1:11" x14ac:dyDescent="0.25">
      <c r="A7726" s="163"/>
      <c r="B7726" s="106"/>
      <c r="C7726" s="78" t="s">
        <v>3654</v>
      </c>
      <c r="D7726" s="75"/>
      <c r="E7726" s="73"/>
      <c r="F7726" s="74"/>
      <c r="G7726" s="153"/>
      <c r="H7726" s="164"/>
      <c r="K7726" s="420"/>
    </row>
    <row r="7727" spans="1:11" x14ac:dyDescent="0.25">
      <c r="A7727" s="163"/>
      <c r="B7727" s="106"/>
      <c r="C7727" s="186" t="s">
        <v>2303</v>
      </c>
      <c r="D7727" s="75"/>
      <c r="E7727" s="73"/>
      <c r="F7727" s="74" t="s">
        <v>3</v>
      </c>
      <c r="G7727" s="153">
        <f>0.196*0.13</f>
        <v>2.5480000000000003E-2</v>
      </c>
      <c r="H7727" s="164"/>
      <c r="I7727" t="s">
        <v>2630</v>
      </c>
      <c r="K7727" s="420"/>
    </row>
    <row r="7728" spans="1:11" x14ac:dyDescent="0.25">
      <c r="A7728" s="163"/>
      <c r="B7728" s="106"/>
      <c r="C7728" s="78"/>
      <c r="D7728" s="75"/>
      <c r="E7728" s="73"/>
      <c r="F7728" s="74"/>
      <c r="G7728" s="153"/>
      <c r="H7728" s="164"/>
      <c r="K7728" s="420"/>
    </row>
    <row r="7729" spans="1:11" x14ac:dyDescent="0.25">
      <c r="A7729" s="163"/>
      <c r="B7729" s="106"/>
      <c r="C7729" s="78" t="s">
        <v>3657</v>
      </c>
      <c r="D7729" s="75"/>
      <c r="E7729" s="73"/>
      <c r="F7729" s="74"/>
      <c r="G7729" s="153"/>
      <c r="H7729" s="164"/>
      <c r="K7729" s="431"/>
    </row>
    <row r="7730" spans="1:11" x14ac:dyDescent="0.25">
      <c r="A7730" s="163"/>
      <c r="B7730" s="106"/>
      <c r="C7730" s="100" t="s">
        <v>140</v>
      </c>
      <c r="D7730" s="75"/>
      <c r="E7730" s="73"/>
      <c r="F7730" s="74" t="s">
        <v>3</v>
      </c>
      <c r="G7730" s="153">
        <f>0.006*3.14*2*0.08*1.3</f>
        <v>3.9187200000000005E-3</v>
      </c>
      <c r="H7730" s="164"/>
      <c r="K7730" s="431"/>
    </row>
    <row r="7731" spans="1:11" ht="17.25" x14ac:dyDescent="0.25">
      <c r="A7731" s="163"/>
      <c r="B7731" s="106"/>
      <c r="C7731" s="100" t="s">
        <v>23</v>
      </c>
      <c r="D7731" s="75"/>
      <c r="E7731" s="73"/>
      <c r="F7731" s="74" t="s">
        <v>596</v>
      </c>
      <c r="G7731" s="153">
        <f>G7730*2</f>
        <v>7.8374400000000011E-3</v>
      </c>
      <c r="H7731" s="164"/>
      <c r="K7731" s="431"/>
    </row>
    <row r="7732" spans="1:11" x14ac:dyDescent="0.25">
      <c r="A7732" s="163"/>
      <c r="B7732" s="106"/>
      <c r="C7732" s="100" t="s">
        <v>142</v>
      </c>
      <c r="D7732" s="75"/>
      <c r="E7732" s="73"/>
      <c r="F7732" s="74" t="s">
        <v>3</v>
      </c>
      <c r="G7732" s="153">
        <f>G7730/4</f>
        <v>9.7968000000000013E-4</v>
      </c>
      <c r="H7732" s="164"/>
      <c r="K7732" s="431"/>
    </row>
    <row r="7733" spans="1:11" x14ac:dyDescent="0.25">
      <c r="A7733" s="163"/>
      <c r="B7733" s="106"/>
      <c r="C7733" s="186" t="s">
        <v>8</v>
      </c>
      <c r="D7733" s="75"/>
      <c r="E7733" s="73"/>
      <c r="F7733" s="74" t="s">
        <v>3</v>
      </c>
      <c r="G7733" s="153">
        <f>G7734*0.6</f>
        <v>1.7740799999999998E-2</v>
      </c>
      <c r="H7733" s="164"/>
      <c r="K7733" s="431"/>
    </row>
    <row r="7734" spans="1:11" x14ac:dyDescent="0.25">
      <c r="A7734" s="163"/>
      <c r="B7734" s="106"/>
      <c r="C7734" s="186" t="s">
        <v>152</v>
      </c>
      <c r="D7734" s="75"/>
      <c r="E7734" s="73"/>
      <c r="F7734" s="74" t="s">
        <v>3</v>
      </c>
      <c r="G7734" s="153">
        <f>1.2*0.011*2*1.12</f>
        <v>2.9567999999999997E-2</v>
      </c>
      <c r="H7734" s="164"/>
      <c r="K7734" s="431"/>
    </row>
    <row r="7735" spans="1:11" x14ac:dyDescent="0.25">
      <c r="A7735" s="163"/>
      <c r="B7735" s="106"/>
      <c r="C7735" s="186" t="s">
        <v>143</v>
      </c>
      <c r="D7735" s="75"/>
      <c r="E7735" s="73"/>
      <c r="F7735" s="74" t="s">
        <v>3</v>
      </c>
      <c r="G7735" s="153">
        <f>G7733</f>
        <v>1.7740799999999998E-2</v>
      </c>
      <c r="H7735" s="164"/>
      <c r="K7735" s="420"/>
    </row>
    <row r="7736" spans="1:11" x14ac:dyDescent="0.25">
      <c r="A7736" s="163"/>
      <c r="B7736" s="106"/>
      <c r="C7736" s="186" t="s">
        <v>12</v>
      </c>
      <c r="D7736" s="75"/>
      <c r="E7736" s="73"/>
      <c r="F7736" s="74" t="s">
        <v>3</v>
      </c>
      <c r="G7736" s="153">
        <f>0.3*(G7735+G7734+G7733)</f>
        <v>1.9514879999999998E-2</v>
      </c>
      <c r="H7736" s="164"/>
      <c r="K7736" s="431"/>
    </row>
    <row r="7737" spans="1:11" x14ac:dyDescent="0.25">
      <c r="A7737" s="163"/>
      <c r="B7737" s="106"/>
      <c r="C7737" s="73"/>
      <c r="D7737" s="78" t="s">
        <v>3655</v>
      </c>
      <c r="E7737" s="73"/>
      <c r="F7737" s="74"/>
      <c r="G7737" s="153"/>
      <c r="H7737" s="164"/>
      <c r="K7737" s="420"/>
    </row>
    <row r="7738" spans="1:11" x14ac:dyDescent="0.25">
      <c r="A7738" s="163"/>
      <c r="B7738" s="106"/>
      <c r="C7738" s="78"/>
      <c r="D7738" s="186" t="s">
        <v>3656</v>
      </c>
      <c r="E7738" s="73"/>
      <c r="F7738" s="74" t="s">
        <v>3</v>
      </c>
      <c r="G7738" s="153">
        <f>0.123*1.25+0.001</f>
        <v>0.15475</v>
      </c>
      <c r="H7738" s="164"/>
      <c r="I7738" t="s">
        <v>1839</v>
      </c>
      <c r="K7738" s="420"/>
    </row>
    <row r="7739" spans="1:11" x14ac:dyDescent="0.25">
      <c r="A7739" s="163"/>
      <c r="B7739" s="106"/>
      <c r="C7739" s="78"/>
      <c r="D7739" s="75"/>
      <c r="E7739" s="73"/>
      <c r="F7739" s="74"/>
      <c r="G7739" s="153"/>
      <c r="H7739" s="164"/>
      <c r="K7739" s="420"/>
    </row>
    <row r="7740" spans="1:11" x14ac:dyDescent="0.25">
      <c r="A7740" s="163"/>
      <c r="B7740" s="106"/>
      <c r="C7740" s="78" t="s">
        <v>3658</v>
      </c>
      <c r="D7740" s="75"/>
      <c r="E7740" s="73"/>
      <c r="F7740" s="74"/>
      <c r="G7740" s="153"/>
      <c r="H7740" s="164"/>
      <c r="K7740" s="420"/>
    </row>
    <row r="7741" spans="1:11" x14ac:dyDescent="0.25">
      <c r="A7741" s="163"/>
      <c r="B7741" s="106"/>
      <c r="C7741" s="186" t="s">
        <v>3656</v>
      </c>
      <c r="D7741" s="75"/>
      <c r="E7741" s="73"/>
      <c r="F7741" s="74" t="s">
        <v>3</v>
      </c>
      <c r="G7741" s="153">
        <f>0.123*0.53</f>
        <v>6.5189999999999998E-2</v>
      </c>
      <c r="H7741" s="164"/>
      <c r="I7741" t="s">
        <v>3659</v>
      </c>
      <c r="K7741" s="420"/>
    </row>
    <row r="7742" spans="1:11" x14ac:dyDescent="0.25">
      <c r="A7742" s="163"/>
      <c r="B7742" s="106"/>
      <c r="C7742" s="78"/>
      <c r="D7742" s="75"/>
      <c r="E7742" s="73"/>
      <c r="F7742" s="74"/>
      <c r="G7742" s="153"/>
      <c r="H7742" s="164"/>
      <c r="K7742" s="420"/>
    </row>
    <row r="7743" spans="1:11" x14ac:dyDescent="0.25">
      <c r="A7743" s="163"/>
      <c r="B7743" s="106"/>
      <c r="C7743" s="75" t="s">
        <v>3660</v>
      </c>
      <c r="D7743" s="75"/>
      <c r="E7743" s="73"/>
      <c r="F7743" s="74"/>
      <c r="G7743" s="153"/>
      <c r="H7743" s="164"/>
      <c r="I7743" t="s">
        <v>3662</v>
      </c>
      <c r="K7743" s="420" t="s">
        <v>3663</v>
      </c>
    </row>
    <row r="7744" spans="1:11" x14ac:dyDescent="0.25">
      <c r="A7744" s="163"/>
      <c r="B7744" s="106"/>
      <c r="C7744" s="73" t="s">
        <v>2755</v>
      </c>
      <c r="D7744" s="75"/>
      <c r="E7744" s="73"/>
      <c r="F7744" s="74" t="s">
        <v>3</v>
      </c>
      <c r="G7744" s="153">
        <f>0.006*3.14*2*0.08*1.2</f>
        <v>3.6172800000000005E-3</v>
      </c>
      <c r="H7744" s="164"/>
      <c r="K7744" s="420"/>
    </row>
    <row r="7745" spans="1:11" ht="17.25" x14ac:dyDescent="0.25">
      <c r="A7745" s="163"/>
      <c r="B7745" s="106"/>
      <c r="C7745" s="73" t="s">
        <v>1055</v>
      </c>
      <c r="D7745" s="75"/>
      <c r="E7745" s="73"/>
      <c r="F7745" s="74" t="s">
        <v>596</v>
      </c>
      <c r="G7745" s="153">
        <f>G7744*1.1</f>
        <v>3.9790080000000009E-3</v>
      </c>
      <c r="H7745" s="164"/>
      <c r="K7745" s="420"/>
    </row>
    <row r="7746" spans="1:11" x14ac:dyDescent="0.25">
      <c r="A7746" s="163"/>
      <c r="B7746" s="106"/>
      <c r="C7746" s="78"/>
      <c r="D7746" s="75" t="s">
        <v>3661</v>
      </c>
      <c r="E7746" s="73"/>
      <c r="F7746" s="74"/>
      <c r="G7746" s="153"/>
      <c r="H7746" s="164"/>
      <c r="K7746" s="420"/>
    </row>
    <row r="7747" spans="1:11" x14ac:dyDescent="0.25">
      <c r="A7747" s="163"/>
      <c r="B7747" s="106"/>
      <c r="C7747" s="78"/>
      <c r="D7747" s="100" t="s">
        <v>54</v>
      </c>
      <c r="E7747" s="73"/>
      <c r="F7747" s="74" t="s">
        <v>3</v>
      </c>
      <c r="G7747" s="153">
        <f>0.165*0.02*4*8*1.12</f>
        <v>0.11827200000000003</v>
      </c>
      <c r="H7747" s="164"/>
      <c r="K7747" s="420"/>
    </row>
    <row r="7748" spans="1:11" x14ac:dyDescent="0.25">
      <c r="A7748" s="163"/>
      <c r="B7748" s="106"/>
      <c r="C7748" s="78"/>
      <c r="D7748" s="75"/>
      <c r="E7748" s="73"/>
      <c r="F7748" s="74"/>
      <c r="G7748" s="153"/>
      <c r="H7748" s="164"/>
      <c r="K7748" s="420"/>
    </row>
    <row r="7749" spans="1:11" x14ac:dyDescent="0.25">
      <c r="A7749" s="163"/>
      <c r="B7749" s="106"/>
      <c r="C7749" s="78" t="s">
        <v>3664</v>
      </c>
      <c r="D7749" s="75"/>
      <c r="E7749" s="73"/>
      <c r="F7749" s="74"/>
      <c r="G7749" s="153"/>
      <c r="H7749" s="164"/>
      <c r="K7749" s="431"/>
    </row>
    <row r="7750" spans="1:11" x14ac:dyDescent="0.25">
      <c r="A7750" s="163"/>
      <c r="B7750" s="106"/>
      <c r="C7750" s="186" t="s">
        <v>54</v>
      </c>
      <c r="D7750" s="75"/>
      <c r="E7750" s="73"/>
      <c r="F7750" s="74" t="s">
        <v>3</v>
      </c>
      <c r="G7750" s="153">
        <f>0.16*0.036*4*8*1.11</f>
        <v>0.2045952</v>
      </c>
      <c r="H7750" s="164"/>
      <c r="K7750" s="431"/>
    </row>
    <row r="7751" spans="1:11" x14ac:dyDescent="0.25">
      <c r="A7751" s="163"/>
      <c r="B7751" s="106"/>
      <c r="C7751" s="78"/>
      <c r="D7751" s="75"/>
      <c r="E7751" s="73"/>
      <c r="F7751" s="74"/>
      <c r="G7751" s="153"/>
      <c r="H7751" s="164"/>
      <c r="K7751" s="431"/>
    </row>
    <row r="7752" spans="1:11" x14ac:dyDescent="0.25">
      <c r="A7752" s="163"/>
      <c r="B7752" s="106"/>
      <c r="C7752" s="78" t="s">
        <v>3665</v>
      </c>
      <c r="D7752" s="75"/>
      <c r="E7752" s="73"/>
      <c r="F7752" s="74"/>
      <c r="G7752" s="153"/>
      <c r="H7752" s="164"/>
      <c r="K7752" s="431"/>
    </row>
    <row r="7753" spans="1:11" x14ac:dyDescent="0.25">
      <c r="A7753" s="163"/>
      <c r="B7753" s="106"/>
      <c r="C7753" s="186" t="s">
        <v>3666</v>
      </c>
      <c r="D7753" s="75"/>
      <c r="E7753" s="73"/>
      <c r="F7753" s="74" t="s">
        <v>3</v>
      </c>
      <c r="G7753" s="153">
        <f>0.065*0.035*1.5*8*1.09</f>
        <v>2.9757000000000002E-2</v>
      </c>
      <c r="H7753" s="164"/>
      <c r="K7753" s="431"/>
    </row>
    <row r="7754" spans="1:11" x14ac:dyDescent="0.25">
      <c r="A7754" s="163"/>
      <c r="B7754" s="106"/>
      <c r="C7754" s="78"/>
      <c r="D7754" s="75"/>
      <c r="E7754" s="73"/>
      <c r="F7754" s="74"/>
      <c r="G7754" s="153"/>
      <c r="H7754" s="164"/>
      <c r="K7754" s="431"/>
    </row>
    <row r="7755" spans="1:11" x14ac:dyDescent="0.25">
      <c r="A7755" s="163"/>
      <c r="B7755" s="106"/>
      <c r="C7755" s="186" t="s">
        <v>3667</v>
      </c>
      <c r="D7755" s="75"/>
      <c r="E7755" s="73"/>
      <c r="F7755" s="74"/>
      <c r="G7755" s="153"/>
      <c r="H7755" s="164"/>
      <c r="K7755" s="431"/>
    </row>
    <row r="7756" spans="1:11" x14ac:dyDescent="0.25">
      <c r="A7756" s="163"/>
      <c r="B7756" s="106"/>
      <c r="C7756" s="73" t="s">
        <v>3223</v>
      </c>
      <c r="D7756" s="73"/>
      <c r="E7756" s="73"/>
      <c r="F7756" s="74" t="s">
        <v>3</v>
      </c>
      <c r="G7756" s="153">
        <f>0.02*3.14*3*0.05*1.2</f>
        <v>1.1304000000000002E-2</v>
      </c>
      <c r="H7756" s="164"/>
      <c r="K7756" s="431"/>
    </row>
    <row r="7757" spans="1:11" ht="17.25" x14ac:dyDescent="0.25">
      <c r="A7757" s="163"/>
      <c r="B7757" s="106"/>
      <c r="C7757" s="73" t="s">
        <v>168</v>
      </c>
      <c r="D7757" s="73"/>
      <c r="E7757" s="73"/>
      <c r="F7757" s="74" t="s">
        <v>596</v>
      </c>
      <c r="G7757" s="153">
        <f>G7756*1.1</f>
        <v>1.2434400000000003E-2</v>
      </c>
      <c r="H7757" s="164"/>
      <c r="K7757" s="431"/>
    </row>
    <row r="7758" spans="1:11" x14ac:dyDescent="0.25">
      <c r="A7758" s="163"/>
      <c r="B7758" s="106"/>
      <c r="C7758" s="186" t="s">
        <v>163</v>
      </c>
      <c r="D7758" s="75"/>
      <c r="E7758" s="73"/>
      <c r="F7758" s="74" t="s">
        <v>3</v>
      </c>
      <c r="G7758" s="153">
        <f>G7760*0.6</f>
        <v>2.1113999999999997E-2</v>
      </c>
      <c r="H7758" s="164"/>
      <c r="K7758" s="431"/>
    </row>
    <row r="7759" spans="1:11" x14ac:dyDescent="0.25">
      <c r="A7759" s="163"/>
      <c r="B7759" s="106"/>
      <c r="C7759" s="186" t="s">
        <v>164</v>
      </c>
      <c r="D7759" s="75"/>
      <c r="E7759" s="73"/>
      <c r="F7759" s="74" t="s">
        <v>3</v>
      </c>
      <c r="G7759" s="153">
        <f>0.3*G7758</f>
        <v>6.334199999999999E-3</v>
      </c>
      <c r="H7759" s="164"/>
      <c r="K7759" s="431"/>
    </row>
    <row r="7760" spans="1:11" x14ac:dyDescent="0.25">
      <c r="A7760" s="163"/>
      <c r="B7760" s="106"/>
      <c r="C7760" s="186" t="s">
        <v>36</v>
      </c>
      <c r="D7760" s="75"/>
      <c r="E7760" s="73"/>
      <c r="F7760" s="74" t="s">
        <v>3</v>
      </c>
      <c r="G7760" s="153">
        <f>0.3*0.17*2*0.15*2*1.15</f>
        <v>3.5189999999999999E-2</v>
      </c>
      <c r="H7760" s="164"/>
      <c r="K7760" s="431"/>
    </row>
    <row r="7761" spans="1:11" x14ac:dyDescent="0.25">
      <c r="A7761" s="163"/>
      <c r="B7761" s="106"/>
      <c r="C7761" s="186" t="s">
        <v>12</v>
      </c>
      <c r="D7761" s="75"/>
      <c r="E7761" s="73"/>
      <c r="F7761" s="74" t="s">
        <v>3</v>
      </c>
      <c r="G7761" s="153">
        <f>0.3*G7760</f>
        <v>1.0556999999999999E-2</v>
      </c>
      <c r="H7761" s="164"/>
      <c r="K7761" s="431"/>
    </row>
    <row r="7762" spans="1:11" x14ac:dyDescent="0.25">
      <c r="A7762" s="163"/>
      <c r="B7762" s="106"/>
      <c r="C7762" s="100"/>
      <c r="D7762" s="75" t="s">
        <v>3668</v>
      </c>
      <c r="E7762" s="73"/>
      <c r="F7762" s="74"/>
      <c r="G7762" s="153"/>
      <c r="H7762" s="164"/>
      <c r="K7762" s="431"/>
    </row>
    <row r="7763" spans="1:11" x14ac:dyDescent="0.25">
      <c r="A7763" s="163"/>
      <c r="B7763" s="106"/>
      <c r="C7763" s="100"/>
      <c r="D7763" s="100" t="s">
        <v>213</v>
      </c>
      <c r="E7763" s="73"/>
      <c r="F7763" s="74" t="s">
        <v>3</v>
      </c>
      <c r="G7763" s="153">
        <f>0.3*0.17*3*2.7*1.113</f>
        <v>0.45978030000000009</v>
      </c>
      <c r="H7763" s="164"/>
      <c r="K7763" s="431"/>
    </row>
    <row r="7764" spans="1:11" x14ac:dyDescent="0.25">
      <c r="A7764" s="163"/>
      <c r="B7764" s="106"/>
      <c r="C7764" s="100"/>
      <c r="D7764" s="75"/>
      <c r="E7764" s="73"/>
      <c r="F7764" s="74"/>
      <c r="G7764" s="153"/>
      <c r="H7764" s="164"/>
      <c r="K7764" s="431"/>
    </row>
    <row r="7765" spans="1:11" x14ac:dyDescent="0.25">
      <c r="A7765" s="163"/>
      <c r="B7765" s="106"/>
      <c r="C7765" s="100" t="s">
        <v>3669</v>
      </c>
      <c r="D7765" s="75"/>
      <c r="E7765" s="73"/>
      <c r="F7765" s="74"/>
      <c r="G7765" s="153"/>
      <c r="H7765" s="164"/>
      <c r="K7765" s="431"/>
    </row>
    <row r="7766" spans="1:11" x14ac:dyDescent="0.25">
      <c r="A7766" s="163"/>
      <c r="B7766" s="106"/>
      <c r="C7766" s="100" t="s">
        <v>140</v>
      </c>
      <c r="D7766" s="75"/>
      <c r="E7766" s="73"/>
      <c r="F7766" s="74" t="s">
        <v>3</v>
      </c>
      <c r="G7766" s="153">
        <f>0.025*3.14*2*0.08*1.2</f>
        <v>1.5072000000000002E-2</v>
      </c>
      <c r="H7766" s="164"/>
      <c r="K7766" s="431"/>
    </row>
    <row r="7767" spans="1:11" ht="17.25" x14ac:dyDescent="0.25">
      <c r="A7767" s="163"/>
      <c r="B7767" s="106"/>
      <c r="C7767" s="100" t="s">
        <v>23</v>
      </c>
      <c r="D7767" s="75"/>
      <c r="E7767" s="73"/>
      <c r="F7767" s="74" t="s">
        <v>596</v>
      </c>
      <c r="G7767" s="153">
        <f>G7766*2</f>
        <v>3.0144000000000004E-2</v>
      </c>
      <c r="H7767" s="164"/>
      <c r="K7767" s="431"/>
    </row>
    <row r="7768" spans="1:11" x14ac:dyDescent="0.25">
      <c r="A7768" s="163"/>
      <c r="B7768" s="106"/>
      <c r="C7768" s="100" t="s">
        <v>142</v>
      </c>
      <c r="D7768" s="75"/>
      <c r="E7768" s="73"/>
      <c r="F7768" s="74" t="s">
        <v>3</v>
      </c>
      <c r="G7768" s="153">
        <f>G7766/4</f>
        <v>3.7680000000000005E-3</v>
      </c>
      <c r="H7768" s="164"/>
      <c r="K7768" s="431"/>
    </row>
    <row r="7769" spans="1:11" x14ac:dyDescent="0.25">
      <c r="A7769" s="163"/>
      <c r="B7769" s="106"/>
      <c r="C7769" s="186" t="s">
        <v>8</v>
      </c>
      <c r="D7769" s="75"/>
      <c r="E7769" s="73"/>
      <c r="F7769" s="74" t="s">
        <v>3</v>
      </c>
      <c r="G7769" s="153">
        <f>G7770*0.6</f>
        <v>6.5519999999999997E-3</v>
      </c>
      <c r="H7769" s="164"/>
      <c r="K7769" s="431"/>
    </row>
    <row r="7770" spans="1:11" x14ac:dyDescent="0.25">
      <c r="A7770" s="163"/>
      <c r="B7770" s="106"/>
      <c r="C7770" s="186" t="s">
        <v>325</v>
      </c>
      <c r="D7770" s="75"/>
      <c r="E7770" s="73"/>
      <c r="F7770" s="74" t="s">
        <v>3</v>
      </c>
      <c r="G7770" s="153">
        <f>0.21*0.02*2*1.3</f>
        <v>1.0919999999999999E-2</v>
      </c>
      <c r="H7770" s="164"/>
      <c r="K7770" s="431"/>
    </row>
    <row r="7771" spans="1:11" x14ac:dyDescent="0.25">
      <c r="A7771" s="163"/>
      <c r="B7771" s="106"/>
      <c r="C7771" s="186" t="s">
        <v>116</v>
      </c>
      <c r="D7771" s="75"/>
      <c r="E7771" s="73"/>
      <c r="F7771" s="74" t="s">
        <v>3</v>
      </c>
      <c r="G7771" s="153">
        <f>0.3*(G7770+G7769)</f>
        <v>5.241599999999999E-3</v>
      </c>
      <c r="H7771" s="164"/>
      <c r="K7771" s="431"/>
    </row>
    <row r="7772" spans="1:11" x14ac:dyDescent="0.25">
      <c r="A7772" s="163"/>
      <c r="B7772" s="106"/>
      <c r="C7772" s="100"/>
      <c r="D7772" s="75" t="s">
        <v>3670</v>
      </c>
      <c r="E7772" s="73"/>
      <c r="F7772" s="74"/>
      <c r="G7772" s="153"/>
      <c r="H7772" s="164"/>
      <c r="K7772" s="431"/>
    </row>
    <row r="7773" spans="1:11" x14ac:dyDescent="0.25">
      <c r="A7773" s="163"/>
      <c r="B7773" s="106"/>
      <c r="C7773" s="100"/>
      <c r="D7773" s="100" t="s">
        <v>3671</v>
      </c>
      <c r="E7773" s="73"/>
      <c r="F7773" s="74" t="s">
        <v>3</v>
      </c>
      <c r="G7773" s="153">
        <f>0.592*0.215+0.003</f>
        <v>0.13028000000000001</v>
      </c>
      <c r="H7773" s="164"/>
      <c r="I7773" t="s">
        <v>3672</v>
      </c>
      <c r="K7773" s="431"/>
    </row>
    <row r="7774" spans="1:11" x14ac:dyDescent="0.25">
      <c r="A7774" s="163"/>
      <c r="B7774" s="106"/>
      <c r="C7774" s="100"/>
      <c r="D7774" s="75"/>
      <c r="E7774" s="73"/>
      <c r="F7774" s="74"/>
      <c r="G7774" s="153"/>
      <c r="H7774" s="164"/>
      <c r="K7774" s="431"/>
    </row>
    <row r="7775" spans="1:11" x14ac:dyDescent="0.25">
      <c r="A7775" s="163"/>
      <c r="B7775" s="106"/>
      <c r="C7775" s="100" t="s">
        <v>3673</v>
      </c>
      <c r="D7775" s="75"/>
      <c r="E7775" s="73"/>
      <c r="F7775" s="74"/>
      <c r="G7775" s="153"/>
      <c r="H7775" s="164"/>
      <c r="K7775" s="431"/>
    </row>
    <row r="7776" spans="1:11" x14ac:dyDescent="0.25">
      <c r="A7776" s="163"/>
      <c r="B7776" s="106"/>
      <c r="C7776" s="100" t="s">
        <v>140</v>
      </c>
      <c r="D7776" s="75"/>
      <c r="E7776" s="73"/>
      <c r="F7776" s="74" t="s">
        <v>3</v>
      </c>
      <c r="G7776" s="153">
        <f>0.008*3.14*2*0.08*1.3</f>
        <v>5.2249599999999998E-3</v>
      </c>
      <c r="H7776" s="164"/>
      <c r="K7776" s="431"/>
    </row>
    <row r="7777" spans="1:11" ht="17.25" x14ac:dyDescent="0.25">
      <c r="A7777" s="163"/>
      <c r="B7777" s="106"/>
      <c r="C7777" s="100" t="s">
        <v>23</v>
      </c>
      <c r="D7777" s="75"/>
      <c r="E7777" s="73"/>
      <c r="F7777" s="74" t="s">
        <v>596</v>
      </c>
      <c r="G7777" s="153">
        <f>G7776*2</f>
        <v>1.044992E-2</v>
      </c>
      <c r="H7777" s="164"/>
      <c r="K7777" s="431"/>
    </row>
    <row r="7778" spans="1:11" x14ac:dyDescent="0.25">
      <c r="A7778" s="163"/>
      <c r="B7778" s="106"/>
      <c r="C7778" s="100" t="s">
        <v>142</v>
      </c>
      <c r="D7778" s="75"/>
      <c r="E7778" s="73"/>
      <c r="F7778" s="74" t="s">
        <v>3</v>
      </c>
      <c r="G7778" s="153">
        <f>G7776/4</f>
        <v>1.30624E-3</v>
      </c>
      <c r="H7778" s="164"/>
      <c r="K7778" s="431"/>
    </row>
    <row r="7779" spans="1:11" x14ac:dyDescent="0.25">
      <c r="A7779" s="163"/>
      <c r="B7779" s="106"/>
      <c r="C7779" s="186" t="s">
        <v>8</v>
      </c>
      <c r="D7779" s="75"/>
      <c r="E7779" s="73"/>
      <c r="F7779" s="74" t="s">
        <v>3</v>
      </c>
      <c r="G7779" s="153">
        <f>G7780*0.6</f>
        <v>5.7749999999999998E-3</v>
      </c>
      <c r="H7779" s="164"/>
      <c r="K7779" s="431"/>
    </row>
    <row r="7780" spans="1:11" x14ac:dyDescent="0.25">
      <c r="A7780" s="163"/>
      <c r="B7780" s="106"/>
      <c r="C7780" s="186" t="s">
        <v>325</v>
      </c>
      <c r="D7780" s="75"/>
      <c r="E7780" s="73"/>
      <c r="F7780" s="74" t="s">
        <v>3</v>
      </c>
      <c r="G7780" s="153">
        <f>0.35*0.011*2*1.25</f>
        <v>9.6249999999999999E-3</v>
      </c>
      <c r="H7780" s="164"/>
      <c r="K7780" s="431"/>
    </row>
    <row r="7781" spans="1:11" x14ac:dyDescent="0.25">
      <c r="A7781" s="163"/>
      <c r="B7781" s="106"/>
      <c r="C7781" s="186" t="s">
        <v>116</v>
      </c>
      <c r="D7781" s="75"/>
      <c r="E7781" s="73"/>
      <c r="F7781" s="74" t="s">
        <v>3</v>
      </c>
      <c r="G7781" s="153">
        <f>0.3*(G7780+G7779)</f>
        <v>4.62E-3</v>
      </c>
      <c r="H7781" s="164"/>
      <c r="K7781" s="431"/>
    </row>
    <row r="7782" spans="1:11" x14ac:dyDescent="0.25">
      <c r="A7782" s="163"/>
      <c r="B7782" s="106"/>
      <c r="C7782" s="186"/>
      <c r="D7782" s="75" t="s">
        <v>3674</v>
      </c>
      <c r="E7782" s="73"/>
      <c r="F7782" s="74"/>
      <c r="G7782" s="153"/>
      <c r="H7782" s="164"/>
      <c r="K7782" s="420"/>
    </row>
    <row r="7783" spans="1:11" x14ac:dyDescent="0.25">
      <c r="A7783" s="163"/>
      <c r="B7783" s="106"/>
      <c r="C7783" s="186"/>
      <c r="D7783" s="100" t="s">
        <v>3675</v>
      </c>
      <c r="E7783" s="73"/>
      <c r="F7783" s="74" t="s">
        <v>3</v>
      </c>
      <c r="G7783" s="153">
        <f>0.173*0.38</f>
        <v>6.5739999999999993E-2</v>
      </c>
      <c r="H7783" s="164"/>
      <c r="I7783" t="s">
        <v>3676</v>
      </c>
      <c r="K7783" s="420"/>
    </row>
    <row r="7784" spans="1:11" x14ac:dyDescent="0.25">
      <c r="A7784" s="163"/>
      <c r="B7784" s="106"/>
      <c r="C7784" s="186"/>
      <c r="D7784" s="100"/>
      <c r="E7784" s="100"/>
      <c r="F7784" s="103"/>
      <c r="G7784" s="107"/>
      <c r="H7784" s="164"/>
      <c r="K7784" s="431"/>
    </row>
    <row r="7785" spans="1:11" x14ac:dyDescent="0.25">
      <c r="A7785" s="163"/>
      <c r="B7785" s="106"/>
      <c r="C7785" s="78" t="s">
        <v>3677</v>
      </c>
      <c r="D7785" s="100"/>
      <c r="E7785" s="100"/>
      <c r="F7785" s="103"/>
      <c r="G7785" s="107"/>
      <c r="H7785" s="164"/>
      <c r="K7785" s="431"/>
    </row>
    <row r="7786" spans="1:11" x14ac:dyDescent="0.25">
      <c r="A7786" s="163"/>
      <c r="B7786" s="106"/>
      <c r="C7786" s="186" t="s">
        <v>3678</v>
      </c>
      <c r="D7786" s="100"/>
      <c r="E7786" s="100"/>
      <c r="F7786" s="103" t="s">
        <v>3</v>
      </c>
      <c r="G7786" s="107">
        <f>0.12*0.235*5*8*1.1-0.001</f>
        <v>1.2398</v>
      </c>
      <c r="H7786" s="164"/>
      <c r="K7786" s="431"/>
    </row>
    <row r="7787" spans="1:11" x14ac:dyDescent="0.25">
      <c r="A7787" s="163"/>
      <c r="B7787" s="106"/>
      <c r="C7787" s="186"/>
      <c r="D7787" s="100"/>
      <c r="E7787" s="100"/>
      <c r="F7787" s="103"/>
      <c r="G7787" s="107"/>
      <c r="H7787" s="164"/>
      <c r="K7787" s="431"/>
    </row>
    <row r="7788" spans="1:11" x14ac:dyDescent="0.25">
      <c r="A7788" s="163"/>
      <c r="B7788" s="106"/>
      <c r="C7788" s="75" t="s">
        <v>3679</v>
      </c>
      <c r="D7788" s="100"/>
      <c r="E7788" s="100"/>
      <c r="F7788" s="103"/>
      <c r="G7788" s="107"/>
      <c r="H7788" s="164"/>
      <c r="K7788" s="431"/>
    </row>
    <row r="7789" spans="1:11" x14ac:dyDescent="0.25">
      <c r="A7789" s="163"/>
      <c r="B7789" s="106"/>
      <c r="C7789" s="186" t="s">
        <v>3678</v>
      </c>
      <c r="D7789" s="100"/>
      <c r="E7789" s="100"/>
      <c r="F7789" s="103" t="s">
        <v>3</v>
      </c>
      <c r="G7789" s="107">
        <f>0.092*0.032*5*8*1.1</f>
        <v>0.12953600000000001</v>
      </c>
      <c r="H7789" s="164"/>
      <c r="K7789" s="431"/>
    </row>
    <row r="7790" spans="1:11" x14ac:dyDescent="0.25">
      <c r="A7790" s="163"/>
      <c r="B7790" s="106"/>
      <c r="C7790" s="186"/>
      <c r="D7790" s="100"/>
      <c r="E7790" s="100"/>
      <c r="F7790" s="103"/>
      <c r="G7790" s="107"/>
      <c r="H7790" s="164"/>
      <c r="K7790" s="431"/>
    </row>
    <row r="7791" spans="1:11" x14ac:dyDescent="0.25">
      <c r="A7791" s="163"/>
      <c r="B7791" s="106"/>
      <c r="C7791" s="75" t="s">
        <v>3680</v>
      </c>
      <c r="D7791" s="100"/>
      <c r="E7791" s="100"/>
      <c r="F7791" s="103"/>
      <c r="G7791" s="107"/>
      <c r="H7791" s="164"/>
      <c r="K7791" s="431"/>
    </row>
    <row r="7792" spans="1:11" x14ac:dyDescent="0.25">
      <c r="A7792" s="163"/>
      <c r="B7792" s="106"/>
      <c r="C7792" s="186" t="s">
        <v>3681</v>
      </c>
      <c r="D7792" s="100"/>
      <c r="E7792" s="100"/>
      <c r="F7792" s="103" t="s">
        <v>3</v>
      </c>
      <c r="G7792" s="107">
        <f>0.02*0.02*0.5*8*1.1</f>
        <v>1.7600000000000003E-3</v>
      </c>
      <c r="H7792" s="164"/>
      <c r="K7792" s="420"/>
    </row>
    <row r="7793" spans="1:11" x14ac:dyDescent="0.25">
      <c r="A7793" s="163"/>
      <c r="B7793" s="106"/>
      <c r="C7793" s="186"/>
      <c r="D7793" s="100"/>
      <c r="E7793" s="100"/>
      <c r="F7793" s="103"/>
      <c r="G7793" s="107"/>
      <c r="H7793" s="164"/>
      <c r="K7793" s="420"/>
    </row>
    <row r="7794" spans="1:11" x14ac:dyDescent="0.25">
      <c r="A7794" s="163"/>
      <c r="B7794" s="106"/>
      <c r="C7794" s="75" t="s">
        <v>3682</v>
      </c>
      <c r="D7794" s="73"/>
      <c r="E7794" s="73"/>
      <c r="F7794" s="73"/>
      <c r="G7794" s="153"/>
      <c r="H7794" s="164"/>
      <c r="K7794" s="379"/>
    </row>
    <row r="7795" spans="1:11" x14ac:dyDescent="0.25">
      <c r="A7795" s="163"/>
      <c r="B7795" s="106"/>
      <c r="C7795" s="100" t="s">
        <v>3683</v>
      </c>
      <c r="D7795" s="73"/>
      <c r="E7795" s="73"/>
      <c r="F7795" s="103" t="s">
        <v>3</v>
      </c>
      <c r="G7795" s="153">
        <f>0.408*0.015*2*8*1.12</f>
        <v>0.1096704</v>
      </c>
      <c r="H7795" s="164"/>
    </row>
    <row r="7796" spans="1:11" x14ac:dyDescent="0.25">
      <c r="A7796" s="163"/>
      <c r="B7796" s="106"/>
      <c r="C7796" s="398"/>
      <c r="D7796" s="73"/>
      <c r="E7796" s="73"/>
      <c r="F7796" s="74"/>
      <c r="G7796" s="153"/>
      <c r="H7796" s="164"/>
      <c r="K7796" s="379"/>
    </row>
    <row r="7797" spans="1:11" x14ac:dyDescent="0.25">
      <c r="A7797" s="163"/>
      <c r="B7797" s="106"/>
      <c r="C7797" s="75" t="s">
        <v>3684</v>
      </c>
      <c r="D7797" s="73"/>
      <c r="E7797" s="73"/>
      <c r="F7797" s="74"/>
      <c r="G7797" s="153"/>
      <c r="H7797" s="164"/>
      <c r="K7797" s="379"/>
    </row>
    <row r="7798" spans="1:11" x14ac:dyDescent="0.25">
      <c r="A7798" s="163"/>
      <c r="B7798" s="106"/>
      <c r="C7798" s="100" t="s">
        <v>1484</v>
      </c>
      <c r="D7798" s="73"/>
      <c r="E7798" s="73"/>
      <c r="F7798" s="74" t="s">
        <v>3</v>
      </c>
      <c r="G7798" s="153">
        <f>0.271*0.065</f>
        <v>1.7615000000000002E-2</v>
      </c>
      <c r="H7798" s="164"/>
      <c r="I7798" t="s">
        <v>3685</v>
      </c>
    </row>
    <row r="7799" spans="1:11" x14ac:dyDescent="0.25">
      <c r="A7799" s="163"/>
      <c r="B7799" s="106"/>
      <c r="C7799" s="398"/>
      <c r="D7799" s="73"/>
      <c r="E7799" s="73"/>
      <c r="F7799" s="74"/>
      <c r="G7799" s="153"/>
      <c r="H7799" s="164"/>
      <c r="K7799" s="379"/>
    </row>
    <row r="7800" spans="1:11" x14ac:dyDescent="0.25">
      <c r="A7800" s="163"/>
      <c r="B7800" s="106"/>
      <c r="C7800" s="75" t="s">
        <v>3686</v>
      </c>
      <c r="D7800" s="73"/>
      <c r="E7800" s="73"/>
      <c r="F7800" s="74"/>
      <c r="G7800" s="153"/>
      <c r="H7800" s="164"/>
      <c r="K7800" s="379"/>
    </row>
    <row r="7801" spans="1:11" x14ac:dyDescent="0.25">
      <c r="A7801" s="163"/>
      <c r="B7801" s="106"/>
      <c r="C7801" s="100" t="s">
        <v>140</v>
      </c>
      <c r="D7801" s="75"/>
      <c r="E7801" s="73"/>
      <c r="F7801" s="74" t="s">
        <v>3</v>
      </c>
      <c r="G7801" s="153">
        <f>0.016*3.14*4*0.08*1.25</f>
        <v>2.0095999999999999E-2</v>
      </c>
      <c r="H7801" s="164"/>
    </row>
    <row r="7802" spans="1:11" ht="17.25" x14ac:dyDescent="0.25">
      <c r="A7802" s="163"/>
      <c r="B7802" s="106"/>
      <c r="C7802" s="100" t="s">
        <v>23</v>
      </c>
      <c r="D7802" s="75"/>
      <c r="E7802" s="73"/>
      <c r="F7802" s="74" t="s">
        <v>596</v>
      </c>
      <c r="G7802" s="153">
        <f>G7801*2</f>
        <v>4.0191999999999999E-2</v>
      </c>
      <c r="H7802" s="164"/>
      <c r="K7802" s="379"/>
    </row>
    <row r="7803" spans="1:11" x14ac:dyDescent="0.25">
      <c r="A7803" s="163"/>
      <c r="B7803" s="106"/>
      <c r="C7803" s="100" t="s">
        <v>142</v>
      </c>
      <c r="D7803" s="75"/>
      <c r="E7803" s="73"/>
      <c r="F7803" s="74" t="s">
        <v>3</v>
      </c>
      <c r="G7803" s="153">
        <f>G7801/4</f>
        <v>5.0239999999999998E-3</v>
      </c>
      <c r="H7803" s="164"/>
      <c r="K7803" s="379"/>
    </row>
    <row r="7804" spans="1:11" x14ac:dyDescent="0.25">
      <c r="A7804" s="163"/>
      <c r="B7804" s="106"/>
      <c r="C7804" s="186" t="s">
        <v>143</v>
      </c>
      <c r="D7804" s="75"/>
      <c r="E7804" s="73"/>
      <c r="F7804" s="74" t="s">
        <v>3</v>
      </c>
      <c r="G7804" s="153">
        <f>0.35*0.011*2*1.3</f>
        <v>1.001E-2</v>
      </c>
      <c r="H7804" s="164"/>
    </row>
    <row r="7805" spans="1:11" x14ac:dyDescent="0.25">
      <c r="A7805" s="163"/>
      <c r="B7805" s="73"/>
      <c r="C7805" s="186" t="s">
        <v>116</v>
      </c>
      <c r="D7805" s="75"/>
      <c r="E7805" s="73"/>
      <c r="F7805" s="74" t="s">
        <v>3</v>
      </c>
      <c r="G7805" s="153">
        <f>0.3*(G7804)</f>
        <v>3.003E-3</v>
      </c>
      <c r="H7805" s="164"/>
      <c r="K7805" s="379"/>
    </row>
    <row r="7806" spans="1:11" x14ac:dyDescent="0.25">
      <c r="A7806" s="163"/>
      <c r="B7806" s="73"/>
      <c r="C7806" s="75"/>
      <c r="D7806" s="73"/>
      <c r="E7806" s="73"/>
      <c r="F7806" s="74"/>
      <c r="G7806" s="153"/>
      <c r="H7806" s="164"/>
    </row>
    <row r="7807" spans="1:11" x14ac:dyDescent="0.25">
      <c r="A7807" s="163"/>
      <c r="B7807" s="73"/>
      <c r="C7807" s="75" t="s">
        <v>3687</v>
      </c>
      <c r="D7807" s="73"/>
      <c r="E7807" s="73"/>
      <c r="F7807" s="74"/>
      <c r="G7807" s="153"/>
      <c r="H7807" s="164"/>
      <c r="K7807" s="379"/>
    </row>
    <row r="7808" spans="1:11" x14ac:dyDescent="0.25">
      <c r="A7808" s="163"/>
      <c r="B7808" s="73"/>
      <c r="C7808" s="100" t="s">
        <v>3675</v>
      </c>
      <c r="D7808" s="73"/>
      <c r="E7808" s="73"/>
      <c r="F7808" s="74" t="s">
        <v>3</v>
      </c>
      <c r="G7808" s="153">
        <f>0.173*1.35+0.001</f>
        <v>0.23455000000000001</v>
      </c>
      <c r="H7808" s="164"/>
      <c r="I7808" t="s">
        <v>3688</v>
      </c>
    </row>
    <row r="7809" spans="1:9" x14ac:dyDescent="0.25">
      <c r="A7809" s="163"/>
      <c r="B7809" s="106"/>
      <c r="C7809" s="73"/>
      <c r="D7809" s="73"/>
      <c r="E7809" s="73"/>
      <c r="F7809" s="74"/>
      <c r="G7809" s="153"/>
      <c r="H7809" s="164"/>
    </row>
    <row r="7810" spans="1:9" x14ac:dyDescent="0.25">
      <c r="A7810" s="163"/>
      <c r="B7810" s="106"/>
      <c r="C7810" s="75" t="s">
        <v>3689</v>
      </c>
      <c r="D7810" s="73"/>
      <c r="E7810" s="73"/>
      <c r="F7810" s="74"/>
      <c r="G7810" s="153"/>
      <c r="H7810" s="164"/>
    </row>
    <row r="7811" spans="1:9" x14ac:dyDescent="0.25">
      <c r="A7811" s="163"/>
      <c r="B7811" s="106"/>
      <c r="C7811" s="73" t="s">
        <v>3656</v>
      </c>
      <c r="D7811" s="73"/>
      <c r="E7811" s="73"/>
      <c r="F7811" s="74" t="s">
        <v>3</v>
      </c>
      <c r="G7811" s="153">
        <f>0.123*1+0.002</f>
        <v>0.125</v>
      </c>
      <c r="H7811" s="164"/>
      <c r="I7811" t="s">
        <v>3690</v>
      </c>
    </row>
    <row r="7812" spans="1:9" x14ac:dyDescent="0.25">
      <c r="A7812" s="163"/>
      <c r="B7812" s="106"/>
      <c r="C7812" s="73"/>
      <c r="D7812" s="73"/>
      <c r="E7812" s="73"/>
      <c r="F7812" s="74"/>
      <c r="G7812" s="153"/>
      <c r="H7812" s="164"/>
    </row>
    <row r="7813" spans="1:9" x14ac:dyDescent="0.25">
      <c r="A7813" s="163"/>
      <c r="B7813" s="106"/>
      <c r="C7813" s="75" t="s">
        <v>3691</v>
      </c>
      <c r="D7813" s="73"/>
      <c r="E7813" s="73"/>
      <c r="F7813" s="74"/>
      <c r="G7813" s="153"/>
      <c r="H7813" s="164"/>
    </row>
    <row r="7814" spans="1:9" x14ac:dyDescent="0.25">
      <c r="A7814" s="163"/>
      <c r="B7814" s="106"/>
      <c r="C7814" s="73" t="s">
        <v>3692</v>
      </c>
      <c r="D7814" s="73"/>
      <c r="E7814" s="73"/>
      <c r="F7814" s="74" t="s">
        <v>3</v>
      </c>
      <c r="G7814" s="153">
        <f>0.227*0.55</f>
        <v>0.12485000000000002</v>
      </c>
      <c r="H7814" s="164"/>
      <c r="I7814" t="s">
        <v>3693</v>
      </c>
    </row>
    <row r="7815" spans="1:9" x14ac:dyDescent="0.25">
      <c r="A7815" s="163"/>
      <c r="B7815" s="106"/>
      <c r="C7815" s="73"/>
      <c r="D7815" s="73"/>
      <c r="E7815" s="73"/>
      <c r="F7815" s="74"/>
      <c r="G7815" s="153"/>
      <c r="H7815" s="164"/>
    </row>
    <row r="7816" spans="1:9" x14ac:dyDescent="0.25">
      <c r="A7816" s="163"/>
      <c r="B7816" s="106"/>
      <c r="C7816" s="75" t="s">
        <v>3694</v>
      </c>
      <c r="D7816" s="73"/>
      <c r="E7816" s="73"/>
      <c r="F7816" s="74"/>
      <c r="G7816" s="153"/>
      <c r="H7816" s="164"/>
    </row>
    <row r="7817" spans="1:9" x14ac:dyDescent="0.25">
      <c r="A7817" s="163"/>
      <c r="B7817" s="106"/>
      <c r="C7817" s="73" t="s">
        <v>3695</v>
      </c>
      <c r="D7817" s="73"/>
      <c r="E7817" s="73"/>
      <c r="F7817" s="74" t="s">
        <v>3</v>
      </c>
      <c r="G7817" s="153">
        <f>0.271*1.6+0.001</f>
        <v>0.43460000000000004</v>
      </c>
      <c r="H7817" s="164"/>
      <c r="I7817" t="s">
        <v>2999</v>
      </c>
    </row>
    <row r="7818" spans="1:9" x14ac:dyDescent="0.25">
      <c r="A7818" s="163"/>
      <c r="B7818" s="106"/>
      <c r="C7818" s="73"/>
      <c r="D7818" s="73"/>
      <c r="E7818" s="73"/>
      <c r="F7818" s="74"/>
      <c r="G7818" s="153"/>
      <c r="H7818" s="164"/>
    </row>
    <row r="7819" spans="1:9" x14ac:dyDescent="0.25">
      <c r="A7819" s="163"/>
      <c r="B7819" s="106"/>
      <c r="C7819" s="75" t="s">
        <v>3696</v>
      </c>
      <c r="D7819" s="73"/>
      <c r="E7819" s="73"/>
      <c r="F7819" s="74"/>
      <c r="G7819" s="153"/>
      <c r="H7819" s="164"/>
    </row>
    <row r="7820" spans="1:9" x14ac:dyDescent="0.25">
      <c r="A7820" s="163"/>
      <c r="B7820" s="106"/>
      <c r="C7820" s="73" t="s">
        <v>3697</v>
      </c>
      <c r="D7820" s="73"/>
      <c r="E7820" s="73"/>
      <c r="F7820" s="74" t="s">
        <v>3</v>
      </c>
      <c r="G7820" s="153">
        <f>0.25*0.055*2*8*1.115</f>
        <v>0.24529999999999999</v>
      </c>
      <c r="H7820" s="164"/>
    </row>
    <row r="7821" spans="1:9" x14ac:dyDescent="0.25">
      <c r="A7821" s="163"/>
      <c r="B7821" s="106"/>
      <c r="C7821" s="73"/>
      <c r="D7821" s="73"/>
      <c r="E7821" s="73"/>
      <c r="F7821" s="74"/>
      <c r="G7821" s="153"/>
      <c r="H7821" s="164"/>
    </row>
    <row r="7822" spans="1:9" x14ac:dyDescent="0.25">
      <c r="A7822" s="163"/>
      <c r="B7822" s="106"/>
      <c r="C7822" s="75" t="s">
        <v>3698</v>
      </c>
      <c r="D7822" s="73"/>
      <c r="E7822" s="73"/>
      <c r="F7822" s="74"/>
      <c r="G7822" s="153"/>
      <c r="H7822" s="164"/>
    </row>
    <row r="7823" spans="1:9" x14ac:dyDescent="0.25">
      <c r="A7823" s="163"/>
      <c r="B7823" s="106"/>
      <c r="C7823" s="73" t="s">
        <v>3697</v>
      </c>
      <c r="D7823" s="73"/>
      <c r="E7823" s="73"/>
      <c r="F7823" s="74" t="s">
        <v>3</v>
      </c>
      <c r="G7823" s="153">
        <f>0.24*0.055*2*8*1.115</f>
        <v>0.235488</v>
      </c>
      <c r="H7823" s="164"/>
    </row>
    <row r="7824" spans="1:9" x14ac:dyDescent="0.25">
      <c r="A7824" s="163"/>
      <c r="B7824" s="106"/>
      <c r="C7824" s="73"/>
      <c r="D7824" s="73"/>
      <c r="E7824" s="73"/>
      <c r="F7824" s="74"/>
      <c r="G7824" s="153"/>
      <c r="H7824" s="164"/>
    </row>
    <row r="7825" spans="1:8" x14ac:dyDescent="0.25">
      <c r="A7825" s="163"/>
      <c r="B7825" s="106"/>
      <c r="C7825" s="73" t="s">
        <v>3700</v>
      </c>
      <c r="D7825" s="73"/>
      <c r="E7825" s="73"/>
      <c r="F7825" s="74"/>
      <c r="G7825" s="153"/>
      <c r="H7825" s="164"/>
    </row>
    <row r="7826" spans="1:8" x14ac:dyDescent="0.25">
      <c r="A7826" s="163"/>
      <c r="B7826" s="106"/>
      <c r="C7826" s="73" t="s">
        <v>2755</v>
      </c>
      <c r="D7826" s="75"/>
      <c r="E7826" s="73"/>
      <c r="F7826" s="74" t="s">
        <v>3</v>
      </c>
      <c r="G7826" s="153">
        <f>0.1*0.08*1.2</f>
        <v>9.5999999999999992E-3</v>
      </c>
      <c r="H7826" s="164"/>
    </row>
    <row r="7827" spans="1:8" ht="17.25" x14ac:dyDescent="0.25">
      <c r="A7827" s="163"/>
      <c r="B7827" s="106"/>
      <c r="C7827" s="73" t="s">
        <v>1055</v>
      </c>
      <c r="D7827" s="75"/>
      <c r="E7827" s="73"/>
      <c r="F7827" s="74" t="s">
        <v>596</v>
      </c>
      <c r="G7827" s="153">
        <f>G7826*1.1</f>
        <v>1.056E-2</v>
      </c>
      <c r="H7827" s="164"/>
    </row>
    <row r="7828" spans="1:8" x14ac:dyDescent="0.25">
      <c r="A7828" s="163"/>
      <c r="B7828" s="106"/>
      <c r="C7828" s="73"/>
      <c r="D7828" s="75" t="s">
        <v>3699</v>
      </c>
      <c r="E7828" s="73"/>
      <c r="F7828" s="74"/>
      <c r="G7828" s="153"/>
      <c r="H7828" s="164"/>
    </row>
    <row r="7829" spans="1:8" x14ac:dyDescent="0.25">
      <c r="A7829" s="163"/>
      <c r="B7829" s="106"/>
      <c r="C7829" s="73"/>
      <c r="D7829" s="73" t="s">
        <v>3697</v>
      </c>
      <c r="E7829" s="73"/>
      <c r="F7829" s="74" t="s">
        <v>3</v>
      </c>
      <c r="G7829" s="153">
        <f>0.28*0.055*2*8*1.12-0.001</f>
        <v>0.27496800000000005</v>
      </c>
      <c r="H7829" s="164"/>
    </row>
    <row r="7830" spans="1:8" x14ac:dyDescent="0.25">
      <c r="A7830" s="163"/>
      <c r="B7830" s="106"/>
      <c r="C7830" s="73"/>
      <c r="D7830" s="73"/>
      <c r="E7830" s="73"/>
      <c r="F7830" s="74"/>
      <c r="G7830" s="153"/>
      <c r="H7830" s="164"/>
    </row>
    <row r="7831" spans="1:8" x14ac:dyDescent="0.25">
      <c r="A7831" s="163"/>
      <c r="B7831" s="106"/>
      <c r="C7831" s="75" t="s">
        <v>3701</v>
      </c>
      <c r="D7831" s="73"/>
      <c r="E7831" s="73"/>
      <c r="F7831" s="74"/>
      <c r="G7831" s="153"/>
      <c r="H7831" s="164"/>
    </row>
    <row r="7832" spans="1:8" x14ac:dyDescent="0.25">
      <c r="A7832" s="163"/>
      <c r="B7832" s="106"/>
      <c r="C7832" s="73" t="s">
        <v>3702</v>
      </c>
      <c r="D7832" s="73"/>
      <c r="E7832" s="73"/>
      <c r="F7832" s="74" t="s">
        <v>3</v>
      </c>
      <c r="G7832" s="153">
        <f>(0.034*3.14+0.05)*0.02*2*8*1.1</f>
        <v>5.517952000000001E-2</v>
      </c>
      <c r="H7832" s="164"/>
    </row>
    <row r="7833" spans="1:8" x14ac:dyDescent="0.25">
      <c r="A7833" s="163"/>
      <c r="B7833" s="106"/>
      <c r="C7833" s="73"/>
      <c r="D7833" s="73"/>
      <c r="E7833" s="73"/>
      <c r="F7833" s="74"/>
      <c r="G7833" s="153"/>
      <c r="H7833" s="164"/>
    </row>
    <row r="7834" spans="1:8" x14ac:dyDescent="0.25">
      <c r="A7834" s="163"/>
      <c r="B7834" s="106"/>
      <c r="C7834" s="75" t="s">
        <v>3703</v>
      </c>
      <c r="D7834" s="73"/>
      <c r="E7834" s="73"/>
      <c r="F7834" s="74"/>
      <c r="G7834" s="153"/>
      <c r="H7834" s="164"/>
    </row>
    <row r="7835" spans="1:8" x14ac:dyDescent="0.25">
      <c r="A7835" s="163"/>
      <c r="B7835" s="106"/>
      <c r="C7835" s="73" t="s">
        <v>3370</v>
      </c>
      <c r="D7835" s="73"/>
      <c r="E7835" s="73"/>
      <c r="F7835" s="74" t="s">
        <v>3</v>
      </c>
      <c r="G7835" s="153">
        <f>0.745*0.07*1.5*8*1.135</f>
        <v>0.710283</v>
      </c>
      <c r="H7835" s="164"/>
    </row>
    <row r="7836" spans="1:8" x14ac:dyDescent="0.25">
      <c r="A7836" s="163"/>
      <c r="B7836" s="106"/>
      <c r="C7836" s="73"/>
      <c r="D7836" s="73"/>
      <c r="E7836" s="73"/>
      <c r="F7836" s="74"/>
      <c r="G7836" s="153"/>
      <c r="H7836" s="164"/>
    </row>
    <row r="7837" spans="1:8" x14ac:dyDescent="0.25">
      <c r="A7837" s="163"/>
      <c r="B7837" s="106"/>
      <c r="C7837" s="75" t="s">
        <v>3704</v>
      </c>
      <c r="D7837" s="73"/>
      <c r="E7837" s="73"/>
      <c r="F7837" s="74"/>
      <c r="G7837" s="153"/>
      <c r="H7837" s="164"/>
    </row>
    <row r="7838" spans="1:8" x14ac:dyDescent="0.25">
      <c r="A7838" s="163"/>
      <c r="B7838" s="106"/>
      <c r="C7838" s="73" t="s">
        <v>3370</v>
      </c>
      <c r="D7838" s="73"/>
      <c r="E7838" s="73"/>
      <c r="F7838" s="74" t="s">
        <v>3</v>
      </c>
      <c r="G7838" s="153">
        <f>0.545*0.095*1.5*8*1.127</f>
        <v>0.70020509999999991</v>
      </c>
      <c r="H7838" s="164"/>
    </row>
    <row r="7839" spans="1:8" x14ac:dyDescent="0.25">
      <c r="A7839" s="163"/>
      <c r="B7839" s="106"/>
      <c r="C7839" s="73"/>
      <c r="D7839" s="73"/>
      <c r="E7839" s="73"/>
      <c r="F7839" s="74"/>
      <c r="G7839" s="153"/>
      <c r="H7839" s="164"/>
    </row>
    <row r="7840" spans="1:8" x14ac:dyDescent="0.25">
      <c r="A7840" s="163"/>
      <c r="B7840" s="106"/>
      <c r="C7840" s="75" t="s">
        <v>3705</v>
      </c>
      <c r="D7840" s="73"/>
      <c r="E7840" s="73"/>
      <c r="F7840" s="74"/>
      <c r="G7840" s="153"/>
      <c r="H7840" s="164"/>
    </row>
    <row r="7841" spans="1:11" x14ac:dyDescent="0.25">
      <c r="A7841" s="163"/>
      <c r="B7841" s="106"/>
      <c r="C7841" s="73" t="s">
        <v>3370</v>
      </c>
      <c r="D7841" s="73"/>
      <c r="E7841" s="73"/>
      <c r="F7841" s="74" t="s">
        <v>3</v>
      </c>
      <c r="G7841" s="153">
        <f>0.705*0.095*1.5*8*1.12</f>
        <v>0.90014399999999994</v>
      </c>
      <c r="H7841" s="164"/>
    </row>
    <row r="7842" spans="1:11" x14ac:dyDescent="0.25">
      <c r="A7842" s="163"/>
      <c r="B7842" s="106"/>
      <c r="C7842" s="73"/>
      <c r="D7842" s="73"/>
      <c r="E7842" s="73"/>
      <c r="F7842" s="74"/>
      <c r="G7842" s="153"/>
      <c r="H7842" s="164"/>
    </row>
    <row r="7843" spans="1:11" x14ac:dyDescent="0.25">
      <c r="A7843" s="163"/>
      <c r="B7843" s="106"/>
      <c r="C7843" s="75" t="s">
        <v>1050</v>
      </c>
      <c r="D7843" s="73"/>
      <c r="E7843" s="73"/>
      <c r="F7843" s="74"/>
      <c r="G7843" s="153"/>
      <c r="H7843" s="164"/>
    </row>
    <row r="7844" spans="1:11" x14ac:dyDescent="0.25">
      <c r="A7844" s="163"/>
      <c r="B7844" s="106"/>
      <c r="C7844" s="73" t="s">
        <v>3706</v>
      </c>
      <c r="D7844" s="73"/>
      <c r="E7844" s="73"/>
      <c r="F7844" s="74" t="s">
        <v>3</v>
      </c>
      <c r="G7844" s="153">
        <f>0.65*0.035*2.5*8*1.12</f>
        <v>0.50960000000000016</v>
      </c>
      <c r="H7844" s="164"/>
    </row>
    <row r="7845" spans="1:11" x14ac:dyDescent="0.25">
      <c r="A7845" s="163"/>
      <c r="B7845" s="106"/>
      <c r="C7845" s="73"/>
      <c r="D7845" s="73"/>
      <c r="E7845" s="73"/>
      <c r="F7845" s="74"/>
      <c r="G7845" s="153"/>
      <c r="H7845" s="164"/>
    </row>
    <row r="7846" spans="1:11" x14ac:dyDescent="0.25">
      <c r="A7846" s="163"/>
      <c r="B7846" s="106"/>
      <c r="C7846" s="75" t="s">
        <v>3707</v>
      </c>
      <c r="D7846" s="73"/>
      <c r="E7846" s="73"/>
      <c r="F7846" s="74"/>
      <c r="G7846" s="153"/>
      <c r="H7846" s="164"/>
    </row>
    <row r="7847" spans="1:11" x14ac:dyDescent="0.25">
      <c r="A7847" s="163"/>
      <c r="B7847" s="106"/>
      <c r="C7847" s="100" t="s">
        <v>140</v>
      </c>
      <c r="D7847" s="75"/>
      <c r="E7847" s="73"/>
      <c r="F7847" s="74" t="s">
        <v>3</v>
      </c>
      <c r="G7847" s="153">
        <f>0.01*3.14*3*0.08*1.3</f>
        <v>9.7968000000000013E-3</v>
      </c>
      <c r="H7847" s="164"/>
    </row>
    <row r="7848" spans="1:11" ht="17.25" x14ac:dyDescent="0.25">
      <c r="A7848" s="163"/>
      <c r="B7848" s="106"/>
      <c r="C7848" s="100" t="s">
        <v>23</v>
      </c>
      <c r="D7848" s="75"/>
      <c r="E7848" s="73"/>
      <c r="F7848" s="74" t="s">
        <v>596</v>
      </c>
      <c r="G7848" s="153">
        <f>G7847*2</f>
        <v>1.9593600000000003E-2</v>
      </c>
      <c r="H7848" s="164"/>
    </row>
    <row r="7849" spans="1:11" x14ac:dyDescent="0.25">
      <c r="A7849" s="163"/>
      <c r="B7849" s="106"/>
      <c r="C7849" s="100" t="s">
        <v>142</v>
      </c>
      <c r="D7849" s="75"/>
      <c r="E7849" s="73"/>
      <c r="F7849" s="74" t="s">
        <v>3</v>
      </c>
      <c r="G7849" s="153">
        <f>G7847/4</f>
        <v>2.4492000000000003E-3</v>
      </c>
      <c r="H7849" s="164"/>
    </row>
    <row r="7850" spans="1:11" x14ac:dyDescent="0.25">
      <c r="A7850" s="163"/>
      <c r="B7850" s="106"/>
      <c r="C7850" s="186" t="s">
        <v>114</v>
      </c>
      <c r="D7850" s="73"/>
      <c r="E7850" s="73"/>
      <c r="F7850" s="74" t="s">
        <v>3</v>
      </c>
      <c r="G7850" s="153">
        <f>G7852*0.8</f>
        <v>9.5039999999999986E-3</v>
      </c>
      <c r="H7850" s="164"/>
    </row>
    <row r="7851" spans="1:11" x14ac:dyDescent="0.25">
      <c r="A7851" s="163"/>
      <c r="B7851" s="106"/>
      <c r="C7851" s="186" t="s">
        <v>164</v>
      </c>
      <c r="D7851" s="73"/>
      <c r="E7851" s="73"/>
      <c r="F7851" s="74" t="s">
        <v>3</v>
      </c>
      <c r="G7851" s="153">
        <f>0.3*G7850</f>
        <v>2.8511999999999995E-3</v>
      </c>
      <c r="H7851" s="164"/>
    </row>
    <row r="7852" spans="1:11" x14ac:dyDescent="0.25">
      <c r="A7852" s="163"/>
      <c r="B7852" s="106"/>
      <c r="C7852" s="186" t="s">
        <v>500</v>
      </c>
      <c r="D7852" s="73"/>
      <c r="E7852" s="73"/>
      <c r="F7852" s="74" t="s">
        <v>3</v>
      </c>
      <c r="G7852" s="153">
        <f>0.45*0.011*2*1.2</f>
        <v>1.1879999999999998E-2</v>
      </c>
      <c r="H7852" s="164"/>
    </row>
    <row r="7853" spans="1:11" x14ac:dyDescent="0.25">
      <c r="A7853" s="163"/>
      <c r="B7853" s="106"/>
      <c r="C7853" s="186" t="s">
        <v>12</v>
      </c>
      <c r="D7853" s="73"/>
      <c r="E7853" s="73"/>
      <c r="F7853" s="74" t="s">
        <v>3</v>
      </c>
      <c r="G7853" s="153">
        <f>0.3*G7852</f>
        <v>3.5639999999999995E-3</v>
      </c>
      <c r="H7853" s="164"/>
    </row>
    <row r="7854" spans="1:11" x14ac:dyDescent="0.25">
      <c r="A7854" s="163"/>
      <c r="B7854" s="106"/>
      <c r="C7854" s="77" t="s">
        <v>3394</v>
      </c>
      <c r="D7854" s="73"/>
      <c r="E7854" s="73"/>
      <c r="F7854" s="74" t="s">
        <v>3</v>
      </c>
      <c r="G7854" s="153">
        <f>0.01*3.14*0.08*1.3</f>
        <v>3.2656000000000004E-3</v>
      </c>
      <c r="H7854" s="164"/>
      <c r="K7854" s="431"/>
    </row>
    <row r="7855" spans="1:11" ht="17.25" x14ac:dyDescent="0.25">
      <c r="A7855" s="163"/>
      <c r="B7855" s="106"/>
      <c r="C7855" s="77" t="s">
        <v>121</v>
      </c>
      <c r="D7855" s="73"/>
      <c r="E7855" s="73"/>
      <c r="F7855" s="74" t="s">
        <v>596</v>
      </c>
      <c r="G7855" s="153">
        <f>G7854*1.1</f>
        <v>3.5921600000000009E-3</v>
      </c>
      <c r="H7855" s="164"/>
      <c r="K7855" s="431"/>
    </row>
    <row r="7856" spans="1:11" x14ac:dyDescent="0.25">
      <c r="A7856" s="163"/>
      <c r="B7856" s="106"/>
      <c r="C7856" s="73"/>
      <c r="D7856" s="75" t="s">
        <v>3708</v>
      </c>
      <c r="E7856" s="73"/>
      <c r="F7856" s="74"/>
      <c r="G7856" s="153"/>
      <c r="H7856" s="164"/>
    </row>
    <row r="7857" spans="1:9" x14ac:dyDescent="0.25">
      <c r="A7857" s="163"/>
      <c r="B7857" s="106"/>
      <c r="C7857" s="73"/>
      <c r="D7857" s="73" t="s">
        <v>1222</v>
      </c>
      <c r="E7857" s="73"/>
      <c r="F7857" s="74" t="s">
        <v>3</v>
      </c>
      <c r="G7857" s="153">
        <f>0.222*0.38+0.001</f>
        <v>8.5360000000000005E-2</v>
      </c>
      <c r="H7857" s="164"/>
      <c r="I7857" t="s">
        <v>3676</v>
      </c>
    </row>
    <row r="7858" spans="1:9" x14ac:dyDescent="0.25">
      <c r="A7858" s="163"/>
      <c r="B7858" s="106"/>
      <c r="C7858" s="73"/>
      <c r="D7858" s="75" t="s">
        <v>3709</v>
      </c>
      <c r="E7858" s="73"/>
      <c r="F7858" s="74"/>
      <c r="G7858" s="153"/>
      <c r="H7858" s="164"/>
    </row>
    <row r="7859" spans="1:9" x14ac:dyDescent="0.25">
      <c r="A7859" s="163"/>
      <c r="B7859" s="106"/>
      <c r="C7859" s="73"/>
      <c r="D7859" s="73" t="s">
        <v>1222</v>
      </c>
      <c r="E7859" s="73"/>
      <c r="F7859" s="74" t="s">
        <v>3</v>
      </c>
      <c r="G7859" s="153">
        <f>0.222*0.09</f>
        <v>1.9980000000000001E-2</v>
      </c>
      <c r="H7859" s="164"/>
      <c r="I7859" t="s">
        <v>3710</v>
      </c>
    </row>
    <row r="7860" spans="1:9" x14ac:dyDescent="0.25">
      <c r="A7860" s="163"/>
      <c r="B7860" s="106"/>
      <c r="C7860" s="73"/>
      <c r="D7860" s="73"/>
      <c r="E7860" s="73"/>
      <c r="F7860" s="74"/>
      <c r="G7860" s="153"/>
      <c r="H7860" s="164"/>
    </row>
    <row r="7861" spans="1:9" x14ac:dyDescent="0.25">
      <c r="A7861" s="163"/>
      <c r="B7861" s="106"/>
      <c r="C7861" s="75" t="s">
        <v>3711</v>
      </c>
      <c r="D7861" s="73"/>
      <c r="E7861" s="73"/>
      <c r="F7861" s="74"/>
      <c r="G7861" s="153"/>
      <c r="H7861" s="164"/>
    </row>
    <row r="7862" spans="1:9" x14ac:dyDescent="0.25">
      <c r="A7862" s="163"/>
      <c r="B7862" s="106"/>
      <c r="C7862" s="73" t="s">
        <v>3712</v>
      </c>
      <c r="D7862" s="73"/>
      <c r="E7862" s="73"/>
      <c r="F7862" s="74" t="s">
        <v>3</v>
      </c>
      <c r="G7862" s="153">
        <f>0.123*0.2</f>
        <v>2.46E-2</v>
      </c>
      <c r="H7862" s="164"/>
      <c r="I7862" t="s">
        <v>3713</v>
      </c>
    </row>
    <row r="7863" spans="1:9" x14ac:dyDescent="0.25">
      <c r="A7863" s="163"/>
      <c r="B7863" s="106"/>
      <c r="C7863" s="73"/>
      <c r="D7863" s="73"/>
      <c r="E7863" s="73"/>
      <c r="F7863" s="74"/>
      <c r="G7863" s="153"/>
      <c r="H7863" s="164"/>
    </row>
    <row r="7864" spans="1:9" x14ac:dyDescent="0.25">
      <c r="A7864" s="163"/>
      <c r="B7864" s="106"/>
      <c r="C7864" s="75" t="s">
        <v>3714</v>
      </c>
      <c r="D7864" s="73"/>
      <c r="E7864" s="73"/>
      <c r="F7864" s="74"/>
      <c r="G7864" s="153"/>
      <c r="H7864" s="164"/>
    </row>
    <row r="7865" spans="1:9" x14ac:dyDescent="0.25">
      <c r="A7865" s="163"/>
      <c r="B7865" s="106"/>
      <c r="C7865" s="73" t="s">
        <v>3715</v>
      </c>
      <c r="D7865" s="73"/>
      <c r="E7865" s="73"/>
      <c r="F7865" s="74" t="s">
        <v>3</v>
      </c>
      <c r="G7865" s="153">
        <f>0.03*0.03*1.5*8*1.1</f>
        <v>1.1880000000000002E-2</v>
      </c>
      <c r="H7865" s="164"/>
    </row>
    <row r="7866" spans="1:9" x14ac:dyDescent="0.25">
      <c r="A7866" s="163"/>
      <c r="B7866" s="106"/>
      <c r="C7866" s="73"/>
      <c r="D7866" s="73"/>
      <c r="E7866" s="73"/>
      <c r="F7866" s="74"/>
      <c r="G7866" s="153"/>
      <c r="H7866" s="164"/>
    </row>
    <row r="7867" spans="1:9" x14ac:dyDescent="0.25">
      <c r="A7867" s="163"/>
      <c r="B7867" s="106"/>
      <c r="C7867" s="75" t="s">
        <v>3716</v>
      </c>
      <c r="D7867" s="73"/>
      <c r="E7867" s="73"/>
      <c r="F7867" s="74"/>
      <c r="G7867" s="153"/>
      <c r="H7867" s="164"/>
    </row>
    <row r="7868" spans="1:9" x14ac:dyDescent="0.25">
      <c r="A7868" s="163"/>
      <c r="B7868" s="106"/>
      <c r="C7868" s="73" t="s">
        <v>3717</v>
      </c>
      <c r="D7868" s="73"/>
      <c r="E7868" s="73"/>
      <c r="F7868" s="74" t="s">
        <v>3</v>
      </c>
      <c r="G7868" s="153">
        <f>0.035*0.027*1.5*8*1.11</f>
        <v>1.2587400000000002E-2</v>
      </c>
      <c r="H7868" s="164"/>
    </row>
    <row r="7869" spans="1:9" x14ac:dyDescent="0.25">
      <c r="A7869" s="163"/>
      <c r="B7869" s="106"/>
      <c r="C7869" s="73"/>
      <c r="D7869" s="73"/>
      <c r="E7869" s="73"/>
      <c r="F7869" s="74"/>
      <c r="G7869" s="153"/>
      <c r="H7869" s="164"/>
    </row>
    <row r="7870" spans="1:9" x14ac:dyDescent="0.25">
      <c r="A7870" s="163"/>
      <c r="B7870" s="106"/>
      <c r="C7870" s="75" t="s">
        <v>3718</v>
      </c>
      <c r="D7870" s="73"/>
      <c r="E7870" s="73"/>
      <c r="F7870" s="74"/>
      <c r="G7870" s="153"/>
      <c r="H7870" s="164"/>
    </row>
    <row r="7871" spans="1:9" x14ac:dyDescent="0.25">
      <c r="A7871" s="163"/>
      <c r="B7871" s="106"/>
      <c r="C7871" s="73" t="s">
        <v>3719</v>
      </c>
      <c r="D7871" s="73"/>
      <c r="E7871" s="73"/>
      <c r="F7871" s="74" t="s">
        <v>3</v>
      </c>
      <c r="G7871" s="153">
        <f>0.055*0.015*0.5*9*1.11</f>
        <v>4.1208750000000004E-3</v>
      </c>
      <c r="H7871" s="164"/>
    </row>
    <row r="7872" spans="1:9" x14ac:dyDescent="0.25">
      <c r="A7872" s="163"/>
      <c r="B7872" s="106"/>
      <c r="C7872" s="73" t="s">
        <v>3723</v>
      </c>
      <c r="D7872" s="73"/>
      <c r="E7872" s="73"/>
      <c r="F7872" s="74" t="s">
        <v>3</v>
      </c>
      <c r="G7872" s="153">
        <f>0.055*0.015*0.5*8.5*1.11</f>
        <v>3.8919375E-3</v>
      </c>
      <c r="H7872" s="164"/>
    </row>
    <row r="7873" spans="1:8" x14ac:dyDescent="0.25">
      <c r="A7873" s="163"/>
      <c r="B7873" s="106"/>
      <c r="C7873" s="73"/>
      <c r="D7873" s="73"/>
      <c r="E7873" s="73"/>
      <c r="F7873" s="74"/>
      <c r="G7873" s="153"/>
      <c r="H7873" s="164"/>
    </row>
    <row r="7874" spans="1:8" x14ac:dyDescent="0.25">
      <c r="A7874" s="163"/>
      <c r="B7874" s="106"/>
      <c r="C7874" s="75" t="s">
        <v>3720</v>
      </c>
      <c r="D7874" s="73"/>
      <c r="E7874" s="73"/>
      <c r="F7874" s="74"/>
      <c r="G7874" s="153"/>
      <c r="H7874" s="164"/>
    </row>
    <row r="7875" spans="1:8" x14ac:dyDescent="0.25">
      <c r="A7875" s="163"/>
      <c r="B7875" s="106"/>
      <c r="C7875" s="73" t="s">
        <v>957</v>
      </c>
      <c r="D7875" s="73"/>
      <c r="E7875" s="73"/>
      <c r="F7875" s="74" t="s">
        <v>3</v>
      </c>
      <c r="G7875" s="153">
        <f>0.04*0.01*1*8.5*1.12</f>
        <v>3.8080000000000006E-3</v>
      </c>
      <c r="H7875" s="164"/>
    </row>
    <row r="7876" spans="1:8" x14ac:dyDescent="0.25">
      <c r="A7876" s="163"/>
      <c r="B7876" s="106"/>
      <c r="C7876" s="73"/>
      <c r="D7876" s="73"/>
      <c r="E7876" s="73"/>
      <c r="F7876" s="74"/>
      <c r="G7876" s="153"/>
      <c r="H7876" s="164"/>
    </row>
    <row r="7877" spans="1:8" x14ac:dyDescent="0.25">
      <c r="A7877" s="163"/>
      <c r="B7877" s="106"/>
      <c r="C7877" s="73" t="s">
        <v>3030</v>
      </c>
      <c r="D7877" s="73"/>
      <c r="E7877" s="73"/>
      <c r="F7877" s="74"/>
      <c r="G7877" s="153"/>
      <c r="H7877" s="164"/>
    </row>
    <row r="7878" spans="1:8" x14ac:dyDescent="0.25">
      <c r="A7878" s="163"/>
      <c r="B7878" s="106"/>
      <c r="C7878" s="73" t="s">
        <v>3721</v>
      </c>
      <c r="D7878" s="73"/>
      <c r="E7878" s="73"/>
      <c r="F7878" s="74" t="s">
        <v>3</v>
      </c>
      <c r="G7878" s="153">
        <f>0.1*0.045*0.25*8*1.15</f>
        <v>1.0349999999999998E-2</v>
      </c>
      <c r="H7878" s="164"/>
    </row>
    <row r="7879" spans="1:8" x14ac:dyDescent="0.25">
      <c r="A7879" s="163"/>
      <c r="B7879" s="106"/>
      <c r="C7879" s="73" t="s">
        <v>3722</v>
      </c>
      <c r="D7879" s="73"/>
      <c r="E7879" s="73"/>
      <c r="F7879" s="74" t="s">
        <v>3</v>
      </c>
      <c r="G7879" s="153">
        <f>0.1*0.045*0.25*8*1.15</f>
        <v>1.0349999999999998E-2</v>
      </c>
      <c r="H7879" s="164"/>
    </row>
    <row r="7880" spans="1:8" x14ac:dyDescent="0.25">
      <c r="A7880" s="163"/>
      <c r="B7880" s="106"/>
      <c r="C7880" s="73"/>
      <c r="D7880" s="73"/>
      <c r="E7880" s="73"/>
      <c r="F7880" s="74"/>
      <c r="G7880" s="153"/>
      <c r="H7880" s="164"/>
    </row>
    <row r="7881" spans="1:8" x14ac:dyDescent="0.25">
      <c r="A7881" s="163"/>
      <c r="B7881" s="106"/>
      <c r="C7881" s="75" t="s">
        <v>3725</v>
      </c>
      <c r="D7881" s="73"/>
      <c r="E7881" s="73"/>
      <c r="F7881" s="74"/>
      <c r="G7881" s="153"/>
      <c r="H7881" s="164"/>
    </row>
    <row r="7882" spans="1:8" x14ac:dyDescent="0.25">
      <c r="A7882" s="163"/>
      <c r="B7882" s="106"/>
      <c r="C7882" s="73" t="s">
        <v>3724</v>
      </c>
      <c r="D7882" s="73"/>
      <c r="E7882" s="73"/>
      <c r="F7882" s="74" t="s">
        <v>3</v>
      </c>
      <c r="G7882" s="153">
        <f>0.25*0.3*0.2*1.3</f>
        <v>1.95E-2</v>
      </c>
      <c r="H7882" s="164"/>
    </row>
    <row r="7883" spans="1:8" x14ac:dyDescent="0.25">
      <c r="A7883" s="163"/>
      <c r="B7883" s="106"/>
      <c r="C7883" s="73" t="s">
        <v>8</v>
      </c>
      <c r="D7883" s="73"/>
      <c r="E7883" s="73"/>
      <c r="F7883" s="74" t="s">
        <v>3</v>
      </c>
      <c r="G7883" s="153">
        <f>G7884*0.65</f>
        <v>1.9743750000000001E-2</v>
      </c>
      <c r="H7883" s="164"/>
    </row>
    <row r="7884" spans="1:8" x14ac:dyDescent="0.25">
      <c r="A7884" s="163"/>
      <c r="B7884" s="106"/>
      <c r="C7884" s="73" t="s">
        <v>115</v>
      </c>
      <c r="D7884" s="73"/>
      <c r="E7884" s="73"/>
      <c r="F7884" s="74" t="s">
        <v>3</v>
      </c>
      <c r="G7884" s="153">
        <f>0.25*0.3*0.15*2*1.35</f>
        <v>3.0374999999999999E-2</v>
      </c>
      <c r="H7884" s="164"/>
    </row>
    <row r="7885" spans="1:8" x14ac:dyDescent="0.25">
      <c r="A7885" s="163"/>
      <c r="B7885" s="106"/>
      <c r="C7885" s="73" t="s">
        <v>12</v>
      </c>
      <c r="D7885" s="73"/>
      <c r="E7885" s="73"/>
      <c r="F7885" s="74" t="s">
        <v>3</v>
      </c>
      <c r="G7885" s="153">
        <f>0.3*(G7884+G7883)</f>
        <v>1.5035625E-2</v>
      </c>
      <c r="H7885" s="164"/>
    </row>
    <row r="7886" spans="1:8" x14ac:dyDescent="0.25">
      <c r="A7886" s="163"/>
      <c r="B7886" s="106"/>
      <c r="C7886" s="73"/>
      <c r="D7886" s="73" t="s">
        <v>3726</v>
      </c>
      <c r="E7886" s="73"/>
      <c r="F7886" s="74"/>
      <c r="G7886" s="153"/>
      <c r="H7886" s="164"/>
    </row>
    <row r="7887" spans="1:8" x14ac:dyDescent="0.25">
      <c r="A7887" s="163"/>
      <c r="B7887" s="106"/>
      <c r="C7887" s="73"/>
      <c r="D7887" s="73" t="s">
        <v>213</v>
      </c>
      <c r="E7887" s="73"/>
      <c r="F7887" s="74" t="s">
        <v>3</v>
      </c>
      <c r="G7887" s="153">
        <f>0.265*0.34*3*2.7*1.11</f>
        <v>0.81008910000000023</v>
      </c>
      <c r="H7887" s="164"/>
    </row>
    <row r="7888" spans="1:8" x14ac:dyDescent="0.25">
      <c r="A7888" s="163"/>
      <c r="B7888" s="106"/>
      <c r="C7888" s="73"/>
      <c r="D7888" s="73"/>
      <c r="E7888" s="73"/>
      <c r="F7888" s="74"/>
      <c r="G7888" s="153"/>
      <c r="H7888" s="164"/>
    </row>
    <row r="7889" spans="1:9" x14ac:dyDescent="0.25">
      <c r="A7889" s="163"/>
      <c r="B7889" s="106"/>
      <c r="C7889" s="75" t="s">
        <v>3727</v>
      </c>
      <c r="D7889" s="73"/>
      <c r="E7889" s="73"/>
      <c r="F7889" s="74"/>
      <c r="G7889" s="153"/>
      <c r="H7889" s="164"/>
    </row>
    <row r="7890" spans="1:9" x14ac:dyDescent="0.25">
      <c r="A7890" s="163"/>
      <c r="B7890" s="106"/>
      <c r="C7890" s="73" t="s">
        <v>3724</v>
      </c>
      <c r="D7890" s="73"/>
      <c r="E7890" s="73"/>
      <c r="F7890" s="74" t="s">
        <v>3</v>
      </c>
      <c r="G7890" s="153">
        <f>0.25*0.1*0.2*1.3</f>
        <v>6.5000000000000014E-3</v>
      </c>
      <c r="H7890" s="164"/>
    </row>
    <row r="7891" spans="1:9" x14ac:dyDescent="0.25">
      <c r="A7891" s="163"/>
      <c r="B7891" s="106"/>
      <c r="C7891" s="73" t="s">
        <v>8</v>
      </c>
      <c r="D7891" s="73"/>
      <c r="E7891" s="73"/>
      <c r="F7891" s="74" t="s">
        <v>3</v>
      </c>
      <c r="G7891" s="153">
        <f>G7892*0.65</f>
        <v>7.9091999999999999E-3</v>
      </c>
      <c r="H7891" s="164"/>
    </row>
    <row r="7892" spans="1:9" x14ac:dyDescent="0.25">
      <c r="A7892" s="163"/>
      <c r="B7892" s="106"/>
      <c r="C7892" s="73" t="s">
        <v>115</v>
      </c>
      <c r="D7892" s="73"/>
      <c r="E7892" s="73"/>
      <c r="F7892" s="74" t="s">
        <v>3</v>
      </c>
      <c r="G7892" s="153">
        <f>0.26*0.12*0.15*2*1.3</f>
        <v>1.2167999999999998E-2</v>
      </c>
      <c r="H7892" s="164"/>
    </row>
    <row r="7893" spans="1:9" x14ac:dyDescent="0.25">
      <c r="A7893" s="163"/>
      <c r="B7893" s="106"/>
      <c r="C7893" s="73" t="s">
        <v>12</v>
      </c>
      <c r="D7893" s="73"/>
      <c r="E7893" s="73"/>
      <c r="F7893" s="74" t="s">
        <v>3</v>
      </c>
      <c r="G7893" s="153">
        <f>0.3*(G7892+G7891)</f>
        <v>6.0231599999999988E-3</v>
      </c>
      <c r="H7893" s="164"/>
    </row>
    <row r="7894" spans="1:9" x14ac:dyDescent="0.25">
      <c r="A7894" s="163"/>
      <c r="B7894" s="106"/>
      <c r="C7894" s="73"/>
      <c r="D7894" s="73" t="s">
        <v>3728</v>
      </c>
      <c r="E7894" s="73"/>
      <c r="F7894" s="74"/>
      <c r="G7894" s="153"/>
      <c r="H7894" s="164"/>
    </row>
    <row r="7895" spans="1:9" x14ac:dyDescent="0.25">
      <c r="A7895" s="163"/>
      <c r="B7895" s="106"/>
      <c r="C7895" s="73"/>
      <c r="D7895" s="73" t="s">
        <v>213</v>
      </c>
      <c r="E7895" s="73"/>
      <c r="F7895" s="74" t="s">
        <v>3</v>
      </c>
      <c r="G7895" s="153">
        <f>0.265*0.125*3*2.7*1.119</f>
        <v>0.30024168750000002</v>
      </c>
      <c r="H7895" s="164"/>
    </row>
    <row r="7896" spans="1:9" x14ac:dyDescent="0.25">
      <c r="A7896" s="163"/>
      <c r="B7896" s="106"/>
      <c r="C7896" s="73"/>
      <c r="D7896" s="73"/>
      <c r="E7896" s="73"/>
      <c r="F7896" s="74"/>
      <c r="G7896" s="153"/>
      <c r="H7896" s="164"/>
    </row>
    <row r="7897" spans="1:9" x14ac:dyDescent="0.25">
      <c r="A7897" s="163"/>
      <c r="B7897" s="106"/>
      <c r="C7897" s="75" t="s">
        <v>3729</v>
      </c>
      <c r="D7897" s="73"/>
      <c r="E7897" s="73"/>
      <c r="F7897" s="74"/>
      <c r="G7897" s="153"/>
      <c r="H7897" s="164"/>
    </row>
    <row r="7898" spans="1:9" x14ac:dyDescent="0.25">
      <c r="A7898" s="163"/>
      <c r="B7898" s="106"/>
      <c r="C7898" s="77" t="s">
        <v>3394</v>
      </c>
      <c r="D7898" s="73"/>
      <c r="E7898" s="73"/>
      <c r="F7898" s="74" t="s">
        <v>3</v>
      </c>
      <c r="G7898" s="153">
        <f>0.02*3.14*0.08*1.2</f>
        <v>6.0288000000000008E-3</v>
      </c>
      <c r="H7898" s="164"/>
    </row>
    <row r="7899" spans="1:9" ht="17.25" x14ac:dyDescent="0.25">
      <c r="A7899" s="163"/>
      <c r="B7899" s="106"/>
      <c r="C7899" s="77" t="s">
        <v>121</v>
      </c>
      <c r="D7899" s="73"/>
      <c r="E7899" s="73"/>
      <c r="F7899" s="74" t="s">
        <v>596</v>
      </c>
      <c r="G7899" s="153">
        <f>G7898*1.1</f>
        <v>6.6316800000000018E-3</v>
      </c>
      <c r="H7899" s="164"/>
    </row>
    <row r="7900" spans="1:9" x14ac:dyDescent="0.25">
      <c r="A7900" s="163"/>
      <c r="B7900" s="106"/>
      <c r="C7900" s="73"/>
      <c r="D7900" s="75" t="s">
        <v>3730</v>
      </c>
      <c r="E7900" s="73"/>
      <c r="F7900" s="74"/>
      <c r="G7900" s="153"/>
      <c r="H7900" s="164"/>
    </row>
    <row r="7901" spans="1:9" x14ac:dyDescent="0.25">
      <c r="A7901" s="163"/>
      <c r="B7901" s="106"/>
      <c r="C7901" s="73"/>
      <c r="D7901" s="73" t="s">
        <v>3731</v>
      </c>
      <c r="E7901" s="73"/>
      <c r="F7901" s="74" t="s">
        <v>3</v>
      </c>
      <c r="G7901" s="153">
        <f>0.419*0.04</f>
        <v>1.6760000000000001E-2</v>
      </c>
      <c r="H7901" s="164"/>
    </row>
    <row r="7902" spans="1:9" x14ac:dyDescent="0.25">
      <c r="A7902" s="163"/>
      <c r="B7902" s="106"/>
      <c r="C7902" s="73"/>
      <c r="D7902" s="73"/>
      <c r="E7902" s="73"/>
      <c r="F7902" s="74"/>
      <c r="G7902" s="153"/>
      <c r="H7902" s="164"/>
    </row>
    <row r="7903" spans="1:9" x14ac:dyDescent="0.25">
      <c r="A7903" s="163"/>
      <c r="B7903" s="106"/>
      <c r="C7903" s="75" t="s">
        <v>3732</v>
      </c>
      <c r="D7903" s="73"/>
      <c r="E7903" s="73"/>
      <c r="F7903" s="74"/>
      <c r="G7903" s="153"/>
      <c r="H7903" s="164"/>
    </row>
    <row r="7904" spans="1:9" x14ac:dyDescent="0.25">
      <c r="A7904" s="163"/>
      <c r="B7904" s="106"/>
      <c r="C7904" s="73" t="s">
        <v>3733</v>
      </c>
      <c r="D7904" s="73"/>
      <c r="E7904" s="73"/>
      <c r="F7904" s="74" t="s">
        <v>3</v>
      </c>
      <c r="G7904" s="153">
        <f>0.271*0.59</f>
        <v>0.15989</v>
      </c>
      <c r="H7904" s="164"/>
      <c r="I7904" t="s">
        <v>3734</v>
      </c>
    </row>
    <row r="7905" spans="1:8" x14ac:dyDescent="0.25">
      <c r="A7905" s="163"/>
      <c r="B7905" s="106"/>
      <c r="C7905" s="73"/>
      <c r="D7905" s="73"/>
      <c r="E7905" s="73"/>
      <c r="F7905" s="74"/>
      <c r="G7905" s="153"/>
      <c r="H7905" s="164"/>
    </row>
    <row r="7906" spans="1:8" x14ac:dyDescent="0.25">
      <c r="A7906" s="163"/>
      <c r="B7906" s="106"/>
      <c r="C7906" s="75" t="s">
        <v>3735</v>
      </c>
      <c r="D7906" s="73"/>
      <c r="E7906" s="73"/>
      <c r="F7906" s="74"/>
      <c r="G7906" s="153"/>
      <c r="H7906" s="164"/>
    </row>
    <row r="7907" spans="1:8" x14ac:dyDescent="0.25">
      <c r="A7907" s="163"/>
      <c r="B7907" s="106"/>
      <c r="C7907" s="73" t="s">
        <v>3736</v>
      </c>
      <c r="D7907" s="73"/>
      <c r="E7907" s="73"/>
      <c r="F7907" s="74" t="s">
        <v>3</v>
      </c>
      <c r="G7907" s="153">
        <f>0.018*0.018*1.5*8*1.1</f>
        <v>4.2767999999999999E-3</v>
      </c>
      <c r="H7907" s="164"/>
    </row>
    <row r="7908" spans="1:8" x14ac:dyDescent="0.25">
      <c r="A7908" s="163"/>
      <c r="B7908" s="106"/>
      <c r="C7908" s="73"/>
      <c r="D7908" s="73"/>
      <c r="E7908" s="73"/>
      <c r="F7908" s="74"/>
      <c r="G7908" s="153"/>
      <c r="H7908" s="164"/>
    </row>
    <row r="7909" spans="1:8" x14ac:dyDescent="0.25">
      <c r="A7909" s="163"/>
      <c r="B7909" s="106"/>
      <c r="C7909" s="75" t="s">
        <v>3737</v>
      </c>
      <c r="D7909" s="73"/>
      <c r="E7909" s="73"/>
      <c r="F7909" s="74"/>
      <c r="G7909" s="153"/>
      <c r="H7909" s="164"/>
    </row>
    <row r="7910" spans="1:8" x14ac:dyDescent="0.25">
      <c r="A7910" s="163"/>
      <c r="B7910" s="106"/>
      <c r="C7910" s="73" t="s">
        <v>3738</v>
      </c>
      <c r="D7910" s="73"/>
      <c r="E7910" s="73"/>
      <c r="F7910" s="74" t="s">
        <v>3</v>
      </c>
      <c r="G7910" s="153">
        <f>0.065*0.035*1.5*8*1.16</f>
        <v>3.1668000000000002E-2</v>
      </c>
      <c r="H7910" s="164"/>
    </row>
    <row r="7911" spans="1:8" x14ac:dyDescent="0.25">
      <c r="A7911" s="163"/>
      <c r="B7911" s="106"/>
      <c r="C7911" s="73"/>
      <c r="D7911" s="73"/>
      <c r="E7911" s="73"/>
      <c r="F7911" s="74"/>
      <c r="G7911" s="153"/>
      <c r="H7911" s="164"/>
    </row>
    <row r="7912" spans="1:8" x14ac:dyDescent="0.25">
      <c r="A7912" s="163"/>
      <c r="B7912" s="106"/>
      <c r="C7912" s="75" t="s">
        <v>3739</v>
      </c>
      <c r="D7912" s="73"/>
      <c r="E7912" s="73"/>
      <c r="F7912" s="74"/>
      <c r="G7912" s="153"/>
      <c r="H7912" s="164"/>
    </row>
    <row r="7913" spans="1:8" x14ac:dyDescent="0.25">
      <c r="A7913" s="163"/>
      <c r="B7913" s="106"/>
      <c r="C7913" s="73" t="s">
        <v>3740</v>
      </c>
      <c r="D7913" s="73"/>
      <c r="E7913" s="73"/>
      <c r="F7913" s="74" t="s">
        <v>3</v>
      </c>
      <c r="G7913" s="153">
        <f>0.07*0.085*3*8*1.12</f>
        <v>0.15993600000000005</v>
      </c>
      <c r="H7913" s="164"/>
    </row>
    <row r="7914" spans="1:8" x14ac:dyDescent="0.25">
      <c r="A7914" s="163"/>
      <c r="B7914" s="106"/>
      <c r="C7914" s="73"/>
      <c r="D7914" s="73"/>
      <c r="E7914" s="73"/>
      <c r="F7914" s="74"/>
      <c r="G7914" s="153"/>
      <c r="H7914" s="164"/>
    </row>
    <row r="7915" spans="1:8" x14ac:dyDescent="0.25">
      <c r="A7915" s="163"/>
      <c r="B7915" s="106"/>
      <c r="C7915" s="73" t="s">
        <v>3741</v>
      </c>
      <c r="D7915" s="73"/>
      <c r="E7915" s="73"/>
      <c r="F7915" s="74"/>
      <c r="G7915" s="153"/>
      <c r="H7915" s="164"/>
    </row>
    <row r="7916" spans="1:8" x14ac:dyDescent="0.25">
      <c r="A7916" s="163"/>
      <c r="B7916" s="106"/>
      <c r="C7916" s="73" t="s">
        <v>37</v>
      </c>
      <c r="D7916" s="73"/>
      <c r="E7916" s="73"/>
      <c r="F7916" s="74" t="s">
        <v>3</v>
      </c>
      <c r="G7916" s="153">
        <f>0.25*0.25*0.2*1.2</f>
        <v>1.4999999999999999E-2</v>
      </c>
      <c r="H7916" s="164"/>
    </row>
    <row r="7917" spans="1:8" x14ac:dyDescent="0.25">
      <c r="A7917" s="163"/>
      <c r="B7917" s="106"/>
      <c r="C7917" s="73" t="s">
        <v>163</v>
      </c>
      <c r="D7917" s="73"/>
      <c r="E7917" s="73"/>
      <c r="F7917" s="74" t="s">
        <v>3</v>
      </c>
      <c r="G7917" s="153">
        <f>G7919*0.6</f>
        <v>1.485E-2</v>
      </c>
      <c r="H7917" s="164"/>
    </row>
    <row r="7918" spans="1:8" x14ac:dyDescent="0.25">
      <c r="A7918" s="163"/>
      <c r="B7918" s="106"/>
      <c r="C7918" s="73" t="s">
        <v>164</v>
      </c>
      <c r="D7918" s="73"/>
      <c r="E7918" s="73"/>
      <c r="F7918" s="74" t="s">
        <v>3</v>
      </c>
      <c r="G7918" s="153">
        <f>0.3*G7917</f>
        <v>4.4549999999999998E-3</v>
      </c>
      <c r="H7918" s="164"/>
    </row>
    <row r="7919" spans="1:8" x14ac:dyDescent="0.25">
      <c r="A7919" s="163"/>
      <c r="B7919" s="106"/>
      <c r="C7919" s="73" t="s">
        <v>115</v>
      </c>
      <c r="D7919" s="73"/>
      <c r="E7919" s="73"/>
      <c r="F7919" s="74" t="s">
        <v>3</v>
      </c>
      <c r="G7919" s="153">
        <f>0.275*0.25*0.15*2*1.2</f>
        <v>2.4750000000000001E-2</v>
      </c>
      <c r="H7919" s="164"/>
    </row>
    <row r="7920" spans="1:8" x14ac:dyDescent="0.25">
      <c r="A7920" s="163"/>
      <c r="B7920" s="106"/>
      <c r="C7920" s="73" t="s">
        <v>12</v>
      </c>
      <c r="D7920" s="73"/>
      <c r="E7920" s="73"/>
      <c r="F7920" s="74" t="s">
        <v>3</v>
      </c>
      <c r="G7920" s="153">
        <f>0.3*G7919</f>
        <v>7.4250000000000002E-3</v>
      </c>
      <c r="H7920" s="164"/>
    </row>
    <row r="7921" spans="1:11" x14ac:dyDescent="0.25">
      <c r="A7921" s="163"/>
      <c r="B7921" s="106"/>
      <c r="C7921" s="73"/>
      <c r="D7921" s="73"/>
      <c r="E7921" s="73"/>
      <c r="F7921" s="74"/>
      <c r="G7921" s="153"/>
      <c r="H7921" s="164"/>
    </row>
    <row r="7922" spans="1:11" x14ac:dyDescent="0.25">
      <c r="A7922" s="163"/>
      <c r="B7922" s="106"/>
      <c r="C7922" s="73" t="s">
        <v>3742</v>
      </c>
      <c r="D7922" s="73"/>
      <c r="E7922" s="73"/>
      <c r="F7922" s="74"/>
      <c r="G7922" s="153"/>
      <c r="H7922" s="164"/>
      <c r="I7922" t="s">
        <v>3745</v>
      </c>
    </row>
    <row r="7923" spans="1:11" x14ac:dyDescent="0.25">
      <c r="A7923" s="163"/>
      <c r="B7923" s="106"/>
      <c r="C7923" s="73" t="s">
        <v>3743</v>
      </c>
      <c r="D7923" s="73"/>
      <c r="E7923" s="73"/>
      <c r="F7923" s="74" t="s">
        <v>1516</v>
      </c>
      <c r="G7923" s="153">
        <v>1</v>
      </c>
      <c r="H7923" s="164"/>
    </row>
    <row r="7924" spans="1:11" x14ac:dyDescent="0.25">
      <c r="A7924" s="163"/>
      <c r="B7924" s="106"/>
      <c r="C7924" s="73"/>
      <c r="D7924" s="73"/>
      <c r="E7924" s="73"/>
      <c r="F7924" s="74"/>
      <c r="G7924" s="153"/>
      <c r="H7924" s="164"/>
    </row>
    <row r="7925" spans="1:11" x14ac:dyDescent="0.25">
      <c r="A7925" s="163"/>
      <c r="B7925" s="106"/>
      <c r="C7925" s="73" t="s">
        <v>3744</v>
      </c>
      <c r="D7925" s="73"/>
      <c r="E7925" s="73"/>
      <c r="F7925" s="74"/>
      <c r="G7925" s="153"/>
      <c r="H7925" s="164"/>
      <c r="K7925" s="432"/>
    </row>
    <row r="7926" spans="1:11" ht="15" customHeight="1" x14ac:dyDescent="0.25">
      <c r="A7926" s="163"/>
      <c r="B7926" s="106"/>
      <c r="C7926" s="73" t="s">
        <v>8</v>
      </c>
      <c r="D7926" s="73"/>
      <c r="E7926" s="73"/>
      <c r="F7926" s="74" t="s">
        <v>3</v>
      </c>
      <c r="G7926" s="153">
        <f>G7927*0.6</f>
        <v>1.7999999999999999E-2</v>
      </c>
      <c r="H7926" s="164"/>
      <c r="K7926" s="432"/>
    </row>
    <row r="7927" spans="1:11" x14ac:dyDescent="0.25">
      <c r="A7927" s="163"/>
      <c r="B7927" s="106"/>
      <c r="C7927" s="73" t="s">
        <v>36</v>
      </c>
      <c r="D7927" s="73"/>
      <c r="E7927" s="73"/>
      <c r="F7927" s="74" t="s">
        <v>3</v>
      </c>
      <c r="G7927" s="153">
        <f>0.5*0.08*2*0.15*2*1.25</f>
        <v>0.03</v>
      </c>
      <c r="H7927" s="164"/>
      <c r="K7927" s="432"/>
    </row>
    <row r="7928" spans="1:11" x14ac:dyDescent="0.25">
      <c r="A7928" s="163"/>
      <c r="B7928" s="106"/>
      <c r="C7928" s="73" t="s">
        <v>12</v>
      </c>
      <c r="D7928" s="73"/>
      <c r="E7928" s="73"/>
      <c r="F7928" s="74" t="s">
        <v>3</v>
      </c>
      <c r="G7928" s="153">
        <f>0.3*(G7927+G7926)</f>
        <v>1.44E-2</v>
      </c>
      <c r="H7928" s="164"/>
      <c r="K7928" s="432"/>
    </row>
    <row r="7929" spans="1:11" x14ac:dyDescent="0.25">
      <c r="A7929" s="163"/>
      <c r="B7929" s="106"/>
      <c r="C7929" s="73"/>
      <c r="D7929" s="73" t="s">
        <v>3746</v>
      </c>
      <c r="E7929" s="73"/>
      <c r="F7929" s="74"/>
      <c r="G7929" s="153"/>
      <c r="H7929" s="164"/>
    </row>
    <row r="7930" spans="1:11" x14ac:dyDescent="0.25">
      <c r="A7930" s="163"/>
      <c r="B7930" s="106"/>
      <c r="C7930" s="73"/>
      <c r="D7930" s="73" t="s">
        <v>2755</v>
      </c>
      <c r="E7930" s="75"/>
      <c r="F7930" s="74" t="s">
        <v>3</v>
      </c>
      <c r="G7930" s="153">
        <f>0.2*0.08*1.28</f>
        <v>2.0480000000000002E-2</v>
      </c>
      <c r="H7930" s="164"/>
    </row>
    <row r="7931" spans="1:11" ht="17.25" x14ac:dyDescent="0.25">
      <c r="A7931" s="163"/>
      <c r="B7931" s="106"/>
      <c r="C7931" s="73"/>
      <c r="D7931" s="73" t="s">
        <v>1055</v>
      </c>
      <c r="E7931" s="75"/>
      <c r="F7931" s="74" t="s">
        <v>596</v>
      </c>
      <c r="G7931" s="153">
        <f>G7930*1.1</f>
        <v>2.2528000000000003E-2</v>
      </c>
      <c r="H7931" s="164"/>
    </row>
    <row r="7932" spans="1:11" x14ac:dyDescent="0.25">
      <c r="A7932" s="163"/>
      <c r="B7932" s="106"/>
      <c r="C7932" s="73"/>
      <c r="D7932" s="73"/>
      <c r="E7932" s="75" t="s">
        <v>3747</v>
      </c>
      <c r="F7932" s="74"/>
      <c r="G7932" s="153"/>
      <c r="H7932" s="164"/>
    </row>
    <row r="7933" spans="1:11" x14ac:dyDescent="0.25">
      <c r="A7933" s="163"/>
      <c r="B7933" s="106"/>
      <c r="C7933" s="73"/>
      <c r="D7933" s="73"/>
      <c r="E7933" s="73" t="s">
        <v>3748</v>
      </c>
      <c r="F7933" s="74" t="s">
        <v>3</v>
      </c>
      <c r="G7933" s="153">
        <f>0.31*0.11*4*8*1.118</f>
        <v>1.2199616</v>
      </c>
      <c r="H7933" s="164"/>
    </row>
    <row r="7934" spans="1:11" x14ac:dyDescent="0.25">
      <c r="A7934" s="163"/>
      <c r="B7934" s="106"/>
      <c r="C7934" s="73"/>
      <c r="D7934" s="73"/>
      <c r="E7934" s="75" t="s">
        <v>3749</v>
      </c>
      <c r="F7934" s="74"/>
      <c r="G7934" s="153"/>
      <c r="H7934" s="164"/>
    </row>
    <row r="7935" spans="1:11" x14ac:dyDescent="0.25">
      <c r="A7935" s="163"/>
      <c r="B7935" s="106"/>
      <c r="C7935" s="73"/>
      <c r="D7935" s="73"/>
      <c r="E7935" s="73" t="s">
        <v>3750</v>
      </c>
      <c r="F7935" s="74" t="s">
        <v>3</v>
      </c>
      <c r="G7935" s="153">
        <f>(0.24+0.04+0.032+0.005)*0.07*3*8*1.127</f>
        <v>0.60019511999999986</v>
      </c>
      <c r="H7935" s="164"/>
    </row>
    <row r="7936" spans="1:11" x14ac:dyDescent="0.25">
      <c r="A7936" s="163"/>
      <c r="B7936" s="106"/>
      <c r="C7936" s="73"/>
      <c r="D7936" s="73"/>
      <c r="E7936" s="75" t="s">
        <v>3751</v>
      </c>
      <c r="F7936" s="74"/>
      <c r="G7936" s="153"/>
      <c r="H7936" s="164"/>
    </row>
    <row r="7937" spans="1:11" x14ac:dyDescent="0.25">
      <c r="A7937" s="163"/>
      <c r="B7937" s="106"/>
      <c r="C7937" s="73"/>
      <c r="D7937" s="73"/>
      <c r="E7937" s="73" t="s">
        <v>3750</v>
      </c>
      <c r="F7937" s="74" t="s">
        <v>3</v>
      </c>
      <c r="G7937" s="153">
        <f>(0.055+0.03+0.01)*0.045*3*8*1.12</f>
        <v>0.11491199999999999</v>
      </c>
      <c r="H7937" s="164"/>
    </row>
    <row r="7938" spans="1:11" ht="15.75" thickBot="1" x14ac:dyDescent="0.3">
      <c r="A7938" s="67"/>
      <c r="B7938" s="86"/>
      <c r="C7938" s="68"/>
      <c r="D7938" s="68"/>
      <c r="E7938" s="68"/>
      <c r="F7938" s="82"/>
      <c r="G7938" s="89"/>
      <c r="H7938" s="165"/>
    </row>
    <row r="7939" spans="1:11" x14ac:dyDescent="0.25">
      <c r="A7939" s="159"/>
      <c r="B7939" s="181"/>
      <c r="C7939" s="93"/>
      <c r="D7939" s="93"/>
      <c r="E7939" s="93"/>
      <c r="F7939" s="160"/>
      <c r="G7939" s="161"/>
      <c r="H7939" s="162" t="s">
        <v>3754</v>
      </c>
    </row>
    <row r="7940" spans="1:11" ht="18.75" x14ac:dyDescent="0.3">
      <c r="A7940" s="163"/>
      <c r="B7940" s="106"/>
      <c r="C7940" s="73"/>
      <c r="D7940" s="73"/>
      <c r="E7940" s="126" t="s">
        <v>3765</v>
      </c>
      <c r="F7940" s="74"/>
      <c r="G7940" s="153"/>
      <c r="H7940" s="164"/>
    </row>
    <row r="7941" spans="1:11" x14ac:dyDescent="0.25">
      <c r="A7941" s="163"/>
      <c r="B7941" s="106"/>
      <c r="C7941" s="73"/>
      <c r="D7941" s="73"/>
      <c r="E7941" s="73"/>
      <c r="F7941" s="74"/>
      <c r="G7941" s="153"/>
      <c r="H7941" s="164"/>
    </row>
    <row r="7942" spans="1:11" x14ac:dyDescent="0.25">
      <c r="A7942" s="163"/>
      <c r="B7942" s="106"/>
      <c r="C7942" s="73" t="s">
        <v>3763</v>
      </c>
      <c r="D7942" s="73"/>
      <c r="E7942" s="73"/>
      <c r="F7942" s="74"/>
      <c r="G7942" s="153"/>
      <c r="H7942" s="164"/>
    </row>
    <row r="7943" spans="1:11" x14ac:dyDescent="0.25">
      <c r="A7943" s="163"/>
      <c r="B7943" s="106"/>
      <c r="C7943" s="73" t="s">
        <v>2755</v>
      </c>
      <c r="D7943" s="75"/>
      <c r="E7943" s="73"/>
      <c r="F7943" s="74" t="s">
        <v>3</v>
      </c>
      <c r="G7943" s="153">
        <f>0.006*3.14*0.08*1.2</f>
        <v>1.8086400000000002E-3</v>
      </c>
      <c r="H7943" s="164"/>
    </row>
    <row r="7944" spans="1:11" ht="17.25" x14ac:dyDescent="0.25">
      <c r="A7944" s="163"/>
      <c r="B7944" s="106"/>
      <c r="C7944" s="73" t="s">
        <v>1055</v>
      </c>
      <c r="D7944" s="75"/>
      <c r="E7944" s="73"/>
      <c r="F7944" s="74" t="s">
        <v>596</v>
      </c>
      <c r="G7944" s="153">
        <f>G7943*1.1</f>
        <v>1.9895040000000004E-3</v>
      </c>
      <c r="H7944" s="164"/>
      <c r="K7944" s="432"/>
    </row>
    <row r="7945" spans="1:11" x14ac:dyDescent="0.25">
      <c r="A7945" s="163"/>
      <c r="B7945" s="106"/>
      <c r="C7945" s="186" t="s">
        <v>8</v>
      </c>
      <c r="D7945" s="75"/>
      <c r="E7945" s="73"/>
      <c r="F7945" s="74" t="s">
        <v>3</v>
      </c>
      <c r="G7945" s="153">
        <f>G7946*0.67</f>
        <v>4.0434768000000003E-2</v>
      </c>
      <c r="H7945" s="164"/>
      <c r="K7945" s="432"/>
    </row>
    <row r="7946" spans="1:11" x14ac:dyDescent="0.25">
      <c r="A7946" s="163"/>
      <c r="B7946" s="106"/>
      <c r="C7946" s="186" t="s">
        <v>115</v>
      </c>
      <c r="D7946" s="75"/>
      <c r="E7946" s="73"/>
      <c r="F7946" s="74" t="s">
        <v>3</v>
      </c>
      <c r="G7946" s="153">
        <f>0.33*0.24*2*0.15*2*1.27</f>
        <v>6.0350399999999998E-2</v>
      </c>
      <c r="H7946" s="164"/>
      <c r="K7946" s="432"/>
    </row>
    <row r="7947" spans="1:11" x14ac:dyDescent="0.25">
      <c r="A7947" s="163"/>
      <c r="B7947" s="106"/>
      <c r="C7947" s="186" t="s">
        <v>12</v>
      </c>
      <c r="D7947" s="75"/>
      <c r="E7947" s="73"/>
      <c r="F7947" s="74" t="s">
        <v>3</v>
      </c>
      <c r="G7947" s="153">
        <f>0.3*(G7946+G7945)-0.001</f>
        <v>2.9235550400000001E-2</v>
      </c>
      <c r="H7947" s="164"/>
      <c r="K7947" s="432"/>
    </row>
    <row r="7948" spans="1:11" x14ac:dyDescent="0.25">
      <c r="A7948" s="163"/>
      <c r="B7948" s="106"/>
      <c r="C7948" s="73"/>
      <c r="D7948" s="75" t="s">
        <v>3764</v>
      </c>
      <c r="E7948" s="73"/>
      <c r="F7948" s="74"/>
      <c r="G7948" s="153"/>
      <c r="H7948" s="164"/>
    </row>
    <row r="7949" spans="1:11" x14ac:dyDescent="0.25">
      <c r="A7949" s="163"/>
      <c r="B7949" s="106"/>
      <c r="C7949" s="73"/>
      <c r="D7949" s="186" t="s">
        <v>3603</v>
      </c>
      <c r="E7949" s="75"/>
      <c r="F7949" s="74" t="s">
        <v>3</v>
      </c>
      <c r="G7949" s="153">
        <f>0.33*0.24*3*8*1.131</f>
        <v>2.1498048000000005</v>
      </c>
      <c r="H7949" s="164"/>
    </row>
    <row r="7950" spans="1:11" ht="15.75" thickBot="1" x14ac:dyDescent="0.3">
      <c r="A7950" s="67"/>
      <c r="B7950" s="86"/>
      <c r="C7950" s="68"/>
      <c r="D7950" s="197"/>
      <c r="E7950" s="235"/>
      <c r="F7950" s="82"/>
      <c r="G7950" s="89"/>
      <c r="H7950" s="165"/>
      <c r="K7950" s="432"/>
    </row>
    <row r="7951" spans="1:11" x14ac:dyDescent="0.25">
      <c r="A7951" s="159"/>
      <c r="B7951" s="181"/>
      <c r="C7951" s="93"/>
      <c r="D7951" s="93"/>
      <c r="E7951" s="93"/>
      <c r="F7951" s="160"/>
      <c r="G7951" s="161"/>
      <c r="H7951" s="164" t="s">
        <v>3754</v>
      </c>
    </row>
    <row r="7952" spans="1:11" x14ac:dyDescent="0.25">
      <c r="A7952" s="163"/>
      <c r="B7952" s="106"/>
      <c r="C7952" s="75" t="s">
        <v>3771</v>
      </c>
      <c r="D7952" s="73"/>
      <c r="E7952" s="73"/>
      <c r="F7952" s="74"/>
      <c r="G7952" s="153"/>
      <c r="H7952" s="164"/>
      <c r="K7952" s="432"/>
    </row>
    <row r="7953" spans="1:14" x14ac:dyDescent="0.25">
      <c r="A7953" s="163"/>
      <c r="B7953" s="106"/>
      <c r="C7953" s="73" t="s">
        <v>3772</v>
      </c>
      <c r="D7953" s="73"/>
      <c r="E7953" s="73"/>
      <c r="F7953" s="74" t="s">
        <v>3</v>
      </c>
      <c r="G7953" s="428">
        <f>0.014*0.014*1*2.7*1.1</f>
        <v>5.821200000000001E-4</v>
      </c>
      <c r="H7953" s="164"/>
      <c r="K7953" s="432"/>
    </row>
    <row r="7954" spans="1:14" ht="15.75" thickBot="1" x14ac:dyDescent="0.3">
      <c r="A7954" s="67"/>
      <c r="B7954" s="86"/>
      <c r="C7954" s="68"/>
      <c r="D7954" s="68"/>
      <c r="E7954" s="68"/>
      <c r="F7954" s="82"/>
      <c r="G7954" s="89"/>
      <c r="H7954" s="165"/>
      <c r="K7954" s="432"/>
    </row>
    <row r="7955" spans="1:14" x14ac:dyDescent="0.25">
      <c r="A7955" s="159"/>
      <c r="B7955" s="181"/>
      <c r="C7955" s="93"/>
      <c r="D7955" s="93"/>
      <c r="E7955" s="93"/>
      <c r="F7955" s="160"/>
      <c r="G7955" s="161"/>
      <c r="H7955" s="164" t="s">
        <v>3816</v>
      </c>
      <c r="K7955" s="432"/>
    </row>
    <row r="7956" spans="1:14" x14ac:dyDescent="0.25">
      <c r="A7956" s="163"/>
      <c r="B7956" s="106"/>
      <c r="C7956" s="73" t="s">
        <v>3755</v>
      </c>
      <c r="D7956" s="73"/>
      <c r="E7956" s="73"/>
      <c r="F7956" s="74"/>
      <c r="G7956" s="153"/>
      <c r="H7956" s="164"/>
      <c r="K7956" s="13"/>
    </row>
    <row r="7957" spans="1:14" x14ac:dyDescent="0.25">
      <c r="A7957" s="163"/>
      <c r="B7957" s="106"/>
      <c r="C7957" s="73" t="s">
        <v>3756</v>
      </c>
      <c r="D7957" s="73"/>
      <c r="E7957" s="73"/>
      <c r="F7957" s="74" t="s">
        <v>1516</v>
      </c>
      <c r="G7957" s="153">
        <v>6</v>
      </c>
      <c r="H7957" s="164"/>
      <c r="K7957" s="13" t="s">
        <v>3759</v>
      </c>
      <c r="M7957" t="s">
        <v>3752</v>
      </c>
      <c r="N7957" t="s">
        <v>99</v>
      </c>
    </row>
    <row r="7958" spans="1:14" x14ac:dyDescent="0.25">
      <c r="A7958" s="163"/>
      <c r="B7958" s="106"/>
      <c r="C7958" s="73" t="s">
        <v>3757</v>
      </c>
      <c r="D7958" s="73"/>
      <c r="E7958" s="73"/>
      <c r="F7958" s="74" t="s">
        <v>3</v>
      </c>
      <c r="G7958" s="153">
        <v>3.0000000000000001E-3</v>
      </c>
      <c r="H7958" s="164"/>
      <c r="K7958" s="13" t="s">
        <v>3760</v>
      </c>
      <c r="M7958" t="s">
        <v>3219</v>
      </c>
      <c r="N7958" t="s">
        <v>99</v>
      </c>
    </row>
    <row r="7959" spans="1:14" x14ac:dyDescent="0.25">
      <c r="A7959" s="163"/>
      <c r="B7959" s="106"/>
      <c r="C7959" s="73" t="s">
        <v>3223</v>
      </c>
      <c r="D7959" s="73"/>
      <c r="E7959" s="73"/>
      <c r="F7959" s="74" t="s">
        <v>3</v>
      </c>
      <c r="G7959" s="153">
        <f>0.06*0.05*1.3</f>
        <v>3.9000000000000003E-3</v>
      </c>
      <c r="H7959" s="164"/>
      <c r="K7959" s="13" t="s">
        <v>3761</v>
      </c>
      <c r="M7959" t="s">
        <v>3762</v>
      </c>
      <c r="N7959" t="s">
        <v>625</v>
      </c>
    </row>
    <row r="7960" spans="1:14" ht="17.25" x14ac:dyDescent="0.25">
      <c r="A7960" s="163"/>
      <c r="B7960" s="106"/>
      <c r="C7960" s="73" t="s">
        <v>168</v>
      </c>
      <c r="D7960" s="73"/>
      <c r="E7960" s="73"/>
      <c r="F7960" s="74" t="s">
        <v>596</v>
      </c>
      <c r="G7960" s="153">
        <f>G7959*1.1</f>
        <v>4.2900000000000004E-3</v>
      </c>
      <c r="H7960" s="164"/>
      <c r="K7960" s="13"/>
    </row>
    <row r="7961" spans="1:14" x14ac:dyDescent="0.25">
      <c r="A7961" s="163"/>
      <c r="B7961" s="106"/>
      <c r="C7961" s="73"/>
      <c r="D7961" s="75" t="s">
        <v>3758</v>
      </c>
      <c r="E7961" s="73"/>
      <c r="F7961" s="74"/>
      <c r="G7961" s="153"/>
      <c r="H7961" s="164"/>
    </row>
    <row r="7962" spans="1:14" x14ac:dyDescent="0.25">
      <c r="A7962" s="163"/>
      <c r="B7962" s="106"/>
      <c r="C7962" s="73"/>
      <c r="D7962" s="73" t="s">
        <v>855</v>
      </c>
      <c r="E7962" s="73"/>
      <c r="F7962" s="74" t="s">
        <v>3</v>
      </c>
      <c r="G7962" s="153">
        <f>0.135*0.07*1.5*2.7*1.1</f>
        <v>4.2099750000000019E-2</v>
      </c>
      <c r="H7962" s="164"/>
    </row>
    <row r="7963" spans="1:14" x14ac:dyDescent="0.25">
      <c r="A7963" s="163"/>
      <c r="B7963" s="106"/>
      <c r="C7963" s="73"/>
      <c r="D7963" s="75" t="s">
        <v>3766</v>
      </c>
      <c r="E7963" s="73"/>
      <c r="F7963" s="74"/>
      <c r="G7963" s="153"/>
      <c r="H7963" s="164"/>
    </row>
    <row r="7964" spans="1:14" x14ac:dyDescent="0.25">
      <c r="A7964" s="163"/>
      <c r="B7964" s="106"/>
      <c r="C7964" s="73"/>
      <c r="D7964" s="73" t="s">
        <v>855</v>
      </c>
      <c r="E7964" s="73"/>
      <c r="F7964" s="74" t="s">
        <v>3</v>
      </c>
      <c r="G7964" s="153">
        <f>0.12*0.016*1.5*2.7*1.12</f>
        <v>8.7091200000000025E-3</v>
      </c>
      <c r="H7964" s="164"/>
    </row>
    <row r="7965" spans="1:14" x14ac:dyDescent="0.25">
      <c r="A7965" s="163"/>
      <c r="B7965" s="106"/>
      <c r="C7965" s="73"/>
      <c r="D7965" s="73"/>
      <c r="E7965" s="73"/>
      <c r="F7965" s="74"/>
      <c r="G7965" s="153"/>
      <c r="H7965" s="164"/>
    </row>
    <row r="7966" spans="1:14" x14ac:dyDescent="0.25">
      <c r="A7966" s="163"/>
      <c r="B7966" s="106"/>
      <c r="C7966" s="75" t="s">
        <v>3767</v>
      </c>
      <c r="D7966" s="73"/>
      <c r="E7966" s="73"/>
      <c r="F7966" s="74"/>
      <c r="G7966" s="153"/>
      <c r="H7966" s="164"/>
    </row>
    <row r="7967" spans="1:14" x14ac:dyDescent="0.25">
      <c r="A7967" s="163"/>
      <c r="B7967" s="106"/>
      <c r="C7967" s="73" t="s">
        <v>2755</v>
      </c>
      <c r="D7967" s="75"/>
      <c r="E7967" s="73"/>
      <c r="F7967" s="74" t="s">
        <v>3</v>
      </c>
      <c r="G7967" s="153">
        <f>0.1*0.06*1.3</f>
        <v>7.8000000000000005E-3</v>
      </c>
      <c r="H7967" s="164"/>
    </row>
    <row r="7968" spans="1:14" ht="17.25" x14ac:dyDescent="0.25">
      <c r="A7968" s="163"/>
      <c r="B7968" s="106"/>
      <c r="C7968" s="73" t="s">
        <v>1055</v>
      </c>
      <c r="D7968" s="75"/>
      <c r="E7968" s="73"/>
      <c r="F7968" s="74" t="s">
        <v>596</v>
      </c>
      <c r="G7968" s="153">
        <f>G7967*1.1</f>
        <v>8.5800000000000008E-3</v>
      </c>
      <c r="H7968" s="164"/>
    </row>
    <row r="7969" spans="1:11" x14ac:dyDescent="0.25">
      <c r="A7969" s="163"/>
      <c r="B7969" s="106"/>
      <c r="C7969" s="77" t="s">
        <v>8</v>
      </c>
      <c r="D7969" s="73"/>
      <c r="E7969" s="73"/>
      <c r="F7969" s="74" t="s">
        <v>3</v>
      </c>
      <c r="G7969" s="153">
        <f>G7970*0.6</f>
        <v>4.680000000000001E-3</v>
      </c>
      <c r="H7969" s="164"/>
    </row>
    <row r="7970" spans="1:11" x14ac:dyDescent="0.25">
      <c r="A7970" s="163"/>
      <c r="B7970" s="106"/>
      <c r="C7970" s="77" t="s">
        <v>36</v>
      </c>
      <c r="D7970" s="73"/>
      <c r="E7970" s="73"/>
      <c r="F7970" s="74" t="s">
        <v>3</v>
      </c>
      <c r="G7970" s="153">
        <f>0.1*0.1*2*0.15*2*1.3</f>
        <v>7.8000000000000014E-3</v>
      </c>
      <c r="H7970" s="164"/>
    </row>
    <row r="7971" spans="1:11" x14ac:dyDescent="0.25">
      <c r="A7971" s="163"/>
      <c r="B7971" s="106"/>
      <c r="C7971" s="77" t="s">
        <v>12</v>
      </c>
      <c r="D7971" s="73"/>
      <c r="E7971" s="73"/>
      <c r="F7971" s="74" t="s">
        <v>3</v>
      </c>
      <c r="G7971" s="153">
        <f>0.3*(G7970+G7969)</f>
        <v>3.7440000000000004E-3</v>
      </c>
      <c r="H7971" s="164"/>
    </row>
    <row r="7972" spans="1:11" x14ac:dyDescent="0.25">
      <c r="A7972" s="163"/>
      <c r="B7972" s="106"/>
      <c r="C7972" s="73"/>
      <c r="D7972" s="73" t="s">
        <v>3768</v>
      </c>
      <c r="E7972" s="73"/>
      <c r="F7972" s="74"/>
      <c r="G7972" s="153"/>
      <c r="H7972" s="164"/>
    </row>
    <row r="7973" spans="1:11" x14ac:dyDescent="0.25">
      <c r="A7973" s="163"/>
      <c r="B7973" s="106"/>
      <c r="C7973" s="73"/>
      <c r="D7973" s="73" t="s">
        <v>3770</v>
      </c>
      <c r="E7973" s="73"/>
      <c r="F7973" s="74" t="s">
        <v>3</v>
      </c>
      <c r="G7973" s="153">
        <f>0.085*0.055*1*8*1.08</f>
        <v>4.0392000000000004E-2</v>
      </c>
      <c r="H7973" s="164"/>
    </row>
    <row r="7974" spans="1:11" x14ac:dyDescent="0.25">
      <c r="A7974" s="163"/>
      <c r="B7974" s="106"/>
      <c r="C7974" s="73"/>
      <c r="D7974" s="73" t="s">
        <v>3769</v>
      </c>
      <c r="E7974" s="73"/>
      <c r="F7974" s="74"/>
      <c r="G7974" s="153"/>
      <c r="H7974" s="164"/>
    </row>
    <row r="7975" spans="1:11" x14ac:dyDescent="0.25">
      <c r="A7975" s="163"/>
      <c r="B7975" s="106"/>
      <c r="C7975" s="73"/>
      <c r="D7975" s="73" t="s">
        <v>3770</v>
      </c>
      <c r="E7975" s="73"/>
      <c r="F7975" s="74" t="s">
        <v>3</v>
      </c>
      <c r="G7975" s="153">
        <f>0.05*0.025*1*8*1.15</f>
        <v>1.1500000000000002E-2</v>
      </c>
      <c r="H7975" s="164"/>
    </row>
    <row r="7976" spans="1:11" x14ac:dyDescent="0.25">
      <c r="A7976" s="163"/>
      <c r="B7976" s="106"/>
      <c r="C7976" s="73"/>
      <c r="D7976" s="73"/>
      <c r="E7976" s="73"/>
      <c r="F7976" s="74"/>
      <c r="G7976" s="153"/>
      <c r="H7976" s="164"/>
    </row>
    <row r="7977" spans="1:11" x14ac:dyDescent="0.25">
      <c r="A7977" s="163"/>
      <c r="B7977" s="106"/>
      <c r="C7977" s="78" t="s">
        <v>1106</v>
      </c>
      <c r="D7977" s="73"/>
      <c r="E7977" s="73"/>
      <c r="F7977" s="152"/>
      <c r="G7977" s="153"/>
      <c r="H7977" s="164"/>
      <c r="I7977" s="2"/>
      <c r="J7977" s="10"/>
      <c r="K7977"/>
    </row>
    <row r="7978" spans="1:11" x14ac:dyDescent="0.25">
      <c r="A7978" s="163"/>
      <c r="B7978" s="106"/>
      <c r="C7978" s="77" t="s">
        <v>1054</v>
      </c>
      <c r="D7978" s="73"/>
      <c r="E7978" s="73"/>
      <c r="F7978" s="152" t="s">
        <v>3</v>
      </c>
      <c r="G7978" s="153">
        <f>0.09*0.08*1.2</f>
        <v>8.6400000000000001E-3</v>
      </c>
      <c r="H7978" s="164"/>
      <c r="I7978" s="2"/>
      <c r="J7978" s="10"/>
      <c r="K7978"/>
    </row>
    <row r="7979" spans="1:11" ht="17.25" x14ac:dyDescent="0.25">
      <c r="A7979" s="163"/>
      <c r="B7979" s="106"/>
      <c r="C7979" s="73" t="s">
        <v>1055</v>
      </c>
      <c r="D7979" s="73"/>
      <c r="E7979" s="73"/>
      <c r="F7979" s="152" t="s">
        <v>596</v>
      </c>
      <c r="G7979" s="153">
        <f>G7978</f>
        <v>8.6400000000000001E-3</v>
      </c>
      <c r="H7979" s="164"/>
      <c r="I7979" s="2"/>
      <c r="J7979" s="10"/>
      <c r="K7979"/>
    </row>
    <row r="7980" spans="1:11" x14ac:dyDescent="0.25">
      <c r="A7980" s="163"/>
      <c r="B7980" s="106"/>
      <c r="C7980" s="73"/>
      <c r="D7980" s="75" t="s">
        <v>1107</v>
      </c>
      <c r="E7980" s="73"/>
      <c r="F7980" s="152"/>
      <c r="G7980" s="153"/>
      <c r="H7980" s="164"/>
      <c r="I7980" s="2"/>
      <c r="J7980" s="10"/>
      <c r="K7980"/>
    </row>
    <row r="7981" spans="1:11" x14ac:dyDescent="0.25">
      <c r="A7981" s="163"/>
      <c r="B7981" s="106"/>
      <c r="C7981" s="73"/>
      <c r="D7981" s="73" t="s">
        <v>89</v>
      </c>
      <c r="E7981" s="73"/>
      <c r="F7981" s="152" t="s">
        <v>3</v>
      </c>
      <c r="G7981" s="153">
        <f>0.025*0.035*4*8*1.12</f>
        <v>3.1360000000000006E-2</v>
      </c>
      <c r="H7981" s="164"/>
      <c r="I7981" s="2"/>
      <c r="J7981" s="10"/>
      <c r="K7981"/>
    </row>
    <row r="7982" spans="1:11" x14ac:dyDescent="0.25">
      <c r="A7982" s="163"/>
      <c r="B7982" s="106"/>
      <c r="C7982" s="73"/>
      <c r="D7982" s="75" t="s">
        <v>1108</v>
      </c>
      <c r="E7982" s="73"/>
      <c r="F7982" s="152"/>
      <c r="G7982" s="153"/>
      <c r="H7982" s="164"/>
      <c r="I7982" s="2"/>
      <c r="J7982" s="10"/>
      <c r="K7982"/>
    </row>
    <row r="7983" spans="1:11" x14ac:dyDescent="0.25">
      <c r="A7983" s="163"/>
      <c r="B7983" s="106"/>
      <c r="C7983" s="73"/>
      <c r="D7983" s="73" t="s">
        <v>226</v>
      </c>
      <c r="E7983" s="73"/>
      <c r="F7983" s="152" t="s">
        <v>3</v>
      </c>
      <c r="G7983" s="153">
        <f>0.05*0.04*5*8*1.15</f>
        <v>9.1999999999999998E-2</v>
      </c>
      <c r="H7983" s="164"/>
      <c r="I7983" s="2"/>
      <c r="J7983" s="10"/>
      <c r="K7983"/>
    </row>
    <row r="7984" spans="1:11" x14ac:dyDescent="0.25">
      <c r="A7984" s="163"/>
      <c r="B7984" s="106"/>
      <c r="C7984" s="73"/>
      <c r="D7984" s="73"/>
      <c r="E7984" s="73"/>
      <c r="F7984" s="152"/>
      <c r="G7984" s="153"/>
      <c r="H7984" s="164"/>
      <c r="I7984" s="2"/>
      <c r="J7984" s="10"/>
      <c r="K7984"/>
    </row>
    <row r="7985" spans="1:9" x14ac:dyDescent="0.25">
      <c r="A7985" s="163"/>
      <c r="B7985" s="106"/>
      <c r="C7985" s="73" t="s">
        <v>3773</v>
      </c>
      <c r="D7985" s="73"/>
      <c r="E7985" s="73"/>
      <c r="F7985" s="74"/>
      <c r="G7985" s="153"/>
      <c r="H7985" s="164"/>
    </row>
    <row r="7986" spans="1:9" x14ac:dyDescent="0.25">
      <c r="A7986" s="163"/>
      <c r="B7986" s="106"/>
      <c r="C7986" s="100" t="s">
        <v>140</v>
      </c>
      <c r="D7986" s="75"/>
      <c r="E7986" s="73"/>
      <c r="F7986" s="74" t="s">
        <v>3</v>
      </c>
      <c r="G7986" s="153">
        <f>0.01*3.14*2*0.08*1.2</f>
        <v>6.0288000000000008E-3</v>
      </c>
      <c r="H7986" s="164"/>
    </row>
    <row r="7987" spans="1:9" ht="17.25" x14ac:dyDescent="0.25">
      <c r="A7987" s="163"/>
      <c r="B7987" s="106"/>
      <c r="C7987" s="100" t="s">
        <v>23</v>
      </c>
      <c r="D7987" s="75"/>
      <c r="E7987" s="73"/>
      <c r="F7987" s="74" t="s">
        <v>596</v>
      </c>
      <c r="G7987" s="153">
        <f>G7986*2</f>
        <v>1.2057600000000002E-2</v>
      </c>
      <c r="H7987" s="164"/>
    </row>
    <row r="7988" spans="1:9" x14ac:dyDescent="0.25">
      <c r="A7988" s="163"/>
      <c r="B7988" s="106"/>
      <c r="C7988" s="100" t="s">
        <v>142</v>
      </c>
      <c r="D7988" s="75"/>
      <c r="E7988" s="73"/>
      <c r="F7988" s="74" t="s">
        <v>3</v>
      </c>
      <c r="G7988" s="153">
        <f>G7986/4</f>
        <v>1.5072000000000002E-3</v>
      </c>
      <c r="H7988" s="164"/>
    </row>
    <row r="7989" spans="1:9" x14ac:dyDescent="0.25">
      <c r="A7989" s="163"/>
      <c r="B7989" s="106"/>
      <c r="C7989" s="186" t="s">
        <v>8</v>
      </c>
      <c r="D7989" s="73"/>
      <c r="E7989" s="73"/>
      <c r="F7989" s="74" t="s">
        <v>3</v>
      </c>
      <c r="G7989" s="153">
        <f>G7990*0.65</f>
        <v>9.9384999999999994E-3</v>
      </c>
      <c r="H7989" s="164"/>
    </row>
    <row r="7990" spans="1:9" x14ac:dyDescent="0.25">
      <c r="A7990" s="163"/>
      <c r="B7990" s="106"/>
      <c r="C7990" s="186" t="s">
        <v>148</v>
      </c>
      <c r="D7990" s="73"/>
      <c r="E7990" s="73"/>
      <c r="F7990" s="74" t="s">
        <v>3</v>
      </c>
      <c r="G7990" s="153">
        <f>0.5*0.011*2*1.39</f>
        <v>1.5289999999999998E-2</v>
      </c>
      <c r="H7990" s="164"/>
    </row>
    <row r="7991" spans="1:9" x14ac:dyDescent="0.25">
      <c r="A7991" s="163"/>
      <c r="B7991" s="106"/>
      <c r="C7991" s="186" t="s">
        <v>143</v>
      </c>
      <c r="D7991" s="73"/>
      <c r="E7991" s="73"/>
      <c r="F7991" s="74" t="s">
        <v>3</v>
      </c>
      <c r="G7991" s="153">
        <f>G7989</f>
        <v>9.9384999999999994E-3</v>
      </c>
      <c r="H7991" s="164"/>
    </row>
    <row r="7992" spans="1:9" x14ac:dyDescent="0.25">
      <c r="A7992" s="163"/>
      <c r="B7992" s="106"/>
      <c r="C7992" s="73" t="s">
        <v>12</v>
      </c>
      <c r="D7992" s="73"/>
      <c r="E7992" s="73"/>
      <c r="F7992" s="74" t="s">
        <v>3</v>
      </c>
      <c r="G7992" s="153">
        <f>0.3*(G7991+G7990+G7989)</f>
        <v>1.0550099999999998E-2</v>
      </c>
      <c r="H7992" s="164"/>
    </row>
    <row r="7993" spans="1:9" x14ac:dyDescent="0.25">
      <c r="A7993" s="163"/>
      <c r="B7993" s="106"/>
      <c r="C7993" s="73"/>
      <c r="D7993" s="75" t="s">
        <v>3774</v>
      </c>
      <c r="E7993" s="73"/>
      <c r="F7993" s="74"/>
      <c r="G7993" s="153"/>
      <c r="H7993" s="164"/>
    </row>
    <row r="7994" spans="1:9" x14ac:dyDescent="0.25">
      <c r="A7994" s="163"/>
      <c r="B7994" s="106"/>
      <c r="C7994" s="73"/>
      <c r="D7994" s="73" t="s">
        <v>3776</v>
      </c>
      <c r="E7994" s="73"/>
      <c r="F7994" s="74" t="s">
        <v>3</v>
      </c>
      <c r="G7994" s="153">
        <f>0.222*0.475</f>
        <v>0.10545</v>
      </c>
      <c r="H7994" s="164"/>
      <c r="I7994" t="s">
        <v>3778</v>
      </c>
    </row>
    <row r="7995" spans="1:9" x14ac:dyDescent="0.25">
      <c r="A7995" s="163"/>
      <c r="B7995" s="106"/>
      <c r="C7995" s="73"/>
      <c r="D7995" s="73" t="s">
        <v>3775</v>
      </c>
      <c r="E7995" s="73"/>
      <c r="F7995" s="74"/>
      <c r="G7995" s="153"/>
      <c r="H7995" s="164"/>
    </row>
    <row r="7996" spans="1:9" x14ac:dyDescent="0.25">
      <c r="A7996" s="163"/>
      <c r="B7996" s="106"/>
      <c r="C7996" s="73"/>
      <c r="D7996" s="73" t="s">
        <v>3776</v>
      </c>
      <c r="E7996" s="73"/>
      <c r="F7996" s="74" t="s">
        <v>3</v>
      </c>
      <c r="G7996" s="153">
        <f>0.222*0.068</f>
        <v>1.5096000000000002E-2</v>
      </c>
      <c r="H7996" s="164"/>
      <c r="I7996" t="s">
        <v>3777</v>
      </c>
    </row>
    <row r="7997" spans="1:9" x14ac:dyDescent="0.25">
      <c r="A7997" s="163"/>
      <c r="B7997" s="106"/>
      <c r="C7997" s="73"/>
      <c r="D7997" s="73"/>
      <c r="E7997" s="73"/>
      <c r="F7997" s="74"/>
      <c r="G7997" s="153"/>
      <c r="H7997" s="164"/>
    </row>
    <row r="7998" spans="1:9" x14ac:dyDescent="0.25">
      <c r="A7998" s="163"/>
      <c r="B7998" s="106"/>
      <c r="C7998" s="73" t="s">
        <v>3779</v>
      </c>
      <c r="D7998" s="73"/>
      <c r="E7998" s="73"/>
      <c r="F7998" s="74"/>
      <c r="G7998" s="153"/>
      <c r="H7998" s="164"/>
    </row>
    <row r="7999" spans="1:9" x14ac:dyDescent="0.25">
      <c r="A7999" s="163"/>
      <c r="B7999" s="106"/>
      <c r="C7999" s="100" t="s">
        <v>140</v>
      </c>
      <c r="D7999" s="75"/>
      <c r="E7999" s="73"/>
      <c r="F7999" s="74" t="s">
        <v>3</v>
      </c>
      <c r="G7999" s="153">
        <f>0.01*3.14*3*0.08*1.3</f>
        <v>9.7968000000000013E-3</v>
      </c>
      <c r="H7999" s="164"/>
    </row>
    <row r="8000" spans="1:9" ht="17.25" x14ac:dyDescent="0.25">
      <c r="A8000" s="163"/>
      <c r="B8000" s="106"/>
      <c r="C8000" s="100" t="s">
        <v>23</v>
      </c>
      <c r="D8000" s="75"/>
      <c r="E8000" s="73"/>
      <c r="F8000" s="74" t="s">
        <v>596</v>
      </c>
      <c r="G8000" s="153">
        <f>G7999*2</f>
        <v>1.9593600000000003E-2</v>
      </c>
      <c r="H8000" s="164"/>
    </row>
    <row r="8001" spans="1:9" x14ac:dyDescent="0.25">
      <c r="A8001" s="163"/>
      <c r="B8001" s="106"/>
      <c r="C8001" s="100" t="s">
        <v>142</v>
      </c>
      <c r="D8001" s="75"/>
      <c r="E8001" s="73"/>
      <c r="F8001" s="74" t="s">
        <v>3</v>
      </c>
      <c r="G8001" s="153">
        <f>G7999/4</f>
        <v>2.4492000000000003E-3</v>
      </c>
      <c r="H8001" s="164"/>
    </row>
    <row r="8002" spans="1:9" x14ac:dyDescent="0.25">
      <c r="A8002" s="163"/>
      <c r="B8002" s="106"/>
      <c r="C8002" s="73" t="s">
        <v>2755</v>
      </c>
      <c r="D8002" s="75"/>
      <c r="E8002" s="73"/>
      <c r="F8002" s="74" t="s">
        <v>3</v>
      </c>
      <c r="G8002" s="153">
        <f>0.025*0.08*1.2</f>
        <v>2.3999999999999998E-3</v>
      </c>
      <c r="H8002" s="164"/>
    </row>
    <row r="8003" spans="1:9" ht="17.25" x14ac:dyDescent="0.25">
      <c r="A8003" s="163"/>
      <c r="B8003" s="106"/>
      <c r="C8003" s="73" t="s">
        <v>1055</v>
      </c>
      <c r="D8003" s="75"/>
      <c r="E8003" s="73"/>
      <c r="F8003" s="74" t="s">
        <v>596</v>
      </c>
      <c r="G8003" s="153">
        <f>G8002*1.1</f>
        <v>2.64E-3</v>
      </c>
      <c r="H8003" s="164"/>
    </row>
    <row r="8004" spans="1:9" x14ac:dyDescent="0.25">
      <c r="A8004" s="163"/>
      <c r="B8004" s="106"/>
      <c r="C8004" s="186" t="s">
        <v>148</v>
      </c>
      <c r="D8004" s="73"/>
      <c r="E8004" s="73"/>
      <c r="F8004" s="74" t="s">
        <v>3</v>
      </c>
      <c r="G8004" s="153">
        <f>0.1*0.1*3*0.15*2*1.3</f>
        <v>1.1700000000000002E-2</v>
      </c>
      <c r="H8004" s="164"/>
    </row>
    <row r="8005" spans="1:9" x14ac:dyDescent="0.25">
      <c r="A8005" s="163"/>
      <c r="B8005" s="106"/>
      <c r="C8005" s="186" t="s">
        <v>8</v>
      </c>
      <c r="D8005" s="73"/>
      <c r="E8005" s="73"/>
      <c r="F8005" s="74" t="s">
        <v>3</v>
      </c>
      <c r="G8005" s="153">
        <f>0.8*G8004</f>
        <v>9.360000000000002E-3</v>
      </c>
      <c r="H8005" s="164"/>
    </row>
    <row r="8006" spans="1:9" x14ac:dyDescent="0.25">
      <c r="A8006" s="163"/>
      <c r="B8006" s="106"/>
      <c r="C8006" s="186" t="s">
        <v>3780</v>
      </c>
      <c r="D8006" s="73"/>
      <c r="E8006" s="73"/>
      <c r="F8006" s="74" t="s">
        <v>3</v>
      </c>
      <c r="G8006" s="153">
        <f>G8005</f>
        <v>9.360000000000002E-3</v>
      </c>
      <c r="H8006" s="164"/>
    </row>
    <row r="8007" spans="1:9" x14ac:dyDescent="0.25">
      <c r="A8007" s="163"/>
      <c r="B8007" s="106"/>
      <c r="C8007" s="186" t="s">
        <v>12</v>
      </c>
      <c r="D8007" s="73"/>
      <c r="E8007" s="73"/>
      <c r="F8007" s="74" t="s">
        <v>3</v>
      </c>
      <c r="G8007" s="153">
        <f>0.3*(G8006+G8005+G8004)</f>
        <v>9.1260000000000022E-3</v>
      </c>
      <c r="H8007" s="164"/>
    </row>
    <row r="8008" spans="1:9" x14ac:dyDescent="0.25">
      <c r="A8008" s="163"/>
      <c r="B8008" s="106"/>
      <c r="C8008" s="73"/>
      <c r="D8008" s="73" t="s">
        <v>3781</v>
      </c>
      <c r="E8008" s="73"/>
      <c r="F8008" s="74"/>
      <c r="G8008" s="153"/>
      <c r="H8008" s="164"/>
    </row>
    <row r="8009" spans="1:9" x14ac:dyDescent="0.25">
      <c r="A8009" s="163"/>
      <c r="B8009" s="106"/>
      <c r="C8009" s="73"/>
      <c r="D8009" s="73" t="s">
        <v>3785</v>
      </c>
      <c r="E8009" s="73"/>
      <c r="F8009" s="74" t="s">
        <v>3</v>
      </c>
      <c r="G8009" s="153">
        <f>0.314*0.08</f>
        <v>2.512E-2</v>
      </c>
      <c r="H8009" s="164"/>
      <c r="I8009" t="s">
        <v>3786</v>
      </c>
    </row>
    <row r="8010" spans="1:9" x14ac:dyDescent="0.25">
      <c r="A8010" s="163"/>
      <c r="B8010" s="106"/>
      <c r="C8010" s="73"/>
      <c r="D8010" s="73" t="s">
        <v>3782</v>
      </c>
      <c r="E8010" s="73"/>
      <c r="F8010" s="74"/>
      <c r="G8010" s="153"/>
      <c r="H8010" s="164"/>
    </row>
    <row r="8011" spans="1:9" x14ac:dyDescent="0.25">
      <c r="A8011" s="163"/>
      <c r="B8011" s="106"/>
      <c r="C8011" s="73"/>
      <c r="D8011" s="73" t="s">
        <v>3683</v>
      </c>
      <c r="E8011" s="73"/>
      <c r="F8011" s="74" t="s">
        <v>3</v>
      </c>
      <c r="G8011" s="153">
        <f>0.06*0.025*2*8*1.12</f>
        <v>2.6880000000000005E-2</v>
      </c>
      <c r="H8011" s="164"/>
    </row>
    <row r="8012" spans="1:9" ht="15.75" thickBot="1" x14ac:dyDescent="0.3">
      <c r="A8012" s="163"/>
      <c r="B8012" s="106"/>
      <c r="C8012" s="73"/>
      <c r="D8012" s="73" t="s">
        <v>3783</v>
      </c>
      <c r="E8012" s="73"/>
      <c r="F8012" s="74"/>
      <c r="G8012" s="153"/>
      <c r="H8012" s="164"/>
    </row>
    <row r="8013" spans="1:9" ht="15.75" thickBot="1" x14ac:dyDescent="0.3">
      <c r="A8013" s="163"/>
      <c r="B8013" s="106"/>
      <c r="C8013" s="73"/>
      <c r="D8013" s="73" t="s">
        <v>3785</v>
      </c>
      <c r="E8013" s="73"/>
      <c r="F8013" s="74" t="s">
        <v>3</v>
      </c>
      <c r="G8013" s="153">
        <f>0.314*0.08</f>
        <v>2.512E-2</v>
      </c>
      <c r="H8013" s="435"/>
      <c r="I8013" t="s">
        <v>1224</v>
      </c>
    </row>
    <row r="8014" spans="1:9" x14ac:dyDescent="0.25">
      <c r="A8014" s="163"/>
      <c r="B8014" s="106"/>
      <c r="C8014" s="73"/>
      <c r="D8014" s="73" t="s">
        <v>3784</v>
      </c>
      <c r="E8014" s="73"/>
      <c r="F8014" s="74"/>
      <c r="G8014" s="153"/>
      <c r="H8014" s="164"/>
    </row>
    <row r="8015" spans="1:9" x14ac:dyDescent="0.25">
      <c r="A8015" s="163"/>
      <c r="B8015" s="106"/>
      <c r="C8015" s="73"/>
      <c r="D8015" s="73" t="s">
        <v>3785</v>
      </c>
      <c r="E8015" s="73"/>
      <c r="F8015" s="74" t="s">
        <v>3</v>
      </c>
      <c r="G8015" s="153">
        <f>0.314*0.1</f>
        <v>3.1400000000000004E-2</v>
      </c>
      <c r="H8015" s="164"/>
      <c r="I8015" t="s">
        <v>3787</v>
      </c>
    </row>
    <row r="8016" spans="1:9" x14ac:dyDescent="0.25">
      <c r="A8016" s="163"/>
      <c r="B8016" s="106"/>
      <c r="C8016" s="73"/>
      <c r="D8016" s="73"/>
      <c r="E8016" s="73"/>
      <c r="F8016" s="74"/>
      <c r="G8016" s="153"/>
      <c r="H8016" s="164"/>
    </row>
    <row r="8017" spans="1:11" x14ac:dyDescent="0.25">
      <c r="A8017" s="163"/>
      <c r="B8017" s="106"/>
      <c r="C8017" s="75" t="s">
        <v>3788</v>
      </c>
      <c r="D8017" s="73"/>
      <c r="E8017" s="73"/>
      <c r="F8017" s="74"/>
      <c r="G8017" s="153"/>
      <c r="H8017" s="164"/>
    </row>
    <row r="8018" spans="1:11" x14ac:dyDescent="0.25">
      <c r="A8018" s="163"/>
      <c r="B8018" s="106"/>
      <c r="C8018" s="73" t="s">
        <v>2755</v>
      </c>
      <c r="D8018" s="75"/>
      <c r="E8018" s="73"/>
      <c r="F8018" s="74" t="s">
        <v>3</v>
      </c>
      <c r="G8018" s="153">
        <f>0.016*3.14*2*0.08*1.2</f>
        <v>9.6460799999999996E-3</v>
      </c>
      <c r="H8018" s="164"/>
      <c r="K8018" s="433"/>
    </row>
    <row r="8019" spans="1:11" ht="17.25" x14ac:dyDescent="0.25">
      <c r="A8019" s="163"/>
      <c r="B8019" s="106"/>
      <c r="C8019" s="73" t="s">
        <v>1055</v>
      </c>
      <c r="D8019" s="75"/>
      <c r="E8019" s="73"/>
      <c r="F8019" s="74" t="s">
        <v>596</v>
      </c>
      <c r="G8019" s="153">
        <f>G8018*1.1</f>
        <v>1.0610688E-2</v>
      </c>
      <c r="H8019" s="164"/>
      <c r="K8019" s="433"/>
    </row>
    <row r="8020" spans="1:11" x14ac:dyDescent="0.25">
      <c r="A8020" s="163"/>
      <c r="B8020" s="106"/>
      <c r="C8020" s="77" t="s">
        <v>115</v>
      </c>
      <c r="D8020" s="73"/>
      <c r="E8020" s="73"/>
      <c r="F8020" s="74" t="s">
        <v>3</v>
      </c>
      <c r="G8020" s="153">
        <f>0.15*0.15*2*0.15*2*1.2</f>
        <v>1.6199999999999999E-2</v>
      </c>
      <c r="H8020" s="164"/>
      <c r="K8020" s="433"/>
    </row>
    <row r="8021" spans="1:11" x14ac:dyDescent="0.25">
      <c r="A8021" s="163"/>
      <c r="B8021" s="106"/>
      <c r="C8021" s="77" t="s">
        <v>8</v>
      </c>
      <c r="D8021" s="73"/>
      <c r="E8021" s="73"/>
      <c r="F8021" s="74" t="s">
        <v>3</v>
      </c>
      <c r="G8021" s="153">
        <f>G8020*0.6</f>
        <v>9.7199999999999995E-3</v>
      </c>
      <c r="H8021" s="164"/>
      <c r="K8021" s="433"/>
    </row>
    <row r="8022" spans="1:11" x14ac:dyDescent="0.25">
      <c r="A8022" s="163"/>
      <c r="B8022" s="106"/>
      <c r="C8022" s="77" t="s">
        <v>12</v>
      </c>
      <c r="D8022" s="73"/>
      <c r="E8022" s="73"/>
      <c r="F8022" s="74" t="s">
        <v>3</v>
      </c>
      <c r="G8022" s="153">
        <f>0.3*(G8021+G8020)</f>
        <v>7.7759999999999991E-3</v>
      </c>
      <c r="H8022" s="164"/>
      <c r="K8022" s="433"/>
    </row>
    <row r="8023" spans="1:11" x14ac:dyDescent="0.25">
      <c r="A8023" s="163"/>
      <c r="B8023" s="106"/>
      <c r="C8023" s="73"/>
      <c r="D8023" s="73" t="s">
        <v>3789</v>
      </c>
      <c r="E8023" s="73"/>
      <c r="F8023" s="74"/>
      <c r="G8023" s="153"/>
      <c r="H8023" s="164"/>
      <c r="K8023" s="433"/>
    </row>
    <row r="8024" spans="1:11" x14ac:dyDescent="0.25">
      <c r="A8024" s="163"/>
      <c r="B8024" s="106"/>
      <c r="C8024" s="73"/>
      <c r="D8024" s="73" t="s">
        <v>55</v>
      </c>
      <c r="E8024" s="73"/>
      <c r="F8024" s="74" t="s">
        <v>3</v>
      </c>
      <c r="G8024" s="153">
        <f>0.12*0.12*3*8*1.128</f>
        <v>0.38983679999999998</v>
      </c>
      <c r="H8024" s="164"/>
      <c r="K8024" s="433"/>
    </row>
    <row r="8025" spans="1:11" x14ac:dyDescent="0.25">
      <c r="A8025" s="163"/>
      <c r="B8025" s="106"/>
      <c r="C8025" s="73"/>
      <c r="D8025" s="73"/>
      <c r="E8025" s="73"/>
      <c r="F8025" s="74"/>
      <c r="G8025" s="153"/>
      <c r="H8025" s="164"/>
      <c r="K8025" s="433"/>
    </row>
    <row r="8026" spans="1:11" x14ac:dyDescent="0.25">
      <c r="A8026" s="163"/>
      <c r="B8026" s="106"/>
      <c r="C8026" s="73" t="s">
        <v>3790</v>
      </c>
      <c r="D8026" s="73"/>
      <c r="E8026" s="73"/>
      <c r="F8026" s="74"/>
      <c r="G8026" s="153"/>
      <c r="H8026" s="164"/>
      <c r="K8026" s="433"/>
    </row>
    <row r="8027" spans="1:11" x14ac:dyDescent="0.25">
      <c r="A8027" s="163"/>
      <c r="B8027" s="106"/>
      <c r="C8027" s="73" t="s">
        <v>3791</v>
      </c>
      <c r="D8027" s="73"/>
      <c r="E8027" s="73"/>
      <c r="F8027" s="74" t="s">
        <v>1516</v>
      </c>
      <c r="G8027" s="153">
        <v>4</v>
      </c>
      <c r="H8027" s="164"/>
      <c r="K8027" s="433"/>
    </row>
    <row r="8028" spans="1:11" x14ac:dyDescent="0.25">
      <c r="A8028" s="163"/>
      <c r="B8028" s="106"/>
      <c r="C8028" s="73" t="s">
        <v>3792</v>
      </c>
      <c r="D8028" s="73"/>
      <c r="E8028" s="73"/>
      <c r="F8028" s="74" t="s">
        <v>1516</v>
      </c>
      <c r="G8028" s="153">
        <v>4</v>
      </c>
      <c r="H8028" s="164"/>
      <c r="K8028" s="433"/>
    </row>
    <row r="8029" spans="1:11" x14ac:dyDescent="0.25">
      <c r="A8029" s="163"/>
      <c r="B8029" s="106"/>
      <c r="C8029" s="73" t="s">
        <v>115</v>
      </c>
      <c r="D8029" s="73"/>
      <c r="E8029" s="73"/>
      <c r="F8029" s="74" t="s">
        <v>3</v>
      </c>
      <c r="G8029" s="153">
        <f>0.13*0.099*2*0.15*2*1.3</f>
        <v>1.0038600000000002E-2</v>
      </c>
      <c r="H8029" s="164"/>
      <c r="K8029" s="433"/>
    </row>
    <row r="8030" spans="1:11" x14ac:dyDescent="0.25">
      <c r="A8030" s="163"/>
      <c r="B8030" s="106"/>
      <c r="C8030" s="73" t="s">
        <v>12</v>
      </c>
      <c r="D8030" s="73"/>
      <c r="E8030" s="73"/>
      <c r="F8030" s="74" t="s">
        <v>3</v>
      </c>
      <c r="G8030" s="153">
        <f>0.3*G8029</f>
        <v>3.0115800000000002E-3</v>
      </c>
      <c r="H8030" s="164"/>
      <c r="K8030" s="433"/>
    </row>
    <row r="8031" spans="1:11" x14ac:dyDescent="0.25">
      <c r="A8031" s="163"/>
      <c r="B8031" s="106"/>
      <c r="C8031" s="73" t="s">
        <v>163</v>
      </c>
      <c r="D8031" s="73"/>
      <c r="E8031" s="73"/>
      <c r="F8031" s="74" t="s">
        <v>3</v>
      </c>
      <c r="G8031" s="153">
        <f>G8029*0.7</f>
        <v>7.027020000000001E-3</v>
      </c>
      <c r="H8031" s="164"/>
      <c r="K8031" s="433"/>
    </row>
    <row r="8032" spans="1:11" x14ac:dyDescent="0.25">
      <c r="A8032" s="163"/>
      <c r="B8032" s="106"/>
      <c r="C8032" s="73" t="s">
        <v>164</v>
      </c>
      <c r="D8032" s="73"/>
      <c r="E8032" s="73"/>
      <c r="F8032" s="74" t="s">
        <v>3</v>
      </c>
      <c r="G8032" s="153">
        <f>0.3*G8031</f>
        <v>2.1081060000000002E-3</v>
      </c>
      <c r="H8032" s="164"/>
      <c r="K8032" s="433"/>
    </row>
    <row r="8033" spans="1:11" x14ac:dyDescent="0.25">
      <c r="A8033" s="163"/>
      <c r="B8033" s="106"/>
      <c r="C8033" s="73"/>
      <c r="D8033" s="75" t="s">
        <v>3793</v>
      </c>
      <c r="E8033" s="73"/>
      <c r="F8033" s="74"/>
      <c r="G8033" s="153"/>
      <c r="H8033" s="164"/>
      <c r="K8033" s="433"/>
    </row>
    <row r="8034" spans="1:11" x14ac:dyDescent="0.25">
      <c r="A8034" s="163"/>
      <c r="B8034" s="106"/>
      <c r="C8034" s="73"/>
      <c r="D8034" s="73" t="s">
        <v>651</v>
      </c>
      <c r="E8034" s="73"/>
      <c r="F8034" s="74" t="s">
        <v>3</v>
      </c>
      <c r="G8034" s="153">
        <f>0.13*0.065*2*2.7*1.1</f>
        <v>5.0193000000000015E-2</v>
      </c>
      <c r="H8034" s="164"/>
      <c r="K8034" s="433"/>
    </row>
    <row r="8035" spans="1:11" x14ac:dyDescent="0.25">
      <c r="A8035" s="163"/>
      <c r="B8035" s="106"/>
      <c r="C8035" s="73"/>
      <c r="D8035" s="75" t="s">
        <v>3794</v>
      </c>
      <c r="E8035" s="73"/>
      <c r="F8035" s="74"/>
      <c r="G8035" s="153"/>
      <c r="H8035" s="164"/>
      <c r="K8035" s="433"/>
    </row>
    <row r="8036" spans="1:11" x14ac:dyDescent="0.25">
      <c r="A8036" s="163"/>
      <c r="B8036" s="106"/>
      <c r="C8036" s="73"/>
      <c r="D8036" s="73" t="s">
        <v>651</v>
      </c>
      <c r="E8036" s="73"/>
      <c r="F8036" s="74" t="s">
        <v>3</v>
      </c>
      <c r="G8036" s="153">
        <f>0.185*0.02*2*2.7*1.125</f>
        <v>2.2477500000000001E-2</v>
      </c>
      <c r="H8036" s="164"/>
      <c r="K8036" s="433"/>
    </row>
    <row r="8037" spans="1:11" x14ac:dyDescent="0.25">
      <c r="A8037" s="163"/>
      <c r="B8037" s="106"/>
      <c r="C8037" s="73"/>
      <c r="D8037" s="73"/>
      <c r="E8037" s="73"/>
      <c r="F8037" s="74"/>
      <c r="G8037" s="153"/>
      <c r="H8037" s="164"/>
      <c r="K8037" s="433"/>
    </row>
    <row r="8038" spans="1:11" x14ac:dyDescent="0.25">
      <c r="A8038" s="163"/>
      <c r="B8038" s="106"/>
      <c r="C8038" s="75" t="s">
        <v>3795</v>
      </c>
      <c r="D8038" s="73"/>
      <c r="E8038" s="73"/>
      <c r="F8038" s="74"/>
      <c r="G8038" s="153"/>
      <c r="H8038" s="164"/>
      <c r="K8038" s="433"/>
    </row>
    <row r="8039" spans="1:11" x14ac:dyDescent="0.25">
      <c r="A8039" s="163"/>
      <c r="B8039" s="106"/>
      <c r="C8039" s="73" t="s">
        <v>2755</v>
      </c>
      <c r="D8039" s="75"/>
      <c r="E8039" s="73"/>
      <c r="F8039" s="74" t="s">
        <v>3</v>
      </c>
      <c r="G8039" s="153">
        <f>(0.016*3.014*3+0.1)*0.08*1.1</f>
        <v>2.1531135999999999E-2</v>
      </c>
      <c r="H8039" s="164"/>
      <c r="K8039" s="433"/>
    </row>
    <row r="8040" spans="1:11" ht="17.25" x14ac:dyDescent="0.25">
      <c r="A8040" s="163"/>
      <c r="B8040" s="106"/>
      <c r="C8040" s="73" t="s">
        <v>1055</v>
      </c>
      <c r="D8040" s="75"/>
      <c r="E8040" s="73"/>
      <c r="F8040" s="74" t="s">
        <v>596</v>
      </c>
      <c r="G8040" s="153">
        <f>G8039*1.1</f>
        <v>2.3684249600000002E-2</v>
      </c>
      <c r="H8040" s="164"/>
      <c r="K8040" s="433"/>
    </row>
    <row r="8041" spans="1:11" x14ac:dyDescent="0.25">
      <c r="A8041" s="163"/>
      <c r="B8041" s="106"/>
      <c r="C8041" s="73"/>
      <c r="D8041" s="75"/>
      <c r="E8041" s="73"/>
      <c r="F8041" s="74"/>
      <c r="G8041" s="153"/>
      <c r="H8041" s="164"/>
      <c r="K8041" s="433"/>
    </row>
    <row r="8042" spans="1:11" x14ac:dyDescent="0.25">
      <c r="A8042" s="163"/>
      <c r="B8042" s="106"/>
      <c r="C8042" s="75" t="s">
        <v>3796</v>
      </c>
      <c r="D8042" s="75"/>
      <c r="E8042" s="73"/>
      <c r="F8042" s="74"/>
      <c r="G8042" s="153"/>
      <c r="H8042" s="164"/>
      <c r="K8042" s="433"/>
    </row>
    <row r="8043" spans="1:11" x14ac:dyDescent="0.25">
      <c r="A8043" s="163"/>
      <c r="B8043" s="106"/>
      <c r="C8043" s="100" t="s">
        <v>140</v>
      </c>
      <c r="D8043" s="75"/>
      <c r="E8043" s="73"/>
      <c r="F8043" s="74" t="s">
        <v>3</v>
      </c>
      <c r="G8043" s="153">
        <f>0.008*3.14*2*0.08*1.1</f>
        <v>4.4211199999999997E-3</v>
      </c>
      <c r="H8043" s="164"/>
      <c r="K8043" s="433"/>
    </row>
    <row r="8044" spans="1:11" ht="17.25" x14ac:dyDescent="0.25">
      <c r="A8044" s="163"/>
      <c r="B8044" s="106"/>
      <c r="C8044" s="100" t="s">
        <v>23</v>
      </c>
      <c r="D8044" s="75"/>
      <c r="E8044" s="73"/>
      <c r="F8044" s="74" t="s">
        <v>596</v>
      </c>
      <c r="G8044" s="153">
        <f>G8043*2</f>
        <v>8.8422399999999995E-3</v>
      </c>
      <c r="H8044" s="164"/>
      <c r="K8044" s="433"/>
    </row>
    <row r="8045" spans="1:11" x14ac:dyDescent="0.25">
      <c r="A8045" s="163"/>
      <c r="B8045" s="106"/>
      <c r="C8045" s="100" t="s">
        <v>142</v>
      </c>
      <c r="D8045" s="75"/>
      <c r="E8045" s="73"/>
      <c r="F8045" s="74" t="s">
        <v>3</v>
      </c>
      <c r="G8045" s="153">
        <f>G8043/4</f>
        <v>1.1052799999999999E-3</v>
      </c>
      <c r="H8045" s="164"/>
      <c r="K8045" s="433"/>
    </row>
    <row r="8046" spans="1:11" x14ac:dyDescent="0.25">
      <c r="A8046" s="163"/>
      <c r="B8046" s="106"/>
      <c r="C8046" s="186" t="s">
        <v>152</v>
      </c>
      <c r="D8046" s="75"/>
      <c r="E8046" s="73"/>
      <c r="F8046" s="74" t="s">
        <v>3</v>
      </c>
      <c r="G8046" s="153">
        <f>0.62*0.011*2*1.2</f>
        <v>1.6367999999999997E-2</v>
      </c>
      <c r="H8046" s="164"/>
      <c r="K8046" s="433"/>
    </row>
    <row r="8047" spans="1:11" x14ac:dyDescent="0.25">
      <c r="A8047" s="163"/>
      <c r="B8047" s="106"/>
      <c r="C8047" s="186" t="s">
        <v>8</v>
      </c>
      <c r="D8047" s="75"/>
      <c r="E8047" s="73"/>
      <c r="F8047" s="74" t="s">
        <v>3</v>
      </c>
      <c r="G8047" s="153">
        <f>G8046*0.6</f>
        <v>9.8207999999999976E-3</v>
      </c>
      <c r="H8047" s="164"/>
      <c r="K8047" s="433"/>
    </row>
    <row r="8048" spans="1:11" x14ac:dyDescent="0.25">
      <c r="A8048" s="163"/>
      <c r="B8048" s="106"/>
      <c r="C8048" s="186" t="s">
        <v>3797</v>
      </c>
      <c r="D8048" s="75"/>
      <c r="E8048" s="73"/>
      <c r="F8048" s="74" t="s">
        <v>3</v>
      </c>
      <c r="G8048" s="153">
        <f>G8047</f>
        <v>9.8207999999999976E-3</v>
      </c>
      <c r="H8048" s="164"/>
      <c r="K8048" s="433"/>
    </row>
    <row r="8049" spans="1:11" x14ac:dyDescent="0.25">
      <c r="A8049" s="163"/>
      <c r="B8049" s="106"/>
      <c r="C8049" s="186" t="s">
        <v>12</v>
      </c>
      <c r="D8049" s="75"/>
      <c r="E8049" s="73"/>
      <c r="F8049" s="74" t="s">
        <v>3</v>
      </c>
      <c r="G8049" s="153">
        <f>0.3*(G8048+G8047+G8046)</f>
        <v>1.0802879999999996E-2</v>
      </c>
      <c r="H8049" s="164"/>
      <c r="K8049" s="433"/>
    </row>
    <row r="8050" spans="1:11" x14ac:dyDescent="0.25">
      <c r="A8050" s="163"/>
      <c r="B8050" s="106"/>
      <c r="C8050" s="73"/>
      <c r="D8050" s="75" t="s">
        <v>3799</v>
      </c>
      <c r="E8050" s="73"/>
      <c r="F8050" s="74"/>
      <c r="G8050" s="153"/>
      <c r="H8050" s="164"/>
      <c r="K8050" s="433"/>
    </row>
    <row r="8051" spans="1:11" x14ac:dyDescent="0.25">
      <c r="A8051" s="163"/>
      <c r="B8051" s="106"/>
      <c r="C8051" s="73"/>
      <c r="D8051" s="100" t="s">
        <v>3800</v>
      </c>
      <c r="E8051" s="73"/>
      <c r="F8051" s="74" t="s">
        <v>3</v>
      </c>
      <c r="G8051" s="153">
        <f>0.227*0.615</f>
        <v>0.13960500000000001</v>
      </c>
      <c r="H8051" s="164"/>
      <c r="I8051" t="s">
        <v>3798</v>
      </c>
      <c r="K8051" s="433"/>
    </row>
    <row r="8052" spans="1:11" x14ac:dyDescent="0.25">
      <c r="A8052" s="163"/>
      <c r="B8052" s="106"/>
      <c r="C8052" s="73"/>
      <c r="D8052" s="75"/>
      <c r="E8052" s="73"/>
      <c r="F8052" s="74"/>
      <c r="G8052" s="153"/>
      <c r="H8052" s="164"/>
      <c r="K8052" s="433"/>
    </row>
    <row r="8053" spans="1:11" x14ac:dyDescent="0.25">
      <c r="A8053" s="163"/>
      <c r="B8053" s="106"/>
      <c r="C8053" s="73" t="s">
        <v>3801</v>
      </c>
      <c r="D8053" s="75"/>
      <c r="E8053" s="73"/>
      <c r="F8053" s="74"/>
      <c r="G8053" s="153"/>
      <c r="H8053" s="164"/>
      <c r="K8053" s="433"/>
    </row>
    <row r="8054" spans="1:11" x14ac:dyDescent="0.25">
      <c r="A8054" s="163"/>
      <c r="B8054" s="106"/>
      <c r="C8054" s="100" t="s">
        <v>140</v>
      </c>
      <c r="D8054" s="75"/>
      <c r="E8054" s="73"/>
      <c r="F8054" s="74" t="s">
        <v>3</v>
      </c>
      <c r="G8054" s="153">
        <f>0.006*3.14*2*0.08*1.2</f>
        <v>3.6172800000000005E-3</v>
      </c>
      <c r="H8054" s="164"/>
      <c r="K8054" s="433"/>
    </row>
    <row r="8055" spans="1:11" ht="17.25" x14ac:dyDescent="0.25">
      <c r="A8055" s="163"/>
      <c r="B8055" s="106"/>
      <c r="C8055" s="100" t="s">
        <v>23</v>
      </c>
      <c r="D8055" s="75"/>
      <c r="E8055" s="73"/>
      <c r="F8055" s="74" t="s">
        <v>596</v>
      </c>
      <c r="G8055" s="153">
        <f>G8054*2</f>
        <v>7.234560000000001E-3</v>
      </c>
      <c r="H8055" s="164"/>
      <c r="K8055" s="433"/>
    </row>
    <row r="8056" spans="1:11" x14ac:dyDescent="0.25">
      <c r="A8056" s="163"/>
      <c r="B8056" s="106"/>
      <c r="C8056" s="100" t="s">
        <v>142</v>
      </c>
      <c r="D8056" s="75"/>
      <c r="E8056" s="73"/>
      <c r="F8056" s="74" t="s">
        <v>3</v>
      </c>
      <c r="G8056" s="153">
        <f>G8054/4</f>
        <v>9.0432000000000012E-4</v>
      </c>
      <c r="H8056" s="164"/>
      <c r="K8056" s="433"/>
    </row>
    <row r="8057" spans="1:11" x14ac:dyDescent="0.25">
      <c r="A8057" s="163"/>
      <c r="B8057" s="106"/>
      <c r="C8057" s="186" t="s">
        <v>152</v>
      </c>
      <c r="D8057" s="75"/>
      <c r="E8057" s="73"/>
      <c r="F8057" s="74" t="s">
        <v>3</v>
      </c>
      <c r="G8057" s="153">
        <f>1.7*0.011*2*1.2</f>
        <v>4.4879999999999996E-2</v>
      </c>
      <c r="H8057" s="164"/>
      <c r="K8057" s="433"/>
    </row>
    <row r="8058" spans="1:11" x14ac:dyDescent="0.25">
      <c r="A8058" s="163"/>
      <c r="B8058" s="106"/>
      <c r="C8058" s="186" t="s">
        <v>8</v>
      </c>
      <c r="D8058" s="75"/>
      <c r="E8058" s="73"/>
      <c r="F8058" s="74" t="s">
        <v>3</v>
      </c>
      <c r="G8058" s="153">
        <f>G8057*0.6</f>
        <v>2.6927999999999997E-2</v>
      </c>
      <c r="H8058" s="164"/>
      <c r="K8058" s="433"/>
    </row>
    <row r="8059" spans="1:11" x14ac:dyDescent="0.25">
      <c r="A8059" s="163"/>
      <c r="B8059" s="106"/>
      <c r="C8059" s="186" t="s">
        <v>3797</v>
      </c>
      <c r="D8059" s="75"/>
      <c r="E8059" s="73"/>
      <c r="F8059" s="74" t="s">
        <v>3</v>
      </c>
      <c r="G8059" s="153">
        <f>G8058</f>
        <v>2.6927999999999997E-2</v>
      </c>
      <c r="H8059" s="164"/>
      <c r="K8059" s="433"/>
    </row>
    <row r="8060" spans="1:11" x14ac:dyDescent="0.25">
      <c r="A8060" s="163"/>
      <c r="B8060" s="106"/>
      <c r="C8060" s="186" t="s">
        <v>12</v>
      </c>
      <c r="D8060" s="75"/>
      <c r="E8060" s="73"/>
      <c r="F8060" s="74" t="s">
        <v>3</v>
      </c>
      <c r="G8060" s="153">
        <f>0.3*(G8059+G8058+G8057)</f>
        <v>2.9620799999999996E-2</v>
      </c>
      <c r="H8060" s="164"/>
      <c r="K8060" s="433"/>
    </row>
    <row r="8061" spans="1:11" x14ac:dyDescent="0.25">
      <c r="A8061" s="163"/>
      <c r="B8061" s="106"/>
      <c r="C8061" s="73"/>
      <c r="D8061" s="75" t="s">
        <v>3802</v>
      </c>
      <c r="E8061" s="73"/>
      <c r="F8061" s="74"/>
      <c r="G8061" s="153"/>
      <c r="H8061" s="164"/>
      <c r="K8061" s="433"/>
    </row>
    <row r="8062" spans="1:11" x14ac:dyDescent="0.25">
      <c r="A8062" s="163"/>
      <c r="B8062" s="106"/>
      <c r="C8062" s="73"/>
      <c r="D8062" s="100" t="s">
        <v>3656</v>
      </c>
      <c r="E8062" s="73"/>
      <c r="F8062" s="74" t="s">
        <v>3</v>
      </c>
      <c r="G8062" s="153">
        <f>0.123*1.83</f>
        <v>0.22509000000000001</v>
      </c>
      <c r="H8062" s="164"/>
      <c r="I8062" t="s">
        <v>3803</v>
      </c>
      <c r="K8062" s="433"/>
    </row>
    <row r="8063" spans="1:11" x14ac:dyDescent="0.25">
      <c r="A8063" s="163"/>
      <c r="B8063" s="106"/>
      <c r="C8063" s="73"/>
      <c r="D8063" s="75"/>
      <c r="E8063" s="73"/>
      <c r="F8063" s="74"/>
      <c r="G8063" s="153"/>
      <c r="H8063" s="164"/>
      <c r="K8063" s="433"/>
    </row>
    <row r="8064" spans="1:11" x14ac:dyDescent="0.25">
      <c r="A8064" s="163"/>
      <c r="B8064" s="106"/>
      <c r="C8064" s="75" t="s">
        <v>3804</v>
      </c>
      <c r="D8064" s="75"/>
      <c r="E8064" s="73"/>
      <c r="F8064" s="74"/>
      <c r="G8064" s="153"/>
      <c r="H8064" s="164"/>
      <c r="K8064" s="433"/>
    </row>
    <row r="8065" spans="1:11" x14ac:dyDescent="0.25">
      <c r="A8065" s="163"/>
      <c r="B8065" s="106"/>
      <c r="C8065" s="100" t="s">
        <v>140</v>
      </c>
      <c r="D8065" s="75"/>
      <c r="E8065" s="73"/>
      <c r="F8065" s="74" t="s">
        <v>3</v>
      </c>
      <c r="G8065" s="153">
        <f>0.006*3.14*2*0.08*1.2</f>
        <v>3.6172800000000005E-3</v>
      </c>
      <c r="H8065" s="164"/>
      <c r="K8065" s="433"/>
    </row>
    <row r="8066" spans="1:11" ht="17.25" x14ac:dyDescent="0.25">
      <c r="A8066" s="163"/>
      <c r="B8066" s="106"/>
      <c r="C8066" s="100" t="s">
        <v>23</v>
      </c>
      <c r="D8066" s="75"/>
      <c r="E8066" s="73"/>
      <c r="F8066" s="74" t="s">
        <v>596</v>
      </c>
      <c r="G8066" s="153">
        <f>G8065*2</f>
        <v>7.234560000000001E-3</v>
      </c>
      <c r="H8066" s="164"/>
      <c r="K8066" s="433"/>
    </row>
    <row r="8067" spans="1:11" x14ac:dyDescent="0.25">
      <c r="A8067" s="163"/>
      <c r="B8067" s="106"/>
      <c r="C8067" s="100" t="s">
        <v>142</v>
      </c>
      <c r="D8067" s="75"/>
      <c r="E8067" s="73"/>
      <c r="F8067" s="74" t="s">
        <v>3</v>
      </c>
      <c r="G8067" s="153">
        <f>G8065/4</f>
        <v>9.0432000000000012E-4</v>
      </c>
      <c r="H8067" s="164"/>
      <c r="K8067" s="433"/>
    </row>
    <row r="8068" spans="1:11" x14ac:dyDescent="0.25">
      <c r="A8068" s="163"/>
      <c r="B8068" s="106"/>
      <c r="C8068" s="186" t="s">
        <v>152</v>
      </c>
      <c r="D8068" s="75"/>
      <c r="E8068" s="73"/>
      <c r="F8068" s="74" t="s">
        <v>3</v>
      </c>
      <c r="G8068" s="153">
        <f>0.9*0.011*2*1.25</f>
        <v>2.4749999999999998E-2</v>
      </c>
      <c r="H8068" s="164"/>
      <c r="K8068" s="433"/>
    </row>
    <row r="8069" spans="1:11" x14ac:dyDescent="0.25">
      <c r="A8069" s="163"/>
      <c r="B8069" s="106"/>
      <c r="C8069" s="186" t="s">
        <v>8</v>
      </c>
      <c r="D8069" s="75"/>
      <c r="E8069" s="73"/>
      <c r="F8069" s="74" t="s">
        <v>3</v>
      </c>
      <c r="G8069" s="153">
        <f>G8068*0.6</f>
        <v>1.4849999999999999E-2</v>
      </c>
      <c r="H8069" s="164"/>
      <c r="K8069" s="433"/>
    </row>
    <row r="8070" spans="1:11" x14ac:dyDescent="0.25">
      <c r="A8070" s="163"/>
      <c r="B8070" s="106"/>
      <c r="C8070" s="186" t="s">
        <v>3797</v>
      </c>
      <c r="D8070" s="75"/>
      <c r="E8070" s="73"/>
      <c r="F8070" s="74" t="s">
        <v>3</v>
      </c>
      <c r="G8070" s="153">
        <f>G8069</f>
        <v>1.4849999999999999E-2</v>
      </c>
      <c r="H8070" s="164"/>
      <c r="K8070" s="433"/>
    </row>
    <row r="8071" spans="1:11" x14ac:dyDescent="0.25">
      <c r="A8071" s="163"/>
      <c r="B8071" s="106"/>
      <c r="C8071" s="186" t="s">
        <v>12</v>
      </c>
      <c r="D8071" s="75"/>
      <c r="E8071" s="73"/>
      <c r="F8071" s="74" t="s">
        <v>3</v>
      </c>
      <c r="G8071" s="153">
        <f>0.3*(G8070+G8069+G8068)</f>
        <v>1.6334999999999999E-2</v>
      </c>
      <c r="H8071" s="164"/>
      <c r="K8071" s="433"/>
    </row>
    <row r="8072" spans="1:11" x14ac:dyDescent="0.25">
      <c r="A8072" s="163"/>
      <c r="B8072" s="106"/>
      <c r="C8072" s="73"/>
      <c r="D8072" s="75" t="s">
        <v>3805</v>
      </c>
      <c r="E8072" s="73"/>
      <c r="F8072" s="74"/>
      <c r="G8072" s="153"/>
      <c r="H8072" s="164"/>
      <c r="K8072" s="433"/>
    </row>
    <row r="8073" spans="1:11" x14ac:dyDescent="0.25">
      <c r="A8073" s="163"/>
      <c r="B8073" s="106"/>
      <c r="C8073" s="73"/>
      <c r="D8073" s="100" t="s">
        <v>3656</v>
      </c>
      <c r="E8073" s="73"/>
      <c r="F8073" s="74" t="s">
        <v>3</v>
      </c>
      <c r="G8073" s="153">
        <f>0.123*1.015</f>
        <v>0.12484499999999998</v>
      </c>
      <c r="H8073" s="164"/>
      <c r="I8073" t="s">
        <v>3806</v>
      </c>
      <c r="K8073" s="433"/>
    </row>
    <row r="8074" spans="1:11" x14ac:dyDescent="0.25">
      <c r="A8074" s="163"/>
      <c r="B8074" s="106"/>
      <c r="C8074" s="73"/>
      <c r="D8074" s="75"/>
      <c r="E8074" s="73"/>
      <c r="F8074" s="74"/>
      <c r="G8074" s="153"/>
      <c r="H8074" s="164"/>
      <c r="K8074" s="433"/>
    </row>
    <row r="8075" spans="1:11" x14ac:dyDescent="0.25">
      <c r="A8075" s="163"/>
      <c r="B8075" s="106"/>
      <c r="C8075" s="73" t="s">
        <v>3807</v>
      </c>
      <c r="D8075" s="75"/>
      <c r="E8075" s="73"/>
      <c r="F8075" s="74"/>
      <c r="G8075" s="153"/>
      <c r="H8075" s="164"/>
      <c r="K8075" s="433"/>
    </row>
    <row r="8076" spans="1:11" x14ac:dyDescent="0.25">
      <c r="A8076" s="163"/>
      <c r="B8076" s="106"/>
      <c r="C8076" s="100" t="s">
        <v>140</v>
      </c>
      <c r="D8076" s="75"/>
      <c r="E8076" s="73"/>
      <c r="F8076" s="74" t="s">
        <v>3</v>
      </c>
      <c r="G8076" s="153">
        <f>0.006*3.14*2*0.08*1.2</f>
        <v>3.6172800000000005E-3</v>
      </c>
      <c r="H8076" s="164"/>
      <c r="K8076" s="433"/>
    </row>
    <row r="8077" spans="1:11" ht="17.25" x14ac:dyDescent="0.25">
      <c r="A8077" s="163"/>
      <c r="B8077" s="106"/>
      <c r="C8077" s="100" t="s">
        <v>23</v>
      </c>
      <c r="D8077" s="75"/>
      <c r="E8077" s="73"/>
      <c r="F8077" s="74" t="s">
        <v>596</v>
      </c>
      <c r="G8077" s="153">
        <f>G8076*2</f>
        <v>7.234560000000001E-3</v>
      </c>
      <c r="H8077" s="164"/>
      <c r="K8077" s="433"/>
    </row>
    <row r="8078" spans="1:11" x14ac:dyDescent="0.25">
      <c r="A8078" s="163"/>
      <c r="B8078" s="106"/>
      <c r="C8078" s="100" t="s">
        <v>142</v>
      </c>
      <c r="D8078" s="75"/>
      <c r="E8078" s="73"/>
      <c r="F8078" s="74" t="s">
        <v>3</v>
      </c>
      <c r="G8078" s="153">
        <f>G8076/4</f>
        <v>9.0432000000000012E-4</v>
      </c>
      <c r="H8078" s="164"/>
      <c r="K8078" s="433"/>
    </row>
    <row r="8079" spans="1:11" x14ac:dyDescent="0.25">
      <c r="A8079" s="163"/>
      <c r="B8079" s="106"/>
      <c r="C8079" s="186" t="s">
        <v>152</v>
      </c>
      <c r="D8079" s="75"/>
      <c r="E8079" s="73"/>
      <c r="F8079" s="74" t="s">
        <v>3</v>
      </c>
      <c r="G8079" s="153">
        <f>0.05*0.05*2*0.15*2*2</f>
        <v>3.0000000000000005E-3</v>
      </c>
      <c r="H8079" s="164"/>
      <c r="K8079" s="433"/>
    </row>
    <row r="8080" spans="1:11" x14ac:dyDescent="0.25">
      <c r="A8080" s="163"/>
      <c r="B8080" s="106"/>
      <c r="C8080" s="186" t="s">
        <v>8</v>
      </c>
      <c r="D8080" s="75"/>
      <c r="E8080" s="73"/>
      <c r="F8080" s="74" t="s">
        <v>3</v>
      </c>
      <c r="G8080" s="153">
        <f>G8079*0.6</f>
        <v>1.8000000000000002E-3</v>
      </c>
      <c r="H8080" s="164"/>
      <c r="K8080" s="433"/>
    </row>
    <row r="8081" spans="1:11" x14ac:dyDescent="0.25">
      <c r="A8081" s="163"/>
      <c r="B8081" s="106"/>
      <c r="C8081" s="186" t="s">
        <v>3797</v>
      </c>
      <c r="D8081" s="75"/>
      <c r="E8081" s="73"/>
      <c r="F8081" s="74" t="s">
        <v>3</v>
      </c>
      <c r="G8081" s="153">
        <f>G8080</f>
        <v>1.8000000000000002E-3</v>
      </c>
      <c r="H8081" s="164"/>
      <c r="K8081" s="433"/>
    </row>
    <row r="8082" spans="1:11" x14ac:dyDescent="0.25">
      <c r="A8082" s="163"/>
      <c r="B8082" s="106"/>
      <c r="C8082" s="186" t="s">
        <v>12</v>
      </c>
      <c r="D8082" s="75"/>
      <c r="E8082" s="73"/>
      <c r="F8082" s="74" t="s">
        <v>3</v>
      </c>
      <c r="G8082" s="153">
        <f>0.3*(G8081+G8080+G8079)</f>
        <v>1.98E-3</v>
      </c>
      <c r="H8082" s="164"/>
      <c r="K8082" s="433"/>
    </row>
    <row r="8083" spans="1:11" x14ac:dyDescent="0.25">
      <c r="A8083" s="163"/>
      <c r="B8083" s="106"/>
      <c r="C8083" s="73"/>
      <c r="D8083" s="75" t="s">
        <v>3808</v>
      </c>
      <c r="E8083" s="73"/>
      <c r="F8083" s="74"/>
      <c r="G8083" s="153"/>
      <c r="H8083" s="164"/>
      <c r="K8083" s="433"/>
    </row>
    <row r="8084" spans="1:11" x14ac:dyDescent="0.25">
      <c r="A8084" s="163"/>
      <c r="B8084" s="106"/>
      <c r="C8084" s="73"/>
      <c r="D8084" s="100" t="s">
        <v>3656</v>
      </c>
      <c r="E8084" s="73"/>
      <c r="F8084" s="74" t="s">
        <v>3</v>
      </c>
      <c r="G8084" s="153">
        <f>0.123*0.05</f>
        <v>6.1500000000000001E-3</v>
      </c>
      <c r="H8084" s="164"/>
      <c r="I8084" t="s">
        <v>3809</v>
      </c>
      <c r="K8084" s="433"/>
    </row>
    <row r="8085" spans="1:11" x14ac:dyDescent="0.25">
      <c r="A8085" s="163"/>
      <c r="B8085" s="106"/>
      <c r="C8085" s="73"/>
      <c r="D8085" s="75"/>
      <c r="E8085" s="73"/>
      <c r="F8085" s="74"/>
      <c r="G8085" s="153"/>
      <c r="H8085" s="164"/>
      <c r="K8085" s="433"/>
    </row>
    <row r="8086" spans="1:11" x14ac:dyDescent="0.25">
      <c r="A8086" s="163"/>
      <c r="B8086" s="106"/>
      <c r="C8086" s="73" t="s">
        <v>3810</v>
      </c>
      <c r="D8086" s="75"/>
      <c r="E8086" s="73"/>
      <c r="F8086" s="74"/>
      <c r="G8086" s="153"/>
      <c r="H8086" s="164"/>
      <c r="K8086" s="433"/>
    </row>
    <row r="8087" spans="1:11" x14ac:dyDescent="0.25">
      <c r="A8087" s="163"/>
      <c r="B8087" s="106"/>
      <c r="C8087" s="100" t="s">
        <v>140</v>
      </c>
      <c r="D8087" s="75"/>
      <c r="E8087" s="73"/>
      <c r="F8087" s="74" t="s">
        <v>3</v>
      </c>
      <c r="G8087" s="153">
        <f>0.006*3.14*2*0.08*1.2</f>
        <v>3.6172800000000005E-3</v>
      </c>
      <c r="H8087" s="164"/>
      <c r="K8087" s="433"/>
    </row>
    <row r="8088" spans="1:11" ht="17.25" x14ac:dyDescent="0.25">
      <c r="A8088" s="163"/>
      <c r="B8088" s="106"/>
      <c r="C8088" s="100" t="s">
        <v>23</v>
      </c>
      <c r="D8088" s="75"/>
      <c r="E8088" s="73"/>
      <c r="F8088" s="74" t="s">
        <v>596</v>
      </c>
      <c r="G8088" s="153">
        <f>G8087*2</f>
        <v>7.234560000000001E-3</v>
      </c>
      <c r="H8088" s="164"/>
      <c r="K8088" s="433"/>
    </row>
    <row r="8089" spans="1:11" x14ac:dyDescent="0.25">
      <c r="A8089" s="163"/>
      <c r="B8089" s="106"/>
      <c r="C8089" s="100" t="s">
        <v>142</v>
      </c>
      <c r="D8089" s="75"/>
      <c r="E8089" s="73"/>
      <c r="F8089" s="74" t="s">
        <v>3</v>
      </c>
      <c r="G8089" s="153">
        <f>G8087/4</f>
        <v>9.0432000000000012E-4</v>
      </c>
      <c r="H8089" s="164"/>
      <c r="K8089" s="433"/>
    </row>
    <row r="8090" spans="1:11" x14ac:dyDescent="0.25">
      <c r="A8090" s="163"/>
      <c r="B8090" s="106"/>
      <c r="C8090" s="186" t="s">
        <v>152</v>
      </c>
      <c r="D8090" s="75"/>
      <c r="E8090" s="73"/>
      <c r="F8090" s="74" t="s">
        <v>3</v>
      </c>
      <c r="G8090" s="153">
        <f>0.32*0.011*2*1.1</f>
        <v>7.744E-3</v>
      </c>
      <c r="H8090" s="164"/>
      <c r="K8090" s="433"/>
    </row>
    <row r="8091" spans="1:11" x14ac:dyDescent="0.25">
      <c r="A8091" s="163"/>
      <c r="B8091" s="106"/>
      <c r="C8091" s="186" t="s">
        <v>8</v>
      </c>
      <c r="D8091" s="75"/>
      <c r="E8091" s="73"/>
      <c r="F8091" s="74" t="s">
        <v>3</v>
      </c>
      <c r="G8091" s="153">
        <f>G8090*0.6</f>
        <v>4.6464000000000002E-3</v>
      </c>
      <c r="H8091" s="164"/>
      <c r="K8091" s="433"/>
    </row>
    <row r="8092" spans="1:11" x14ac:dyDescent="0.25">
      <c r="A8092" s="163"/>
      <c r="B8092" s="106"/>
      <c r="C8092" s="186" t="s">
        <v>3797</v>
      </c>
      <c r="D8092" s="75"/>
      <c r="E8092" s="73"/>
      <c r="F8092" s="74" t="s">
        <v>3</v>
      </c>
      <c r="G8092" s="153">
        <f>G8091</f>
        <v>4.6464000000000002E-3</v>
      </c>
      <c r="H8092" s="164"/>
      <c r="K8092" s="433"/>
    </row>
    <row r="8093" spans="1:11" x14ac:dyDescent="0.25">
      <c r="A8093" s="163"/>
      <c r="B8093" s="106"/>
      <c r="C8093" s="186" t="s">
        <v>12</v>
      </c>
      <c r="D8093" s="75"/>
      <c r="E8093" s="73"/>
      <c r="F8093" s="74" t="s">
        <v>3</v>
      </c>
      <c r="G8093" s="153">
        <f>0.3*(G8092+G8091+G8090)</f>
        <v>5.1110399999999999E-3</v>
      </c>
      <c r="H8093" s="164"/>
      <c r="K8093" s="433"/>
    </row>
    <row r="8094" spans="1:11" x14ac:dyDescent="0.25">
      <c r="A8094" s="163"/>
      <c r="B8094" s="106"/>
      <c r="C8094" s="73"/>
      <c r="D8094" s="75" t="s">
        <v>3812</v>
      </c>
      <c r="E8094" s="73"/>
      <c r="F8094" s="74"/>
      <c r="G8094" s="153"/>
      <c r="H8094" s="164"/>
      <c r="K8094" s="433"/>
    </row>
    <row r="8095" spans="1:11" x14ac:dyDescent="0.25">
      <c r="A8095" s="163"/>
      <c r="B8095" s="106"/>
      <c r="C8095" s="73"/>
      <c r="D8095" s="100" t="s">
        <v>3656</v>
      </c>
      <c r="E8095" s="73"/>
      <c r="F8095" s="74" t="s">
        <v>3</v>
      </c>
      <c r="G8095" s="153">
        <f>0.123*0.365</f>
        <v>4.4894999999999997E-2</v>
      </c>
      <c r="H8095" s="164"/>
      <c r="I8095" t="s">
        <v>3811</v>
      </c>
      <c r="K8095" s="433"/>
    </row>
    <row r="8096" spans="1:11" x14ac:dyDescent="0.25">
      <c r="A8096" s="163"/>
      <c r="B8096" s="106"/>
      <c r="C8096" s="73"/>
      <c r="D8096" s="75"/>
      <c r="E8096" s="73"/>
      <c r="F8096" s="74"/>
      <c r="G8096" s="153"/>
      <c r="H8096" s="164"/>
      <c r="K8096" s="433"/>
    </row>
    <row r="8097" spans="1:11" x14ac:dyDescent="0.25">
      <c r="A8097" s="163"/>
      <c r="B8097" s="106"/>
      <c r="C8097" s="75" t="s">
        <v>3813</v>
      </c>
      <c r="D8097" s="75"/>
      <c r="E8097" s="73"/>
      <c r="F8097" s="74"/>
      <c r="G8097" s="153"/>
      <c r="H8097" s="164"/>
      <c r="K8097" s="433"/>
    </row>
    <row r="8098" spans="1:11" x14ac:dyDescent="0.25">
      <c r="A8098" s="163"/>
      <c r="B8098" s="106"/>
      <c r="C8098" s="100" t="s">
        <v>140</v>
      </c>
      <c r="D8098" s="75"/>
      <c r="E8098" s="73"/>
      <c r="F8098" s="74" t="s">
        <v>3</v>
      </c>
      <c r="G8098" s="153">
        <f>0.012*3.14*2*0.08*1.2</f>
        <v>7.234560000000001E-3</v>
      </c>
      <c r="H8098" s="164"/>
      <c r="K8098" s="433"/>
    </row>
    <row r="8099" spans="1:11" ht="17.25" x14ac:dyDescent="0.25">
      <c r="A8099" s="163"/>
      <c r="B8099" s="106"/>
      <c r="C8099" s="100" t="s">
        <v>23</v>
      </c>
      <c r="D8099" s="75"/>
      <c r="E8099" s="73"/>
      <c r="F8099" s="74" t="s">
        <v>596</v>
      </c>
      <c r="G8099" s="153">
        <f>G8098*2</f>
        <v>1.4469120000000002E-2</v>
      </c>
      <c r="H8099" s="164"/>
      <c r="K8099" s="433"/>
    </row>
    <row r="8100" spans="1:11" x14ac:dyDescent="0.25">
      <c r="A8100" s="163"/>
      <c r="B8100" s="106"/>
      <c r="C8100" s="100" t="s">
        <v>142</v>
      </c>
      <c r="D8100" s="75"/>
      <c r="E8100" s="73"/>
      <c r="F8100" s="74" t="s">
        <v>3</v>
      </c>
      <c r="G8100" s="153">
        <f>G8098/4</f>
        <v>1.8086400000000002E-3</v>
      </c>
      <c r="H8100" s="164"/>
      <c r="K8100" s="433"/>
    </row>
    <row r="8101" spans="1:11" x14ac:dyDescent="0.25">
      <c r="A8101" s="163"/>
      <c r="B8101" s="106"/>
      <c r="C8101" s="186" t="s">
        <v>152</v>
      </c>
      <c r="D8101" s="75"/>
      <c r="E8101" s="73"/>
      <c r="F8101" s="74" t="s">
        <v>3</v>
      </c>
      <c r="G8101" s="153">
        <f>1.25*0.011*2*1.1</f>
        <v>3.0249999999999999E-2</v>
      </c>
      <c r="H8101" s="164"/>
      <c r="K8101" s="433"/>
    </row>
    <row r="8102" spans="1:11" x14ac:dyDescent="0.25">
      <c r="A8102" s="163"/>
      <c r="B8102" s="106"/>
      <c r="C8102" s="186" t="s">
        <v>8</v>
      </c>
      <c r="D8102" s="75"/>
      <c r="E8102" s="73"/>
      <c r="F8102" s="74" t="s">
        <v>3</v>
      </c>
      <c r="G8102" s="153">
        <f>G8101*0.6</f>
        <v>1.8149999999999999E-2</v>
      </c>
      <c r="H8102" s="164"/>
      <c r="K8102" s="433"/>
    </row>
    <row r="8103" spans="1:11" x14ac:dyDescent="0.25">
      <c r="A8103" s="163"/>
      <c r="B8103" s="106"/>
      <c r="C8103" s="186" t="s">
        <v>3797</v>
      </c>
      <c r="D8103" s="75"/>
      <c r="E8103" s="73"/>
      <c r="F8103" s="74" t="s">
        <v>3</v>
      </c>
      <c r="G8103" s="153">
        <f>G8102</f>
        <v>1.8149999999999999E-2</v>
      </c>
      <c r="H8103" s="164"/>
      <c r="K8103" s="433"/>
    </row>
    <row r="8104" spans="1:11" x14ac:dyDescent="0.25">
      <c r="A8104" s="163"/>
      <c r="B8104" s="106"/>
      <c r="C8104" s="186" t="s">
        <v>12</v>
      </c>
      <c r="D8104" s="75"/>
      <c r="E8104" s="73"/>
      <c r="F8104" s="74" t="s">
        <v>3</v>
      </c>
      <c r="G8104" s="153">
        <f>0.3*(G8103+G8102+G8101)</f>
        <v>1.9965E-2</v>
      </c>
      <c r="H8104" s="164"/>
      <c r="K8104" s="433"/>
    </row>
    <row r="8105" spans="1:11" x14ac:dyDescent="0.25">
      <c r="A8105" s="163"/>
      <c r="B8105" s="106"/>
      <c r="C8105" s="73"/>
      <c r="D8105" s="75" t="s">
        <v>3814</v>
      </c>
      <c r="E8105" s="73"/>
      <c r="F8105" s="74"/>
      <c r="G8105" s="153"/>
      <c r="H8105" s="164"/>
      <c r="K8105" s="433"/>
    </row>
    <row r="8106" spans="1:11" x14ac:dyDescent="0.25">
      <c r="A8106" s="163"/>
      <c r="B8106" s="106"/>
      <c r="C8106" s="73"/>
      <c r="D8106" s="100" t="s">
        <v>3733</v>
      </c>
      <c r="E8106" s="73"/>
      <c r="F8106" s="74" t="s">
        <v>3</v>
      </c>
      <c r="G8106" s="153">
        <f>0.271*1.31</f>
        <v>0.35501000000000005</v>
      </c>
      <c r="H8106" s="164"/>
      <c r="I8106" t="s">
        <v>3815</v>
      </c>
      <c r="K8106" s="433"/>
    </row>
    <row r="8107" spans="1:11" ht="15.75" thickBot="1" x14ac:dyDescent="0.3">
      <c r="A8107" s="67"/>
      <c r="B8107" s="86"/>
      <c r="C8107" s="68"/>
      <c r="D8107" s="235"/>
      <c r="E8107" s="68"/>
      <c r="F8107" s="82"/>
      <c r="G8107" s="89"/>
      <c r="H8107" s="165"/>
      <c r="K8107" s="433"/>
    </row>
    <row r="8108" spans="1:11" x14ac:dyDescent="0.25">
      <c r="A8108" s="159"/>
      <c r="B8108" s="181"/>
      <c r="C8108" s="93"/>
      <c r="D8108" s="184"/>
      <c r="E8108" s="93"/>
      <c r="F8108" s="160"/>
      <c r="G8108" s="161"/>
      <c r="H8108" s="164" t="s">
        <v>3816</v>
      </c>
      <c r="K8108" s="433"/>
    </row>
    <row r="8109" spans="1:11" x14ac:dyDescent="0.25">
      <c r="A8109" s="163"/>
      <c r="B8109" s="106"/>
      <c r="C8109" s="75" t="s">
        <v>3817</v>
      </c>
      <c r="D8109" s="75"/>
      <c r="E8109" s="73"/>
      <c r="F8109" s="74"/>
      <c r="G8109" s="153"/>
      <c r="H8109" s="164"/>
      <c r="K8109" s="433"/>
    </row>
    <row r="8110" spans="1:11" x14ac:dyDescent="0.25">
      <c r="A8110" s="163"/>
      <c r="B8110" s="106"/>
      <c r="C8110" s="100" t="s">
        <v>140</v>
      </c>
      <c r="D8110" s="75"/>
      <c r="E8110" s="73"/>
      <c r="F8110" s="74" t="s">
        <v>3</v>
      </c>
      <c r="G8110" s="153">
        <f>0.012*3.14*2*0.08*1.2</f>
        <v>7.234560000000001E-3</v>
      </c>
      <c r="H8110" s="164"/>
      <c r="K8110" s="433"/>
    </row>
    <row r="8111" spans="1:11" ht="17.25" x14ac:dyDescent="0.25">
      <c r="A8111" s="163"/>
      <c r="B8111" s="106"/>
      <c r="C8111" s="100" t="s">
        <v>23</v>
      </c>
      <c r="D8111" s="75"/>
      <c r="E8111" s="73"/>
      <c r="F8111" s="74" t="s">
        <v>596</v>
      </c>
      <c r="G8111" s="153">
        <f>G8110*2</f>
        <v>1.4469120000000002E-2</v>
      </c>
      <c r="H8111" s="164"/>
      <c r="K8111" s="433"/>
    </row>
    <row r="8112" spans="1:11" x14ac:dyDescent="0.25">
      <c r="A8112" s="163"/>
      <c r="B8112" s="106"/>
      <c r="C8112" s="100" t="s">
        <v>142</v>
      </c>
      <c r="D8112" s="75"/>
      <c r="E8112" s="73"/>
      <c r="F8112" s="74" t="s">
        <v>3</v>
      </c>
      <c r="G8112" s="153">
        <f>G8110/4</f>
        <v>1.8086400000000002E-3</v>
      </c>
      <c r="H8112" s="164"/>
      <c r="K8112" s="433"/>
    </row>
    <row r="8113" spans="1:11" x14ac:dyDescent="0.25">
      <c r="A8113" s="163"/>
      <c r="B8113" s="106"/>
      <c r="C8113" s="186" t="s">
        <v>152</v>
      </c>
      <c r="D8113" s="75"/>
      <c r="E8113" s="73"/>
      <c r="F8113" s="74" t="s">
        <v>3</v>
      </c>
      <c r="G8113" s="153">
        <f>1.3*0.011*2*1.22</f>
        <v>3.4891999999999999E-2</v>
      </c>
      <c r="H8113" s="164"/>
      <c r="K8113" s="433"/>
    </row>
    <row r="8114" spans="1:11" x14ac:dyDescent="0.25">
      <c r="A8114" s="163"/>
      <c r="B8114" s="106"/>
      <c r="C8114" s="186" t="s">
        <v>8</v>
      </c>
      <c r="D8114" s="75"/>
      <c r="E8114" s="73"/>
      <c r="F8114" s="74" t="s">
        <v>3</v>
      </c>
      <c r="G8114" s="153">
        <f>G8113*0.58</f>
        <v>2.0237359999999999E-2</v>
      </c>
      <c r="H8114" s="164"/>
      <c r="K8114" s="433"/>
    </row>
    <row r="8115" spans="1:11" x14ac:dyDescent="0.25">
      <c r="A8115" s="163"/>
      <c r="B8115" s="106"/>
      <c r="C8115" s="186" t="s">
        <v>3797</v>
      </c>
      <c r="D8115" s="75"/>
      <c r="E8115" s="73"/>
      <c r="F8115" s="74" t="s">
        <v>3</v>
      </c>
      <c r="G8115" s="153">
        <f>G8114</f>
        <v>2.0237359999999999E-2</v>
      </c>
      <c r="H8115" s="164"/>
      <c r="K8115" s="433"/>
    </row>
    <row r="8116" spans="1:11" x14ac:dyDescent="0.25">
      <c r="A8116" s="163"/>
      <c r="B8116" s="106"/>
      <c r="C8116" s="186" t="s">
        <v>12</v>
      </c>
      <c r="D8116" s="75"/>
      <c r="E8116" s="73"/>
      <c r="F8116" s="74" t="s">
        <v>3</v>
      </c>
      <c r="G8116" s="153">
        <f>0.3*(G8115+G8114+G8113)</f>
        <v>2.2610016E-2</v>
      </c>
      <c r="H8116" s="164"/>
      <c r="K8116" s="433"/>
    </row>
    <row r="8117" spans="1:11" x14ac:dyDescent="0.25">
      <c r="A8117" s="163"/>
      <c r="B8117" s="436" t="s">
        <v>3820</v>
      </c>
      <c r="C8117" s="73"/>
      <c r="D8117" s="75" t="s">
        <v>3818</v>
      </c>
      <c r="E8117" s="73"/>
      <c r="F8117" s="74"/>
      <c r="G8117" s="153"/>
      <c r="H8117" s="164"/>
      <c r="K8117" s="433"/>
    </row>
    <row r="8118" spans="1:11" x14ac:dyDescent="0.25">
      <c r="A8118" s="163"/>
      <c r="B8118" s="106"/>
      <c r="C8118" s="73"/>
      <c r="D8118" s="100" t="s">
        <v>3733</v>
      </c>
      <c r="E8118" s="73"/>
      <c r="F8118" s="74" t="s">
        <v>3</v>
      </c>
      <c r="G8118" s="153">
        <f>0.271*1.402</f>
        <v>0.379942</v>
      </c>
      <c r="H8118" s="164"/>
      <c r="I8118" t="s">
        <v>3819</v>
      </c>
      <c r="K8118" s="433"/>
    </row>
    <row r="8119" spans="1:11" x14ac:dyDescent="0.25">
      <c r="A8119" s="163"/>
      <c r="B8119" s="106"/>
      <c r="C8119" s="73"/>
      <c r="D8119" s="75"/>
      <c r="E8119" s="73"/>
      <c r="F8119" s="74"/>
      <c r="G8119" s="153"/>
      <c r="H8119" s="164"/>
      <c r="K8119" s="433"/>
    </row>
    <row r="8120" spans="1:11" x14ac:dyDescent="0.25">
      <c r="A8120" s="163"/>
      <c r="B8120" s="106"/>
      <c r="C8120" s="75" t="s">
        <v>3821</v>
      </c>
      <c r="D8120" s="75"/>
      <c r="E8120" s="73"/>
      <c r="F8120" s="74"/>
      <c r="G8120" s="153"/>
      <c r="H8120" s="164"/>
      <c r="K8120" s="433"/>
    </row>
    <row r="8121" spans="1:11" x14ac:dyDescent="0.25">
      <c r="A8121" s="163"/>
      <c r="B8121" s="106"/>
      <c r="C8121" s="100" t="s">
        <v>140</v>
      </c>
      <c r="D8121" s="75"/>
      <c r="E8121" s="73"/>
      <c r="F8121" s="74" t="s">
        <v>3</v>
      </c>
      <c r="G8121" s="153">
        <f>0.006*3.14*2*0.08*1.2</f>
        <v>3.6172800000000005E-3</v>
      </c>
      <c r="H8121" s="164"/>
      <c r="K8121" s="433"/>
    </row>
    <row r="8122" spans="1:11" ht="17.25" x14ac:dyDescent="0.25">
      <c r="A8122" s="163"/>
      <c r="B8122" s="106"/>
      <c r="C8122" s="100" t="s">
        <v>23</v>
      </c>
      <c r="D8122" s="75"/>
      <c r="E8122" s="73"/>
      <c r="F8122" s="74" t="s">
        <v>596</v>
      </c>
      <c r="G8122" s="153">
        <f>G8121*2</f>
        <v>7.234560000000001E-3</v>
      </c>
      <c r="H8122" s="164"/>
      <c r="K8122" s="433"/>
    </row>
    <row r="8123" spans="1:11" x14ac:dyDescent="0.25">
      <c r="A8123" s="163"/>
      <c r="B8123" s="106"/>
      <c r="C8123" s="100" t="s">
        <v>142</v>
      </c>
      <c r="D8123" s="75"/>
      <c r="E8123" s="73"/>
      <c r="F8123" s="74" t="s">
        <v>3</v>
      </c>
      <c r="G8123" s="153">
        <f>G8121/4</f>
        <v>9.0432000000000012E-4</v>
      </c>
      <c r="H8123" s="164"/>
      <c r="K8123" s="433"/>
    </row>
    <row r="8124" spans="1:11" x14ac:dyDescent="0.25">
      <c r="A8124" s="163"/>
      <c r="B8124" s="106"/>
      <c r="C8124" s="186" t="s">
        <v>152</v>
      </c>
      <c r="D8124" s="75"/>
      <c r="E8124" s="73"/>
      <c r="F8124" s="74" t="s">
        <v>3</v>
      </c>
      <c r="G8124" s="153">
        <f>1.3*0.011*2*1.22</f>
        <v>3.4891999999999999E-2</v>
      </c>
      <c r="H8124" s="164"/>
      <c r="K8124" s="433"/>
    </row>
    <row r="8125" spans="1:11" x14ac:dyDescent="0.25">
      <c r="A8125" s="163"/>
      <c r="B8125" s="106"/>
      <c r="C8125" s="186" t="s">
        <v>8</v>
      </c>
      <c r="D8125" s="75"/>
      <c r="E8125" s="73"/>
      <c r="F8125" s="74" t="s">
        <v>3</v>
      </c>
      <c r="G8125" s="153">
        <f>G8124*0.58</f>
        <v>2.0237359999999999E-2</v>
      </c>
      <c r="H8125" s="164"/>
      <c r="K8125" s="433"/>
    </row>
    <row r="8126" spans="1:11" x14ac:dyDescent="0.25">
      <c r="A8126" s="163"/>
      <c r="B8126" s="106"/>
      <c r="C8126" s="186" t="s">
        <v>3797</v>
      </c>
      <c r="D8126" s="75"/>
      <c r="E8126" s="73"/>
      <c r="F8126" s="74" t="s">
        <v>3</v>
      </c>
      <c r="G8126" s="153">
        <f>G8125</f>
        <v>2.0237359999999999E-2</v>
      </c>
      <c r="H8126" s="164"/>
      <c r="K8126" s="433"/>
    </row>
    <row r="8127" spans="1:11" x14ac:dyDescent="0.25">
      <c r="A8127" s="163"/>
      <c r="B8127" s="106"/>
      <c r="C8127" s="186" t="s">
        <v>12</v>
      </c>
      <c r="D8127" s="75"/>
      <c r="E8127" s="73"/>
      <c r="F8127" s="74" t="s">
        <v>3</v>
      </c>
      <c r="G8127" s="153">
        <f>0.3*(G8126+G8125+G8124)</f>
        <v>2.2610016E-2</v>
      </c>
      <c r="H8127" s="164"/>
      <c r="K8127" s="433"/>
    </row>
    <row r="8128" spans="1:11" x14ac:dyDescent="0.25">
      <c r="A8128" s="163"/>
      <c r="B8128" s="106"/>
      <c r="C8128" s="73"/>
      <c r="D8128" s="75" t="s">
        <v>3822</v>
      </c>
      <c r="E8128" s="73"/>
      <c r="F8128" s="74"/>
      <c r="G8128" s="153"/>
      <c r="H8128" s="164"/>
      <c r="K8128" s="433"/>
    </row>
    <row r="8129" spans="1:11" x14ac:dyDescent="0.25">
      <c r="A8129" s="163"/>
      <c r="B8129" s="106"/>
      <c r="C8129" s="73"/>
      <c r="D8129" s="100" t="s">
        <v>3656</v>
      </c>
      <c r="E8129" s="73"/>
      <c r="F8129" s="74" t="s">
        <v>3</v>
      </c>
      <c r="G8129" s="153">
        <f>0.123*1.4</f>
        <v>0.17219999999999999</v>
      </c>
      <c r="H8129" s="164"/>
      <c r="I8129" t="s">
        <v>3819</v>
      </c>
      <c r="K8129" s="433"/>
    </row>
    <row r="8130" spans="1:11" x14ac:dyDescent="0.25">
      <c r="A8130" s="163"/>
      <c r="B8130" s="106"/>
      <c r="C8130" s="73"/>
      <c r="D8130" s="75"/>
      <c r="E8130" s="73"/>
      <c r="F8130" s="74"/>
      <c r="G8130" s="153"/>
      <c r="H8130" s="164"/>
      <c r="K8130" s="433"/>
    </row>
    <row r="8131" spans="1:11" x14ac:dyDescent="0.25">
      <c r="A8131" s="163"/>
      <c r="B8131" s="106"/>
      <c r="C8131" s="75" t="s">
        <v>3823</v>
      </c>
      <c r="D8131" s="75"/>
      <c r="E8131" s="73"/>
      <c r="F8131" s="74"/>
      <c r="G8131" s="153"/>
      <c r="H8131" s="164"/>
      <c r="K8131" s="433"/>
    </row>
    <row r="8132" spans="1:11" x14ac:dyDescent="0.25">
      <c r="A8132" s="163"/>
      <c r="B8132" s="106"/>
      <c r="C8132" s="100" t="s">
        <v>140</v>
      </c>
      <c r="D8132" s="75"/>
      <c r="E8132" s="73"/>
      <c r="F8132" s="74" t="s">
        <v>3</v>
      </c>
      <c r="G8132" s="153">
        <f>0.006*3.14*2*0.08*1.2</f>
        <v>3.6172800000000005E-3</v>
      </c>
      <c r="H8132" s="164"/>
      <c r="K8132" s="433"/>
    </row>
    <row r="8133" spans="1:11" ht="17.25" x14ac:dyDescent="0.25">
      <c r="A8133" s="163"/>
      <c r="B8133" s="106"/>
      <c r="C8133" s="100" t="s">
        <v>23</v>
      </c>
      <c r="D8133" s="75"/>
      <c r="E8133" s="73"/>
      <c r="F8133" s="74" t="s">
        <v>596</v>
      </c>
      <c r="G8133" s="153">
        <f>G8132*2</f>
        <v>7.234560000000001E-3</v>
      </c>
      <c r="H8133" s="164"/>
      <c r="K8133" s="433"/>
    </row>
    <row r="8134" spans="1:11" x14ac:dyDescent="0.25">
      <c r="A8134" s="163"/>
      <c r="B8134" s="106"/>
      <c r="C8134" s="100" t="s">
        <v>142</v>
      </c>
      <c r="D8134" s="75"/>
      <c r="E8134" s="73"/>
      <c r="F8134" s="74" t="s">
        <v>3</v>
      </c>
      <c r="G8134" s="153">
        <f>G8132/4</f>
        <v>9.0432000000000012E-4</v>
      </c>
      <c r="H8134" s="164"/>
      <c r="K8134" s="433"/>
    </row>
    <row r="8135" spans="1:11" x14ac:dyDescent="0.25">
      <c r="A8135" s="163"/>
      <c r="B8135" s="106"/>
      <c r="C8135" s="186" t="s">
        <v>152</v>
      </c>
      <c r="D8135" s="75"/>
      <c r="E8135" s="73"/>
      <c r="F8135" s="74" t="s">
        <v>3</v>
      </c>
      <c r="G8135" s="153">
        <f>1.15*0.011*2*1</f>
        <v>2.5299999999999996E-2</v>
      </c>
      <c r="H8135" s="164"/>
      <c r="K8135" s="433"/>
    </row>
    <row r="8136" spans="1:11" x14ac:dyDescent="0.25">
      <c r="A8136" s="163"/>
      <c r="B8136" s="106"/>
      <c r="C8136" s="186" t="s">
        <v>8</v>
      </c>
      <c r="D8136" s="75"/>
      <c r="E8136" s="73"/>
      <c r="F8136" s="74" t="s">
        <v>3</v>
      </c>
      <c r="G8136" s="153">
        <f>G8135*0.58</f>
        <v>1.4673999999999996E-2</v>
      </c>
      <c r="H8136" s="164"/>
      <c r="K8136" s="433"/>
    </row>
    <row r="8137" spans="1:11" x14ac:dyDescent="0.25">
      <c r="A8137" s="163"/>
      <c r="B8137" s="106"/>
      <c r="C8137" s="186" t="s">
        <v>3797</v>
      </c>
      <c r="D8137" s="75"/>
      <c r="E8137" s="73"/>
      <c r="F8137" s="74" t="s">
        <v>3</v>
      </c>
      <c r="G8137" s="153">
        <f>G8136</f>
        <v>1.4673999999999996E-2</v>
      </c>
      <c r="H8137" s="164"/>
      <c r="K8137" s="433"/>
    </row>
    <row r="8138" spans="1:11" x14ac:dyDescent="0.25">
      <c r="A8138" s="163"/>
      <c r="B8138" s="106"/>
      <c r="C8138" s="186" t="s">
        <v>12</v>
      </c>
      <c r="D8138" s="75"/>
      <c r="E8138" s="73"/>
      <c r="F8138" s="74" t="s">
        <v>3</v>
      </c>
      <c r="G8138" s="153">
        <f>0.3*(G8137+G8136+G8135)</f>
        <v>1.6394399999999996E-2</v>
      </c>
      <c r="H8138" s="164"/>
      <c r="K8138" s="433"/>
    </row>
    <row r="8139" spans="1:11" x14ac:dyDescent="0.25">
      <c r="A8139" s="163"/>
      <c r="B8139" s="106"/>
      <c r="C8139" s="73"/>
      <c r="D8139" s="75" t="s">
        <v>3824</v>
      </c>
      <c r="E8139" s="73"/>
      <c r="F8139" s="74"/>
      <c r="G8139" s="153"/>
      <c r="H8139" s="164"/>
      <c r="K8139" s="433"/>
    </row>
    <row r="8140" spans="1:11" x14ac:dyDescent="0.25">
      <c r="A8140" s="163"/>
      <c r="B8140" s="106"/>
      <c r="C8140" s="73"/>
      <c r="D8140" s="100" t="s">
        <v>3656</v>
      </c>
      <c r="E8140" s="73"/>
      <c r="F8140" s="74" t="s">
        <v>3</v>
      </c>
      <c r="G8140" s="153">
        <f>0.123*1.22</f>
        <v>0.15006</v>
      </c>
      <c r="H8140" s="164"/>
      <c r="I8140" t="s">
        <v>3825</v>
      </c>
      <c r="K8140" s="433"/>
    </row>
    <row r="8141" spans="1:11" x14ac:dyDescent="0.25">
      <c r="A8141" s="163"/>
      <c r="B8141" s="106"/>
      <c r="C8141" s="73"/>
      <c r="D8141" s="75"/>
      <c r="E8141" s="73"/>
      <c r="F8141" s="74"/>
      <c r="G8141" s="153"/>
      <c r="H8141" s="164"/>
      <c r="K8141" s="433"/>
    </row>
    <row r="8142" spans="1:11" x14ac:dyDescent="0.25">
      <c r="A8142" s="163"/>
      <c r="B8142" s="106"/>
      <c r="C8142" s="75" t="s">
        <v>3826</v>
      </c>
      <c r="D8142" s="75"/>
      <c r="E8142" s="73"/>
      <c r="F8142" s="74"/>
      <c r="G8142" s="153"/>
      <c r="H8142" s="164"/>
      <c r="K8142" s="433"/>
    </row>
    <row r="8143" spans="1:11" x14ac:dyDescent="0.25">
      <c r="A8143" s="163"/>
      <c r="B8143" s="106"/>
      <c r="C8143" s="77" t="s">
        <v>3394</v>
      </c>
      <c r="D8143" s="73"/>
      <c r="E8143" s="73"/>
      <c r="F8143" s="74" t="s">
        <v>3</v>
      </c>
      <c r="G8143" s="153">
        <f>0.025*3.14*3*0.08*1.15</f>
        <v>2.1666000000000001E-2</v>
      </c>
      <c r="H8143" s="164"/>
      <c r="K8143" s="433"/>
    </row>
    <row r="8144" spans="1:11" ht="17.25" x14ac:dyDescent="0.25">
      <c r="A8144" s="163"/>
      <c r="B8144" s="106"/>
      <c r="C8144" s="77" t="s">
        <v>121</v>
      </c>
      <c r="D8144" s="73"/>
      <c r="E8144" s="73"/>
      <c r="F8144" s="74" t="s">
        <v>596</v>
      </c>
      <c r="G8144" s="153">
        <f>G8143*1.1</f>
        <v>2.3832600000000002E-2</v>
      </c>
      <c r="H8144" s="164"/>
      <c r="K8144" s="433"/>
    </row>
    <row r="8145" spans="1:11" x14ac:dyDescent="0.25">
      <c r="A8145" s="163"/>
      <c r="B8145" s="106"/>
      <c r="C8145" s="77" t="s">
        <v>500</v>
      </c>
      <c r="D8145" s="75"/>
      <c r="E8145" s="73"/>
      <c r="F8145" s="74" t="s">
        <v>3</v>
      </c>
      <c r="G8145" s="153">
        <f>0.4*0.02*2*1.25</f>
        <v>0.02</v>
      </c>
      <c r="H8145" s="164"/>
      <c r="K8145" s="433"/>
    </row>
    <row r="8146" spans="1:11" x14ac:dyDescent="0.25">
      <c r="A8146" s="163"/>
      <c r="B8146" s="106"/>
      <c r="C8146" s="77" t="s">
        <v>12</v>
      </c>
      <c r="D8146" s="75"/>
      <c r="E8146" s="73"/>
      <c r="F8146" s="74" t="s">
        <v>3</v>
      </c>
      <c r="G8146" s="153">
        <f>0.3*G8145</f>
        <v>6.0000000000000001E-3</v>
      </c>
      <c r="H8146" s="164"/>
      <c r="K8146" s="433"/>
    </row>
    <row r="8147" spans="1:11" x14ac:dyDescent="0.25">
      <c r="A8147" s="163"/>
      <c r="B8147" s="106"/>
      <c r="C8147" s="77" t="s">
        <v>114</v>
      </c>
      <c r="D8147" s="75"/>
      <c r="E8147" s="73"/>
      <c r="F8147" s="74" t="s">
        <v>3</v>
      </c>
      <c r="G8147" s="153">
        <f>G8145*0.75</f>
        <v>1.4999999999999999E-2</v>
      </c>
      <c r="H8147" s="164"/>
      <c r="K8147" s="433"/>
    </row>
    <row r="8148" spans="1:11" x14ac:dyDescent="0.25">
      <c r="A8148" s="163"/>
      <c r="B8148" s="106"/>
      <c r="C8148" s="77" t="s">
        <v>164</v>
      </c>
      <c r="D8148" s="75"/>
      <c r="E8148" s="73"/>
      <c r="F8148" s="74" t="s">
        <v>3</v>
      </c>
      <c r="G8148" s="153">
        <f>0.3*G8147</f>
        <v>4.4999999999999997E-3</v>
      </c>
      <c r="H8148" s="164"/>
      <c r="K8148" s="433"/>
    </row>
    <row r="8149" spans="1:11" x14ac:dyDescent="0.25">
      <c r="A8149" s="163"/>
      <c r="B8149" s="106"/>
      <c r="C8149" s="73"/>
      <c r="D8149" s="75" t="s">
        <v>3827</v>
      </c>
      <c r="E8149" s="73"/>
      <c r="F8149" s="74"/>
      <c r="G8149" s="153"/>
      <c r="H8149" s="164"/>
      <c r="K8149" s="433"/>
    </row>
    <row r="8150" spans="1:11" x14ac:dyDescent="0.25">
      <c r="A8150" s="163"/>
      <c r="B8150" s="106"/>
      <c r="C8150" s="73"/>
      <c r="D8150" s="100" t="s">
        <v>499</v>
      </c>
      <c r="E8150" s="73"/>
      <c r="F8150" s="74" t="s">
        <v>3</v>
      </c>
      <c r="G8150" s="153">
        <f>0.869*0.45-0.001</f>
        <v>0.39005000000000001</v>
      </c>
      <c r="H8150" s="164"/>
      <c r="I8150" t="s">
        <v>3828</v>
      </c>
      <c r="K8150" s="433"/>
    </row>
    <row r="8151" spans="1:11" x14ac:dyDescent="0.25">
      <c r="A8151" s="163"/>
      <c r="B8151" s="106"/>
      <c r="C8151" s="73"/>
      <c r="D8151" s="75"/>
      <c r="E8151" s="73"/>
      <c r="F8151" s="74"/>
      <c r="G8151" s="153"/>
      <c r="H8151" s="164"/>
      <c r="K8151" s="433"/>
    </row>
    <row r="8152" spans="1:11" x14ac:dyDescent="0.25">
      <c r="A8152" s="163"/>
      <c r="B8152" s="106"/>
      <c r="C8152" s="75" t="s">
        <v>3829</v>
      </c>
      <c r="D8152" s="75"/>
      <c r="E8152" s="73"/>
      <c r="F8152" s="74"/>
      <c r="G8152" s="153"/>
      <c r="H8152" s="164"/>
      <c r="K8152" s="433"/>
    </row>
    <row r="8153" spans="1:11" x14ac:dyDescent="0.25">
      <c r="A8153" s="163"/>
      <c r="B8153" s="106"/>
      <c r="C8153" s="77" t="s">
        <v>3394</v>
      </c>
      <c r="D8153" s="73"/>
      <c r="E8153" s="73"/>
      <c r="F8153" s="74" t="s">
        <v>3</v>
      </c>
      <c r="G8153" s="153">
        <f>(0.025*3.14*2+0.018*3.14*3)*0.08*1.35</f>
        <v>3.5268480000000005E-2</v>
      </c>
      <c r="H8153" s="164"/>
      <c r="K8153" s="433"/>
    </row>
    <row r="8154" spans="1:11" ht="17.25" x14ac:dyDescent="0.25">
      <c r="A8154" s="163"/>
      <c r="B8154" s="106"/>
      <c r="C8154" s="77" t="s">
        <v>121</v>
      </c>
      <c r="D8154" s="73"/>
      <c r="E8154" s="73"/>
      <c r="F8154" s="74" t="s">
        <v>596</v>
      </c>
      <c r="G8154" s="153">
        <f>G8153*1.1+0.001</f>
        <v>3.9795328000000012E-2</v>
      </c>
      <c r="H8154" s="164"/>
      <c r="K8154" s="433"/>
    </row>
    <row r="8155" spans="1:11" x14ac:dyDescent="0.25">
      <c r="A8155" s="163"/>
      <c r="B8155" s="106"/>
      <c r="C8155" s="77" t="s">
        <v>500</v>
      </c>
      <c r="D8155" s="75"/>
      <c r="E8155" s="73"/>
      <c r="F8155" s="74" t="s">
        <v>3</v>
      </c>
      <c r="G8155" s="153">
        <f>0.4*0.02*2*1.25</f>
        <v>0.02</v>
      </c>
      <c r="H8155" s="164"/>
      <c r="K8155" s="433"/>
    </row>
    <row r="8156" spans="1:11" x14ac:dyDescent="0.25">
      <c r="A8156" s="163"/>
      <c r="B8156" s="106"/>
      <c r="C8156" s="77" t="s">
        <v>12</v>
      </c>
      <c r="D8156" s="75"/>
      <c r="E8156" s="73"/>
      <c r="F8156" s="74" t="s">
        <v>3</v>
      </c>
      <c r="G8156" s="153">
        <f>0.3*G8155</f>
        <v>6.0000000000000001E-3</v>
      </c>
      <c r="H8156" s="164"/>
      <c r="K8156" s="433"/>
    </row>
    <row r="8157" spans="1:11" x14ac:dyDescent="0.25">
      <c r="A8157" s="163"/>
      <c r="B8157" s="106"/>
      <c r="C8157" s="77" t="s">
        <v>114</v>
      </c>
      <c r="D8157" s="75"/>
      <c r="E8157" s="73"/>
      <c r="F8157" s="74" t="s">
        <v>3</v>
      </c>
      <c r="G8157" s="153">
        <f>G8155*0.75</f>
        <v>1.4999999999999999E-2</v>
      </c>
      <c r="H8157" s="164"/>
      <c r="K8157" s="433"/>
    </row>
    <row r="8158" spans="1:11" x14ac:dyDescent="0.25">
      <c r="A8158" s="163"/>
      <c r="B8158" s="106"/>
      <c r="C8158" s="77" t="s">
        <v>164</v>
      </c>
      <c r="D8158" s="75"/>
      <c r="E8158" s="73"/>
      <c r="F8158" s="74" t="s">
        <v>3</v>
      </c>
      <c r="G8158" s="153">
        <f>0.3*G8157</f>
        <v>4.4999999999999997E-3</v>
      </c>
      <c r="H8158" s="164"/>
      <c r="K8158" s="433"/>
    </row>
    <row r="8159" spans="1:11" x14ac:dyDescent="0.25">
      <c r="A8159" s="163"/>
      <c r="B8159" s="106"/>
      <c r="C8159" s="73"/>
      <c r="D8159" s="75" t="s">
        <v>3830</v>
      </c>
      <c r="E8159" s="73"/>
      <c r="F8159" s="74"/>
      <c r="G8159" s="153"/>
      <c r="H8159" s="164"/>
      <c r="K8159" s="433"/>
    </row>
    <row r="8160" spans="1:11" x14ac:dyDescent="0.25">
      <c r="A8160" s="163"/>
      <c r="B8160" s="106"/>
      <c r="C8160" s="73"/>
      <c r="D8160" s="100" t="s">
        <v>499</v>
      </c>
      <c r="E8160" s="73"/>
      <c r="F8160" s="74" t="s">
        <v>3</v>
      </c>
      <c r="G8160" s="153">
        <f>0.869*0.72-0.001</f>
        <v>0.62468000000000001</v>
      </c>
      <c r="H8160" s="164"/>
      <c r="I8160" t="s">
        <v>3832</v>
      </c>
      <c r="K8160" s="433"/>
    </row>
    <row r="8161" spans="1:11" x14ac:dyDescent="0.25">
      <c r="A8161" s="163"/>
      <c r="B8161" s="106"/>
      <c r="C8161" s="73"/>
      <c r="D8161" s="75" t="s">
        <v>3831</v>
      </c>
      <c r="E8161" s="73"/>
      <c r="F8161" s="74"/>
      <c r="G8161" s="153"/>
      <c r="H8161" s="164"/>
      <c r="K8161" s="433"/>
    </row>
    <row r="8162" spans="1:11" x14ac:dyDescent="0.25">
      <c r="A8162" s="163"/>
      <c r="B8162" s="106"/>
      <c r="C8162" s="73"/>
      <c r="D8162" s="100" t="s">
        <v>3731</v>
      </c>
      <c r="E8162" s="73"/>
      <c r="F8162" s="74" t="s">
        <v>3</v>
      </c>
      <c r="G8162" s="153">
        <f>0.419*0.1</f>
        <v>4.19E-2</v>
      </c>
      <c r="H8162" s="164"/>
      <c r="I8162" t="s">
        <v>1161</v>
      </c>
      <c r="K8162" s="433"/>
    </row>
    <row r="8163" spans="1:11" x14ac:dyDescent="0.25">
      <c r="A8163" s="163"/>
      <c r="B8163" s="106"/>
      <c r="C8163" s="73"/>
      <c r="D8163" s="75" t="s">
        <v>3753</v>
      </c>
      <c r="E8163" s="73"/>
      <c r="F8163" s="74"/>
      <c r="G8163" s="153"/>
      <c r="H8163" s="164"/>
      <c r="K8163" s="433"/>
    </row>
    <row r="8164" spans="1:11" x14ac:dyDescent="0.25">
      <c r="A8164" s="163"/>
      <c r="B8164" s="106"/>
      <c r="C8164" s="73"/>
      <c r="D8164" s="100" t="s">
        <v>3731</v>
      </c>
      <c r="E8164" s="73"/>
      <c r="F8164" s="74" t="s">
        <v>3</v>
      </c>
      <c r="G8164" s="153">
        <f>0.419*0.1</f>
        <v>4.19E-2</v>
      </c>
      <c r="H8164" s="164"/>
      <c r="I8164" t="s">
        <v>2463</v>
      </c>
      <c r="K8164" s="433"/>
    </row>
    <row r="8165" spans="1:11" ht="15.75" thickBot="1" x14ac:dyDescent="0.3">
      <c r="A8165" s="67"/>
      <c r="B8165" s="86"/>
      <c r="C8165" s="68"/>
      <c r="D8165" s="235"/>
      <c r="E8165" s="68"/>
      <c r="F8165" s="82"/>
      <c r="G8165" s="89"/>
      <c r="H8165" s="165"/>
      <c r="K8165" s="433"/>
    </row>
    <row r="8166" spans="1:11" x14ac:dyDescent="0.25">
      <c r="A8166" s="159"/>
      <c r="B8166" s="181"/>
      <c r="C8166" s="93"/>
      <c r="D8166" s="184"/>
      <c r="E8166" s="93"/>
      <c r="F8166" s="160"/>
      <c r="G8166" s="161"/>
      <c r="H8166" s="164" t="s">
        <v>3867</v>
      </c>
      <c r="K8166" s="433"/>
    </row>
    <row r="8167" spans="1:11" x14ac:dyDescent="0.25">
      <c r="A8167" s="163"/>
      <c r="B8167" s="106"/>
      <c r="C8167" s="75" t="s">
        <v>3833</v>
      </c>
      <c r="D8167" s="75"/>
      <c r="E8167" s="73"/>
      <c r="F8167" s="74"/>
      <c r="G8167" s="153"/>
      <c r="H8167" s="164"/>
      <c r="K8167" s="433"/>
    </row>
    <row r="8168" spans="1:11" x14ac:dyDescent="0.25">
      <c r="A8168" s="163"/>
      <c r="B8168" s="106"/>
      <c r="C8168" s="77" t="s">
        <v>3394</v>
      </c>
      <c r="D8168" s="73"/>
      <c r="E8168" s="73"/>
      <c r="F8168" s="74" t="s">
        <v>3</v>
      </c>
      <c r="G8168" s="153">
        <f>0.025*3.14*2*0.08*1.2</f>
        <v>1.5072000000000002E-2</v>
      </c>
      <c r="H8168" s="164"/>
      <c r="K8168" s="433"/>
    </row>
    <row r="8169" spans="1:11" ht="17.25" x14ac:dyDescent="0.25">
      <c r="A8169" s="163"/>
      <c r="B8169" s="106"/>
      <c r="C8169" s="77" t="s">
        <v>121</v>
      </c>
      <c r="D8169" s="73"/>
      <c r="E8169" s="73"/>
      <c r="F8169" s="74" t="s">
        <v>596</v>
      </c>
      <c r="G8169" s="153">
        <f>G8168*1.1</f>
        <v>1.6579200000000002E-2</v>
      </c>
      <c r="H8169" s="164"/>
      <c r="K8169" s="433"/>
    </row>
    <row r="8170" spans="1:11" x14ac:dyDescent="0.25">
      <c r="A8170" s="163"/>
      <c r="B8170" s="106"/>
      <c r="C8170" s="77" t="s">
        <v>500</v>
      </c>
      <c r="D8170" s="75"/>
      <c r="E8170" s="73"/>
      <c r="F8170" s="74" t="s">
        <v>3</v>
      </c>
      <c r="G8170" s="153">
        <f>0.1*0.02*2*1.3</f>
        <v>5.2000000000000006E-3</v>
      </c>
      <c r="H8170" s="164"/>
      <c r="K8170" s="433"/>
    </row>
    <row r="8171" spans="1:11" x14ac:dyDescent="0.25">
      <c r="A8171" s="163"/>
      <c r="B8171" s="106"/>
      <c r="C8171" s="77" t="s">
        <v>12</v>
      </c>
      <c r="D8171" s="75"/>
      <c r="E8171" s="73"/>
      <c r="F8171" s="74" t="s">
        <v>3</v>
      </c>
      <c r="G8171" s="153">
        <f>0.3*G8170</f>
        <v>1.5600000000000002E-3</v>
      </c>
      <c r="H8171" s="164"/>
      <c r="K8171" s="433"/>
    </row>
    <row r="8172" spans="1:11" x14ac:dyDescent="0.25">
      <c r="A8172" s="163"/>
      <c r="B8172" s="106"/>
      <c r="C8172" s="77" t="s">
        <v>114</v>
      </c>
      <c r="D8172" s="75"/>
      <c r="E8172" s="73"/>
      <c r="F8172" s="74" t="s">
        <v>3</v>
      </c>
      <c r="G8172" s="153">
        <f>G8170*0.75</f>
        <v>3.9000000000000007E-3</v>
      </c>
      <c r="H8172" s="164"/>
      <c r="K8172" s="433"/>
    </row>
    <row r="8173" spans="1:11" x14ac:dyDescent="0.25">
      <c r="A8173" s="163"/>
      <c r="B8173" s="106"/>
      <c r="C8173" s="77" t="s">
        <v>164</v>
      </c>
      <c r="D8173" s="75"/>
      <c r="E8173" s="73"/>
      <c r="F8173" s="74" t="s">
        <v>3</v>
      </c>
      <c r="G8173" s="153">
        <f>0.3*G8172</f>
        <v>1.1700000000000002E-3</v>
      </c>
      <c r="H8173" s="164"/>
      <c r="K8173" s="433"/>
    </row>
    <row r="8174" spans="1:11" x14ac:dyDescent="0.25">
      <c r="A8174" s="163"/>
      <c r="B8174" s="106"/>
      <c r="C8174" s="73"/>
      <c r="D8174" s="75" t="s">
        <v>3835</v>
      </c>
      <c r="E8174" s="73"/>
      <c r="F8174" s="74"/>
      <c r="G8174" s="153"/>
      <c r="H8174" s="164"/>
      <c r="K8174" s="433"/>
    </row>
    <row r="8175" spans="1:11" x14ac:dyDescent="0.25">
      <c r="A8175" s="163"/>
      <c r="B8175" s="106"/>
      <c r="C8175" s="73"/>
      <c r="D8175" s="100" t="s">
        <v>499</v>
      </c>
      <c r="E8175" s="73"/>
      <c r="F8175" s="74" t="s">
        <v>3</v>
      </c>
      <c r="G8175" s="153">
        <f>0.869*0.1</f>
        <v>8.6900000000000005E-2</v>
      </c>
      <c r="H8175" s="164"/>
      <c r="I8175" t="s">
        <v>3834</v>
      </c>
      <c r="K8175" s="433"/>
    </row>
    <row r="8176" spans="1:11" x14ac:dyDescent="0.25">
      <c r="A8176" s="163"/>
      <c r="B8176" s="106"/>
      <c r="C8176" s="73"/>
      <c r="D8176" s="75"/>
      <c r="E8176" s="73"/>
      <c r="F8176" s="74"/>
      <c r="G8176" s="153"/>
      <c r="H8176" s="164"/>
      <c r="K8176" s="433"/>
    </row>
    <row r="8177" spans="1:11" x14ac:dyDescent="0.25">
      <c r="A8177" s="163"/>
      <c r="B8177" s="106"/>
      <c r="C8177" s="75" t="s">
        <v>3836</v>
      </c>
      <c r="D8177" s="75"/>
      <c r="E8177" s="73"/>
      <c r="F8177" s="74"/>
      <c r="G8177" s="153"/>
      <c r="H8177" s="164"/>
      <c r="K8177" s="433"/>
    </row>
    <row r="8178" spans="1:11" x14ac:dyDescent="0.25">
      <c r="A8178" s="163"/>
      <c r="B8178" s="106"/>
      <c r="C8178" s="100" t="s">
        <v>140</v>
      </c>
      <c r="D8178" s="75"/>
      <c r="E8178" s="73"/>
      <c r="F8178" s="74" t="s">
        <v>3</v>
      </c>
      <c r="G8178" s="153">
        <f>0.025*3.14*2*0.08*1.2</f>
        <v>1.5072000000000002E-2</v>
      </c>
      <c r="H8178" s="164"/>
      <c r="K8178" s="433"/>
    </row>
    <row r="8179" spans="1:11" ht="17.25" x14ac:dyDescent="0.25">
      <c r="A8179" s="163"/>
      <c r="B8179" s="106"/>
      <c r="C8179" s="100" t="s">
        <v>23</v>
      </c>
      <c r="D8179" s="75"/>
      <c r="E8179" s="73"/>
      <c r="F8179" s="74" t="s">
        <v>596</v>
      </c>
      <c r="G8179" s="153">
        <f>G8178*2</f>
        <v>3.0144000000000004E-2</v>
      </c>
      <c r="H8179" s="164"/>
      <c r="K8179" s="433"/>
    </row>
    <row r="8180" spans="1:11" x14ac:dyDescent="0.25">
      <c r="A8180" s="163"/>
      <c r="B8180" s="106"/>
      <c r="C8180" s="100" t="s">
        <v>142</v>
      </c>
      <c r="D8180" s="75"/>
      <c r="E8180" s="73"/>
      <c r="F8180" s="74" t="s">
        <v>3</v>
      </c>
      <c r="G8180" s="153">
        <f>G8178/4</f>
        <v>3.7680000000000005E-3</v>
      </c>
      <c r="H8180" s="164"/>
      <c r="K8180" s="433"/>
    </row>
    <row r="8181" spans="1:11" x14ac:dyDescent="0.25">
      <c r="A8181" s="163"/>
      <c r="B8181" s="106"/>
      <c r="C8181" s="100" t="s">
        <v>325</v>
      </c>
      <c r="D8181" s="75"/>
      <c r="E8181" s="73"/>
      <c r="F8181" s="74" t="s">
        <v>3</v>
      </c>
      <c r="G8181" s="153">
        <f>0.15*0.02*2*1.2</f>
        <v>7.1999999999999998E-3</v>
      </c>
      <c r="H8181" s="164"/>
      <c r="K8181" s="433"/>
    </row>
    <row r="8182" spans="1:11" x14ac:dyDescent="0.25">
      <c r="A8182" s="163"/>
      <c r="B8182" s="106"/>
      <c r="C8182" s="100" t="s">
        <v>8</v>
      </c>
      <c r="D8182" s="75"/>
      <c r="E8182" s="73"/>
      <c r="F8182" s="74" t="s">
        <v>3</v>
      </c>
      <c r="G8182" s="153">
        <f>G8181*0.6</f>
        <v>4.3200000000000001E-3</v>
      </c>
      <c r="H8182" s="164"/>
      <c r="K8182" s="433"/>
    </row>
    <row r="8183" spans="1:11" x14ac:dyDescent="0.25">
      <c r="A8183" s="163"/>
      <c r="B8183" s="106"/>
      <c r="C8183" s="100" t="s">
        <v>143</v>
      </c>
      <c r="D8183" s="75"/>
      <c r="E8183" s="73"/>
      <c r="F8183" s="74" t="s">
        <v>3</v>
      </c>
      <c r="G8183" s="153">
        <f>G8182</f>
        <v>4.3200000000000001E-3</v>
      </c>
      <c r="H8183" s="164"/>
      <c r="K8183" s="433"/>
    </row>
    <row r="8184" spans="1:11" x14ac:dyDescent="0.25">
      <c r="A8184" s="163"/>
      <c r="B8184" s="106"/>
      <c r="C8184" s="186" t="s">
        <v>12</v>
      </c>
      <c r="D8184" s="75"/>
      <c r="E8184" s="73"/>
      <c r="F8184" s="74" t="s">
        <v>3</v>
      </c>
      <c r="G8184" s="153">
        <f>0.3*(G8183+G8182+G8181)</f>
        <v>4.7520000000000001E-3</v>
      </c>
      <c r="H8184" s="164"/>
      <c r="K8184" s="433"/>
    </row>
    <row r="8185" spans="1:11" x14ac:dyDescent="0.25">
      <c r="A8185" s="163"/>
      <c r="B8185" s="106"/>
      <c r="C8185" s="100"/>
      <c r="D8185" s="75" t="s">
        <v>3837</v>
      </c>
      <c r="E8185" s="73"/>
      <c r="F8185" s="74"/>
      <c r="G8185" s="153"/>
      <c r="H8185" s="164"/>
      <c r="K8185" s="433"/>
    </row>
    <row r="8186" spans="1:11" x14ac:dyDescent="0.25">
      <c r="A8186" s="163"/>
      <c r="B8186" s="106"/>
      <c r="C8186" s="73"/>
      <c r="D8186" s="100" t="s">
        <v>3838</v>
      </c>
      <c r="E8186" s="73"/>
      <c r="F8186" s="74" t="s">
        <v>3</v>
      </c>
      <c r="G8186" s="153">
        <f>0.869*0.18</f>
        <v>0.15642</v>
      </c>
      <c r="H8186" s="164"/>
      <c r="I8186" t="s">
        <v>3839</v>
      </c>
      <c r="K8186" s="433"/>
    </row>
    <row r="8187" spans="1:11" x14ac:dyDescent="0.25">
      <c r="A8187" s="163"/>
      <c r="B8187" s="106"/>
      <c r="C8187" s="73"/>
      <c r="D8187" s="75"/>
      <c r="E8187" s="73"/>
      <c r="F8187" s="74"/>
      <c r="G8187" s="153"/>
      <c r="H8187" s="164"/>
      <c r="K8187" s="433"/>
    </row>
    <row r="8188" spans="1:11" x14ac:dyDescent="0.25">
      <c r="A8188" s="163"/>
      <c r="B8188" s="106"/>
      <c r="C8188" s="75" t="s">
        <v>3840</v>
      </c>
      <c r="D8188" s="75"/>
      <c r="E8188" s="73"/>
      <c r="F8188" s="74"/>
      <c r="G8188" s="153"/>
      <c r="H8188" s="164"/>
      <c r="K8188" s="433"/>
    </row>
    <row r="8189" spans="1:11" x14ac:dyDescent="0.25">
      <c r="A8189" s="163"/>
      <c r="B8189" s="106"/>
      <c r="C8189" s="100" t="s">
        <v>140</v>
      </c>
      <c r="D8189" s="75"/>
      <c r="E8189" s="73"/>
      <c r="F8189" s="74" t="s">
        <v>3</v>
      </c>
      <c r="G8189" s="153">
        <f>0.02*3.14*0.08*1.1</f>
        <v>5.5264000000000016E-3</v>
      </c>
      <c r="H8189" s="164"/>
      <c r="K8189" s="433"/>
    </row>
    <row r="8190" spans="1:11" ht="17.25" x14ac:dyDescent="0.25">
      <c r="A8190" s="163"/>
      <c r="B8190" s="106"/>
      <c r="C8190" s="100" t="s">
        <v>23</v>
      </c>
      <c r="D8190" s="75"/>
      <c r="E8190" s="73"/>
      <c r="F8190" s="74" t="s">
        <v>596</v>
      </c>
      <c r="G8190" s="153">
        <f>G8189*2</f>
        <v>1.1052800000000003E-2</v>
      </c>
      <c r="H8190" s="164"/>
      <c r="K8190" s="433"/>
    </row>
    <row r="8191" spans="1:11" x14ac:dyDescent="0.25">
      <c r="A8191" s="163"/>
      <c r="B8191" s="106"/>
      <c r="C8191" s="100" t="s">
        <v>142</v>
      </c>
      <c r="D8191" s="75"/>
      <c r="E8191" s="73"/>
      <c r="F8191" s="74" t="s">
        <v>3</v>
      </c>
      <c r="G8191" s="153">
        <f>G8189/4</f>
        <v>1.3816000000000004E-3</v>
      </c>
      <c r="H8191" s="164"/>
      <c r="K8191" s="433"/>
    </row>
    <row r="8192" spans="1:11" x14ac:dyDescent="0.25">
      <c r="A8192" s="163"/>
      <c r="B8192" s="106"/>
      <c r="C8192" s="100" t="s">
        <v>325</v>
      </c>
      <c r="D8192" s="75"/>
      <c r="E8192" s="73"/>
      <c r="F8192" s="74" t="s">
        <v>3</v>
      </c>
      <c r="G8192" s="153">
        <f>0.24*0.02*2*1.2</f>
        <v>1.1519999999999999E-2</v>
      </c>
      <c r="H8192" s="164"/>
      <c r="K8192" s="433"/>
    </row>
    <row r="8193" spans="1:11" x14ac:dyDescent="0.25">
      <c r="A8193" s="163"/>
      <c r="B8193" s="106"/>
      <c r="C8193" s="100" t="s">
        <v>8</v>
      </c>
      <c r="D8193" s="75"/>
      <c r="E8193" s="73"/>
      <c r="F8193" s="74" t="s">
        <v>3</v>
      </c>
      <c r="G8193" s="153">
        <f>G8192*0.6</f>
        <v>6.9119999999999989E-3</v>
      </c>
      <c r="H8193" s="164"/>
      <c r="K8193" s="433"/>
    </row>
    <row r="8194" spans="1:11" x14ac:dyDescent="0.25">
      <c r="A8194" s="163"/>
      <c r="B8194" s="106"/>
      <c r="C8194" s="100" t="s">
        <v>143</v>
      </c>
      <c r="D8194" s="75"/>
      <c r="E8194" s="73"/>
      <c r="F8194" s="74" t="s">
        <v>3</v>
      </c>
      <c r="G8194" s="153">
        <f>G8193</f>
        <v>6.9119999999999989E-3</v>
      </c>
      <c r="H8194" s="164"/>
      <c r="K8194" s="433"/>
    </row>
    <row r="8195" spans="1:11" x14ac:dyDescent="0.25">
      <c r="A8195" s="163"/>
      <c r="B8195" s="106"/>
      <c r="C8195" s="186" t="s">
        <v>12</v>
      </c>
      <c r="D8195" s="75"/>
      <c r="E8195" s="73"/>
      <c r="F8195" s="74" t="s">
        <v>3</v>
      </c>
      <c r="G8195" s="153">
        <f>0.3*(G8194+G8193+G8192)</f>
        <v>7.6031999999999992E-3</v>
      </c>
      <c r="H8195" s="164"/>
      <c r="K8195" s="433"/>
    </row>
    <row r="8196" spans="1:11" x14ac:dyDescent="0.25">
      <c r="A8196" s="163"/>
      <c r="B8196" s="106"/>
      <c r="C8196" s="73"/>
      <c r="D8196" s="75" t="s">
        <v>3841</v>
      </c>
      <c r="E8196" s="73"/>
      <c r="F8196" s="74"/>
      <c r="G8196" s="153"/>
      <c r="H8196" s="164"/>
      <c r="K8196" s="433"/>
    </row>
    <row r="8197" spans="1:11" x14ac:dyDescent="0.25">
      <c r="A8197" s="163"/>
      <c r="B8197" s="106"/>
      <c r="C8197" s="73"/>
      <c r="D8197" s="100" t="s">
        <v>3842</v>
      </c>
      <c r="E8197" s="73"/>
      <c r="F8197" s="74" t="s">
        <v>3</v>
      </c>
      <c r="G8197" s="153">
        <f>0.469*0.2655</f>
        <v>0.12451950000000001</v>
      </c>
      <c r="H8197" s="164"/>
      <c r="I8197" t="s">
        <v>3843</v>
      </c>
      <c r="K8197" s="433"/>
    </row>
    <row r="8198" spans="1:11" x14ac:dyDescent="0.25">
      <c r="A8198" s="163"/>
      <c r="B8198" s="106"/>
      <c r="C8198" s="73"/>
      <c r="D8198" s="75"/>
      <c r="E8198" s="73"/>
      <c r="F8198" s="74"/>
      <c r="G8198" s="153"/>
      <c r="H8198" s="164"/>
      <c r="K8198" s="433"/>
    </row>
    <row r="8199" spans="1:11" x14ac:dyDescent="0.25">
      <c r="A8199" s="163"/>
      <c r="B8199" s="106"/>
      <c r="C8199" s="75" t="s">
        <v>3844</v>
      </c>
      <c r="D8199" s="75"/>
      <c r="E8199" s="73"/>
      <c r="F8199" s="74"/>
      <c r="G8199" s="153"/>
      <c r="H8199" s="164"/>
      <c r="K8199" s="433"/>
    </row>
    <row r="8200" spans="1:11" x14ac:dyDescent="0.25">
      <c r="A8200" s="163"/>
      <c r="B8200" s="106"/>
      <c r="C8200" s="100" t="s">
        <v>140</v>
      </c>
      <c r="D8200" s="75"/>
      <c r="E8200" s="73"/>
      <c r="F8200" s="74" t="s">
        <v>3</v>
      </c>
      <c r="G8200" s="153">
        <f>(0.025*3.14+0.008*3.14)*0.08*1.1</f>
        <v>9.1185600000000012E-3</v>
      </c>
      <c r="H8200" s="164"/>
      <c r="K8200" s="433"/>
    </row>
    <row r="8201" spans="1:11" ht="17.25" x14ac:dyDescent="0.25">
      <c r="A8201" s="163"/>
      <c r="B8201" s="106"/>
      <c r="C8201" s="100" t="s">
        <v>23</v>
      </c>
      <c r="D8201" s="75"/>
      <c r="E8201" s="73"/>
      <c r="F8201" s="74" t="s">
        <v>596</v>
      </c>
      <c r="G8201" s="153">
        <f>G8200*2</f>
        <v>1.8237120000000002E-2</v>
      </c>
      <c r="H8201" s="164"/>
      <c r="K8201" s="433"/>
    </row>
    <row r="8202" spans="1:11" x14ac:dyDescent="0.25">
      <c r="A8202" s="163"/>
      <c r="B8202" s="106"/>
      <c r="C8202" s="100" t="s">
        <v>142</v>
      </c>
      <c r="D8202" s="75"/>
      <c r="E8202" s="73"/>
      <c r="F8202" s="74" t="s">
        <v>3</v>
      </c>
      <c r="G8202" s="153">
        <f>G8200/4</f>
        <v>2.2796400000000003E-3</v>
      </c>
      <c r="H8202" s="164"/>
      <c r="K8202" s="433"/>
    </row>
    <row r="8203" spans="1:11" x14ac:dyDescent="0.25">
      <c r="A8203" s="163"/>
      <c r="B8203" s="106"/>
      <c r="C8203" s="100" t="s">
        <v>148</v>
      </c>
      <c r="D8203" s="75"/>
      <c r="E8203" s="73"/>
      <c r="F8203" s="74" t="s">
        <v>3</v>
      </c>
      <c r="G8203" s="153">
        <f>1.5*0.02*2*1.08</f>
        <v>6.4799999999999996E-2</v>
      </c>
      <c r="H8203" s="164"/>
      <c r="K8203" s="433"/>
    </row>
    <row r="8204" spans="1:11" x14ac:dyDescent="0.25">
      <c r="A8204" s="163"/>
      <c r="B8204" s="106"/>
      <c r="C8204" s="100" t="s">
        <v>8</v>
      </c>
      <c r="D8204" s="75"/>
      <c r="E8204" s="73"/>
      <c r="F8204" s="74" t="s">
        <v>3</v>
      </c>
      <c r="G8204" s="153">
        <f>G8203*0.6+0.001</f>
        <v>3.9879999999999999E-2</v>
      </c>
      <c r="H8204" s="164"/>
      <c r="K8204" s="433"/>
    </row>
    <row r="8205" spans="1:11" x14ac:dyDescent="0.25">
      <c r="A8205" s="163"/>
      <c r="B8205" s="106"/>
      <c r="C8205" s="100" t="s">
        <v>143</v>
      </c>
      <c r="D8205" s="75"/>
      <c r="E8205" s="73"/>
      <c r="F8205" s="74" t="s">
        <v>3</v>
      </c>
      <c r="G8205" s="153">
        <f>G8204</f>
        <v>3.9879999999999999E-2</v>
      </c>
      <c r="H8205" s="164"/>
      <c r="K8205" s="433"/>
    </row>
    <row r="8206" spans="1:11" x14ac:dyDescent="0.25">
      <c r="A8206" s="163"/>
      <c r="B8206" s="106"/>
      <c r="C8206" s="186" t="s">
        <v>12</v>
      </c>
      <c r="D8206" s="75"/>
      <c r="E8206" s="73"/>
      <c r="F8206" s="74" t="s">
        <v>3</v>
      </c>
      <c r="G8206" s="153">
        <f>0.3*(G8205+G8204+G8203)+0.002</f>
        <v>4.5367999999999999E-2</v>
      </c>
      <c r="H8206" s="164"/>
      <c r="K8206" s="433"/>
    </row>
    <row r="8207" spans="1:11" x14ac:dyDescent="0.25">
      <c r="A8207" s="163"/>
      <c r="B8207" s="106"/>
      <c r="C8207" s="73"/>
      <c r="D8207" s="75" t="s">
        <v>3845</v>
      </c>
      <c r="E8207" s="73"/>
      <c r="F8207" s="74"/>
      <c r="G8207" s="153"/>
      <c r="H8207" s="164"/>
      <c r="K8207" s="433"/>
    </row>
    <row r="8208" spans="1:11" x14ac:dyDescent="0.25">
      <c r="A8208" s="163"/>
      <c r="B8208" s="106"/>
      <c r="C8208" s="73"/>
      <c r="D8208" s="100" t="s">
        <v>3847</v>
      </c>
      <c r="E8208" s="73"/>
      <c r="F8208" s="74" t="s">
        <v>3</v>
      </c>
      <c r="G8208" s="153">
        <f>0.592*1.562</f>
        <v>0.92470399999999997</v>
      </c>
      <c r="H8208" s="164"/>
      <c r="I8208" t="s">
        <v>3848</v>
      </c>
      <c r="K8208" s="433"/>
    </row>
    <row r="8209" spans="1:11" x14ac:dyDescent="0.25">
      <c r="A8209" s="163"/>
      <c r="B8209" s="106"/>
      <c r="C8209" s="73"/>
      <c r="D8209" s="75" t="s">
        <v>3846</v>
      </c>
      <c r="E8209" s="73"/>
      <c r="F8209" s="74"/>
      <c r="G8209" s="153"/>
      <c r="H8209" s="164"/>
      <c r="K8209" s="433"/>
    </row>
    <row r="8210" spans="1:11" x14ac:dyDescent="0.25">
      <c r="A8210" s="163"/>
      <c r="B8210" s="106"/>
      <c r="C8210" s="73"/>
      <c r="D8210" s="100" t="s">
        <v>3675</v>
      </c>
      <c r="E8210" s="73"/>
      <c r="F8210" s="74" t="s">
        <v>3</v>
      </c>
      <c r="G8210" s="153">
        <f>0.173*0.08</f>
        <v>1.384E-2</v>
      </c>
      <c r="H8210" s="164"/>
      <c r="I8210" t="s">
        <v>1224</v>
      </c>
      <c r="K8210" s="433"/>
    </row>
    <row r="8211" spans="1:11" x14ac:dyDescent="0.25">
      <c r="A8211" s="163"/>
      <c r="B8211" s="106"/>
      <c r="C8211" s="73"/>
      <c r="D8211" s="75"/>
      <c r="E8211" s="73"/>
      <c r="F8211" s="74"/>
      <c r="G8211" s="153"/>
      <c r="H8211" s="164"/>
      <c r="K8211" s="433"/>
    </row>
    <row r="8212" spans="1:11" x14ac:dyDescent="0.25">
      <c r="A8212" s="163"/>
      <c r="B8212" s="106"/>
      <c r="C8212" s="75" t="s">
        <v>3850</v>
      </c>
      <c r="D8212" s="75"/>
      <c r="E8212" s="73"/>
      <c r="F8212" s="74"/>
      <c r="G8212" s="153"/>
      <c r="H8212" s="164"/>
      <c r="K8212" s="433"/>
    </row>
    <row r="8213" spans="1:11" x14ac:dyDescent="0.25">
      <c r="A8213" s="163"/>
      <c r="B8213" s="106"/>
      <c r="C8213" s="100" t="s">
        <v>140</v>
      </c>
      <c r="D8213" s="75"/>
      <c r="E8213" s="73"/>
      <c r="F8213" s="74" t="s">
        <v>3</v>
      </c>
      <c r="G8213" s="153">
        <f>0.006*3.14*4*0.08*1.1</f>
        <v>6.6316800000000018E-3</v>
      </c>
      <c r="H8213" s="164"/>
      <c r="I8213" s="3" t="s">
        <v>3849</v>
      </c>
      <c r="K8213" s="434"/>
    </row>
    <row r="8214" spans="1:11" ht="17.25" x14ac:dyDescent="0.25">
      <c r="A8214" s="163"/>
      <c r="B8214" s="106"/>
      <c r="C8214" s="100" t="s">
        <v>23</v>
      </c>
      <c r="D8214" s="75"/>
      <c r="E8214" s="73"/>
      <c r="F8214" s="74" t="s">
        <v>596</v>
      </c>
      <c r="G8214" s="153">
        <f>G8213*2</f>
        <v>1.3263360000000004E-2</v>
      </c>
      <c r="H8214" s="164"/>
      <c r="K8214" s="434"/>
    </row>
    <row r="8215" spans="1:11" x14ac:dyDescent="0.25">
      <c r="A8215" s="163"/>
      <c r="B8215" s="106"/>
      <c r="C8215" s="100" t="s">
        <v>142</v>
      </c>
      <c r="D8215" s="75"/>
      <c r="E8215" s="73"/>
      <c r="F8215" s="74" t="s">
        <v>3</v>
      </c>
      <c r="G8215" s="153">
        <f>G8213/4</f>
        <v>1.6579200000000004E-3</v>
      </c>
      <c r="H8215" s="164"/>
      <c r="K8215" s="434"/>
    </row>
    <row r="8216" spans="1:11" x14ac:dyDescent="0.25">
      <c r="A8216" s="163"/>
      <c r="B8216" s="106"/>
      <c r="C8216" s="100" t="s">
        <v>152</v>
      </c>
      <c r="D8216" s="75"/>
      <c r="E8216" s="73"/>
      <c r="F8216" s="74" t="s">
        <v>3</v>
      </c>
      <c r="G8216" s="153">
        <f>1.2*0.01*2*1.25</f>
        <v>0.03</v>
      </c>
      <c r="H8216" s="164"/>
      <c r="K8216" s="434"/>
    </row>
    <row r="8217" spans="1:11" x14ac:dyDescent="0.25">
      <c r="A8217" s="163"/>
      <c r="B8217" s="106"/>
      <c r="C8217" s="100" t="s">
        <v>8</v>
      </c>
      <c r="D8217" s="75"/>
      <c r="E8217" s="73"/>
      <c r="F8217" s="74" t="s">
        <v>3</v>
      </c>
      <c r="G8217" s="153">
        <f>G8216*0.6</f>
        <v>1.7999999999999999E-2</v>
      </c>
      <c r="H8217" s="164"/>
      <c r="K8217" s="434"/>
    </row>
    <row r="8218" spans="1:11" x14ac:dyDescent="0.25">
      <c r="A8218" s="163"/>
      <c r="B8218" s="106"/>
      <c r="C8218" s="100" t="s">
        <v>143</v>
      </c>
      <c r="D8218" s="75"/>
      <c r="E8218" s="73"/>
      <c r="F8218" s="74" t="s">
        <v>3</v>
      </c>
      <c r="G8218" s="153">
        <f>G8217</f>
        <v>1.7999999999999999E-2</v>
      </c>
      <c r="H8218" s="164"/>
      <c r="K8218" s="434"/>
    </row>
    <row r="8219" spans="1:11" x14ac:dyDescent="0.25">
      <c r="A8219" s="163"/>
      <c r="B8219" s="106"/>
      <c r="C8219" s="186" t="s">
        <v>12</v>
      </c>
      <c r="D8219" s="75"/>
      <c r="E8219" s="73"/>
      <c r="F8219" s="74" t="s">
        <v>3</v>
      </c>
      <c r="G8219" s="153">
        <f>0.3*(G8218+G8217+G8216)</f>
        <v>1.9800000000000002E-2</v>
      </c>
      <c r="H8219" s="164"/>
      <c r="K8219" s="434"/>
    </row>
    <row r="8220" spans="1:11" x14ac:dyDescent="0.25">
      <c r="A8220" s="163"/>
      <c r="B8220" s="106"/>
      <c r="C8220" s="73"/>
      <c r="D8220" s="75" t="s">
        <v>3851</v>
      </c>
      <c r="E8220" s="73"/>
      <c r="F8220" s="74"/>
      <c r="G8220" s="153"/>
      <c r="H8220" s="164"/>
      <c r="K8220" s="434"/>
    </row>
    <row r="8221" spans="1:11" x14ac:dyDescent="0.25">
      <c r="A8221" s="163"/>
      <c r="B8221" s="106"/>
      <c r="C8221" s="73"/>
      <c r="D8221" s="100" t="s">
        <v>3656</v>
      </c>
      <c r="E8221" s="73"/>
      <c r="F8221" s="74" t="s">
        <v>3</v>
      </c>
      <c r="G8221" s="153">
        <f>0.123*1.2353</f>
        <v>0.15194190000000002</v>
      </c>
      <c r="H8221" s="164"/>
      <c r="I8221" t="s">
        <v>3853</v>
      </c>
      <c r="K8221" s="434"/>
    </row>
    <row r="8222" spans="1:11" x14ac:dyDescent="0.25">
      <c r="A8222" s="163"/>
      <c r="B8222" s="106"/>
      <c r="C8222" s="73"/>
      <c r="D8222" s="75" t="s">
        <v>3852</v>
      </c>
      <c r="E8222" s="73"/>
      <c r="F8222" s="74"/>
      <c r="G8222" s="153"/>
      <c r="H8222" s="164"/>
      <c r="K8222" s="434"/>
    </row>
    <row r="8223" spans="1:11" x14ac:dyDescent="0.25">
      <c r="A8223" s="163"/>
      <c r="B8223" s="106"/>
      <c r="C8223" s="73"/>
      <c r="D8223" s="100" t="s">
        <v>3656</v>
      </c>
      <c r="E8223" s="73"/>
      <c r="F8223" s="74" t="s">
        <v>3</v>
      </c>
      <c r="G8223" s="153">
        <f>0.123*0.15</f>
        <v>1.8449999999999998E-2</v>
      </c>
      <c r="H8223" s="164"/>
      <c r="I8223" t="s">
        <v>1173</v>
      </c>
      <c r="K8223" s="434"/>
    </row>
    <row r="8224" spans="1:11" x14ac:dyDescent="0.25">
      <c r="A8224" s="163"/>
      <c r="B8224" s="106"/>
      <c r="C8224" s="73"/>
      <c r="D8224" s="75"/>
      <c r="E8224" s="73"/>
      <c r="F8224" s="74"/>
      <c r="G8224" s="153"/>
      <c r="H8224" s="164"/>
      <c r="K8224" s="434"/>
    </row>
    <row r="8225" spans="1:11" x14ac:dyDescent="0.25">
      <c r="A8225" s="163"/>
      <c r="B8225" s="106"/>
      <c r="C8225" s="75" t="s">
        <v>3854</v>
      </c>
      <c r="D8225" s="75"/>
      <c r="E8225" s="73"/>
      <c r="F8225" s="74"/>
      <c r="G8225" s="153"/>
      <c r="H8225" s="164"/>
      <c r="K8225" s="434"/>
    </row>
    <row r="8226" spans="1:11" x14ac:dyDescent="0.25">
      <c r="A8226" s="163"/>
      <c r="B8226" s="106"/>
      <c r="C8226" s="100" t="s">
        <v>140</v>
      </c>
      <c r="D8226" s="75"/>
      <c r="E8226" s="73"/>
      <c r="F8226" s="74" t="s">
        <v>3</v>
      </c>
      <c r="G8226" s="153">
        <f>0.008*3.14*2*0.08*1.2</f>
        <v>4.8230399999999998E-3</v>
      </c>
      <c r="H8226" s="164"/>
      <c r="K8226" s="434"/>
    </row>
    <row r="8227" spans="1:11" ht="17.25" x14ac:dyDescent="0.25">
      <c r="A8227" s="163"/>
      <c r="B8227" s="106"/>
      <c r="C8227" s="100" t="s">
        <v>23</v>
      </c>
      <c r="D8227" s="75"/>
      <c r="E8227" s="73"/>
      <c r="F8227" s="74" t="s">
        <v>596</v>
      </c>
      <c r="G8227" s="153">
        <f>G8226*2</f>
        <v>9.6460799999999996E-3</v>
      </c>
      <c r="H8227" s="164"/>
      <c r="K8227" s="434"/>
    </row>
    <row r="8228" spans="1:11" x14ac:dyDescent="0.25">
      <c r="A8228" s="163"/>
      <c r="B8228" s="106"/>
      <c r="C8228" s="100" t="s">
        <v>142</v>
      </c>
      <c r="D8228" s="75"/>
      <c r="E8228" s="73"/>
      <c r="F8228" s="74" t="s">
        <v>3</v>
      </c>
      <c r="G8228" s="153">
        <f>G8226/4</f>
        <v>1.2057599999999999E-3</v>
      </c>
      <c r="H8228" s="164"/>
      <c r="K8228" s="434"/>
    </row>
    <row r="8229" spans="1:11" x14ac:dyDescent="0.25">
      <c r="A8229" s="163"/>
      <c r="B8229" s="106"/>
      <c r="C8229" s="100" t="s">
        <v>115</v>
      </c>
      <c r="D8229" s="75"/>
      <c r="E8229" s="73"/>
      <c r="F8229" s="74" t="s">
        <v>3</v>
      </c>
      <c r="G8229" s="153"/>
      <c r="H8229" s="164"/>
      <c r="K8229" s="434"/>
    </row>
    <row r="8230" spans="1:11" x14ac:dyDescent="0.25">
      <c r="A8230" s="163"/>
      <c r="B8230" s="106"/>
      <c r="C8230" s="100" t="s">
        <v>8</v>
      </c>
      <c r="D8230" s="75"/>
      <c r="E8230" s="73"/>
      <c r="F8230" s="74" t="s">
        <v>3</v>
      </c>
      <c r="G8230" s="153">
        <f>G8229*0.6</f>
        <v>0</v>
      </c>
      <c r="H8230" s="164"/>
      <c r="K8230" s="434"/>
    </row>
    <row r="8231" spans="1:11" x14ac:dyDescent="0.25">
      <c r="A8231" s="163"/>
      <c r="B8231" s="106"/>
      <c r="C8231" s="100" t="s">
        <v>143</v>
      </c>
      <c r="D8231" s="75"/>
      <c r="E8231" s="73"/>
      <c r="F8231" s="74" t="s">
        <v>3</v>
      </c>
      <c r="G8231" s="153">
        <f>G8230</f>
        <v>0</v>
      </c>
      <c r="H8231" s="164"/>
      <c r="K8231" s="434"/>
    </row>
    <row r="8232" spans="1:11" x14ac:dyDescent="0.25">
      <c r="A8232" s="163"/>
      <c r="B8232" s="106"/>
      <c r="C8232" s="186" t="s">
        <v>12</v>
      </c>
      <c r="D8232" s="75"/>
      <c r="E8232" s="73"/>
      <c r="F8232" s="74" t="s">
        <v>3</v>
      </c>
      <c r="G8232" s="153">
        <f>0.3*(G8231+G8230+G8229)</f>
        <v>0</v>
      </c>
      <c r="H8232" s="164"/>
      <c r="K8232" s="434"/>
    </row>
    <row r="8233" spans="1:11" x14ac:dyDescent="0.25">
      <c r="A8233" s="163"/>
      <c r="B8233" s="106"/>
      <c r="C8233" s="73"/>
      <c r="D8233" s="75" t="s">
        <v>3855</v>
      </c>
      <c r="E8233" s="73"/>
      <c r="F8233" s="74"/>
      <c r="G8233" s="153"/>
      <c r="H8233" s="164"/>
      <c r="K8233" s="434"/>
    </row>
    <row r="8234" spans="1:11" x14ac:dyDescent="0.25">
      <c r="A8234" s="163"/>
      <c r="B8234" s="106"/>
      <c r="C8234" s="73"/>
      <c r="D8234" s="100" t="s">
        <v>3856</v>
      </c>
      <c r="E8234" s="73"/>
      <c r="F8234" s="74" t="s">
        <v>3</v>
      </c>
      <c r="G8234" s="153">
        <f>0.173*0.465</f>
        <v>8.0445000000000003E-2</v>
      </c>
      <c r="H8234" s="164"/>
      <c r="I8234" t="s">
        <v>3857</v>
      </c>
      <c r="K8234" s="434"/>
    </row>
    <row r="8235" spans="1:11" x14ac:dyDescent="0.25">
      <c r="A8235" s="163"/>
      <c r="B8235" s="106"/>
      <c r="C8235" s="73"/>
      <c r="D8235" s="75"/>
      <c r="E8235" s="73"/>
      <c r="F8235" s="74"/>
      <c r="G8235" s="153"/>
      <c r="H8235" s="164"/>
      <c r="K8235" s="434"/>
    </row>
    <row r="8236" spans="1:11" x14ac:dyDescent="0.25">
      <c r="A8236" s="163"/>
      <c r="B8236" s="106"/>
      <c r="C8236" s="75" t="s">
        <v>3858</v>
      </c>
      <c r="D8236" s="75"/>
      <c r="E8236" s="73"/>
      <c r="F8236" s="74"/>
      <c r="G8236" s="153"/>
      <c r="H8236" s="164"/>
      <c r="K8236" s="434"/>
    </row>
    <row r="8237" spans="1:11" x14ac:dyDescent="0.25">
      <c r="A8237" s="163"/>
      <c r="B8237" s="106"/>
      <c r="C8237" s="77" t="s">
        <v>3394</v>
      </c>
      <c r="D8237" s="73"/>
      <c r="E8237" s="73"/>
      <c r="F8237" s="74" t="s">
        <v>3</v>
      </c>
      <c r="G8237" s="153">
        <f>(0.025*3.14*2+0.01*3.14*2)*0.08*1.15</f>
        <v>2.0221600000000006E-2</v>
      </c>
      <c r="H8237" s="164"/>
      <c r="K8237" s="434"/>
    </row>
    <row r="8238" spans="1:11" ht="17.25" x14ac:dyDescent="0.25">
      <c r="A8238" s="163"/>
      <c r="B8238" s="106"/>
      <c r="C8238" s="77" t="s">
        <v>121</v>
      </c>
      <c r="D8238" s="73"/>
      <c r="E8238" s="73"/>
      <c r="F8238" s="74" t="s">
        <v>596</v>
      </c>
      <c r="G8238" s="153">
        <f>G8237*1.1</f>
        <v>2.2243760000000008E-2</v>
      </c>
      <c r="H8238" s="164"/>
      <c r="K8238" s="434"/>
    </row>
    <row r="8239" spans="1:11" x14ac:dyDescent="0.25">
      <c r="A8239" s="163"/>
      <c r="B8239" s="106"/>
      <c r="C8239" s="100" t="s">
        <v>140</v>
      </c>
      <c r="D8239" s="75"/>
      <c r="E8239" s="73"/>
      <c r="F8239" s="74" t="s">
        <v>3</v>
      </c>
      <c r="G8239" s="153">
        <f>0.01*3.14*0.08*1.1</f>
        <v>2.7632000000000008E-3</v>
      </c>
      <c r="H8239" s="164"/>
      <c r="K8239" s="434"/>
    </row>
    <row r="8240" spans="1:11" ht="17.25" x14ac:dyDescent="0.25">
      <c r="A8240" s="163"/>
      <c r="B8240" s="106"/>
      <c r="C8240" s="100" t="s">
        <v>23</v>
      </c>
      <c r="D8240" s="75"/>
      <c r="E8240" s="73"/>
      <c r="F8240" s="74" t="s">
        <v>596</v>
      </c>
      <c r="G8240" s="153">
        <f>G8239*2</f>
        <v>5.5264000000000016E-3</v>
      </c>
      <c r="H8240" s="164"/>
      <c r="K8240" s="434"/>
    </row>
    <row r="8241" spans="1:11" x14ac:dyDescent="0.25">
      <c r="A8241" s="163"/>
      <c r="B8241" s="106"/>
      <c r="C8241" s="100" t="s">
        <v>142</v>
      </c>
      <c r="D8241" s="75"/>
      <c r="E8241" s="73"/>
      <c r="F8241" s="74" t="s">
        <v>3</v>
      </c>
      <c r="G8241" s="153">
        <f>G8239/4</f>
        <v>6.908000000000002E-4</v>
      </c>
      <c r="H8241" s="164"/>
      <c r="K8241" s="434"/>
    </row>
    <row r="8242" spans="1:11" x14ac:dyDescent="0.25">
      <c r="A8242" s="163"/>
      <c r="B8242" s="106"/>
      <c r="C8242" s="186" t="s">
        <v>500</v>
      </c>
      <c r="D8242" s="75"/>
      <c r="E8242" s="73"/>
      <c r="F8242" s="74" t="s">
        <v>3</v>
      </c>
      <c r="G8242" s="153">
        <f>0.2*0.02*2*1.2</f>
        <v>9.5999999999999992E-3</v>
      </c>
      <c r="H8242" s="164"/>
      <c r="K8242" s="434"/>
    </row>
    <row r="8243" spans="1:11" x14ac:dyDescent="0.25">
      <c r="A8243" s="163"/>
      <c r="B8243" s="106"/>
      <c r="C8243" s="186" t="s">
        <v>12</v>
      </c>
      <c r="D8243" s="75"/>
      <c r="E8243" s="73"/>
      <c r="F8243" s="74" t="s">
        <v>3</v>
      </c>
      <c r="G8243" s="153">
        <f>0.3*G8242</f>
        <v>2.8799999999999997E-3</v>
      </c>
      <c r="H8243" s="164"/>
      <c r="K8243" s="434"/>
    </row>
    <row r="8244" spans="1:11" x14ac:dyDescent="0.25">
      <c r="A8244" s="163"/>
      <c r="B8244" s="106"/>
      <c r="C8244" s="186" t="s">
        <v>114</v>
      </c>
      <c r="D8244" s="75"/>
      <c r="E8244" s="73"/>
      <c r="F8244" s="74" t="s">
        <v>3</v>
      </c>
      <c r="G8244" s="153">
        <f>G8242*0.8</f>
        <v>7.6799999999999993E-3</v>
      </c>
      <c r="H8244" s="164"/>
      <c r="K8244" s="434"/>
    </row>
    <row r="8245" spans="1:11" x14ac:dyDescent="0.25">
      <c r="A8245" s="163"/>
      <c r="B8245" s="106"/>
      <c r="C8245" s="186" t="s">
        <v>164</v>
      </c>
      <c r="D8245" s="75"/>
      <c r="E8245" s="73"/>
      <c r="F8245" s="74" t="s">
        <v>3</v>
      </c>
      <c r="G8245" s="153">
        <f>0.3*G8244</f>
        <v>2.3039999999999996E-3</v>
      </c>
      <c r="H8245" s="164"/>
      <c r="K8245" s="433"/>
    </row>
    <row r="8246" spans="1:11" x14ac:dyDescent="0.25">
      <c r="A8246" s="163"/>
      <c r="B8246" s="106"/>
      <c r="C8246" s="186"/>
      <c r="D8246" s="75" t="s">
        <v>3859</v>
      </c>
      <c r="E8246" s="73"/>
      <c r="F8246" s="74"/>
      <c r="G8246" s="153"/>
      <c r="H8246" s="164"/>
      <c r="K8246" s="434"/>
    </row>
    <row r="8247" spans="1:11" x14ac:dyDescent="0.25">
      <c r="A8247" s="163"/>
      <c r="B8247" s="106"/>
      <c r="C8247" s="186"/>
      <c r="D8247" s="77" t="s">
        <v>3394</v>
      </c>
      <c r="E8247" s="73"/>
      <c r="F8247" s="74" t="s">
        <v>3</v>
      </c>
      <c r="G8247" s="153">
        <f>0.014*0.08*1.3</f>
        <v>1.4560000000000003E-3</v>
      </c>
      <c r="H8247" s="164"/>
      <c r="K8247" s="434"/>
    </row>
    <row r="8248" spans="1:11" ht="17.25" x14ac:dyDescent="0.25">
      <c r="A8248" s="163"/>
      <c r="B8248" s="106"/>
      <c r="C8248" s="186"/>
      <c r="D8248" s="77" t="s">
        <v>121</v>
      </c>
      <c r="E8248" s="73"/>
      <c r="F8248" s="74" t="s">
        <v>596</v>
      </c>
      <c r="G8248" s="153">
        <f>G8247*1.1</f>
        <v>1.6016000000000003E-3</v>
      </c>
      <c r="H8248" s="164"/>
      <c r="K8248" s="434"/>
    </row>
    <row r="8249" spans="1:11" x14ac:dyDescent="0.25">
      <c r="A8249" s="163"/>
      <c r="B8249" s="106"/>
      <c r="C8249" s="186"/>
      <c r="D8249" s="75"/>
      <c r="E8249" s="75" t="s">
        <v>3862</v>
      </c>
      <c r="F8249" s="74"/>
      <c r="G8249" s="153"/>
      <c r="H8249" s="164"/>
      <c r="K8249" s="434"/>
    </row>
    <row r="8250" spans="1:11" x14ac:dyDescent="0.25">
      <c r="A8250" s="163"/>
      <c r="B8250" s="106"/>
      <c r="C8250" s="186"/>
      <c r="D8250" s="75"/>
      <c r="E8250" s="100" t="s">
        <v>1481</v>
      </c>
      <c r="F8250" s="74" t="s">
        <v>3</v>
      </c>
      <c r="G8250" s="153">
        <f>0.321*0.05</f>
        <v>1.6050000000000002E-2</v>
      </c>
      <c r="H8250" s="164"/>
      <c r="I8250" t="s">
        <v>1351</v>
      </c>
      <c r="K8250" s="434"/>
    </row>
    <row r="8251" spans="1:11" x14ac:dyDescent="0.25">
      <c r="A8251" s="163"/>
      <c r="B8251" s="106"/>
      <c r="C8251" s="186"/>
      <c r="D8251" s="75" t="s">
        <v>3860</v>
      </c>
      <c r="E8251" s="73"/>
      <c r="F8251" s="74"/>
      <c r="G8251" s="153"/>
      <c r="H8251" s="164"/>
      <c r="K8251" s="434"/>
    </row>
    <row r="8252" spans="1:11" x14ac:dyDescent="0.25">
      <c r="A8252" s="163"/>
      <c r="B8252" s="106"/>
      <c r="C8252" s="186"/>
      <c r="D8252" s="100" t="s">
        <v>499</v>
      </c>
      <c r="E8252" s="73"/>
      <c r="F8252" s="74" t="s">
        <v>3</v>
      </c>
      <c r="G8252" s="153">
        <f>0.592*0.152</f>
        <v>8.9983999999999995E-2</v>
      </c>
      <c r="H8252" s="164"/>
      <c r="I8252" t="s">
        <v>1174</v>
      </c>
      <c r="K8252" s="434"/>
    </row>
    <row r="8253" spans="1:11" x14ac:dyDescent="0.25">
      <c r="A8253" s="163"/>
      <c r="B8253" s="106"/>
      <c r="C8253" s="186"/>
      <c r="D8253" s="75" t="s">
        <v>3861</v>
      </c>
      <c r="E8253" s="73"/>
      <c r="F8253" s="74"/>
      <c r="G8253" s="153"/>
      <c r="H8253" s="164"/>
      <c r="K8253" s="434"/>
    </row>
    <row r="8254" spans="1:11" x14ac:dyDescent="0.25">
      <c r="A8254" s="163"/>
      <c r="B8254" s="106"/>
      <c r="C8254" s="186"/>
      <c r="D8254" s="100" t="s">
        <v>1222</v>
      </c>
      <c r="E8254" s="73"/>
      <c r="F8254" s="74" t="s">
        <v>3</v>
      </c>
      <c r="G8254" s="153">
        <f>0.222*0.12</f>
        <v>2.664E-2</v>
      </c>
      <c r="H8254" s="164"/>
      <c r="I8254" t="s">
        <v>1459</v>
      </c>
      <c r="K8254" s="434"/>
    </row>
    <row r="8255" spans="1:11" x14ac:dyDescent="0.25">
      <c r="A8255" s="163"/>
      <c r="B8255" s="106"/>
      <c r="C8255" s="186"/>
      <c r="D8255" s="75"/>
      <c r="E8255" s="73"/>
      <c r="F8255" s="74"/>
      <c r="G8255" s="153"/>
      <c r="H8255" s="164"/>
      <c r="K8255" s="434"/>
    </row>
    <row r="8256" spans="1:11" x14ac:dyDescent="0.25">
      <c r="A8256" s="163"/>
      <c r="B8256" s="106"/>
      <c r="C8256" s="78" t="s">
        <v>3863</v>
      </c>
      <c r="D8256" s="75"/>
      <c r="E8256" s="73"/>
      <c r="F8256" s="74"/>
      <c r="G8256" s="153"/>
      <c r="H8256" s="164"/>
      <c r="K8256" s="434"/>
    </row>
    <row r="8257" spans="1:11" x14ac:dyDescent="0.25">
      <c r="A8257" s="163"/>
      <c r="B8257" s="106"/>
      <c r="C8257" s="77" t="s">
        <v>3394</v>
      </c>
      <c r="D8257" s="73"/>
      <c r="E8257" s="73"/>
      <c r="F8257" s="74" t="s">
        <v>3</v>
      </c>
      <c r="G8257" s="153">
        <f>0.016*3.14*0.08*1.15</f>
        <v>4.6220799999999989E-3</v>
      </c>
      <c r="H8257" s="164"/>
      <c r="K8257" s="434"/>
    </row>
    <row r="8258" spans="1:11" ht="17.25" x14ac:dyDescent="0.25">
      <c r="A8258" s="163"/>
      <c r="B8258" s="106"/>
      <c r="C8258" s="77" t="s">
        <v>121</v>
      </c>
      <c r="D8258" s="73"/>
      <c r="E8258" s="73"/>
      <c r="F8258" s="74" t="s">
        <v>596</v>
      </c>
      <c r="G8258" s="153">
        <f>G8257*1.1</f>
        <v>5.0842879999999993E-3</v>
      </c>
      <c r="H8258" s="164"/>
      <c r="K8258" s="434"/>
    </row>
    <row r="8259" spans="1:11" x14ac:dyDescent="0.25">
      <c r="A8259" s="163"/>
      <c r="B8259" s="106"/>
      <c r="C8259" s="186" t="s">
        <v>500</v>
      </c>
      <c r="D8259" s="75"/>
      <c r="E8259" s="73"/>
      <c r="F8259" s="74" t="s">
        <v>3</v>
      </c>
      <c r="G8259" s="153">
        <f>0.38*0.015*2*1.15</f>
        <v>1.311E-2</v>
      </c>
      <c r="H8259" s="164"/>
      <c r="K8259" s="434"/>
    </row>
    <row r="8260" spans="1:11" x14ac:dyDescent="0.25">
      <c r="A8260" s="163"/>
      <c r="B8260" s="106"/>
      <c r="C8260" s="186" t="s">
        <v>12</v>
      </c>
      <c r="D8260" s="75"/>
      <c r="E8260" s="73"/>
      <c r="F8260" s="74" t="s">
        <v>3</v>
      </c>
      <c r="G8260" s="153">
        <f>0.3*G8259</f>
        <v>3.9329999999999999E-3</v>
      </c>
      <c r="H8260" s="164"/>
      <c r="K8260" s="434"/>
    </row>
    <row r="8261" spans="1:11" x14ac:dyDescent="0.25">
      <c r="A8261" s="163"/>
      <c r="B8261" s="106"/>
      <c r="C8261" s="186" t="s">
        <v>114</v>
      </c>
      <c r="D8261" s="75"/>
      <c r="E8261" s="73"/>
      <c r="F8261" s="74" t="s">
        <v>3</v>
      </c>
      <c r="G8261" s="153">
        <f>G8259*0.8</f>
        <v>1.0488000000000001E-2</v>
      </c>
      <c r="H8261" s="164"/>
      <c r="K8261" s="434"/>
    </row>
    <row r="8262" spans="1:11" x14ac:dyDescent="0.25">
      <c r="A8262" s="163"/>
      <c r="B8262" s="106"/>
      <c r="C8262" s="186" t="s">
        <v>164</v>
      </c>
      <c r="D8262" s="75"/>
      <c r="E8262" s="73"/>
      <c r="F8262" s="74" t="s">
        <v>3</v>
      </c>
      <c r="G8262" s="153">
        <f>0.3*G8261</f>
        <v>3.1464000000000002E-3</v>
      </c>
      <c r="H8262" s="164"/>
      <c r="K8262" s="434"/>
    </row>
    <row r="8263" spans="1:11" x14ac:dyDescent="0.25">
      <c r="A8263" s="163"/>
      <c r="B8263" s="106"/>
      <c r="C8263" s="186"/>
      <c r="D8263" s="75" t="s">
        <v>3864</v>
      </c>
      <c r="E8263" s="73"/>
      <c r="F8263" s="74"/>
      <c r="G8263" s="153"/>
      <c r="H8263" s="164"/>
      <c r="K8263" s="434"/>
    </row>
    <row r="8264" spans="1:11" x14ac:dyDescent="0.25">
      <c r="A8264" s="163"/>
      <c r="B8264" s="106"/>
      <c r="C8264" s="186"/>
      <c r="D8264" s="100" t="s">
        <v>3866</v>
      </c>
      <c r="E8264" s="73"/>
      <c r="F8264" s="74" t="s">
        <v>3</v>
      </c>
      <c r="G8264" s="153">
        <f>0.37*0.42</f>
        <v>0.15539999999999998</v>
      </c>
      <c r="H8264" s="164"/>
      <c r="I8264" t="s">
        <v>3865</v>
      </c>
      <c r="K8264" s="434"/>
    </row>
    <row r="8265" spans="1:11" ht="15.75" thickBot="1" x14ac:dyDescent="0.3">
      <c r="A8265" s="67"/>
      <c r="B8265" s="86"/>
      <c r="C8265" s="197"/>
      <c r="D8265" s="235"/>
      <c r="E8265" s="68"/>
      <c r="F8265" s="82"/>
      <c r="G8265" s="89"/>
      <c r="H8265" s="165"/>
      <c r="K8265" s="434"/>
    </row>
    <row r="8266" spans="1:11" x14ac:dyDescent="0.25">
      <c r="A8266" s="159"/>
      <c r="B8266" s="181"/>
      <c r="C8266" s="201"/>
      <c r="D8266" s="184"/>
      <c r="E8266" s="93"/>
      <c r="F8266" s="160"/>
      <c r="G8266" s="161"/>
      <c r="H8266" s="522" t="s">
        <v>3891</v>
      </c>
      <c r="K8266" s="434"/>
    </row>
    <row r="8267" spans="1:11" x14ac:dyDescent="0.25">
      <c r="A8267" s="163"/>
      <c r="B8267" s="106"/>
      <c r="C8267" s="186"/>
      <c r="D8267" s="75"/>
      <c r="E8267" s="75" t="s">
        <v>3920</v>
      </c>
      <c r="F8267" s="74"/>
      <c r="G8267" s="153"/>
      <c r="H8267" s="164"/>
      <c r="K8267" s="437"/>
    </row>
    <row r="8268" spans="1:11" x14ac:dyDescent="0.25">
      <c r="A8268" s="163"/>
      <c r="B8268" s="106"/>
      <c r="C8268" s="186"/>
      <c r="D8268" s="75"/>
      <c r="E8268" s="73"/>
      <c r="F8268" s="74"/>
      <c r="G8268" s="153"/>
      <c r="H8268" s="164"/>
      <c r="K8268" s="437"/>
    </row>
    <row r="8269" spans="1:11" x14ac:dyDescent="0.25">
      <c r="A8269" s="163"/>
      <c r="B8269" s="106"/>
      <c r="C8269" s="78" t="s">
        <v>3874</v>
      </c>
      <c r="D8269" s="75"/>
      <c r="E8269" s="73"/>
      <c r="F8269" s="74"/>
      <c r="G8269" s="153"/>
      <c r="H8269" s="164"/>
      <c r="K8269" s="437"/>
    </row>
    <row r="8270" spans="1:11" x14ac:dyDescent="0.25">
      <c r="A8270" s="163"/>
      <c r="B8270" s="106"/>
      <c r="C8270" s="186" t="s">
        <v>3875</v>
      </c>
      <c r="D8270" s="75"/>
      <c r="E8270" s="73"/>
      <c r="F8270" s="74" t="s">
        <v>3</v>
      </c>
      <c r="G8270" s="153">
        <f>0.015</f>
        <v>1.4999999999999999E-2</v>
      </c>
      <c r="H8270" s="164"/>
      <c r="K8270" s="437"/>
    </row>
    <row r="8271" spans="1:11" x14ac:dyDescent="0.25">
      <c r="A8271" s="163"/>
      <c r="B8271" s="106"/>
      <c r="C8271" s="186"/>
      <c r="D8271" s="75" t="s">
        <v>3876</v>
      </c>
      <c r="E8271" s="73"/>
      <c r="F8271" s="74"/>
      <c r="G8271" s="153"/>
      <c r="H8271" s="164"/>
      <c r="K8271" s="437"/>
    </row>
    <row r="8272" spans="1:11" x14ac:dyDescent="0.25">
      <c r="A8272" s="163"/>
      <c r="B8272" s="106"/>
      <c r="C8272" s="186"/>
      <c r="D8272" s="73" t="s">
        <v>2755</v>
      </c>
      <c r="E8272" s="75"/>
      <c r="F8272" s="74" t="s">
        <v>3</v>
      </c>
      <c r="G8272" s="153">
        <f>(0.06+0.04+0.1+0.15*3.14*3+0.12*2*2+0.18*3.14*0.75*2+0.16+0.05)*0.08*1.19</f>
        <v>0.29995615999999997</v>
      </c>
      <c r="H8272" s="164"/>
      <c r="K8272" s="437"/>
    </row>
    <row r="8273" spans="1:11" ht="17.25" x14ac:dyDescent="0.25">
      <c r="A8273" s="163"/>
      <c r="B8273" s="106"/>
      <c r="C8273" s="186"/>
      <c r="D8273" s="73" t="s">
        <v>1055</v>
      </c>
      <c r="E8273" s="75"/>
      <c r="F8273" s="74" t="s">
        <v>596</v>
      </c>
      <c r="G8273" s="153">
        <f>G8272*1.1</f>
        <v>0.32995177599999997</v>
      </c>
      <c r="H8273" s="164"/>
      <c r="K8273" s="437"/>
    </row>
    <row r="8274" spans="1:11" x14ac:dyDescent="0.25">
      <c r="A8274" s="163"/>
      <c r="B8274" s="106"/>
      <c r="C8274" s="186"/>
      <c r="D8274" s="186" t="s">
        <v>3877</v>
      </c>
      <c r="E8274" s="73"/>
      <c r="F8274" s="74" t="s">
        <v>3</v>
      </c>
      <c r="G8274" s="153">
        <v>1.2E-2</v>
      </c>
      <c r="H8274" s="164"/>
      <c r="K8274" s="437"/>
    </row>
    <row r="8275" spans="1:11" x14ac:dyDescent="0.25">
      <c r="A8275" s="163"/>
      <c r="B8275" s="106"/>
      <c r="C8275" s="186"/>
      <c r="D8275" s="100" t="s">
        <v>72</v>
      </c>
      <c r="E8275" s="100"/>
      <c r="F8275" s="103" t="s">
        <v>3</v>
      </c>
      <c r="G8275" s="107">
        <f>0.15*3.14*1.26*2*0.15*2*1.292</f>
        <v>0.46005019200000002</v>
      </c>
      <c r="H8275" s="164"/>
      <c r="K8275" s="437"/>
    </row>
    <row r="8276" spans="1:11" x14ac:dyDescent="0.25">
      <c r="A8276" s="163"/>
      <c r="B8276" s="106"/>
      <c r="C8276" s="186"/>
      <c r="D8276" s="100" t="s">
        <v>11</v>
      </c>
      <c r="E8276" s="100"/>
      <c r="F8276" s="103" t="s">
        <v>3</v>
      </c>
      <c r="G8276" s="107">
        <f>0.3*G8275+0.002</f>
        <v>0.14001505759999999</v>
      </c>
      <c r="H8276" s="164"/>
      <c r="K8276" s="437"/>
    </row>
    <row r="8277" spans="1:11" x14ac:dyDescent="0.25">
      <c r="A8277" s="163"/>
      <c r="B8277" s="106"/>
      <c r="C8277" s="186"/>
      <c r="D8277" s="100" t="s">
        <v>8</v>
      </c>
      <c r="E8277" s="100"/>
      <c r="F8277" s="103" t="s">
        <v>3</v>
      </c>
      <c r="G8277" s="107">
        <f>G8275*0.7</f>
        <v>0.32203513439999998</v>
      </c>
      <c r="H8277" s="164"/>
      <c r="K8277" s="437"/>
    </row>
    <row r="8278" spans="1:11" x14ac:dyDescent="0.25">
      <c r="A8278" s="163"/>
      <c r="B8278" s="106"/>
      <c r="C8278" s="186"/>
      <c r="D8278" s="100" t="s">
        <v>12</v>
      </c>
      <c r="E8278" s="100"/>
      <c r="F8278" s="103" t="s">
        <v>3</v>
      </c>
      <c r="G8278" s="107">
        <f>0.3*G8277+0.003</f>
        <v>9.9610540319999996E-2</v>
      </c>
      <c r="H8278" s="164"/>
      <c r="K8278" s="437"/>
    </row>
    <row r="8279" spans="1:11" x14ac:dyDescent="0.25">
      <c r="A8279" s="163"/>
      <c r="B8279" s="106"/>
      <c r="C8279" s="186"/>
      <c r="D8279" s="100" t="s">
        <v>147</v>
      </c>
      <c r="E8279" s="100"/>
      <c r="F8279" s="103" t="s">
        <v>3</v>
      </c>
      <c r="G8279" s="107">
        <f>0.1</f>
        <v>0.1</v>
      </c>
      <c r="H8279" s="164"/>
      <c r="K8279" s="437"/>
    </row>
    <row r="8280" spans="1:11" x14ac:dyDescent="0.25">
      <c r="A8280" s="163"/>
      <c r="B8280" s="106"/>
      <c r="C8280" s="186"/>
      <c r="D8280" s="75"/>
      <c r="E8280" s="75" t="s">
        <v>3878</v>
      </c>
      <c r="F8280" s="74"/>
      <c r="G8280" s="153"/>
      <c r="H8280" s="164"/>
      <c r="K8280" s="437"/>
    </row>
    <row r="8281" spans="1:11" x14ac:dyDescent="0.25">
      <c r="A8281" s="163"/>
      <c r="B8281" s="106"/>
      <c r="C8281" s="186"/>
      <c r="D8281" s="75"/>
      <c r="E8281" s="73" t="s">
        <v>3879</v>
      </c>
      <c r="F8281" s="74" t="s">
        <v>3</v>
      </c>
      <c r="G8281" s="153">
        <f>0.09*3.14/4*0.04*5*8*1.15</f>
        <v>0.129996</v>
      </c>
      <c r="H8281" s="164"/>
      <c r="K8281" s="438"/>
    </row>
    <row r="8282" spans="1:11" x14ac:dyDescent="0.25">
      <c r="A8282" s="163"/>
      <c r="B8282" s="106"/>
      <c r="C8282" s="186"/>
      <c r="D8282" s="75"/>
      <c r="E8282" s="75" t="s">
        <v>3880</v>
      </c>
      <c r="F8282" s="74"/>
      <c r="G8282" s="153"/>
      <c r="H8282" s="164"/>
      <c r="K8282" s="438"/>
    </row>
    <row r="8283" spans="1:11" x14ac:dyDescent="0.25">
      <c r="A8283" s="163"/>
      <c r="B8283" s="106"/>
      <c r="C8283" s="186"/>
      <c r="D8283" s="75"/>
      <c r="E8283" s="77" t="s">
        <v>3883</v>
      </c>
      <c r="F8283" s="74" t="s">
        <v>3</v>
      </c>
      <c r="G8283" s="153">
        <f>0.175*3.14*1.124*2*8*1.1333</f>
        <v>11.1995063264</v>
      </c>
      <c r="H8283" s="164"/>
      <c r="K8283" s="438"/>
    </row>
    <row r="8284" spans="1:11" x14ac:dyDescent="0.25">
      <c r="A8284" s="163"/>
      <c r="B8284" s="106"/>
      <c r="C8284" s="186"/>
      <c r="D8284" s="75" t="s">
        <v>162</v>
      </c>
      <c r="E8284" s="73"/>
      <c r="F8284" s="74"/>
      <c r="G8284" s="153"/>
      <c r="H8284" s="164"/>
      <c r="K8284" s="438"/>
    </row>
    <row r="8285" spans="1:11" x14ac:dyDescent="0.25">
      <c r="A8285" s="163"/>
      <c r="B8285" s="106"/>
      <c r="C8285" s="186"/>
      <c r="D8285" s="73" t="s">
        <v>3223</v>
      </c>
      <c r="E8285" s="73"/>
      <c r="F8285" s="74" t="s">
        <v>3</v>
      </c>
      <c r="G8285" s="153">
        <f>0.016*3.14*2*0.05*1.2</f>
        <v>6.0288000000000008E-3</v>
      </c>
      <c r="H8285" s="164"/>
      <c r="K8285" s="438"/>
    </row>
    <row r="8286" spans="1:11" ht="17.25" x14ac:dyDescent="0.25">
      <c r="A8286" s="163"/>
      <c r="B8286" s="106"/>
      <c r="C8286" s="186"/>
      <c r="D8286" s="73" t="s">
        <v>168</v>
      </c>
      <c r="E8286" s="73"/>
      <c r="F8286" s="74" t="s">
        <v>596</v>
      </c>
      <c r="G8286" s="153">
        <f>G8285*1.1</f>
        <v>6.6316800000000018E-3</v>
      </c>
      <c r="H8286" s="164"/>
      <c r="K8286" s="438"/>
    </row>
    <row r="8287" spans="1:11" x14ac:dyDescent="0.25">
      <c r="A8287" s="163"/>
      <c r="B8287" s="106"/>
      <c r="C8287" s="186"/>
      <c r="D8287" s="73" t="s">
        <v>2755</v>
      </c>
      <c r="E8287" s="75"/>
      <c r="F8287" s="74" t="s">
        <v>3</v>
      </c>
      <c r="G8287" s="153">
        <f>0.01*3.14*2*0.08*1.2</f>
        <v>6.0288000000000008E-3</v>
      </c>
      <c r="H8287" s="164"/>
      <c r="K8287" s="438"/>
    </row>
    <row r="8288" spans="1:11" ht="17.25" x14ac:dyDescent="0.25">
      <c r="A8288" s="163"/>
      <c r="B8288" s="106"/>
      <c r="C8288" s="186"/>
      <c r="D8288" s="73" t="s">
        <v>1055</v>
      </c>
      <c r="E8288" s="75"/>
      <c r="F8288" s="74" t="s">
        <v>596</v>
      </c>
      <c r="G8288" s="153">
        <f>G8287*1.1</f>
        <v>6.6316800000000018E-3</v>
      </c>
      <c r="H8288" s="164"/>
      <c r="K8288" s="438"/>
    </row>
    <row r="8289" spans="1:11" x14ac:dyDescent="0.25">
      <c r="A8289" s="163"/>
      <c r="B8289" s="106"/>
      <c r="C8289" s="186"/>
      <c r="D8289" s="100" t="s">
        <v>72</v>
      </c>
      <c r="E8289" s="73"/>
      <c r="F8289" s="74" t="s">
        <v>3</v>
      </c>
      <c r="G8289" s="153">
        <f>0.45*0.45*2*0.15*2*1.399</f>
        <v>0.1699785</v>
      </c>
      <c r="H8289" s="164"/>
      <c r="K8289" s="438"/>
    </row>
    <row r="8290" spans="1:11" x14ac:dyDescent="0.25">
      <c r="A8290" s="163"/>
      <c r="B8290" s="106"/>
      <c r="C8290" s="186"/>
      <c r="D8290" s="100" t="s">
        <v>11</v>
      </c>
      <c r="E8290" s="73"/>
      <c r="F8290" s="74" t="s">
        <v>3</v>
      </c>
      <c r="G8290" s="153">
        <f>0.3*G8289-0.001</f>
        <v>4.9993549999999998E-2</v>
      </c>
      <c r="H8290" s="164"/>
      <c r="K8290" s="438"/>
    </row>
    <row r="8291" spans="1:11" x14ac:dyDescent="0.25">
      <c r="A8291" s="163"/>
      <c r="B8291" s="106"/>
      <c r="C8291" s="186"/>
      <c r="D8291" s="100" t="s">
        <v>114</v>
      </c>
      <c r="E8291" s="73"/>
      <c r="F8291" s="74" t="s">
        <v>3</v>
      </c>
      <c r="G8291" s="153">
        <f>G8289/2</f>
        <v>8.4989250000000002E-2</v>
      </c>
      <c r="H8291" s="164"/>
      <c r="K8291" s="438"/>
    </row>
    <row r="8292" spans="1:11" x14ac:dyDescent="0.25">
      <c r="A8292" s="163"/>
      <c r="B8292" s="106"/>
      <c r="C8292" s="186"/>
      <c r="D8292" s="100" t="s">
        <v>163</v>
      </c>
      <c r="E8292" s="73"/>
      <c r="F8292" s="74" t="s">
        <v>3</v>
      </c>
      <c r="G8292" s="153">
        <f>G8289/2</f>
        <v>8.4989250000000002E-2</v>
      </c>
      <c r="H8292" s="164"/>
      <c r="K8292" s="438"/>
    </row>
    <row r="8293" spans="1:11" x14ac:dyDescent="0.25">
      <c r="A8293" s="163"/>
      <c r="B8293" s="106"/>
      <c r="C8293" s="186"/>
      <c r="D8293" s="100" t="s">
        <v>164</v>
      </c>
      <c r="E8293" s="73"/>
      <c r="F8293" s="74" t="s">
        <v>3</v>
      </c>
      <c r="G8293" s="153">
        <f>0.3*(G8292+G8291)-0.001</f>
        <v>4.9993549999999998E-2</v>
      </c>
      <c r="H8293" s="164"/>
      <c r="K8293" s="438"/>
    </row>
    <row r="8294" spans="1:11" x14ac:dyDescent="0.25">
      <c r="A8294" s="163"/>
      <c r="B8294" s="106"/>
      <c r="C8294" s="186"/>
      <c r="D8294" s="75"/>
      <c r="E8294" s="73" t="s">
        <v>165</v>
      </c>
      <c r="F8294" s="74"/>
      <c r="G8294" s="153"/>
      <c r="H8294" s="164"/>
      <c r="K8294" s="438"/>
    </row>
    <row r="8295" spans="1:11" x14ac:dyDescent="0.25">
      <c r="A8295" s="163"/>
      <c r="B8295" s="106"/>
      <c r="C8295" s="186"/>
      <c r="D8295" s="75"/>
      <c r="E8295" s="73" t="s">
        <v>3881</v>
      </c>
      <c r="F8295" s="74" t="s">
        <v>3</v>
      </c>
      <c r="G8295" s="153">
        <f>(0.255+0.085*2)*(0.255+0.085*2)*2*2.7*1.148</f>
        <v>1.1197305000000002</v>
      </c>
      <c r="H8295" s="164"/>
      <c r="K8295" s="438"/>
    </row>
    <row r="8296" spans="1:11" x14ac:dyDescent="0.25">
      <c r="A8296" s="163"/>
      <c r="B8296" s="106"/>
      <c r="C8296" s="186"/>
      <c r="D8296" s="75" t="s">
        <v>3882</v>
      </c>
      <c r="E8296" s="73"/>
      <c r="F8296" s="74"/>
      <c r="G8296" s="153"/>
      <c r="H8296" s="164"/>
      <c r="K8296" s="438"/>
    </row>
    <row r="8297" spans="1:11" x14ac:dyDescent="0.25">
      <c r="A8297" s="163"/>
      <c r="B8297" s="106"/>
      <c r="C8297" s="186"/>
      <c r="D8297" s="73" t="s">
        <v>2755</v>
      </c>
      <c r="E8297" s="75"/>
      <c r="F8297" s="74" t="s">
        <v>3</v>
      </c>
      <c r="G8297" s="153">
        <f>(0.025*3.14*2+0.05)*0.08*1.2</f>
        <v>1.9872000000000001E-2</v>
      </c>
      <c r="H8297" s="164"/>
      <c r="K8297" s="438"/>
    </row>
    <row r="8298" spans="1:11" ht="17.25" x14ac:dyDescent="0.25">
      <c r="A8298" s="163"/>
      <c r="B8298" s="106"/>
      <c r="C8298" s="186"/>
      <c r="D8298" s="73" t="s">
        <v>1055</v>
      </c>
      <c r="E8298" s="75"/>
      <c r="F8298" s="74" t="s">
        <v>596</v>
      </c>
      <c r="G8298" s="153">
        <f>G8297*1.1</f>
        <v>2.1859200000000002E-2</v>
      </c>
      <c r="H8298" s="164"/>
      <c r="K8298" s="438"/>
    </row>
    <row r="8299" spans="1:11" x14ac:dyDescent="0.25">
      <c r="A8299" s="163"/>
      <c r="B8299" s="106"/>
      <c r="C8299" s="186"/>
      <c r="D8299" s="100" t="s">
        <v>72</v>
      </c>
      <c r="E8299" s="100"/>
      <c r="F8299" s="103" t="s">
        <v>3</v>
      </c>
      <c r="G8299" s="107">
        <f>0.025*0.2*2*1.5</f>
        <v>1.5000000000000003E-2</v>
      </c>
      <c r="H8299" s="164"/>
      <c r="K8299" s="438"/>
    </row>
    <row r="8300" spans="1:11" x14ac:dyDescent="0.25">
      <c r="A8300" s="163"/>
      <c r="B8300" s="106"/>
      <c r="C8300" s="186"/>
      <c r="D8300" s="100" t="s">
        <v>11</v>
      </c>
      <c r="E8300" s="100"/>
      <c r="F8300" s="103" t="s">
        <v>3</v>
      </c>
      <c r="G8300" s="107">
        <f>0.3*G8299</f>
        <v>4.5000000000000005E-3</v>
      </c>
      <c r="H8300" s="164"/>
      <c r="K8300" s="438"/>
    </row>
    <row r="8301" spans="1:11" x14ac:dyDescent="0.25">
      <c r="A8301" s="163"/>
      <c r="B8301" s="106"/>
      <c r="C8301" s="186"/>
      <c r="D8301" s="100" t="s">
        <v>8</v>
      </c>
      <c r="E8301" s="100"/>
      <c r="F8301" s="103" t="s">
        <v>3</v>
      </c>
      <c r="G8301" s="107">
        <f>G8299*0.7</f>
        <v>1.0500000000000001E-2</v>
      </c>
      <c r="H8301" s="164"/>
      <c r="K8301" s="438"/>
    </row>
    <row r="8302" spans="1:11" x14ac:dyDescent="0.25">
      <c r="A8302" s="163"/>
      <c r="B8302" s="106"/>
      <c r="C8302" s="186"/>
      <c r="D8302" s="100" t="s">
        <v>12</v>
      </c>
      <c r="E8302" s="100"/>
      <c r="F8302" s="103" t="s">
        <v>3</v>
      </c>
      <c r="G8302" s="107">
        <f>0.3*G8301</f>
        <v>3.15E-3</v>
      </c>
      <c r="H8302" s="164"/>
      <c r="K8302" s="438"/>
    </row>
    <row r="8303" spans="1:11" x14ac:dyDescent="0.25">
      <c r="A8303" s="163"/>
      <c r="B8303" s="106"/>
      <c r="C8303" s="186"/>
      <c r="D8303" s="75" t="s">
        <v>3884</v>
      </c>
      <c r="E8303" s="73"/>
      <c r="F8303" s="74"/>
      <c r="G8303" s="153"/>
      <c r="H8303" s="164"/>
      <c r="K8303" s="438"/>
    </row>
    <row r="8304" spans="1:11" x14ac:dyDescent="0.25">
      <c r="A8304" s="163"/>
      <c r="B8304" s="106"/>
      <c r="C8304" s="186"/>
      <c r="D8304" s="73" t="s">
        <v>3223</v>
      </c>
      <c r="E8304" s="73"/>
      <c r="F8304" s="74" t="s">
        <v>3</v>
      </c>
      <c r="G8304" s="153">
        <f>(0.14*3.14+0.1)*0.05*1.28</f>
        <v>3.4534400000000007E-2</v>
      </c>
      <c r="H8304" s="164"/>
      <c r="K8304" s="438"/>
    </row>
    <row r="8305" spans="1:11" ht="17.25" x14ac:dyDescent="0.25">
      <c r="A8305" s="163"/>
      <c r="B8305" s="106"/>
      <c r="C8305" s="186"/>
      <c r="D8305" s="73" t="s">
        <v>168</v>
      </c>
      <c r="E8305" s="73"/>
      <c r="F8305" s="74" t="s">
        <v>596</v>
      </c>
      <c r="G8305" s="153">
        <f>G8304*1.1</f>
        <v>3.7987840000000009E-2</v>
      </c>
      <c r="H8305" s="164"/>
      <c r="K8305" s="438"/>
    </row>
    <row r="8306" spans="1:11" x14ac:dyDescent="0.25">
      <c r="A8306" s="163"/>
      <c r="B8306" s="106"/>
      <c r="C8306" s="186"/>
      <c r="D8306" s="100" t="s">
        <v>72</v>
      </c>
      <c r="E8306" s="73"/>
      <c r="F8306" s="74" t="s">
        <v>3</v>
      </c>
      <c r="G8306" s="153">
        <f>0.15*3.14*1.25*2*0.15*2*1.303</f>
        <v>0.46028474999999996</v>
      </c>
      <c r="H8306" s="164"/>
      <c r="K8306" s="438"/>
    </row>
    <row r="8307" spans="1:11" x14ac:dyDescent="0.25">
      <c r="A8307" s="163"/>
      <c r="B8307" s="106"/>
      <c r="C8307" s="186"/>
      <c r="D8307" s="100" t="s">
        <v>11</v>
      </c>
      <c r="E8307" s="73"/>
      <c r="F8307" s="74" t="s">
        <v>3</v>
      </c>
      <c r="G8307" s="153">
        <f>0.3*G8306+0.002</f>
        <v>0.14008542499999999</v>
      </c>
      <c r="H8307" s="164"/>
      <c r="K8307" s="438"/>
    </row>
    <row r="8308" spans="1:11" x14ac:dyDescent="0.25">
      <c r="A8308" s="163"/>
      <c r="B8308" s="106"/>
      <c r="C8308" s="186"/>
      <c r="D8308" s="100" t="s">
        <v>114</v>
      </c>
      <c r="E8308" s="73"/>
      <c r="F8308" s="74" t="s">
        <v>3</v>
      </c>
      <c r="G8308" s="153">
        <f>G8306/2</f>
        <v>0.23014237499999998</v>
      </c>
      <c r="H8308" s="164"/>
      <c r="K8308" s="438"/>
    </row>
    <row r="8309" spans="1:11" x14ac:dyDescent="0.25">
      <c r="A8309" s="163"/>
      <c r="B8309" s="106"/>
      <c r="C8309" s="186"/>
      <c r="D8309" s="100" t="s">
        <v>163</v>
      </c>
      <c r="E8309" s="73"/>
      <c r="F8309" s="74" t="s">
        <v>3</v>
      </c>
      <c r="G8309" s="153">
        <f>G8306/2</f>
        <v>0.23014237499999998</v>
      </c>
      <c r="H8309" s="164"/>
      <c r="K8309" s="438"/>
    </row>
    <row r="8310" spans="1:11" x14ac:dyDescent="0.25">
      <c r="A8310" s="163"/>
      <c r="B8310" s="106"/>
      <c r="C8310" s="186"/>
      <c r="D8310" s="100" t="s">
        <v>164</v>
      </c>
      <c r="E8310" s="73"/>
      <c r="F8310" s="74" t="s">
        <v>3</v>
      </c>
      <c r="G8310" s="153">
        <f>0.3*(G8309+G8308)+0.002</f>
        <v>0.14008542499999999</v>
      </c>
      <c r="H8310" s="164"/>
      <c r="K8310" s="438"/>
    </row>
    <row r="8311" spans="1:11" x14ac:dyDescent="0.25">
      <c r="A8311" s="163"/>
      <c r="B8311" s="106"/>
      <c r="C8311" s="186"/>
      <c r="D8311" s="100" t="s">
        <v>420</v>
      </c>
      <c r="E8311" s="73"/>
      <c r="F8311" s="74" t="s">
        <v>3</v>
      </c>
      <c r="G8311" s="153">
        <f>0.14*3.14*0.03*0.15*2*1.5</f>
        <v>5.9345999999999999E-3</v>
      </c>
      <c r="H8311" s="164"/>
      <c r="K8311" s="438"/>
    </row>
    <row r="8312" spans="1:11" x14ac:dyDescent="0.25">
      <c r="A8312" s="163"/>
      <c r="B8312" s="106"/>
      <c r="C8312" s="186"/>
      <c r="D8312" s="100" t="s">
        <v>12</v>
      </c>
      <c r="E8312" s="73"/>
      <c r="F8312" s="74" t="s">
        <v>3</v>
      </c>
      <c r="G8312" s="153">
        <f>0.3*G8311</f>
        <v>1.7803799999999998E-3</v>
      </c>
      <c r="H8312" s="164"/>
      <c r="K8312" s="437"/>
    </row>
    <row r="8313" spans="1:11" x14ac:dyDescent="0.25">
      <c r="A8313" s="163"/>
      <c r="B8313" s="106"/>
      <c r="C8313" s="186"/>
      <c r="D8313" s="75"/>
      <c r="E8313" s="75" t="s">
        <v>3885</v>
      </c>
      <c r="F8313" s="74"/>
      <c r="G8313" s="153"/>
      <c r="H8313" s="164"/>
      <c r="K8313" s="437"/>
    </row>
    <row r="8314" spans="1:11" x14ac:dyDescent="0.25">
      <c r="A8314" s="163"/>
      <c r="B8314" s="106"/>
      <c r="C8314" s="186"/>
      <c r="D8314" s="75"/>
      <c r="E8314" s="73" t="s">
        <v>3222</v>
      </c>
      <c r="F8314" s="74" t="s">
        <v>3</v>
      </c>
      <c r="G8314" s="153">
        <f>0.095*0.05*3*2.7*1.18</f>
        <v>4.540050000000001E-2</v>
      </c>
      <c r="H8314" s="164"/>
      <c r="K8314" s="437"/>
    </row>
    <row r="8315" spans="1:11" x14ac:dyDescent="0.25">
      <c r="A8315" s="163"/>
      <c r="B8315" s="106"/>
      <c r="C8315" s="186"/>
      <c r="D8315" s="75"/>
      <c r="E8315" s="75" t="s">
        <v>3886</v>
      </c>
      <c r="F8315" s="74"/>
      <c r="G8315" s="153"/>
      <c r="H8315" s="164"/>
      <c r="K8315" s="438"/>
    </row>
    <row r="8316" spans="1:11" x14ac:dyDescent="0.25">
      <c r="A8316" s="163"/>
      <c r="B8316" s="106"/>
      <c r="C8316" s="186"/>
      <c r="D8316" s="75"/>
      <c r="E8316" s="77" t="s">
        <v>3609</v>
      </c>
      <c r="F8316" s="74" t="s">
        <v>3</v>
      </c>
      <c r="G8316" s="153">
        <f>0.14*3.14*1.22*2*2.7*1.1395</f>
        <v>3.3000886295999998</v>
      </c>
      <c r="H8316" s="164"/>
      <c r="K8316" s="438"/>
    </row>
    <row r="8317" spans="1:11" x14ac:dyDescent="0.25">
      <c r="A8317" s="163"/>
      <c r="B8317" s="106"/>
      <c r="C8317" s="186"/>
      <c r="D8317" s="75"/>
      <c r="E8317" s="73" t="s">
        <v>3223</v>
      </c>
      <c r="F8317" s="74" t="s">
        <v>3</v>
      </c>
      <c r="G8317" s="153">
        <f>1.25*0.05*1.275</f>
        <v>7.9687499999999994E-2</v>
      </c>
      <c r="H8317" s="164"/>
      <c r="K8317" s="438"/>
    </row>
    <row r="8318" spans="1:11" ht="17.25" x14ac:dyDescent="0.25">
      <c r="A8318" s="163"/>
      <c r="B8318" s="106"/>
      <c r="C8318" s="186"/>
      <c r="D8318" s="75"/>
      <c r="E8318" s="73" t="s">
        <v>168</v>
      </c>
      <c r="F8318" s="74" t="s">
        <v>596</v>
      </c>
      <c r="G8318" s="153">
        <f>G8317*1.1</f>
        <v>8.7656250000000005E-2</v>
      </c>
      <c r="H8318" s="164"/>
      <c r="K8318" s="438"/>
    </row>
    <row r="8319" spans="1:11" x14ac:dyDescent="0.25">
      <c r="A8319" s="163"/>
      <c r="B8319" s="106"/>
      <c r="C8319" s="186"/>
      <c r="D8319" s="75"/>
      <c r="E8319" s="73"/>
      <c r="F8319" s="74"/>
      <c r="G8319" s="153"/>
      <c r="H8319" s="164"/>
      <c r="K8319" s="438"/>
    </row>
    <row r="8320" spans="1:11" x14ac:dyDescent="0.25">
      <c r="A8320" s="163"/>
      <c r="B8320" s="106"/>
      <c r="C8320" s="186"/>
      <c r="D8320" s="75" t="s">
        <v>3887</v>
      </c>
      <c r="E8320" s="73"/>
      <c r="F8320" s="74"/>
      <c r="G8320" s="153"/>
      <c r="H8320" s="164"/>
      <c r="K8320" s="438"/>
    </row>
    <row r="8321" spans="1:11" x14ac:dyDescent="0.25">
      <c r="A8321" s="163"/>
      <c r="B8321" s="106"/>
      <c r="C8321" s="186"/>
      <c r="D8321" s="73" t="s">
        <v>3223</v>
      </c>
      <c r="E8321" s="73"/>
      <c r="F8321" s="74" t="s">
        <v>3</v>
      </c>
      <c r="G8321" s="153">
        <f>(0.14*3.14+0.1)*0.05*1.28</f>
        <v>3.4534400000000007E-2</v>
      </c>
      <c r="H8321" s="164"/>
      <c r="K8321" s="438"/>
    </row>
    <row r="8322" spans="1:11" ht="17.25" x14ac:dyDescent="0.25">
      <c r="A8322" s="163"/>
      <c r="B8322" s="106"/>
      <c r="C8322" s="186"/>
      <c r="D8322" s="73" t="s">
        <v>168</v>
      </c>
      <c r="E8322" s="73"/>
      <c r="F8322" s="74" t="s">
        <v>596</v>
      </c>
      <c r="G8322" s="153">
        <f>G8321*1.1</f>
        <v>3.7987840000000009E-2</v>
      </c>
      <c r="H8322" s="164"/>
      <c r="K8322" s="438"/>
    </row>
    <row r="8323" spans="1:11" x14ac:dyDescent="0.25">
      <c r="A8323" s="163"/>
      <c r="B8323" s="106"/>
      <c r="C8323" s="186"/>
      <c r="D8323" s="100" t="s">
        <v>72</v>
      </c>
      <c r="E8323" s="73"/>
      <c r="F8323" s="74" t="s">
        <v>3</v>
      </c>
      <c r="G8323" s="153">
        <f>0.15*3.14*1.2*2*0.15*2*1.37</f>
        <v>0.46459439999999991</v>
      </c>
      <c r="H8323" s="164"/>
      <c r="K8323" s="438"/>
    </row>
    <row r="8324" spans="1:11" x14ac:dyDescent="0.25">
      <c r="A8324" s="163"/>
      <c r="B8324" s="106"/>
      <c r="C8324" s="186"/>
      <c r="D8324" s="100" t="s">
        <v>11</v>
      </c>
      <c r="E8324" s="73"/>
      <c r="F8324" s="74" t="s">
        <v>3</v>
      </c>
      <c r="G8324" s="153">
        <f>0.3*G8323+0.001</f>
        <v>0.14037831999999997</v>
      </c>
      <c r="H8324" s="164"/>
      <c r="K8324" s="438"/>
    </row>
    <row r="8325" spans="1:11" x14ac:dyDescent="0.25">
      <c r="A8325" s="163"/>
      <c r="B8325" s="106"/>
      <c r="C8325" s="186"/>
      <c r="D8325" s="100" t="s">
        <v>114</v>
      </c>
      <c r="E8325" s="73"/>
      <c r="F8325" s="74" t="s">
        <v>3</v>
      </c>
      <c r="G8325" s="153">
        <f>G8323/2-0.002</f>
        <v>0.23029719999999995</v>
      </c>
      <c r="H8325" s="164"/>
      <c r="K8325" s="438"/>
    </row>
    <row r="8326" spans="1:11" x14ac:dyDescent="0.25">
      <c r="A8326" s="163"/>
      <c r="B8326" s="106"/>
      <c r="C8326" s="186"/>
      <c r="D8326" s="100" t="s">
        <v>163</v>
      </c>
      <c r="E8326" s="73"/>
      <c r="F8326" s="74" t="s">
        <v>3</v>
      </c>
      <c r="G8326" s="153">
        <f>G8323/2-0.002</f>
        <v>0.23029719999999995</v>
      </c>
      <c r="H8326" s="164"/>
      <c r="K8326" s="438"/>
    </row>
    <row r="8327" spans="1:11" x14ac:dyDescent="0.25">
      <c r="A8327" s="163"/>
      <c r="B8327" s="106"/>
      <c r="C8327" s="186"/>
      <c r="D8327" s="100" t="s">
        <v>164</v>
      </c>
      <c r="E8327" s="73"/>
      <c r="F8327" s="74" t="s">
        <v>3</v>
      </c>
      <c r="G8327" s="153">
        <f>0.3*(G8326+G8325)+0.002</f>
        <v>0.14017831999999997</v>
      </c>
      <c r="H8327" s="164"/>
      <c r="K8327" s="438"/>
    </row>
    <row r="8328" spans="1:11" x14ac:dyDescent="0.25">
      <c r="A8328" s="163"/>
      <c r="B8328" s="106"/>
      <c r="C8328" s="186"/>
      <c r="D8328" s="100" t="s">
        <v>420</v>
      </c>
      <c r="E8328" s="73"/>
      <c r="F8328" s="74" t="s">
        <v>3</v>
      </c>
      <c r="G8328" s="153">
        <f>0.14*3.14*0.03*0.15*2*1.5</f>
        <v>5.9345999999999999E-3</v>
      </c>
      <c r="H8328" s="164"/>
      <c r="K8328" s="438"/>
    </row>
    <row r="8329" spans="1:11" x14ac:dyDescent="0.25">
      <c r="A8329" s="163"/>
      <c r="B8329" s="106"/>
      <c r="C8329" s="186"/>
      <c r="D8329" s="100" t="s">
        <v>12</v>
      </c>
      <c r="E8329" s="73"/>
      <c r="F8329" s="74" t="s">
        <v>3</v>
      </c>
      <c r="G8329" s="153">
        <f>0.3*G8328</f>
        <v>1.7803799999999998E-3</v>
      </c>
      <c r="H8329" s="164"/>
      <c r="K8329" s="438"/>
    </row>
    <row r="8330" spans="1:11" x14ac:dyDescent="0.25">
      <c r="A8330" s="163"/>
      <c r="B8330" s="106"/>
      <c r="C8330" s="186"/>
      <c r="D8330" s="186" t="s">
        <v>3877</v>
      </c>
      <c r="E8330" s="73"/>
      <c r="F8330" s="74" t="s">
        <v>3</v>
      </c>
      <c r="G8330" s="153">
        <v>5.0000000000000001E-3</v>
      </c>
      <c r="H8330" s="164"/>
      <c r="K8330" s="438"/>
    </row>
    <row r="8331" spans="1:11" x14ac:dyDescent="0.25">
      <c r="A8331" s="163"/>
      <c r="B8331" s="106"/>
      <c r="C8331" s="186"/>
      <c r="D8331" s="75"/>
      <c r="E8331" s="75" t="s">
        <v>3888</v>
      </c>
      <c r="F8331" s="74"/>
      <c r="G8331" s="153"/>
      <c r="H8331" s="164"/>
      <c r="K8331" s="438"/>
    </row>
    <row r="8332" spans="1:11" x14ac:dyDescent="0.25">
      <c r="A8332" s="163"/>
      <c r="B8332" s="106"/>
      <c r="C8332" s="186"/>
      <c r="D8332" s="75"/>
      <c r="E8332" s="73" t="s">
        <v>3889</v>
      </c>
      <c r="F8332" s="74" t="s">
        <v>3</v>
      </c>
      <c r="G8332" s="153">
        <f>0.15*3.14*1.19*2.5*2.7*1.15-0.001</f>
        <v>4.349803624999999</v>
      </c>
      <c r="H8332" s="164"/>
      <c r="K8332" s="438"/>
    </row>
    <row r="8333" spans="1:11" x14ac:dyDescent="0.25">
      <c r="A8333" s="163"/>
      <c r="B8333" s="106"/>
      <c r="C8333" s="186"/>
      <c r="D8333" s="75" t="s">
        <v>3890</v>
      </c>
      <c r="E8333" s="73"/>
      <c r="F8333" s="74"/>
      <c r="G8333" s="153"/>
      <c r="H8333" s="164"/>
      <c r="K8333" s="438"/>
    </row>
    <row r="8334" spans="1:11" x14ac:dyDescent="0.25">
      <c r="A8334" s="163"/>
      <c r="B8334" s="106"/>
      <c r="C8334" s="186"/>
      <c r="D8334" s="100" t="s">
        <v>3222</v>
      </c>
      <c r="E8334" s="73"/>
      <c r="F8334" s="74" t="s">
        <v>3</v>
      </c>
      <c r="G8334" s="153">
        <f>0.2*0.2*3*2.7*1.142</f>
        <v>0.37000800000000006</v>
      </c>
      <c r="H8334" s="164"/>
      <c r="K8334" s="438"/>
    </row>
    <row r="8335" spans="1:11" x14ac:dyDescent="0.25">
      <c r="A8335" s="163"/>
      <c r="B8335" s="106"/>
      <c r="C8335" s="186"/>
      <c r="D8335" s="100" t="s">
        <v>72</v>
      </c>
      <c r="E8335" s="73"/>
      <c r="F8335" s="74" t="s">
        <v>3</v>
      </c>
      <c r="G8335" s="153">
        <f>0.2*0.2*2*0.15*2*1.3-0.001</f>
        <v>3.0200000000000005E-2</v>
      </c>
      <c r="H8335" s="164"/>
      <c r="K8335" s="438"/>
    </row>
    <row r="8336" spans="1:11" x14ac:dyDescent="0.25">
      <c r="A8336" s="163"/>
      <c r="B8336" s="106"/>
      <c r="C8336" s="186"/>
      <c r="D8336" s="100" t="s">
        <v>11</v>
      </c>
      <c r="E8336" s="73"/>
      <c r="F8336" s="74" t="s">
        <v>3</v>
      </c>
      <c r="G8336" s="153">
        <f>0.3*G8335</f>
        <v>9.0600000000000003E-3</v>
      </c>
      <c r="H8336" s="164"/>
      <c r="K8336" s="438"/>
    </row>
    <row r="8337" spans="1:11" x14ac:dyDescent="0.25">
      <c r="A8337" s="163"/>
      <c r="B8337" s="106"/>
      <c r="C8337" s="186"/>
      <c r="D8337" s="100" t="s">
        <v>114</v>
      </c>
      <c r="E8337" s="73"/>
      <c r="F8337" s="74" t="s">
        <v>3</v>
      </c>
      <c r="G8337" s="153">
        <f>G8335/2</f>
        <v>1.5100000000000002E-2</v>
      </c>
      <c r="H8337" s="164"/>
      <c r="K8337" s="438"/>
    </row>
    <row r="8338" spans="1:11" x14ac:dyDescent="0.25">
      <c r="A8338" s="163"/>
      <c r="B8338" s="106"/>
      <c r="C8338" s="186"/>
      <c r="D8338" s="100" t="s">
        <v>163</v>
      </c>
      <c r="E8338" s="73"/>
      <c r="F8338" s="74" t="s">
        <v>3</v>
      </c>
      <c r="G8338" s="153">
        <f>G8335/2</f>
        <v>1.5100000000000002E-2</v>
      </c>
      <c r="H8338" s="164"/>
      <c r="K8338" s="438"/>
    </row>
    <row r="8339" spans="1:11" x14ac:dyDescent="0.25">
      <c r="A8339" s="163"/>
      <c r="B8339" s="106"/>
      <c r="C8339" s="186"/>
      <c r="D8339" s="100" t="s">
        <v>164</v>
      </c>
      <c r="E8339" s="73"/>
      <c r="F8339" s="74" t="s">
        <v>3</v>
      </c>
      <c r="G8339" s="153">
        <f>0.3*(G8338+G8337)</f>
        <v>9.0600000000000003E-3</v>
      </c>
      <c r="H8339" s="391">
        <f>G8335+G8323+G8306+G8299+G8289+G8275</f>
        <v>1.6001078419999999</v>
      </c>
      <c r="K8339" s="438"/>
    </row>
    <row r="8340" spans="1:11" x14ac:dyDescent="0.25">
      <c r="A8340" s="163"/>
      <c r="B8340" s="106"/>
      <c r="C8340" s="186"/>
      <c r="D8340" s="75"/>
      <c r="E8340" s="73"/>
      <c r="F8340" s="74"/>
      <c r="G8340" s="153"/>
      <c r="H8340" s="164"/>
      <c r="K8340" s="437"/>
    </row>
    <row r="8341" spans="1:11" x14ac:dyDescent="0.25">
      <c r="A8341" s="163"/>
      <c r="B8341" s="106"/>
      <c r="C8341" s="78" t="s">
        <v>3868</v>
      </c>
      <c r="D8341" s="75"/>
      <c r="E8341" s="73"/>
      <c r="F8341" s="74"/>
      <c r="G8341" s="153"/>
      <c r="H8341" s="164"/>
      <c r="K8341" s="434"/>
    </row>
    <row r="8342" spans="1:11" x14ac:dyDescent="0.25">
      <c r="A8342" s="163"/>
      <c r="B8342" s="106"/>
      <c r="C8342" s="100" t="s">
        <v>140</v>
      </c>
      <c r="D8342" s="75"/>
      <c r="E8342" s="73"/>
      <c r="F8342" s="74" t="s">
        <v>3</v>
      </c>
      <c r="G8342" s="153">
        <f>0.008*3.14*2*0.08*1.2</f>
        <v>4.8230399999999998E-3</v>
      </c>
      <c r="H8342" s="164"/>
      <c r="K8342" s="434"/>
    </row>
    <row r="8343" spans="1:11" ht="17.25" x14ac:dyDescent="0.25">
      <c r="A8343" s="163"/>
      <c r="B8343" s="106"/>
      <c r="C8343" s="100" t="s">
        <v>23</v>
      </c>
      <c r="D8343" s="75"/>
      <c r="E8343" s="73"/>
      <c r="F8343" s="74" t="s">
        <v>596</v>
      </c>
      <c r="G8343" s="153">
        <f>G8342*2</f>
        <v>9.6460799999999996E-3</v>
      </c>
      <c r="H8343" s="164"/>
      <c r="K8343" s="434"/>
    </row>
    <row r="8344" spans="1:11" x14ac:dyDescent="0.25">
      <c r="A8344" s="163"/>
      <c r="B8344" s="106"/>
      <c r="C8344" s="100" t="s">
        <v>142</v>
      </c>
      <c r="D8344" s="75"/>
      <c r="E8344" s="73"/>
      <c r="F8344" s="74" t="s">
        <v>3</v>
      </c>
      <c r="G8344" s="153">
        <f>G8342/4</f>
        <v>1.2057599999999999E-3</v>
      </c>
      <c r="H8344" s="164"/>
      <c r="K8344" s="434"/>
    </row>
    <row r="8345" spans="1:11" x14ac:dyDescent="0.25">
      <c r="A8345" s="163"/>
      <c r="B8345" s="106"/>
      <c r="C8345" s="100" t="s">
        <v>148</v>
      </c>
      <c r="D8345" s="75"/>
      <c r="E8345" s="73"/>
      <c r="F8345" s="74" t="s">
        <v>3</v>
      </c>
      <c r="G8345" s="153">
        <f>0.53*0.011*2*1.2</f>
        <v>1.3991999999999999E-2</v>
      </c>
      <c r="H8345" s="164"/>
      <c r="K8345" s="434"/>
    </row>
    <row r="8346" spans="1:11" x14ac:dyDescent="0.25">
      <c r="A8346" s="163"/>
      <c r="B8346" s="106"/>
      <c r="C8346" s="100" t="s">
        <v>8</v>
      </c>
      <c r="D8346" s="75"/>
      <c r="E8346" s="73"/>
      <c r="F8346" s="74" t="s">
        <v>3</v>
      </c>
      <c r="G8346" s="153">
        <f>G8345*0.6</f>
        <v>8.3951999999999985E-3</v>
      </c>
      <c r="H8346" s="164"/>
      <c r="K8346" s="434"/>
    </row>
    <row r="8347" spans="1:11" x14ac:dyDescent="0.25">
      <c r="A8347" s="163"/>
      <c r="B8347" s="106"/>
      <c r="C8347" s="100" t="s">
        <v>143</v>
      </c>
      <c r="D8347" s="75"/>
      <c r="E8347" s="73"/>
      <c r="F8347" s="74" t="s">
        <v>3</v>
      </c>
      <c r="G8347" s="153">
        <f>G8346</f>
        <v>8.3951999999999985E-3</v>
      </c>
      <c r="H8347" s="164"/>
      <c r="K8347" s="434"/>
    </row>
    <row r="8348" spans="1:11" x14ac:dyDescent="0.25">
      <c r="A8348" s="163"/>
      <c r="B8348" s="106"/>
      <c r="C8348" s="186" t="s">
        <v>12</v>
      </c>
      <c r="D8348" s="75"/>
      <c r="E8348" s="73"/>
      <c r="F8348" s="74" t="s">
        <v>3</v>
      </c>
      <c r="G8348" s="153">
        <f>0.3*(G8347+G8346+G8345)</f>
        <v>9.2347199999999983E-3</v>
      </c>
      <c r="H8348" s="164"/>
      <c r="K8348" s="434"/>
    </row>
    <row r="8349" spans="1:11" x14ac:dyDescent="0.25">
      <c r="A8349" s="163"/>
      <c r="B8349" s="106"/>
      <c r="C8349" s="73"/>
      <c r="D8349" s="75" t="s">
        <v>3869</v>
      </c>
      <c r="E8349" s="73"/>
      <c r="F8349" s="74"/>
      <c r="G8349" s="153"/>
      <c r="H8349" s="164"/>
      <c r="K8349" s="433"/>
    </row>
    <row r="8350" spans="1:11" x14ac:dyDescent="0.25">
      <c r="A8350" s="163"/>
      <c r="B8350" s="106"/>
      <c r="C8350" s="73"/>
      <c r="D8350" s="100" t="s">
        <v>3675</v>
      </c>
      <c r="E8350" s="73"/>
      <c r="F8350" s="74" t="s">
        <v>3</v>
      </c>
      <c r="G8350" s="153">
        <f>0.173*0.58</f>
        <v>0.10033999999999998</v>
      </c>
      <c r="H8350" s="164"/>
      <c r="I8350" t="s">
        <v>3870</v>
      </c>
      <c r="K8350" s="433"/>
    </row>
    <row r="8351" spans="1:11" x14ac:dyDescent="0.25">
      <c r="A8351" s="163"/>
      <c r="B8351" s="106"/>
      <c r="C8351" s="73"/>
      <c r="D8351" s="75"/>
      <c r="E8351" s="73"/>
      <c r="F8351" s="74"/>
      <c r="G8351" s="153"/>
      <c r="H8351" s="164"/>
      <c r="K8351" s="433"/>
    </row>
    <row r="8352" spans="1:11" x14ac:dyDescent="0.25">
      <c r="A8352" s="163"/>
      <c r="B8352" s="106"/>
      <c r="C8352" s="75" t="s">
        <v>3871</v>
      </c>
      <c r="D8352" s="75"/>
      <c r="E8352" s="73"/>
      <c r="F8352" s="74"/>
      <c r="G8352" s="153"/>
      <c r="H8352" s="164"/>
      <c r="K8352" s="434"/>
    </row>
    <row r="8353" spans="1:11" x14ac:dyDescent="0.25">
      <c r="A8353" s="163"/>
      <c r="B8353" s="106"/>
      <c r="C8353" s="73" t="s">
        <v>54</v>
      </c>
      <c r="D8353" s="75"/>
      <c r="E8353" s="73"/>
      <c r="F8353" s="74" t="s">
        <v>3</v>
      </c>
      <c r="G8353" s="153">
        <f>0.045*0.045*4*8*1.11</f>
        <v>7.1928000000000006E-2</v>
      </c>
      <c r="H8353" s="164"/>
      <c r="K8353" s="434"/>
    </row>
    <row r="8354" spans="1:11" x14ac:dyDescent="0.25">
      <c r="A8354" s="163"/>
      <c r="B8354" s="106"/>
      <c r="C8354" s="73"/>
      <c r="D8354" s="75"/>
      <c r="E8354" s="73"/>
      <c r="F8354" s="74"/>
      <c r="G8354" s="153"/>
      <c r="H8354" s="164"/>
      <c r="K8354" s="434"/>
    </row>
    <row r="8355" spans="1:11" x14ac:dyDescent="0.25">
      <c r="A8355" s="163"/>
      <c r="B8355" s="106"/>
      <c r="C8355" s="75" t="s">
        <v>3872</v>
      </c>
      <c r="D8355" s="75"/>
      <c r="E8355" s="73"/>
      <c r="F8355" s="74"/>
      <c r="G8355" s="153"/>
      <c r="H8355" s="164"/>
      <c r="K8355" s="434"/>
    </row>
    <row r="8356" spans="1:11" x14ac:dyDescent="0.25">
      <c r="A8356" s="163"/>
      <c r="B8356" s="106"/>
      <c r="C8356" s="73" t="s">
        <v>3873</v>
      </c>
      <c r="D8356" s="75"/>
      <c r="E8356" s="73"/>
      <c r="F8356" s="74" t="s">
        <v>3</v>
      </c>
      <c r="G8356" s="153">
        <f>0.125*0.016*0.8*8*1.15</f>
        <v>1.4719999999999999E-2</v>
      </c>
      <c r="H8356" s="164"/>
      <c r="K8356" s="434"/>
    </row>
    <row r="8357" spans="1:11" ht="15.75" thickBot="1" x14ac:dyDescent="0.3">
      <c r="A8357" s="67"/>
      <c r="B8357" s="86"/>
      <c r="C8357" s="68"/>
      <c r="D8357" s="235"/>
      <c r="E8357" s="68"/>
      <c r="F8357" s="82"/>
      <c r="G8357" s="89"/>
      <c r="H8357" s="165"/>
      <c r="K8357" s="434"/>
    </row>
    <row r="8358" spans="1:11" x14ac:dyDescent="0.25">
      <c r="A8358" s="159"/>
      <c r="B8358" s="181"/>
      <c r="C8358" s="93"/>
      <c r="D8358" s="184"/>
      <c r="E8358" s="93"/>
      <c r="F8358" s="160"/>
      <c r="G8358" s="161"/>
      <c r="H8358" s="522" t="s">
        <v>3919</v>
      </c>
      <c r="K8358" s="434"/>
    </row>
    <row r="8359" spans="1:11" x14ac:dyDescent="0.25">
      <c r="A8359" s="163"/>
      <c r="B8359" s="106"/>
      <c r="C8359" s="73"/>
      <c r="D8359" s="75"/>
      <c r="E8359" s="73"/>
      <c r="F8359" s="74"/>
      <c r="G8359" s="153"/>
      <c r="H8359" s="164"/>
      <c r="K8359" s="434"/>
    </row>
    <row r="8360" spans="1:11" x14ac:dyDescent="0.25">
      <c r="A8360" s="163"/>
      <c r="B8360" s="106"/>
      <c r="C8360" s="75" t="s">
        <v>3892</v>
      </c>
      <c r="D8360" s="75"/>
      <c r="E8360" s="73"/>
      <c r="F8360" s="74" t="s">
        <v>2180</v>
      </c>
      <c r="G8360" s="153"/>
      <c r="H8360" s="164"/>
      <c r="K8360" s="434"/>
    </row>
    <row r="8361" spans="1:11" x14ac:dyDescent="0.25">
      <c r="A8361" s="163"/>
      <c r="B8361" s="106"/>
      <c r="C8361" s="73"/>
      <c r="D8361" s="75" t="s">
        <v>3893</v>
      </c>
      <c r="E8361" s="73"/>
      <c r="F8361" s="74"/>
      <c r="G8361" s="153"/>
      <c r="H8361" s="164"/>
      <c r="K8361" s="434"/>
    </row>
    <row r="8362" spans="1:11" x14ac:dyDescent="0.25">
      <c r="A8362" s="163"/>
      <c r="B8362" s="106"/>
      <c r="C8362" s="73"/>
      <c r="D8362" s="73" t="s">
        <v>2755</v>
      </c>
      <c r="E8362" s="75"/>
      <c r="F8362" s="74" t="s">
        <v>3</v>
      </c>
      <c r="G8362" s="153">
        <f>0.01*3.14*0.08*1.2</f>
        <v>3.0144000000000004E-3</v>
      </c>
      <c r="H8362" s="164"/>
      <c r="K8362" s="434"/>
    </row>
    <row r="8363" spans="1:11" ht="17.25" x14ac:dyDescent="0.25">
      <c r="A8363" s="163"/>
      <c r="B8363" s="106"/>
      <c r="C8363" s="73"/>
      <c r="D8363" s="73" t="s">
        <v>1055</v>
      </c>
      <c r="E8363" s="75"/>
      <c r="F8363" s="74" t="s">
        <v>596</v>
      </c>
      <c r="G8363" s="153">
        <f>G8362*1.1</f>
        <v>3.3158400000000009E-3</v>
      </c>
      <c r="H8363" s="164"/>
      <c r="K8363" s="434"/>
    </row>
    <row r="8364" spans="1:11" x14ac:dyDescent="0.25">
      <c r="A8364" s="163"/>
      <c r="B8364" s="106"/>
      <c r="C8364" s="73"/>
      <c r="D8364" s="75"/>
      <c r="E8364" s="75" t="s">
        <v>3894</v>
      </c>
      <c r="F8364" s="74"/>
      <c r="G8364" s="153"/>
      <c r="H8364" s="164"/>
      <c r="K8364" s="434"/>
    </row>
    <row r="8365" spans="1:11" x14ac:dyDescent="0.25">
      <c r="A8365" s="163"/>
      <c r="B8365" s="106"/>
      <c r="C8365" s="73"/>
      <c r="D8365" s="75"/>
      <c r="E8365" s="73" t="s">
        <v>3683</v>
      </c>
      <c r="F8365" s="74" t="s">
        <v>3</v>
      </c>
      <c r="G8365" s="153">
        <f>(0.022*3.14*0.75+0.032+0.022+0.028)*0.055*2*8*1.1</f>
        <v>0.12952807999999999</v>
      </c>
      <c r="H8365" s="164"/>
      <c r="K8365" s="434"/>
    </row>
    <row r="8366" spans="1:11" x14ac:dyDescent="0.25">
      <c r="A8366" s="163"/>
      <c r="B8366" s="106"/>
      <c r="C8366" s="73"/>
      <c r="D8366" s="75"/>
      <c r="E8366" s="73"/>
      <c r="F8366" s="74"/>
      <c r="G8366" s="153"/>
      <c r="H8366" s="164"/>
      <c r="K8366" s="434"/>
    </row>
    <row r="8367" spans="1:11" x14ac:dyDescent="0.25">
      <c r="A8367" s="163"/>
      <c r="B8367" s="106"/>
      <c r="C8367" s="75" t="s">
        <v>3895</v>
      </c>
      <c r="D8367" s="75"/>
      <c r="E8367" s="73"/>
      <c r="F8367" s="74"/>
      <c r="G8367" s="153"/>
      <c r="H8367" s="164"/>
      <c r="K8367" s="434"/>
    </row>
    <row r="8368" spans="1:11" x14ac:dyDescent="0.25">
      <c r="A8368" s="163"/>
      <c r="B8368" s="106"/>
      <c r="C8368" s="73" t="s">
        <v>3896</v>
      </c>
      <c r="D8368" s="75"/>
      <c r="E8368" s="73"/>
      <c r="F8368" s="74" t="s">
        <v>3</v>
      </c>
      <c r="G8368" s="153">
        <f>0.035/5*2</f>
        <v>1.4000000000000002E-2</v>
      </c>
      <c r="H8368" s="164"/>
      <c r="K8368" s="434"/>
    </row>
    <row r="8369" spans="1:11" x14ac:dyDescent="0.25">
      <c r="A8369" s="163"/>
      <c r="B8369" s="106"/>
      <c r="C8369" s="73"/>
      <c r="D8369" s="75"/>
      <c r="E8369" s="73"/>
      <c r="F8369" s="74"/>
      <c r="G8369" s="153"/>
      <c r="H8369" s="164"/>
      <c r="K8369" s="434"/>
    </row>
    <row r="8370" spans="1:11" x14ac:dyDescent="0.25">
      <c r="A8370" s="163"/>
      <c r="B8370" s="106"/>
      <c r="C8370" s="75" t="s">
        <v>3897</v>
      </c>
      <c r="D8370" s="75"/>
      <c r="E8370" s="73"/>
      <c r="F8370" s="74"/>
      <c r="G8370" s="153"/>
      <c r="H8370" s="164"/>
      <c r="K8370" s="434"/>
    </row>
    <row r="8371" spans="1:11" x14ac:dyDescent="0.25">
      <c r="A8371" s="163"/>
      <c r="B8371" s="106"/>
      <c r="C8371" s="77" t="s">
        <v>3898</v>
      </c>
      <c r="D8371" s="75"/>
      <c r="E8371" s="73"/>
      <c r="F8371" s="74" t="s">
        <v>3</v>
      </c>
      <c r="G8371" s="439">
        <v>4.4999999999999999E-4</v>
      </c>
      <c r="H8371" s="164"/>
      <c r="I8371" t="s">
        <v>3809</v>
      </c>
      <c r="K8371" s="434"/>
    </row>
    <row r="8372" spans="1:11" x14ac:dyDescent="0.25">
      <c r="A8372" s="163"/>
      <c r="B8372" s="106"/>
      <c r="C8372" s="73"/>
      <c r="D8372" s="75"/>
      <c r="E8372" s="73"/>
      <c r="F8372" s="74"/>
      <c r="G8372" s="153"/>
      <c r="H8372" s="164"/>
      <c r="K8372" s="434"/>
    </row>
    <row r="8373" spans="1:11" x14ac:dyDescent="0.25">
      <c r="A8373" s="163"/>
      <c r="B8373" s="106"/>
      <c r="C8373" s="78" t="s">
        <v>3899</v>
      </c>
      <c r="D8373" s="75"/>
      <c r="E8373" s="73"/>
      <c r="F8373" s="74"/>
      <c r="G8373" s="153"/>
      <c r="H8373" s="164"/>
      <c r="K8373" s="434"/>
    </row>
    <row r="8374" spans="1:11" x14ac:dyDescent="0.25">
      <c r="A8374" s="163"/>
      <c r="B8374" s="106"/>
      <c r="C8374" s="77" t="s">
        <v>3675</v>
      </c>
      <c r="D8374" s="75"/>
      <c r="E8374" s="73"/>
      <c r="F8374" s="74" t="s">
        <v>3</v>
      </c>
      <c r="G8374" s="153">
        <f>0.173*0.3</f>
        <v>5.1899999999999995E-2</v>
      </c>
      <c r="H8374" s="164"/>
      <c r="I8374" t="s">
        <v>3900</v>
      </c>
      <c r="K8374" s="434"/>
    </row>
    <row r="8375" spans="1:11" x14ac:dyDescent="0.25">
      <c r="A8375" s="163"/>
      <c r="B8375" s="106"/>
      <c r="C8375" s="73"/>
      <c r="D8375" s="75"/>
      <c r="E8375" s="73"/>
      <c r="F8375" s="74"/>
      <c r="G8375" s="153"/>
      <c r="H8375" s="164"/>
      <c r="K8375" s="434"/>
    </row>
    <row r="8376" spans="1:11" x14ac:dyDescent="0.25">
      <c r="A8376" s="163"/>
      <c r="B8376" s="106"/>
      <c r="C8376" s="75" t="s">
        <v>3901</v>
      </c>
      <c r="D8376" s="75"/>
      <c r="E8376" s="73"/>
      <c r="F8376" s="74"/>
      <c r="G8376" s="153"/>
      <c r="H8376" s="164"/>
      <c r="K8376" s="434"/>
    </row>
    <row r="8377" spans="1:11" x14ac:dyDescent="0.25">
      <c r="A8377" s="163"/>
      <c r="B8377" s="106"/>
      <c r="C8377" s="77" t="s">
        <v>3097</v>
      </c>
      <c r="D8377" s="75"/>
      <c r="E8377" s="73"/>
      <c r="F8377" s="74" t="s">
        <v>3</v>
      </c>
      <c r="G8377" s="153">
        <f>0.03*0.03*3*8*1.14</f>
        <v>2.4624E-2</v>
      </c>
      <c r="H8377" s="164"/>
      <c r="K8377" s="434"/>
    </row>
    <row r="8378" spans="1:11" x14ac:dyDescent="0.25">
      <c r="A8378" s="163"/>
      <c r="B8378" s="106"/>
      <c r="C8378" s="73"/>
      <c r="D8378" s="75"/>
      <c r="E8378" s="73"/>
      <c r="F8378" s="74"/>
      <c r="G8378" s="153"/>
      <c r="H8378" s="164"/>
      <c r="K8378" s="434"/>
    </row>
    <row r="8379" spans="1:11" x14ac:dyDescent="0.25">
      <c r="A8379" s="163"/>
      <c r="B8379" s="106"/>
      <c r="C8379" s="78" t="s">
        <v>3902</v>
      </c>
      <c r="D8379" s="75"/>
      <c r="E8379" s="73"/>
      <c r="F8379" s="74"/>
      <c r="G8379" s="153"/>
      <c r="H8379" s="164"/>
      <c r="K8379" s="434"/>
    </row>
    <row r="8380" spans="1:11" x14ac:dyDescent="0.25">
      <c r="A8380" s="163"/>
      <c r="B8380" s="106"/>
      <c r="C8380" s="100" t="s">
        <v>140</v>
      </c>
      <c r="D8380" s="75"/>
      <c r="E8380" s="73"/>
      <c r="F8380" s="74" t="s">
        <v>3</v>
      </c>
      <c r="G8380" s="153">
        <f>0.012*3.14*2*0.08*1.2</f>
        <v>7.234560000000001E-3</v>
      </c>
      <c r="H8380" s="164"/>
      <c r="K8380" s="434"/>
    </row>
    <row r="8381" spans="1:11" ht="17.25" x14ac:dyDescent="0.25">
      <c r="A8381" s="163"/>
      <c r="B8381" s="106"/>
      <c r="C8381" s="100" t="s">
        <v>23</v>
      </c>
      <c r="D8381" s="75"/>
      <c r="E8381" s="73"/>
      <c r="F8381" s="74" t="s">
        <v>596</v>
      </c>
      <c r="G8381" s="153">
        <f>G8380*2</f>
        <v>1.4469120000000002E-2</v>
      </c>
      <c r="H8381" s="164"/>
      <c r="K8381" s="434"/>
    </row>
    <row r="8382" spans="1:11" x14ac:dyDescent="0.25">
      <c r="A8382" s="163"/>
      <c r="B8382" s="106"/>
      <c r="C8382" s="100" t="s">
        <v>142</v>
      </c>
      <c r="D8382" s="75"/>
      <c r="E8382" s="73"/>
      <c r="F8382" s="74" t="s">
        <v>3</v>
      </c>
      <c r="G8382" s="153">
        <f>G8380/4</f>
        <v>1.8086400000000002E-3</v>
      </c>
      <c r="H8382" s="164"/>
      <c r="K8382" s="434"/>
    </row>
    <row r="8383" spans="1:11" x14ac:dyDescent="0.25">
      <c r="A8383" s="163"/>
      <c r="B8383" s="106"/>
      <c r="C8383" s="100" t="s">
        <v>152</v>
      </c>
      <c r="D8383" s="75"/>
      <c r="E8383" s="73"/>
      <c r="F8383" s="74" t="s">
        <v>3</v>
      </c>
      <c r="G8383" s="153">
        <f>0.915*0.011*2*1.25</f>
        <v>2.5162499999999997E-2</v>
      </c>
      <c r="H8383" s="164"/>
      <c r="K8383" s="434"/>
    </row>
    <row r="8384" spans="1:11" x14ac:dyDescent="0.25">
      <c r="A8384" s="163"/>
      <c r="B8384" s="106"/>
      <c r="C8384" s="100" t="s">
        <v>8</v>
      </c>
      <c r="D8384" s="75"/>
      <c r="E8384" s="73"/>
      <c r="F8384" s="74" t="s">
        <v>3</v>
      </c>
      <c r="G8384" s="153">
        <f>G8383*0.6</f>
        <v>1.5097499999999998E-2</v>
      </c>
      <c r="H8384" s="164"/>
      <c r="K8384" s="434"/>
    </row>
    <row r="8385" spans="1:11" x14ac:dyDescent="0.25">
      <c r="A8385" s="163"/>
      <c r="B8385" s="106"/>
      <c r="C8385" s="100" t="s">
        <v>143</v>
      </c>
      <c r="D8385" s="75"/>
      <c r="E8385" s="73"/>
      <c r="F8385" s="74" t="s">
        <v>3</v>
      </c>
      <c r="G8385" s="153">
        <f>G8384</f>
        <v>1.5097499999999998E-2</v>
      </c>
      <c r="H8385" s="164"/>
      <c r="K8385" s="434"/>
    </row>
    <row r="8386" spans="1:11" x14ac:dyDescent="0.25">
      <c r="A8386" s="163"/>
      <c r="B8386" s="106"/>
      <c r="C8386" s="186" t="s">
        <v>12</v>
      </c>
      <c r="D8386" s="75"/>
      <c r="E8386" s="73"/>
      <c r="F8386" s="74" t="s">
        <v>3</v>
      </c>
      <c r="G8386" s="153">
        <f>0.3*(G8385+G8384+G8383)</f>
        <v>1.6607249999999997E-2</v>
      </c>
      <c r="H8386" s="164"/>
      <c r="K8386" s="434"/>
    </row>
    <row r="8387" spans="1:11" x14ac:dyDescent="0.25">
      <c r="A8387" s="163"/>
      <c r="B8387" s="106"/>
      <c r="C8387" s="73"/>
      <c r="D8387" s="75" t="s">
        <v>3903</v>
      </c>
      <c r="E8387" s="73"/>
      <c r="F8387" s="74"/>
      <c r="G8387" s="153"/>
      <c r="H8387" s="164"/>
      <c r="K8387" s="434"/>
    </row>
    <row r="8388" spans="1:11" x14ac:dyDescent="0.25">
      <c r="A8388" s="163"/>
      <c r="B8388" s="106"/>
      <c r="C8388" s="73"/>
      <c r="D8388" s="100" t="s">
        <v>3695</v>
      </c>
      <c r="E8388" s="73"/>
      <c r="F8388" s="74" t="s">
        <v>3</v>
      </c>
      <c r="G8388" s="153">
        <f>0.271*1-0.001</f>
        <v>0.27</v>
      </c>
      <c r="H8388" s="164"/>
      <c r="I8388" t="s">
        <v>3904</v>
      </c>
      <c r="K8388" s="434"/>
    </row>
    <row r="8389" spans="1:11" x14ac:dyDescent="0.25">
      <c r="A8389" s="163"/>
      <c r="B8389" s="106"/>
      <c r="C8389" s="73"/>
      <c r="D8389" s="75"/>
      <c r="E8389" s="73"/>
      <c r="F8389" s="74"/>
      <c r="G8389" s="153"/>
      <c r="H8389" s="164"/>
      <c r="K8389" s="434"/>
    </row>
    <row r="8390" spans="1:11" x14ac:dyDescent="0.25">
      <c r="A8390" s="163"/>
      <c r="B8390" s="106"/>
      <c r="C8390" s="75" t="s">
        <v>3905</v>
      </c>
      <c r="D8390" s="75"/>
      <c r="E8390" s="73"/>
      <c r="F8390" s="74"/>
      <c r="G8390" s="153"/>
      <c r="H8390" s="164"/>
      <c r="K8390" s="434"/>
    </row>
    <row r="8391" spans="1:11" x14ac:dyDescent="0.25">
      <c r="A8391" s="163"/>
      <c r="B8391" s="106"/>
      <c r="C8391" s="73" t="s">
        <v>3800</v>
      </c>
      <c r="D8391" s="75"/>
      <c r="E8391" s="73"/>
      <c r="F8391" s="74" t="s">
        <v>3</v>
      </c>
      <c r="G8391" s="153">
        <f>0.227*0.52</f>
        <v>0.11804000000000001</v>
      </c>
      <c r="H8391" s="164"/>
      <c r="I8391" t="s">
        <v>3906</v>
      </c>
      <c r="K8391" s="434"/>
    </row>
    <row r="8392" spans="1:11" x14ac:dyDescent="0.25">
      <c r="A8392" s="163"/>
      <c r="B8392" s="106"/>
      <c r="C8392" s="73"/>
      <c r="D8392" s="75"/>
      <c r="E8392" s="73"/>
      <c r="F8392" s="74"/>
      <c r="G8392" s="153"/>
      <c r="H8392" s="164"/>
      <c r="K8392" s="434"/>
    </row>
    <row r="8393" spans="1:11" x14ac:dyDescent="0.25">
      <c r="A8393" s="163"/>
      <c r="B8393" s="106"/>
      <c r="C8393" s="75" t="s">
        <v>3907</v>
      </c>
      <c r="D8393" s="75"/>
      <c r="E8393" s="73"/>
      <c r="F8393" s="74"/>
      <c r="G8393" s="153"/>
      <c r="H8393" s="164"/>
      <c r="K8393" s="434"/>
    </row>
    <row r="8394" spans="1:11" x14ac:dyDescent="0.25">
      <c r="A8394" s="163"/>
      <c r="B8394" s="106"/>
      <c r="C8394" s="77" t="s">
        <v>3908</v>
      </c>
      <c r="D8394" s="75"/>
      <c r="E8394" s="73"/>
      <c r="F8394" s="74" t="s">
        <v>3</v>
      </c>
      <c r="G8394" s="153">
        <f>0.09*0.018*4*8*1.12</f>
        <v>5.8060800000000003E-2</v>
      </c>
      <c r="H8394" s="164"/>
      <c r="K8394" s="434"/>
    </row>
    <row r="8395" spans="1:11" x14ac:dyDescent="0.25">
      <c r="A8395" s="163"/>
      <c r="B8395" s="106"/>
      <c r="C8395" s="73"/>
      <c r="D8395" s="75"/>
      <c r="E8395" s="73"/>
      <c r="F8395" s="74"/>
      <c r="G8395" s="153"/>
      <c r="H8395" s="164"/>
      <c r="K8395" s="434"/>
    </row>
    <row r="8396" spans="1:11" x14ac:dyDescent="0.25">
      <c r="A8396" s="163"/>
      <c r="B8396" s="106"/>
      <c r="C8396" s="78" t="s">
        <v>3909</v>
      </c>
      <c r="D8396" s="75"/>
      <c r="E8396" s="73"/>
      <c r="F8396" s="74"/>
      <c r="G8396" s="153"/>
      <c r="H8396" s="164"/>
      <c r="K8396" s="434"/>
    </row>
    <row r="8397" spans="1:11" x14ac:dyDescent="0.25">
      <c r="A8397" s="163"/>
      <c r="B8397" s="106"/>
      <c r="C8397" s="77" t="s">
        <v>3910</v>
      </c>
      <c r="D8397" s="75"/>
      <c r="E8397" s="73"/>
      <c r="F8397" s="74" t="s">
        <v>3</v>
      </c>
      <c r="G8397" s="153">
        <f>0.085*0.06*3*8*1.129</f>
        <v>0.13818960000000002</v>
      </c>
      <c r="H8397" s="164"/>
      <c r="K8397" s="434"/>
    </row>
    <row r="8398" spans="1:11" x14ac:dyDescent="0.25">
      <c r="A8398" s="163"/>
      <c r="B8398" s="106"/>
      <c r="C8398" s="73"/>
      <c r="D8398" s="75"/>
      <c r="E8398" s="73"/>
      <c r="F8398" s="74"/>
      <c r="G8398" s="153"/>
      <c r="H8398" s="164"/>
      <c r="K8398" s="434"/>
    </row>
    <row r="8399" spans="1:11" x14ac:dyDescent="0.25">
      <c r="A8399" s="163"/>
      <c r="B8399" s="106"/>
      <c r="C8399" s="77" t="s">
        <v>3911</v>
      </c>
      <c r="D8399" s="75"/>
      <c r="E8399" s="73"/>
      <c r="F8399" s="74"/>
      <c r="G8399" s="153"/>
      <c r="H8399" s="164"/>
      <c r="K8399" s="434"/>
    </row>
    <row r="8400" spans="1:11" x14ac:dyDescent="0.25">
      <c r="A8400" s="163"/>
      <c r="B8400" s="106"/>
      <c r="C8400" s="77" t="s">
        <v>412</v>
      </c>
      <c r="D8400" s="75"/>
      <c r="E8400" s="73"/>
      <c r="F8400" s="74" t="s">
        <v>3</v>
      </c>
      <c r="G8400" s="153">
        <f>0.055*0.06*2*8*1.129</f>
        <v>5.9611200000000003E-2</v>
      </c>
      <c r="H8400" s="164"/>
      <c r="K8400" s="434"/>
    </row>
    <row r="8401" spans="1:11" x14ac:dyDescent="0.25">
      <c r="A8401" s="163"/>
      <c r="B8401" s="106"/>
      <c r="C8401" s="73"/>
      <c r="D8401" s="75"/>
      <c r="E8401" s="73"/>
      <c r="F8401" s="74"/>
      <c r="G8401" s="153"/>
      <c r="H8401" s="164"/>
      <c r="K8401" s="434"/>
    </row>
    <row r="8402" spans="1:11" x14ac:dyDescent="0.25">
      <c r="A8402" s="163"/>
      <c r="B8402" s="106"/>
      <c r="C8402" s="75" t="s">
        <v>3912</v>
      </c>
      <c r="D8402" s="73"/>
      <c r="E8402" s="73"/>
      <c r="F8402" s="74"/>
      <c r="G8402" s="153"/>
      <c r="H8402" s="164"/>
      <c r="K8402" s="434"/>
    </row>
    <row r="8403" spans="1:11" x14ac:dyDescent="0.25">
      <c r="A8403" s="163"/>
      <c r="B8403" s="106"/>
      <c r="C8403" s="73" t="s">
        <v>3914</v>
      </c>
      <c r="D8403" s="73"/>
      <c r="E8403" s="73"/>
      <c r="F8403" s="74" t="s">
        <v>3</v>
      </c>
      <c r="G8403" s="153">
        <f>0.075*0.075*0.4*2</f>
        <v>4.4999999999999997E-3</v>
      </c>
      <c r="H8403" s="164"/>
      <c r="K8403" s="434"/>
    </row>
    <row r="8404" spans="1:11" x14ac:dyDescent="0.25">
      <c r="A8404" s="163"/>
      <c r="B8404" s="106"/>
      <c r="C8404" s="73"/>
      <c r="D8404" s="73"/>
      <c r="E8404" s="73"/>
      <c r="F8404" s="74"/>
      <c r="G8404" s="153"/>
      <c r="H8404" s="164"/>
      <c r="K8404" s="440"/>
    </row>
    <row r="8405" spans="1:11" x14ac:dyDescent="0.25">
      <c r="A8405" s="163"/>
      <c r="B8405" s="106"/>
      <c r="C8405" s="75" t="s">
        <v>3913</v>
      </c>
      <c r="D8405" s="73"/>
      <c r="E8405" s="73"/>
      <c r="F8405" s="74"/>
      <c r="G8405" s="153"/>
      <c r="H8405" s="164"/>
      <c r="K8405" s="440"/>
    </row>
    <row r="8406" spans="1:11" x14ac:dyDescent="0.25">
      <c r="A8406" s="163"/>
      <c r="B8406" s="106"/>
      <c r="C8406" s="77" t="s">
        <v>3915</v>
      </c>
      <c r="D8406" s="73"/>
      <c r="E8406" s="73"/>
      <c r="F8406" s="74" t="s">
        <v>3</v>
      </c>
      <c r="G8406" s="428">
        <f>0.062*0.06*0.1*2.7*1.2</f>
        <v>1.2052800000000002E-3</v>
      </c>
      <c r="H8406" s="164"/>
      <c r="K8406" s="440"/>
    </row>
    <row r="8407" spans="1:11" x14ac:dyDescent="0.25">
      <c r="A8407" s="163"/>
      <c r="B8407" s="106"/>
      <c r="C8407" s="73"/>
      <c r="D8407" s="73"/>
      <c r="E8407" s="77" t="s">
        <v>2840</v>
      </c>
      <c r="F8407" s="74"/>
      <c r="G8407" s="153"/>
      <c r="H8407" s="164"/>
      <c r="K8407" s="440"/>
    </row>
    <row r="8408" spans="1:11" x14ac:dyDescent="0.25">
      <c r="A8408" s="163"/>
      <c r="B8408" s="106"/>
      <c r="C8408" s="73" t="s">
        <v>3916</v>
      </c>
      <c r="D8408" s="73"/>
      <c r="E8408" s="73"/>
      <c r="F8408" s="74" t="s">
        <v>3</v>
      </c>
      <c r="G8408" s="428">
        <f>0.062*0.06*0.1*2.7*1.2</f>
        <v>1.2052800000000002E-3</v>
      </c>
      <c r="H8408" s="164"/>
      <c r="K8408" s="440"/>
    </row>
    <row r="8409" spans="1:11" x14ac:dyDescent="0.25">
      <c r="A8409" s="163"/>
      <c r="B8409" s="106"/>
      <c r="C8409" s="73"/>
      <c r="D8409" s="73"/>
      <c r="E8409" s="73"/>
      <c r="F8409" s="74"/>
      <c r="G8409" s="153"/>
      <c r="H8409" s="164"/>
      <c r="K8409" s="440"/>
    </row>
    <row r="8410" spans="1:11" x14ac:dyDescent="0.25">
      <c r="A8410" s="163"/>
      <c r="B8410" s="106"/>
      <c r="C8410" s="75" t="s">
        <v>1447</v>
      </c>
      <c r="D8410" s="73"/>
      <c r="E8410" s="73"/>
      <c r="F8410" s="74"/>
      <c r="G8410" s="153"/>
      <c r="H8410" s="164"/>
      <c r="K8410" s="440"/>
    </row>
    <row r="8411" spans="1:11" x14ac:dyDescent="0.25">
      <c r="A8411" s="163"/>
      <c r="B8411" s="106"/>
      <c r="C8411" s="73" t="s">
        <v>3917</v>
      </c>
      <c r="D8411" s="73"/>
      <c r="E8411" s="73"/>
      <c r="F8411" s="74" t="s">
        <v>3</v>
      </c>
      <c r="G8411" s="153">
        <f>0.035*1.15</f>
        <v>4.0250000000000001E-2</v>
      </c>
      <c r="H8411" s="164"/>
      <c r="K8411" s="440"/>
    </row>
    <row r="8412" spans="1:11" x14ac:dyDescent="0.25">
      <c r="A8412" s="163"/>
      <c r="B8412" s="106"/>
      <c r="C8412" s="73"/>
      <c r="D8412" s="73"/>
      <c r="E8412" s="73"/>
      <c r="F8412" s="74"/>
      <c r="G8412" s="153"/>
      <c r="H8412" s="164"/>
      <c r="K8412" s="440"/>
    </row>
    <row r="8413" spans="1:11" x14ac:dyDescent="0.25">
      <c r="A8413" s="163"/>
      <c r="B8413" s="106"/>
      <c r="C8413" s="75" t="s">
        <v>3918</v>
      </c>
      <c r="D8413" s="73"/>
      <c r="E8413" s="73"/>
      <c r="F8413" s="74"/>
      <c r="G8413" s="153"/>
      <c r="H8413" s="164"/>
      <c r="K8413" s="440"/>
    </row>
    <row r="8414" spans="1:11" x14ac:dyDescent="0.25">
      <c r="A8414" s="163"/>
      <c r="B8414" s="106"/>
      <c r="C8414" s="73" t="s">
        <v>3097</v>
      </c>
      <c r="D8414" s="73"/>
      <c r="E8414" s="73"/>
      <c r="F8414" s="74" t="s">
        <v>3</v>
      </c>
      <c r="G8414" s="153">
        <f>0.035*0.035*3*8*1.1</f>
        <v>3.2340000000000008E-2</v>
      </c>
      <c r="H8414" s="164"/>
      <c r="K8414" s="440"/>
    </row>
    <row r="8415" spans="1:11" ht="15.75" thickBot="1" x14ac:dyDescent="0.3">
      <c r="A8415" s="67"/>
      <c r="B8415" s="86"/>
      <c r="C8415" s="68"/>
      <c r="D8415" s="68"/>
      <c r="E8415" s="68"/>
      <c r="F8415" s="82"/>
      <c r="G8415" s="89"/>
      <c r="H8415" s="165"/>
      <c r="K8415" s="440"/>
    </row>
    <row r="8416" spans="1:11" x14ac:dyDescent="0.25">
      <c r="A8416" s="159"/>
      <c r="B8416" s="181"/>
      <c r="C8416" s="93"/>
      <c r="D8416" s="93"/>
      <c r="E8416" s="93"/>
      <c r="F8416" s="160"/>
      <c r="G8416" s="161"/>
      <c r="H8416" s="162"/>
      <c r="K8416" s="440"/>
    </row>
    <row r="8417" spans="1:11" x14ac:dyDescent="0.25">
      <c r="A8417" s="163"/>
      <c r="B8417" s="106"/>
      <c r="C8417" s="73"/>
      <c r="D8417" s="73"/>
      <c r="E8417" s="75" t="s">
        <v>3938</v>
      </c>
      <c r="F8417" s="74"/>
      <c r="G8417" s="153"/>
      <c r="H8417" s="164"/>
      <c r="K8417" s="441"/>
    </row>
    <row r="8418" spans="1:11" x14ac:dyDescent="0.25">
      <c r="A8418" s="163"/>
      <c r="B8418" s="106"/>
      <c r="C8418" s="73"/>
      <c r="D8418" s="73"/>
      <c r="E8418" s="73"/>
      <c r="F8418" s="74"/>
      <c r="G8418" s="153"/>
      <c r="H8418" s="164"/>
      <c r="K8418" s="441"/>
    </row>
    <row r="8419" spans="1:11" x14ac:dyDescent="0.25">
      <c r="A8419" s="163"/>
      <c r="B8419" s="106"/>
      <c r="C8419" s="75" t="s">
        <v>3939</v>
      </c>
      <c r="D8419" s="73"/>
      <c r="E8419" s="73"/>
      <c r="F8419" s="74"/>
      <c r="G8419" s="153"/>
      <c r="H8419" s="164"/>
      <c r="K8419" s="441"/>
    </row>
    <row r="8420" spans="1:11" x14ac:dyDescent="0.25">
      <c r="A8420" s="163"/>
      <c r="B8420" s="106"/>
      <c r="C8420" s="73" t="s">
        <v>2755</v>
      </c>
      <c r="D8420" s="75"/>
      <c r="E8420" s="73"/>
      <c r="F8420" s="74" t="s">
        <v>3</v>
      </c>
      <c r="G8420" s="153">
        <f>(0.2+0.18)*0.08*1.15</f>
        <v>3.4959999999999998E-2</v>
      </c>
      <c r="H8420" s="164"/>
      <c r="K8420" s="441"/>
    </row>
    <row r="8421" spans="1:11" ht="17.25" x14ac:dyDescent="0.25">
      <c r="A8421" s="163"/>
      <c r="B8421" s="106"/>
      <c r="C8421" s="73" t="s">
        <v>1055</v>
      </c>
      <c r="D8421" s="75"/>
      <c r="E8421" s="73"/>
      <c r="F8421" s="74" t="s">
        <v>596</v>
      </c>
      <c r="G8421" s="153">
        <f>G8420*1.1</f>
        <v>3.8456000000000004E-2</v>
      </c>
      <c r="H8421" s="164"/>
      <c r="K8421" s="441"/>
    </row>
    <row r="8422" spans="1:11" x14ac:dyDescent="0.25">
      <c r="A8422" s="163"/>
      <c r="B8422" s="106"/>
      <c r="C8422" s="77" t="s">
        <v>8</v>
      </c>
      <c r="D8422" s="75"/>
      <c r="E8422" s="73"/>
      <c r="F8422" s="74" t="s">
        <v>3</v>
      </c>
      <c r="G8422" s="153">
        <f>G8423*0.8</f>
        <v>9.3600000000000003E-3</v>
      </c>
      <c r="H8422" s="164"/>
      <c r="K8422" s="441"/>
    </row>
    <row r="8423" spans="1:11" x14ac:dyDescent="0.25">
      <c r="A8423" s="163"/>
      <c r="B8423" s="106"/>
      <c r="C8423" s="77" t="s">
        <v>36</v>
      </c>
      <c r="D8423" s="75"/>
      <c r="E8423" s="73"/>
      <c r="F8423" s="74" t="s">
        <v>3</v>
      </c>
      <c r="G8423" s="153">
        <f>0.15*0.1*2*0.15*2*1.3</f>
        <v>1.17E-2</v>
      </c>
      <c r="H8423" s="164"/>
      <c r="K8423" s="441"/>
    </row>
    <row r="8424" spans="1:11" x14ac:dyDescent="0.25">
      <c r="A8424" s="163"/>
      <c r="B8424" s="106"/>
      <c r="C8424" s="77" t="s">
        <v>12</v>
      </c>
      <c r="D8424" s="75"/>
      <c r="E8424" s="73"/>
      <c r="F8424" s="74" t="s">
        <v>3</v>
      </c>
      <c r="G8424" s="153">
        <f>0.3*(G8423+G8422)</f>
        <v>6.3180000000000007E-3</v>
      </c>
      <c r="H8424" s="164"/>
      <c r="K8424" s="441"/>
    </row>
    <row r="8425" spans="1:11" x14ac:dyDescent="0.25">
      <c r="A8425" s="163"/>
      <c r="B8425" s="106"/>
      <c r="C8425" s="73"/>
      <c r="D8425" s="75" t="s">
        <v>3940</v>
      </c>
      <c r="E8425" s="73"/>
      <c r="F8425" s="74"/>
      <c r="G8425" s="153"/>
      <c r="H8425" s="164"/>
      <c r="K8425" s="441"/>
    </row>
    <row r="8426" spans="1:11" x14ac:dyDescent="0.25">
      <c r="A8426" s="163"/>
      <c r="B8426" s="106"/>
      <c r="C8426" s="73"/>
      <c r="D8426" s="73" t="s">
        <v>3944</v>
      </c>
      <c r="E8426" s="73"/>
      <c r="F8426" s="74" t="s">
        <v>3</v>
      </c>
      <c r="G8426" s="153">
        <f>0.14*0.062*3*8*1.129</f>
        <v>0.23519328</v>
      </c>
      <c r="H8426" s="164"/>
      <c r="K8426" s="441"/>
    </row>
    <row r="8427" spans="1:11" x14ac:dyDescent="0.25">
      <c r="A8427" s="163"/>
      <c r="B8427" s="106"/>
      <c r="C8427" s="73"/>
      <c r="D8427" s="75" t="s">
        <v>3942</v>
      </c>
      <c r="E8427" s="73"/>
      <c r="F8427" s="74"/>
      <c r="G8427" s="153"/>
      <c r="H8427" s="164"/>
      <c r="K8427" s="441"/>
    </row>
    <row r="8428" spans="1:11" x14ac:dyDescent="0.25">
      <c r="A8428" s="163"/>
      <c r="B8428" s="106"/>
      <c r="C8428" s="73"/>
      <c r="D8428" s="73" t="s">
        <v>3943</v>
      </c>
      <c r="E8428" s="73"/>
      <c r="F8428" s="74" t="s">
        <v>3</v>
      </c>
      <c r="G8428" s="153">
        <f>0.1*0.02*4*8*1.12</f>
        <v>7.1680000000000008E-2</v>
      </c>
      <c r="H8428" s="164"/>
      <c r="K8428" s="441"/>
    </row>
    <row r="8429" spans="1:11" x14ac:dyDescent="0.25">
      <c r="A8429" s="163"/>
      <c r="B8429" s="106"/>
      <c r="C8429" s="73"/>
      <c r="D8429" s="75" t="s">
        <v>3941</v>
      </c>
      <c r="E8429" s="73"/>
      <c r="F8429" s="74"/>
      <c r="G8429" s="153"/>
      <c r="H8429" s="164"/>
      <c r="K8429" s="441"/>
    </row>
    <row r="8430" spans="1:11" x14ac:dyDescent="0.25">
      <c r="A8430" s="163"/>
      <c r="B8430" s="106"/>
      <c r="C8430" s="73"/>
      <c r="D8430" s="73" t="s">
        <v>3943</v>
      </c>
      <c r="E8430" s="73"/>
      <c r="F8430" s="74" t="s">
        <v>3</v>
      </c>
      <c r="G8430" s="153">
        <f>0.015*0.015*4*8*1.12</f>
        <v>8.064E-3</v>
      </c>
      <c r="H8430" s="164"/>
      <c r="K8430" s="441"/>
    </row>
    <row r="8431" spans="1:11" x14ac:dyDescent="0.25">
      <c r="A8431" s="163"/>
      <c r="B8431" s="106"/>
      <c r="C8431" s="73"/>
      <c r="D8431" s="73"/>
      <c r="E8431" s="73"/>
      <c r="F8431" s="74"/>
      <c r="G8431" s="153"/>
      <c r="H8431" s="164"/>
      <c r="K8431" s="441"/>
    </row>
    <row r="8432" spans="1:11" x14ac:dyDescent="0.25">
      <c r="A8432" s="163"/>
      <c r="B8432" s="106"/>
      <c r="C8432" s="75" t="s">
        <v>3945</v>
      </c>
      <c r="D8432" s="73"/>
      <c r="E8432" s="73"/>
      <c r="F8432" s="74"/>
      <c r="G8432" s="153"/>
      <c r="H8432" s="164"/>
      <c r="K8432" s="441"/>
    </row>
    <row r="8433" spans="1:11" x14ac:dyDescent="0.25">
      <c r="A8433" s="163"/>
      <c r="B8433" s="106"/>
      <c r="C8433" s="73" t="s">
        <v>3944</v>
      </c>
      <c r="D8433" s="73"/>
      <c r="E8433" s="73"/>
      <c r="F8433" s="74" t="s">
        <v>3</v>
      </c>
      <c r="G8433" s="153">
        <f>0.18*0.08*3*8*1.129</f>
        <v>0.39018240000000004</v>
      </c>
      <c r="H8433" s="164"/>
      <c r="K8433" s="440"/>
    </row>
    <row r="8434" spans="1:11" x14ac:dyDescent="0.25">
      <c r="A8434" s="163"/>
      <c r="B8434" s="106"/>
      <c r="C8434" s="77" t="s">
        <v>8</v>
      </c>
      <c r="D8434" s="75"/>
      <c r="E8434" s="73"/>
      <c r="F8434" s="74" t="s">
        <v>3</v>
      </c>
      <c r="G8434" s="153">
        <f>G8435*0.8</f>
        <v>1.2384000000000003E-2</v>
      </c>
      <c r="H8434" s="164"/>
      <c r="K8434" s="441"/>
    </row>
    <row r="8435" spans="1:11" x14ac:dyDescent="0.25">
      <c r="A8435" s="163"/>
      <c r="B8435" s="106"/>
      <c r="C8435" s="77" t="s">
        <v>36</v>
      </c>
      <c r="D8435" s="75"/>
      <c r="E8435" s="73"/>
      <c r="F8435" s="74" t="s">
        <v>3</v>
      </c>
      <c r="G8435" s="153">
        <f>0.2*0.1*2*0.15*2*1.29</f>
        <v>1.5480000000000002E-2</v>
      </c>
      <c r="H8435" s="164"/>
      <c r="K8435" s="441"/>
    </row>
    <row r="8436" spans="1:11" ht="15.75" thickBot="1" x14ac:dyDescent="0.3">
      <c r="A8436" s="67"/>
      <c r="B8436" s="86"/>
      <c r="C8436" s="170" t="s">
        <v>12</v>
      </c>
      <c r="D8436" s="235"/>
      <c r="E8436" s="68"/>
      <c r="F8436" s="82" t="s">
        <v>3</v>
      </c>
      <c r="G8436" s="89">
        <f>0.3*(G8435+G8434)</f>
        <v>8.3592000000000024E-3</v>
      </c>
      <c r="H8436" s="165"/>
      <c r="K8436" s="441"/>
    </row>
    <row r="8437" spans="1:11" x14ac:dyDescent="0.25">
      <c r="A8437" s="159"/>
      <c r="B8437" s="181"/>
      <c r="C8437" s="93"/>
      <c r="D8437" s="93"/>
      <c r="E8437" s="93"/>
      <c r="F8437" s="160"/>
      <c r="G8437" s="161"/>
      <c r="H8437" s="164" t="s">
        <v>3952</v>
      </c>
      <c r="K8437" s="441"/>
    </row>
    <row r="8438" spans="1:11" x14ac:dyDescent="0.25">
      <c r="A8438" s="163"/>
      <c r="B8438" s="106"/>
      <c r="C8438" s="73"/>
      <c r="D8438" s="73"/>
      <c r="E8438" s="75" t="s">
        <v>3946</v>
      </c>
      <c r="F8438" s="74"/>
      <c r="G8438" s="153"/>
      <c r="H8438" s="164"/>
      <c r="K8438" s="442"/>
    </row>
    <row r="8439" spans="1:11" x14ac:dyDescent="0.25">
      <c r="A8439" s="163"/>
      <c r="B8439" s="106"/>
      <c r="C8439" s="73"/>
      <c r="D8439" s="73"/>
      <c r="E8439" s="73"/>
      <c r="F8439" s="74"/>
      <c r="G8439" s="153"/>
      <c r="H8439" s="164"/>
      <c r="K8439" s="442"/>
    </row>
    <row r="8440" spans="1:11" x14ac:dyDescent="0.25">
      <c r="A8440" s="163"/>
      <c r="B8440" s="106"/>
      <c r="C8440" s="75" t="s">
        <v>3947</v>
      </c>
      <c r="D8440" s="73"/>
      <c r="E8440" s="73"/>
      <c r="F8440" s="74"/>
      <c r="G8440" s="153"/>
      <c r="H8440" s="164"/>
      <c r="K8440" s="442"/>
    </row>
    <row r="8441" spans="1:11" x14ac:dyDescent="0.25">
      <c r="A8441" s="163"/>
      <c r="B8441" s="106"/>
      <c r="C8441" s="73" t="s">
        <v>3748</v>
      </c>
      <c r="D8441" s="73"/>
      <c r="E8441" s="73"/>
      <c r="F8441" s="74" t="s">
        <v>3</v>
      </c>
      <c r="G8441" s="153">
        <f>0.1*0.04*4*8*1.13</f>
        <v>0.14463999999999999</v>
      </c>
      <c r="H8441" s="164"/>
      <c r="K8441" s="442"/>
    </row>
    <row r="8442" spans="1:11" x14ac:dyDescent="0.25">
      <c r="A8442" s="163"/>
      <c r="B8442" s="106"/>
      <c r="C8442" s="73"/>
      <c r="D8442" s="73"/>
      <c r="E8442" s="73"/>
      <c r="F8442" s="74"/>
      <c r="G8442" s="153"/>
      <c r="H8442" s="164"/>
      <c r="K8442" s="442"/>
    </row>
    <row r="8443" spans="1:11" x14ac:dyDescent="0.25">
      <c r="A8443" s="163"/>
      <c r="B8443" s="106"/>
      <c r="C8443" s="75" t="s">
        <v>3948</v>
      </c>
      <c r="D8443" s="73"/>
      <c r="E8443" s="73"/>
      <c r="F8443" s="74"/>
      <c r="G8443" s="153"/>
      <c r="H8443" s="164"/>
      <c r="K8443" s="442"/>
    </row>
    <row r="8444" spans="1:11" x14ac:dyDescent="0.25">
      <c r="A8444" s="163"/>
      <c r="B8444" s="106"/>
      <c r="C8444" s="73" t="s">
        <v>2755</v>
      </c>
      <c r="D8444" s="75"/>
      <c r="E8444" s="73"/>
      <c r="F8444" s="74" t="s">
        <v>3</v>
      </c>
      <c r="G8444" s="153">
        <f>(0.2+0.18)*0.08*1.15</f>
        <v>3.4959999999999998E-2</v>
      </c>
      <c r="H8444" s="164"/>
      <c r="K8444" s="442"/>
    </row>
    <row r="8445" spans="1:11" ht="17.25" x14ac:dyDescent="0.25">
      <c r="A8445" s="163"/>
      <c r="B8445" s="106"/>
      <c r="C8445" s="73" t="s">
        <v>1055</v>
      </c>
      <c r="D8445" s="75"/>
      <c r="E8445" s="73"/>
      <c r="F8445" s="74" t="s">
        <v>596</v>
      </c>
      <c r="G8445" s="153">
        <f>G8444*1.1</f>
        <v>3.8456000000000004E-2</v>
      </c>
      <c r="H8445" s="164"/>
      <c r="K8445" s="442"/>
    </row>
    <row r="8446" spans="1:11" x14ac:dyDescent="0.25">
      <c r="A8446" s="163"/>
      <c r="B8446" s="106"/>
      <c r="C8446" s="77"/>
      <c r="D8446" s="75" t="s">
        <v>3949</v>
      </c>
      <c r="E8446" s="73"/>
      <c r="F8446" s="74"/>
      <c r="G8446" s="153"/>
      <c r="H8446" s="164"/>
      <c r="K8446" s="442"/>
    </row>
    <row r="8447" spans="1:11" x14ac:dyDescent="0.25">
      <c r="A8447" s="163"/>
      <c r="B8447" s="106"/>
      <c r="C8447" s="73"/>
      <c r="D8447" s="73" t="s">
        <v>89</v>
      </c>
      <c r="E8447" s="73"/>
      <c r="F8447" s="74" t="s">
        <v>3</v>
      </c>
      <c r="G8447" s="153">
        <f>0.22*0.055*4*8*1.136</f>
        <v>0.43985919999999995</v>
      </c>
      <c r="H8447" s="164"/>
      <c r="K8447" s="442"/>
    </row>
    <row r="8448" spans="1:11" x14ac:dyDescent="0.25">
      <c r="A8448" s="163"/>
      <c r="B8448" s="106"/>
      <c r="C8448" s="73"/>
      <c r="D8448" s="75" t="s">
        <v>3950</v>
      </c>
      <c r="E8448" s="73"/>
      <c r="F8448" s="74"/>
      <c r="G8448" s="153"/>
      <c r="H8448" s="164"/>
      <c r="K8448" s="442"/>
    </row>
    <row r="8449" spans="1:11" x14ac:dyDescent="0.25">
      <c r="A8449" s="163"/>
      <c r="B8449" s="106"/>
      <c r="C8449" s="73"/>
      <c r="D8449" s="73" t="s">
        <v>89</v>
      </c>
      <c r="E8449" s="73"/>
      <c r="F8449" s="74" t="s">
        <v>3</v>
      </c>
      <c r="G8449" s="153">
        <f>0.045*0.045*4*8*1.15</f>
        <v>7.4519999999999989E-2</v>
      </c>
      <c r="H8449" s="164"/>
      <c r="K8449" s="442"/>
    </row>
    <row r="8450" spans="1:11" x14ac:dyDescent="0.25">
      <c r="A8450" s="163"/>
      <c r="B8450" s="106"/>
      <c r="C8450" s="73"/>
      <c r="D8450" s="75" t="s">
        <v>3951</v>
      </c>
      <c r="E8450" s="73"/>
      <c r="F8450" s="74"/>
      <c r="G8450" s="153"/>
      <c r="H8450" s="164"/>
      <c r="K8450" s="442"/>
    </row>
    <row r="8451" spans="1:11" ht="15.75" thickBot="1" x14ac:dyDescent="0.3">
      <c r="A8451" s="67"/>
      <c r="B8451" s="86"/>
      <c r="C8451" s="68"/>
      <c r="D8451" s="68" t="s">
        <v>260</v>
      </c>
      <c r="E8451" s="68"/>
      <c r="F8451" s="82" t="s">
        <v>3</v>
      </c>
      <c r="G8451" s="89">
        <f>0.16*0.025*4*8*1.09</f>
        <v>0.13952000000000001</v>
      </c>
      <c r="H8451" s="165"/>
      <c r="K8451" s="442"/>
    </row>
    <row r="8452" spans="1:11" x14ac:dyDescent="0.25">
      <c r="A8452" s="159"/>
      <c r="B8452" s="181"/>
      <c r="C8452" s="93"/>
      <c r="D8452" s="93"/>
      <c r="E8452" s="93"/>
      <c r="F8452" s="160"/>
      <c r="G8452" s="161"/>
      <c r="H8452" s="164" t="s">
        <v>3959</v>
      </c>
      <c r="K8452" s="442"/>
    </row>
    <row r="8453" spans="1:11" x14ac:dyDescent="0.25">
      <c r="A8453" s="163"/>
      <c r="B8453" s="106"/>
      <c r="C8453" s="73"/>
      <c r="D8453" s="73"/>
      <c r="E8453" s="73"/>
      <c r="F8453" s="74"/>
      <c r="G8453" s="153"/>
      <c r="H8453" s="164"/>
      <c r="K8453" s="442"/>
    </row>
    <row r="8454" spans="1:11" x14ac:dyDescent="0.25">
      <c r="A8454" s="163"/>
      <c r="B8454" s="106"/>
      <c r="C8454" s="75" t="s">
        <v>3953</v>
      </c>
      <c r="D8454" s="73"/>
      <c r="E8454" s="73"/>
      <c r="F8454" s="74"/>
      <c r="G8454" s="153"/>
      <c r="H8454" s="164"/>
      <c r="K8454" s="442"/>
    </row>
    <row r="8455" spans="1:11" x14ac:dyDescent="0.25">
      <c r="A8455" s="163"/>
      <c r="B8455" s="106"/>
      <c r="C8455" s="75"/>
      <c r="D8455" s="75" t="s">
        <v>3954</v>
      </c>
      <c r="E8455" s="73"/>
      <c r="F8455" s="74"/>
      <c r="G8455" s="153"/>
      <c r="H8455" s="164"/>
      <c r="K8455" s="442"/>
    </row>
    <row r="8456" spans="1:11" x14ac:dyDescent="0.25">
      <c r="A8456" s="163"/>
      <c r="B8456" s="106"/>
      <c r="C8456" s="75"/>
      <c r="D8456" s="73" t="s">
        <v>3956</v>
      </c>
      <c r="E8456" s="73"/>
      <c r="F8456" s="74" t="s">
        <v>3</v>
      </c>
      <c r="G8456" s="153">
        <f>0.15*0.045*1.5*8*1.11</f>
        <v>8.9910000000000018E-2</v>
      </c>
      <c r="H8456" s="164"/>
      <c r="K8456" s="442"/>
    </row>
    <row r="8457" spans="1:11" x14ac:dyDescent="0.25">
      <c r="A8457" s="163"/>
      <c r="B8457" s="106"/>
      <c r="C8457" s="75"/>
      <c r="D8457" s="75" t="s">
        <v>3955</v>
      </c>
      <c r="E8457" s="73"/>
      <c r="F8457" s="74"/>
      <c r="G8457" s="153"/>
      <c r="H8457" s="164"/>
      <c r="K8457" s="442"/>
    </row>
    <row r="8458" spans="1:11" x14ac:dyDescent="0.25">
      <c r="A8458" s="163"/>
      <c r="B8458" s="106"/>
      <c r="C8458" s="75"/>
      <c r="D8458" s="73" t="s">
        <v>3957</v>
      </c>
      <c r="E8458" s="73"/>
      <c r="F8458" s="74" t="s">
        <v>3</v>
      </c>
      <c r="G8458" s="153">
        <f>0.023*0.04*1*8*1.1</f>
        <v>8.0960000000000008E-3</v>
      </c>
      <c r="H8458" s="164"/>
      <c r="K8458" s="442"/>
    </row>
    <row r="8459" spans="1:11" x14ac:dyDescent="0.25">
      <c r="A8459" s="163"/>
      <c r="B8459" s="106"/>
      <c r="C8459" s="75"/>
      <c r="D8459" s="73"/>
      <c r="E8459" s="73"/>
      <c r="F8459" s="74"/>
      <c r="G8459" s="153"/>
      <c r="H8459" s="164"/>
      <c r="K8459" s="442"/>
    </row>
    <row r="8460" spans="1:11" x14ac:dyDescent="0.25">
      <c r="A8460" s="163"/>
      <c r="B8460" s="106"/>
      <c r="C8460" s="75" t="s">
        <v>3921</v>
      </c>
      <c r="D8460" s="73"/>
      <c r="E8460" s="73"/>
      <c r="F8460" s="74"/>
      <c r="G8460" s="153"/>
      <c r="H8460" s="164"/>
      <c r="K8460" s="440"/>
    </row>
    <row r="8461" spans="1:11" x14ac:dyDescent="0.25">
      <c r="A8461" s="163"/>
      <c r="B8461" s="106"/>
      <c r="C8461" s="73" t="s">
        <v>3922</v>
      </c>
      <c r="D8461" s="73"/>
      <c r="E8461" s="73"/>
      <c r="F8461" s="74" t="s">
        <v>3</v>
      </c>
      <c r="G8461" s="153">
        <f>0.122*0.122*1*8*1.13</f>
        <v>0.13455135999999998</v>
      </c>
      <c r="H8461" s="164"/>
      <c r="K8461" s="440"/>
    </row>
    <row r="8462" spans="1:11" x14ac:dyDescent="0.25">
      <c r="A8462" s="163"/>
      <c r="B8462" s="106"/>
      <c r="C8462" s="73"/>
      <c r="D8462" s="73"/>
      <c r="E8462" s="73"/>
      <c r="F8462" s="74"/>
      <c r="G8462" s="153"/>
      <c r="H8462" s="164"/>
      <c r="K8462" s="440"/>
    </row>
    <row r="8463" spans="1:11" x14ac:dyDescent="0.25">
      <c r="A8463" s="163"/>
      <c r="B8463" s="106"/>
      <c r="C8463" s="75" t="s">
        <v>3923</v>
      </c>
      <c r="D8463" s="73"/>
      <c r="E8463" s="73"/>
      <c r="F8463" s="74"/>
      <c r="G8463" s="153"/>
      <c r="H8463" s="164"/>
    </row>
    <row r="8464" spans="1:11" x14ac:dyDescent="0.25">
      <c r="A8464" s="163"/>
      <c r="B8464" s="106"/>
      <c r="C8464" s="73" t="s">
        <v>3926</v>
      </c>
      <c r="D8464" s="73"/>
      <c r="E8464" s="73"/>
      <c r="F8464" s="74" t="s">
        <v>3</v>
      </c>
      <c r="G8464" s="153">
        <f>0.122*0.122*0.5*8*1.13</f>
        <v>6.727567999999999E-2</v>
      </c>
      <c r="H8464" s="164"/>
    </row>
    <row r="8465" spans="1:9" x14ac:dyDescent="0.25">
      <c r="A8465" s="163"/>
      <c r="B8465" s="106"/>
      <c r="C8465" s="73"/>
      <c r="D8465" s="73"/>
      <c r="E8465" s="73"/>
      <c r="F8465" s="74"/>
      <c r="G8465" s="153"/>
      <c r="H8465" s="164"/>
    </row>
    <row r="8466" spans="1:9" x14ac:dyDescent="0.25">
      <c r="A8466" s="163"/>
      <c r="B8466" s="106"/>
      <c r="C8466" s="75" t="s">
        <v>3924</v>
      </c>
      <c r="D8466" s="73"/>
      <c r="E8466" s="73"/>
      <c r="F8466" s="74"/>
      <c r="G8466" s="153"/>
      <c r="H8466" s="164"/>
    </row>
    <row r="8467" spans="1:9" x14ac:dyDescent="0.25">
      <c r="A8467" s="163"/>
      <c r="B8467" s="106"/>
      <c r="C8467" s="73" t="s">
        <v>3927</v>
      </c>
      <c r="D8467" s="73"/>
      <c r="E8467" s="73"/>
      <c r="F8467" s="74" t="s">
        <v>3</v>
      </c>
      <c r="G8467" s="153">
        <f>0.122*0.122*0.25*8*1.18</f>
        <v>3.5126239999999996E-2</v>
      </c>
      <c r="H8467" s="164"/>
    </row>
    <row r="8468" spans="1:9" x14ac:dyDescent="0.25">
      <c r="A8468" s="163"/>
      <c r="B8468" s="106"/>
      <c r="C8468" s="73"/>
      <c r="D8468" s="73"/>
      <c r="E8468" s="73"/>
      <c r="F8468" s="74"/>
      <c r="G8468" s="153"/>
      <c r="H8468" s="164"/>
    </row>
    <row r="8469" spans="1:9" x14ac:dyDescent="0.25">
      <c r="A8469" s="163"/>
      <c r="B8469" s="106"/>
      <c r="C8469" s="75" t="s">
        <v>3925</v>
      </c>
      <c r="D8469" s="73"/>
      <c r="E8469" s="73"/>
      <c r="F8469" s="74"/>
      <c r="G8469" s="153"/>
      <c r="H8469" s="164"/>
    </row>
    <row r="8470" spans="1:9" x14ac:dyDescent="0.25">
      <c r="A8470" s="163"/>
      <c r="B8470" s="106"/>
      <c r="C8470" s="73" t="s">
        <v>3928</v>
      </c>
      <c r="D8470" s="73"/>
      <c r="E8470" s="73"/>
      <c r="F8470" s="74" t="s">
        <v>3</v>
      </c>
      <c r="G8470" s="153">
        <f>0.122*0.122*0.15*8*1.13</f>
        <v>2.0182703999999999E-2</v>
      </c>
      <c r="H8470" s="164"/>
    </row>
    <row r="8471" spans="1:9" x14ac:dyDescent="0.25">
      <c r="A8471" s="163"/>
      <c r="B8471" s="106"/>
      <c r="C8471" s="73"/>
      <c r="D8471" s="73"/>
      <c r="E8471" s="73"/>
      <c r="F8471" s="74"/>
      <c r="G8471" s="153"/>
      <c r="H8471" s="164"/>
    </row>
    <row r="8472" spans="1:9" x14ac:dyDescent="0.25">
      <c r="A8472" s="163"/>
      <c r="B8472" s="106"/>
      <c r="C8472" s="75" t="s">
        <v>3929</v>
      </c>
      <c r="D8472" s="73"/>
      <c r="E8472" s="73"/>
      <c r="F8472" s="74"/>
      <c r="G8472" s="153"/>
      <c r="H8472" s="164"/>
    </row>
    <row r="8473" spans="1:9" x14ac:dyDescent="0.25">
      <c r="A8473" s="163"/>
      <c r="B8473" s="106"/>
      <c r="C8473" s="73" t="s">
        <v>832</v>
      </c>
      <c r="D8473" s="73"/>
      <c r="E8473" s="73"/>
      <c r="F8473" s="74" t="s">
        <v>3</v>
      </c>
      <c r="G8473" s="153">
        <f>0.37*0.11</f>
        <v>4.07E-2</v>
      </c>
      <c r="H8473" s="164"/>
      <c r="I8473" t="s">
        <v>2219</v>
      </c>
    </row>
    <row r="8474" spans="1:9" x14ac:dyDescent="0.25">
      <c r="A8474" s="163"/>
      <c r="B8474" s="106"/>
      <c r="C8474" s="73"/>
      <c r="D8474" s="73"/>
      <c r="E8474" s="73"/>
      <c r="F8474" s="74"/>
      <c r="G8474" s="153"/>
      <c r="H8474" s="164"/>
    </row>
    <row r="8475" spans="1:9" x14ac:dyDescent="0.25">
      <c r="A8475" s="163"/>
      <c r="B8475" s="106"/>
      <c r="C8475" s="75" t="s">
        <v>3930</v>
      </c>
      <c r="D8475" s="73"/>
      <c r="E8475" s="73"/>
      <c r="F8475" s="74"/>
      <c r="G8475" s="153"/>
      <c r="H8475" s="164"/>
    </row>
    <row r="8476" spans="1:9" x14ac:dyDescent="0.25">
      <c r="A8476" s="163"/>
      <c r="B8476" s="106"/>
      <c r="C8476" s="73" t="s">
        <v>1305</v>
      </c>
      <c r="D8476" s="73"/>
      <c r="E8476" s="73"/>
      <c r="F8476" s="74" t="s">
        <v>3</v>
      </c>
      <c r="G8476" s="153">
        <f>0.025*0.025*0.5*8*1.18</f>
        <v>2.9500000000000004E-3</v>
      </c>
      <c r="H8476" s="164"/>
    </row>
    <row r="8477" spans="1:9" x14ac:dyDescent="0.25">
      <c r="A8477" s="163"/>
      <c r="B8477" s="106"/>
      <c r="C8477" s="73"/>
      <c r="D8477" s="73"/>
      <c r="E8477" s="73"/>
      <c r="F8477" s="74"/>
      <c r="G8477" s="153"/>
      <c r="H8477" s="164"/>
    </row>
    <row r="8478" spans="1:9" x14ac:dyDescent="0.25">
      <c r="A8478" s="163"/>
      <c r="B8478" s="106"/>
      <c r="C8478" s="75" t="s">
        <v>3931</v>
      </c>
      <c r="D8478" s="73"/>
      <c r="E8478" s="73"/>
      <c r="F8478" s="74"/>
      <c r="G8478" s="153"/>
      <c r="H8478" s="164"/>
    </row>
    <row r="8479" spans="1:9" x14ac:dyDescent="0.25">
      <c r="A8479" s="163"/>
      <c r="B8479" s="106"/>
      <c r="C8479" s="73" t="s">
        <v>3656</v>
      </c>
      <c r="D8479" s="73"/>
      <c r="E8479" s="73"/>
      <c r="F8479" s="74" t="s">
        <v>3</v>
      </c>
      <c r="G8479" s="153">
        <f>0.123*0.55</f>
        <v>6.7650000000000002E-2</v>
      </c>
      <c r="H8479" s="164"/>
      <c r="I8479" t="s">
        <v>3932</v>
      </c>
    </row>
    <row r="8480" spans="1:9" x14ac:dyDescent="0.25">
      <c r="A8480" s="163"/>
      <c r="B8480" s="106"/>
      <c r="C8480" s="73"/>
      <c r="D8480" s="73"/>
      <c r="E8480" s="73"/>
      <c r="F8480" s="74"/>
      <c r="G8480" s="153"/>
      <c r="H8480" s="164"/>
    </row>
    <row r="8481" spans="1:8" x14ac:dyDescent="0.25">
      <c r="A8481" s="163"/>
      <c r="B8481" s="106"/>
      <c r="C8481" s="75" t="s">
        <v>3933</v>
      </c>
      <c r="D8481" s="73"/>
      <c r="E8481" s="73"/>
      <c r="F8481" s="74"/>
      <c r="G8481" s="153"/>
      <c r="H8481" s="164"/>
    </row>
    <row r="8482" spans="1:8" x14ac:dyDescent="0.25">
      <c r="A8482" s="163"/>
      <c r="B8482" s="106"/>
      <c r="C8482" s="73" t="s">
        <v>3934</v>
      </c>
      <c r="D8482" s="73"/>
      <c r="E8482" s="73"/>
      <c r="F8482" s="74" t="s">
        <v>3</v>
      </c>
      <c r="G8482" s="153">
        <f>0.23*0.1*1*8*1.1399</f>
        <v>0.2097416</v>
      </c>
      <c r="H8482" s="164"/>
    </row>
    <row r="8483" spans="1:8" x14ac:dyDescent="0.25">
      <c r="A8483" s="163"/>
      <c r="B8483" s="106"/>
      <c r="C8483" s="73"/>
      <c r="D8483" s="73"/>
      <c r="E8483" s="73"/>
      <c r="F8483" s="74"/>
      <c r="G8483" s="153"/>
      <c r="H8483" s="164"/>
    </row>
    <row r="8484" spans="1:8" x14ac:dyDescent="0.25">
      <c r="A8484" s="163"/>
      <c r="B8484" s="106"/>
      <c r="C8484" s="75" t="s">
        <v>1201</v>
      </c>
      <c r="D8484" s="152"/>
      <c r="E8484" s="73"/>
      <c r="F8484" s="74"/>
      <c r="G8484" s="153"/>
      <c r="H8484" s="164"/>
    </row>
    <row r="8485" spans="1:8" x14ac:dyDescent="0.25">
      <c r="A8485" s="163"/>
      <c r="B8485" s="106"/>
      <c r="C8485" s="73" t="s">
        <v>1202</v>
      </c>
      <c r="D8485" s="73"/>
      <c r="E8485" s="73"/>
      <c r="F8485" s="152" t="s">
        <v>3</v>
      </c>
      <c r="G8485" s="153">
        <v>0.2</v>
      </c>
      <c r="H8485" s="164"/>
    </row>
    <row r="8486" spans="1:8" x14ac:dyDescent="0.25">
      <c r="A8486" s="163"/>
      <c r="B8486" s="106"/>
      <c r="C8486" s="73"/>
      <c r="D8486" s="73"/>
      <c r="E8486" s="73"/>
      <c r="F8486" s="74"/>
      <c r="G8486" s="153"/>
      <c r="H8486" s="164"/>
    </row>
    <row r="8487" spans="1:8" x14ac:dyDescent="0.25">
      <c r="A8487" s="163"/>
      <c r="B8487" s="106"/>
      <c r="C8487" s="75" t="s">
        <v>1197</v>
      </c>
      <c r="D8487" s="152"/>
      <c r="E8487" s="153"/>
      <c r="F8487" s="74"/>
      <c r="G8487" s="153"/>
      <c r="H8487" s="164"/>
    </row>
    <row r="8488" spans="1:8" x14ac:dyDescent="0.25">
      <c r="A8488" s="163"/>
      <c r="B8488" s="106"/>
      <c r="C8488" s="73" t="s">
        <v>1202</v>
      </c>
      <c r="D8488" s="73"/>
      <c r="E8488" s="73"/>
      <c r="F8488" s="152" t="s">
        <v>3</v>
      </c>
      <c r="G8488" s="153">
        <v>0.49</v>
      </c>
      <c r="H8488" s="164">
        <v>1.61</v>
      </c>
    </row>
    <row r="8489" spans="1:8" x14ac:dyDescent="0.25">
      <c r="A8489" s="163"/>
      <c r="B8489" s="106"/>
      <c r="C8489" s="73"/>
      <c r="D8489" s="73"/>
      <c r="E8489" s="73"/>
      <c r="F8489" s="74"/>
      <c r="G8489" s="153"/>
      <c r="H8489" s="164"/>
    </row>
    <row r="8490" spans="1:8" x14ac:dyDescent="0.25">
      <c r="A8490" s="163"/>
      <c r="B8490" s="106"/>
      <c r="C8490" s="75" t="s">
        <v>3935</v>
      </c>
      <c r="D8490" s="73"/>
      <c r="E8490" s="73"/>
      <c r="F8490" s="74"/>
      <c r="G8490" s="153"/>
      <c r="H8490" s="164"/>
    </row>
    <row r="8491" spans="1:8" x14ac:dyDescent="0.25">
      <c r="A8491" s="163"/>
      <c r="B8491" s="106"/>
      <c r="C8491" s="73" t="s">
        <v>114</v>
      </c>
      <c r="D8491" s="73"/>
      <c r="E8491" s="73"/>
      <c r="F8491" s="74" t="s">
        <v>3</v>
      </c>
      <c r="G8491" s="153">
        <f>G8493*0.58</f>
        <v>3.5078399999999996E-2</v>
      </c>
      <c r="H8491" s="164"/>
    </row>
    <row r="8492" spans="1:8" x14ac:dyDescent="0.25">
      <c r="A8492" s="163"/>
      <c r="B8492" s="106"/>
      <c r="C8492" s="73" t="s">
        <v>164</v>
      </c>
      <c r="D8492" s="73"/>
      <c r="E8492" s="73"/>
      <c r="F8492" s="74" t="s">
        <v>3</v>
      </c>
      <c r="G8492" s="153">
        <f>0.3*G8491</f>
        <v>1.0523519999999998E-2</v>
      </c>
      <c r="H8492" s="164"/>
    </row>
    <row r="8493" spans="1:8" x14ac:dyDescent="0.25">
      <c r="A8493" s="163"/>
      <c r="B8493" s="106"/>
      <c r="C8493" s="73" t="s">
        <v>500</v>
      </c>
      <c r="D8493" s="73"/>
      <c r="E8493" s="73"/>
      <c r="F8493" s="74" t="s">
        <v>3</v>
      </c>
      <c r="G8493" s="153">
        <f>1.4*0.02*2*1.08</f>
        <v>6.0479999999999999E-2</v>
      </c>
      <c r="H8493" s="164"/>
    </row>
    <row r="8494" spans="1:8" x14ac:dyDescent="0.25">
      <c r="A8494" s="163"/>
      <c r="B8494" s="106"/>
      <c r="C8494" s="73" t="s">
        <v>12</v>
      </c>
      <c r="D8494" s="73"/>
      <c r="E8494" s="73"/>
      <c r="F8494" s="74" t="s">
        <v>3</v>
      </c>
      <c r="G8494" s="153">
        <f>0.3*G8493</f>
        <v>1.8144E-2</v>
      </c>
      <c r="H8494" s="164"/>
    </row>
    <row r="8495" spans="1:8" x14ac:dyDescent="0.25">
      <c r="A8495" s="163"/>
      <c r="B8495" s="106"/>
      <c r="C8495" s="77" t="s">
        <v>3394</v>
      </c>
      <c r="D8495" s="73"/>
      <c r="E8495" s="73"/>
      <c r="F8495" s="74" t="s">
        <v>3</v>
      </c>
      <c r="G8495" s="153">
        <f>0.025*3.14*2*0.08*1.2</f>
        <v>1.5072000000000002E-2</v>
      </c>
      <c r="H8495" s="164"/>
    </row>
    <row r="8496" spans="1:8" ht="17.25" x14ac:dyDescent="0.25">
      <c r="A8496" s="163"/>
      <c r="B8496" s="106"/>
      <c r="C8496" s="77" t="s">
        <v>121</v>
      </c>
      <c r="D8496" s="73"/>
      <c r="E8496" s="73"/>
      <c r="F8496" s="74" t="s">
        <v>596</v>
      </c>
      <c r="G8496" s="153">
        <f>G8495*1.1</f>
        <v>1.6579200000000002E-2</v>
      </c>
      <c r="H8496" s="164"/>
    </row>
    <row r="8497" spans="1:11" x14ac:dyDescent="0.25">
      <c r="A8497" s="163"/>
      <c r="B8497" s="106"/>
      <c r="C8497" s="73"/>
      <c r="D8497" s="75" t="s">
        <v>3936</v>
      </c>
      <c r="E8497" s="73"/>
      <c r="F8497" s="74"/>
      <c r="G8497" s="153"/>
      <c r="H8497" s="164"/>
    </row>
    <row r="8498" spans="1:11" x14ac:dyDescent="0.25">
      <c r="A8498" s="163"/>
      <c r="B8498" s="106"/>
      <c r="C8498" s="73"/>
      <c r="D8498" s="73" t="s">
        <v>499</v>
      </c>
      <c r="E8498" s="73"/>
      <c r="F8498" s="74" t="s">
        <v>3</v>
      </c>
      <c r="G8498" s="153">
        <f>1.52*0.592</f>
        <v>0.89983999999999997</v>
      </c>
      <c r="H8498" s="164"/>
      <c r="I8498" t="s">
        <v>3937</v>
      </c>
    </row>
    <row r="8499" spans="1:11" x14ac:dyDescent="0.25">
      <c r="A8499" s="163"/>
      <c r="B8499" s="106"/>
      <c r="C8499" s="73"/>
      <c r="D8499" s="73"/>
      <c r="E8499" s="73"/>
      <c r="F8499" s="74"/>
      <c r="G8499" s="153"/>
      <c r="H8499" s="164"/>
    </row>
    <row r="8500" spans="1:11" x14ac:dyDescent="0.25">
      <c r="A8500" s="163"/>
      <c r="B8500" s="106"/>
      <c r="C8500" s="75" t="s">
        <v>3958</v>
      </c>
      <c r="D8500" s="73"/>
      <c r="E8500" s="73"/>
      <c r="F8500" s="74"/>
      <c r="G8500" s="153"/>
      <c r="H8500" s="164"/>
    </row>
    <row r="8501" spans="1:11" x14ac:dyDescent="0.25">
      <c r="A8501" s="163"/>
      <c r="B8501" s="106"/>
      <c r="C8501" s="73" t="s">
        <v>789</v>
      </c>
      <c r="D8501" s="73"/>
      <c r="E8501" s="73"/>
      <c r="F8501" s="74" t="s">
        <v>3</v>
      </c>
      <c r="G8501" s="153">
        <f>(0.014*3.14/2+0.008)*0.035*4*2.7*1.15</f>
        <v>1.3032306000000002E-2</v>
      </c>
      <c r="H8501" s="164"/>
    </row>
    <row r="8502" spans="1:11" ht="15.75" thickBot="1" x14ac:dyDescent="0.3">
      <c r="A8502" s="421"/>
      <c r="B8502" s="422"/>
      <c r="C8502" s="425"/>
      <c r="D8502" s="425"/>
      <c r="E8502" s="425"/>
      <c r="F8502" s="426"/>
      <c r="G8502" s="429"/>
      <c r="H8502" s="430"/>
    </row>
    <row r="8503" spans="1:11" x14ac:dyDescent="0.25">
      <c r="A8503" s="163"/>
      <c r="B8503" s="106"/>
      <c r="C8503" s="73"/>
      <c r="D8503" s="73"/>
      <c r="E8503" s="75" t="s">
        <v>3989</v>
      </c>
      <c r="F8503" s="74"/>
      <c r="G8503" s="153"/>
      <c r="H8503" s="164" t="s">
        <v>3988</v>
      </c>
    </row>
    <row r="8504" spans="1:11" x14ac:dyDescent="0.25">
      <c r="A8504" s="163"/>
      <c r="B8504" s="106"/>
      <c r="C8504" s="73"/>
      <c r="D8504" s="73"/>
      <c r="E8504" s="73"/>
      <c r="F8504" s="74"/>
      <c r="G8504" s="153"/>
      <c r="H8504" s="164"/>
    </row>
    <row r="8505" spans="1:11" x14ac:dyDescent="0.25">
      <c r="A8505" s="163"/>
      <c r="B8505" s="106"/>
      <c r="C8505" s="75" t="s">
        <v>3964</v>
      </c>
      <c r="D8505" s="73"/>
      <c r="E8505" s="73"/>
      <c r="F8505" s="74"/>
      <c r="G8505" s="153"/>
      <c r="H8505" s="164" t="s">
        <v>3971</v>
      </c>
      <c r="K8505" s="164" t="s">
        <v>3971</v>
      </c>
    </row>
    <row r="8506" spans="1:11" x14ac:dyDescent="0.25">
      <c r="A8506" s="163"/>
      <c r="B8506" s="106"/>
      <c r="C8506" s="73" t="s">
        <v>1883</v>
      </c>
      <c r="D8506" s="73"/>
      <c r="E8506" s="73"/>
      <c r="F8506" s="74" t="s">
        <v>195</v>
      </c>
      <c r="G8506" s="153">
        <v>0.38</v>
      </c>
      <c r="H8506" s="164" t="s">
        <v>3972</v>
      </c>
      <c r="I8506" t="s">
        <v>3676</v>
      </c>
      <c r="K8506" s="164" t="s">
        <v>3972</v>
      </c>
    </row>
    <row r="8507" spans="1:11" x14ac:dyDescent="0.25">
      <c r="A8507" s="163"/>
      <c r="B8507" s="106"/>
      <c r="C8507" s="73"/>
      <c r="D8507" s="75" t="s">
        <v>3965</v>
      </c>
      <c r="E8507" s="73"/>
      <c r="F8507" s="74"/>
      <c r="G8507" s="153"/>
      <c r="H8507" s="164" t="s">
        <v>3987</v>
      </c>
      <c r="K8507" s="164" t="s">
        <v>3987</v>
      </c>
    </row>
    <row r="8508" spans="1:11" x14ac:dyDescent="0.25">
      <c r="A8508" s="163"/>
      <c r="B8508" s="106"/>
      <c r="C8508" s="73"/>
      <c r="D8508" s="73" t="s">
        <v>2755</v>
      </c>
      <c r="E8508" s="75"/>
      <c r="F8508" s="74" t="s">
        <v>3</v>
      </c>
      <c r="G8508" s="153">
        <f>0.03*3.14*0.08*1.2</f>
        <v>9.0432000000000012E-3</v>
      </c>
      <c r="H8508" s="164"/>
    </row>
    <row r="8509" spans="1:11" ht="17.25" x14ac:dyDescent="0.25">
      <c r="A8509" s="163"/>
      <c r="B8509" s="106"/>
      <c r="C8509" s="73"/>
      <c r="D8509" s="73" t="s">
        <v>1055</v>
      </c>
      <c r="E8509" s="75"/>
      <c r="F8509" s="74" t="s">
        <v>596</v>
      </c>
      <c r="G8509" s="153">
        <f>G8508*1.1</f>
        <v>9.9475200000000014E-3</v>
      </c>
      <c r="H8509" s="164"/>
    </row>
    <row r="8510" spans="1:11" x14ac:dyDescent="0.25">
      <c r="A8510" s="163"/>
      <c r="B8510" s="106"/>
      <c r="C8510" s="73"/>
      <c r="D8510" s="100" t="s">
        <v>140</v>
      </c>
      <c r="E8510" s="75"/>
      <c r="F8510" s="74" t="s">
        <v>3</v>
      </c>
      <c r="G8510" s="153">
        <f>0.025*3.14*0.08*1.2</f>
        <v>7.536000000000001E-3</v>
      </c>
      <c r="H8510" s="164"/>
    </row>
    <row r="8511" spans="1:11" ht="17.25" x14ac:dyDescent="0.25">
      <c r="A8511" s="163"/>
      <c r="B8511" s="106"/>
      <c r="C8511" s="73"/>
      <c r="D8511" s="100" t="s">
        <v>23</v>
      </c>
      <c r="E8511" s="75"/>
      <c r="F8511" s="74" t="s">
        <v>596</v>
      </c>
      <c r="G8511" s="153">
        <f>G8510*2</f>
        <v>1.5072000000000002E-2</v>
      </c>
      <c r="H8511" s="164"/>
    </row>
    <row r="8512" spans="1:11" x14ac:dyDescent="0.25">
      <c r="A8512" s="163"/>
      <c r="B8512" s="106"/>
      <c r="C8512" s="73"/>
      <c r="D8512" s="100" t="s">
        <v>142</v>
      </c>
      <c r="E8512" s="75"/>
      <c r="F8512" s="74" t="s">
        <v>3</v>
      </c>
      <c r="G8512" s="153">
        <f>G8510/4</f>
        <v>1.8840000000000003E-3</v>
      </c>
      <c r="H8512" s="164"/>
    </row>
    <row r="8513" spans="1:11" x14ac:dyDescent="0.25">
      <c r="A8513" s="163"/>
      <c r="B8513" s="106"/>
      <c r="C8513" s="73"/>
      <c r="D8513" s="186" t="s">
        <v>8</v>
      </c>
      <c r="E8513" s="75"/>
      <c r="F8513" s="74" t="s">
        <v>3</v>
      </c>
      <c r="G8513" s="153">
        <f>G8514*0.7</f>
        <v>6.7760000000000008E-3</v>
      </c>
      <c r="H8513" s="164"/>
      <c r="K8513" s="443"/>
    </row>
    <row r="8514" spans="1:11" x14ac:dyDescent="0.25">
      <c r="A8514" s="163"/>
      <c r="B8514" s="106"/>
      <c r="C8514" s="73"/>
      <c r="D8514" s="186" t="s">
        <v>325</v>
      </c>
      <c r="E8514" s="75"/>
      <c r="F8514" s="74" t="s">
        <v>3</v>
      </c>
      <c r="G8514" s="153">
        <f>0.22*0.02*2*1.1</f>
        <v>9.6800000000000011E-3</v>
      </c>
      <c r="H8514" s="164"/>
      <c r="K8514" s="443"/>
    </row>
    <row r="8515" spans="1:11" x14ac:dyDescent="0.25">
      <c r="A8515" s="163"/>
      <c r="B8515" s="106"/>
      <c r="C8515" s="73"/>
      <c r="D8515" s="186" t="s">
        <v>12</v>
      </c>
      <c r="E8515" s="75"/>
      <c r="F8515" s="74" t="s">
        <v>3</v>
      </c>
      <c r="G8515" s="153">
        <f>0.3*(G8514+G8513)</f>
        <v>4.9368000000000007E-3</v>
      </c>
      <c r="H8515" s="164"/>
      <c r="K8515" s="443"/>
    </row>
    <row r="8516" spans="1:11" x14ac:dyDescent="0.25">
      <c r="A8516" s="163"/>
      <c r="B8516" s="106"/>
      <c r="C8516" s="73"/>
      <c r="D8516" s="73"/>
      <c r="E8516" s="75" t="s">
        <v>3966</v>
      </c>
      <c r="F8516" s="74"/>
      <c r="G8516" s="153"/>
      <c r="H8516" s="164"/>
    </row>
    <row r="8517" spans="1:11" x14ac:dyDescent="0.25">
      <c r="A8517" s="163"/>
      <c r="B8517" s="106"/>
      <c r="C8517" s="73"/>
      <c r="D8517" s="73"/>
      <c r="E8517" s="73" t="s">
        <v>925</v>
      </c>
      <c r="F8517" s="74" t="s">
        <v>3</v>
      </c>
      <c r="G8517" s="153">
        <f>0.592*0.21+0.001</f>
        <v>0.12531999999999999</v>
      </c>
      <c r="H8517" s="164"/>
      <c r="I8517" t="s">
        <v>3967</v>
      </c>
    </row>
    <row r="8518" spans="1:11" x14ac:dyDescent="0.25">
      <c r="A8518" s="163"/>
      <c r="B8518" s="106"/>
      <c r="C8518" s="73"/>
      <c r="D8518" s="78" t="s">
        <v>3968</v>
      </c>
      <c r="E8518" s="73"/>
      <c r="F8518" s="74"/>
      <c r="G8518" s="153"/>
      <c r="H8518" s="164"/>
    </row>
    <row r="8519" spans="1:11" x14ac:dyDescent="0.25">
      <c r="A8519" s="163"/>
      <c r="B8519" s="106"/>
      <c r="C8519" s="73"/>
      <c r="D8519" s="100" t="s">
        <v>140</v>
      </c>
      <c r="E8519" s="75"/>
      <c r="F8519" s="74" t="s">
        <v>3</v>
      </c>
      <c r="G8519" s="153">
        <f>0.025*3.14*2*0.08*1.2</f>
        <v>1.5072000000000002E-2</v>
      </c>
      <c r="H8519" s="164"/>
    </row>
    <row r="8520" spans="1:11" ht="17.25" x14ac:dyDescent="0.25">
      <c r="A8520" s="163"/>
      <c r="B8520" s="106"/>
      <c r="C8520" s="73"/>
      <c r="D8520" s="100" t="s">
        <v>23</v>
      </c>
      <c r="E8520" s="75"/>
      <c r="F8520" s="74" t="s">
        <v>596</v>
      </c>
      <c r="G8520" s="153">
        <f>G8519*2</f>
        <v>3.0144000000000004E-2</v>
      </c>
      <c r="H8520" s="164"/>
    </row>
    <row r="8521" spans="1:11" x14ac:dyDescent="0.25">
      <c r="A8521" s="163"/>
      <c r="B8521" s="106"/>
      <c r="C8521" s="73"/>
      <c r="D8521" s="100" t="s">
        <v>142</v>
      </c>
      <c r="E8521" s="75"/>
      <c r="F8521" s="74" t="s">
        <v>3</v>
      </c>
      <c r="G8521" s="153">
        <f>G8519/4</f>
        <v>3.7680000000000005E-3</v>
      </c>
      <c r="H8521" s="164"/>
    </row>
    <row r="8522" spans="1:11" x14ac:dyDescent="0.25">
      <c r="A8522" s="163"/>
      <c r="B8522" s="106"/>
      <c r="C8522" s="73"/>
      <c r="D8522" s="186" t="s">
        <v>8</v>
      </c>
      <c r="E8522" s="75"/>
      <c r="F8522" s="74" t="s">
        <v>3</v>
      </c>
      <c r="G8522" s="153">
        <f>G8523*0.7</f>
        <v>4.9280000000000001E-3</v>
      </c>
      <c r="H8522" s="164"/>
    </row>
    <row r="8523" spans="1:11" x14ac:dyDescent="0.25">
      <c r="A8523" s="163"/>
      <c r="B8523" s="106"/>
      <c r="C8523" s="73"/>
      <c r="D8523" s="186" t="s">
        <v>325</v>
      </c>
      <c r="E8523" s="75"/>
      <c r="F8523" s="74" t="s">
        <v>3</v>
      </c>
      <c r="G8523" s="153">
        <f>0.16*0.02*2*1.1</f>
        <v>7.0400000000000011E-3</v>
      </c>
      <c r="H8523" s="164"/>
    </row>
    <row r="8524" spans="1:11" x14ac:dyDescent="0.25">
      <c r="A8524" s="163"/>
      <c r="B8524" s="106"/>
      <c r="C8524" s="73"/>
      <c r="D8524" s="186" t="s">
        <v>12</v>
      </c>
      <c r="E8524" s="75"/>
      <c r="F8524" s="74" t="s">
        <v>3</v>
      </c>
      <c r="G8524" s="153">
        <f>0.3*(G8523+G8522)</f>
        <v>3.5904000000000001E-3</v>
      </c>
      <c r="H8524" s="164"/>
    </row>
    <row r="8525" spans="1:11" x14ac:dyDescent="0.25">
      <c r="A8525" s="163"/>
      <c r="B8525" s="106"/>
      <c r="C8525" s="73"/>
      <c r="D8525" s="73"/>
      <c r="E8525" s="75" t="s">
        <v>3969</v>
      </c>
      <c r="F8525" s="74"/>
      <c r="G8525" s="153"/>
      <c r="H8525" s="164"/>
    </row>
    <row r="8526" spans="1:11" x14ac:dyDescent="0.25">
      <c r="A8526" s="163"/>
      <c r="B8526" s="106"/>
      <c r="C8526" s="73"/>
      <c r="D8526" s="73"/>
      <c r="E8526" s="73" t="s">
        <v>925</v>
      </c>
      <c r="F8526" s="74" t="s">
        <v>3</v>
      </c>
      <c r="G8526" s="153">
        <f>0.592*0.12+0.004</f>
        <v>7.5039999999999996E-2</v>
      </c>
      <c r="H8526" s="164"/>
      <c r="I8526" t="s">
        <v>3970</v>
      </c>
    </row>
    <row r="8527" spans="1:11" x14ac:dyDescent="0.25">
      <c r="A8527" s="163"/>
      <c r="B8527" s="106"/>
      <c r="C8527" s="73"/>
      <c r="D8527" s="73"/>
      <c r="E8527" s="73"/>
      <c r="F8527" s="74"/>
      <c r="G8527" s="153"/>
      <c r="H8527" s="164"/>
    </row>
    <row r="8528" spans="1:11" x14ac:dyDescent="0.25">
      <c r="A8528" s="163"/>
      <c r="B8528" s="106"/>
      <c r="C8528" s="75" t="s">
        <v>3973</v>
      </c>
      <c r="D8528" s="73"/>
      <c r="E8528" s="73"/>
      <c r="F8528" s="74"/>
      <c r="G8528" s="153"/>
      <c r="H8528" s="164"/>
    </row>
    <row r="8529" spans="1:9" x14ac:dyDescent="0.25">
      <c r="A8529" s="163"/>
      <c r="B8529" s="106"/>
      <c r="C8529" s="73" t="s">
        <v>1883</v>
      </c>
      <c r="D8529" s="73"/>
      <c r="E8529" s="73"/>
      <c r="F8529" s="74" t="s">
        <v>195</v>
      </c>
      <c r="G8529" s="153">
        <v>0.23</v>
      </c>
      <c r="H8529" s="164"/>
      <c r="I8529" t="s">
        <v>3974</v>
      </c>
    </row>
    <row r="8530" spans="1:9" x14ac:dyDescent="0.25">
      <c r="A8530" s="163"/>
      <c r="B8530" s="106"/>
      <c r="C8530" s="73"/>
      <c r="D8530" s="75" t="s">
        <v>3975</v>
      </c>
      <c r="E8530" s="73"/>
      <c r="F8530" s="74"/>
      <c r="G8530" s="153"/>
      <c r="H8530" s="164"/>
    </row>
    <row r="8531" spans="1:9" x14ac:dyDescent="0.25">
      <c r="A8531" s="163"/>
      <c r="B8531" s="106"/>
      <c r="C8531" s="73"/>
      <c r="D8531" s="100" t="s">
        <v>140</v>
      </c>
      <c r="E8531" s="75"/>
      <c r="F8531" s="74" t="s">
        <v>3</v>
      </c>
      <c r="G8531" s="153">
        <f>0.025*3.14*3*0.08*1.2</f>
        <v>2.2608000000000003E-2</v>
      </c>
      <c r="H8531" s="164"/>
    </row>
    <row r="8532" spans="1:9" ht="17.25" x14ac:dyDescent="0.25">
      <c r="A8532" s="163"/>
      <c r="B8532" s="106"/>
      <c r="C8532" s="73"/>
      <c r="D8532" s="100" t="s">
        <v>23</v>
      </c>
      <c r="E8532" s="75"/>
      <c r="F8532" s="74" t="s">
        <v>596</v>
      </c>
      <c r="G8532" s="153">
        <f>G8531*2</f>
        <v>4.5216000000000006E-2</v>
      </c>
      <c r="H8532" s="164"/>
    </row>
    <row r="8533" spans="1:9" x14ac:dyDescent="0.25">
      <c r="A8533" s="163"/>
      <c r="B8533" s="106"/>
      <c r="C8533" s="73"/>
      <c r="D8533" s="100" t="s">
        <v>142</v>
      </c>
      <c r="E8533" s="75"/>
      <c r="F8533" s="74" t="s">
        <v>3</v>
      </c>
      <c r="G8533" s="153">
        <f>G8531/4</f>
        <v>5.6520000000000008E-3</v>
      </c>
      <c r="H8533" s="164"/>
    </row>
    <row r="8534" spans="1:9" x14ac:dyDescent="0.25">
      <c r="A8534" s="163"/>
      <c r="B8534" s="106"/>
      <c r="C8534" s="73"/>
      <c r="D8534" s="186" t="s">
        <v>8</v>
      </c>
      <c r="E8534" s="75"/>
      <c r="F8534" s="74" t="s">
        <v>3</v>
      </c>
      <c r="G8534" s="153">
        <f>G8535*0.7</f>
        <v>1.1087999999999999E-2</v>
      </c>
      <c r="H8534" s="164"/>
    </row>
    <row r="8535" spans="1:9" x14ac:dyDescent="0.25">
      <c r="A8535" s="163"/>
      <c r="B8535" s="106"/>
      <c r="C8535" s="73"/>
      <c r="D8535" s="186" t="s">
        <v>325</v>
      </c>
      <c r="E8535" s="75"/>
      <c r="F8535" s="74" t="s">
        <v>3</v>
      </c>
      <c r="G8535" s="153">
        <f>0.36*0.02*2*1.1</f>
        <v>1.584E-2</v>
      </c>
      <c r="H8535" s="164"/>
    </row>
    <row r="8536" spans="1:9" x14ac:dyDescent="0.25">
      <c r="A8536" s="163"/>
      <c r="B8536" s="106"/>
      <c r="C8536" s="73"/>
      <c r="D8536" s="186" t="s">
        <v>12</v>
      </c>
      <c r="E8536" s="75"/>
      <c r="F8536" s="74" t="s">
        <v>3</v>
      </c>
      <c r="G8536" s="153">
        <f>0.3*(G8535+G8534)</f>
        <v>8.0783999999999995E-3</v>
      </c>
      <c r="H8536" s="164"/>
    </row>
    <row r="8537" spans="1:9" x14ac:dyDescent="0.25">
      <c r="A8537" s="163"/>
      <c r="B8537" s="106"/>
      <c r="C8537" s="73"/>
      <c r="D8537" s="73"/>
      <c r="E8537" s="75" t="s">
        <v>3976</v>
      </c>
      <c r="F8537" s="74"/>
      <c r="G8537" s="153"/>
      <c r="H8537" s="164"/>
    </row>
    <row r="8538" spans="1:9" x14ac:dyDescent="0.25">
      <c r="A8538" s="163"/>
      <c r="B8538" s="106"/>
      <c r="C8538" s="73"/>
      <c r="D8538" s="73"/>
      <c r="E8538" s="73" t="s">
        <v>925</v>
      </c>
      <c r="F8538" s="74" t="s">
        <v>3</v>
      </c>
      <c r="G8538" s="153">
        <f>0.592*0.4+0.003</f>
        <v>0.23980000000000001</v>
      </c>
      <c r="H8538" s="164"/>
      <c r="I8538" t="s">
        <v>3977</v>
      </c>
    </row>
    <row r="8539" spans="1:9" x14ac:dyDescent="0.25">
      <c r="A8539" s="163"/>
      <c r="B8539" s="106"/>
      <c r="C8539" s="73"/>
      <c r="D8539" s="73"/>
      <c r="E8539" s="75" t="s">
        <v>3978</v>
      </c>
      <c r="F8539" s="74"/>
      <c r="G8539" s="153"/>
      <c r="H8539" s="164"/>
    </row>
    <row r="8540" spans="1:9" x14ac:dyDescent="0.25">
      <c r="A8540" s="163"/>
      <c r="B8540" s="106"/>
      <c r="C8540" s="73"/>
      <c r="D8540" s="73"/>
      <c r="E8540" s="73" t="s">
        <v>55</v>
      </c>
      <c r="F8540" s="74" t="s">
        <v>3</v>
      </c>
      <c r="G8540" s="153">
        <f>0.08*0.03*3*8*1.12</f>
        <v>6.4512E-2</v>
      </c>
      <c r="H8540" s="164"/>
    </row>
    <row r="8541" spans="1:9" x14ac:dyDescent="0.25">
      <c r="A8541" s="163"/>
      <c r="B8541" s="106"/>
      <c r="C8541" s="73"/>
      <c r="D8541" s="73"/>
      <c r="E8541" s="73"/>
      <c r="F8541" s="74"/>
      <c r="G8541" s="153"/>
      <c r="H8541" s="164"/>
    </row>
    <row r="8542" spans="1:9" x14ac:dyDescent="0.25">
      <c r="A8542" s="163"/>
      <c r="B8542" s="106"/>
      <c r="C8542" s="75" t="s">
        <v>3979</v>
      </c>
      <c r="D8542" s="73"/>
      <c r="E8542" s="73"/>
      <c r="F8542" s="74"/>
      <c r="G8542" s="153"/>
      <c r="H8542" s="164"/>
    </row>
    <row r="8543" spans="1:9" x14ac:dyDescent="0.25">
      <c r="A8543" s="163"/>
      <c r="B8543" s="106"/>
      <c r="C8543" s="100" t="s">
        <v>140</v>
      </c>
      <c r="D8543" s="75"/>
      <c r="E8543" s="73"/>
      <c r="F8543" s="74" t="s">
        <v>3</v>
      </c>
      <c r="G8543" s="153">
        <f>0.018*3.14*2*0.08*1.15</f>
        <v>1.0399679999999998E-2</v>
      </c>
      <c r="H8543" s="164"/>
    </row>
    <row r="8544" spans="1:9" ht="17.25" x14ac:dyDescent="0.25">
      <c r="A8544" s="163"/>
      <c r="B8544" s="106"/>
      <c r="C8544" s="100" t="s">
        <v>23</v>
      </c>
      <c r="D8544" s="75"/>
      <c r="E8544" s="73"/>
      <c r="F8544" s="74" t="s">
        <v>596</v>
      </c>
      <c r="G8544" s="153">
        <f>G8543*2-0.001</f>
        <v>1.9799359999999995E-2</v>
      </c>
      <c r="H8544" s="164"/>
    </row>
    <row r="8545" spans="1:11" x14ac:dyDescent="0.25">
      <c r="A8545" s="163"/>
      <c r="B8545" s="106"/>
      <c r="C8545" s="100" t="s">
        <v>142</v>
      </c>
      <c r="D8545" s="75"/>
      <c r="E8545" s="73"/>
      <c r="F8545" s="74" t="s">
        <v>3</v>
      </c>
      <c r="G8545" s="153">
        <f>G8543/4+0.001</f>
        <v>3.5999199999999995E-3</v>
      </c>
      <c r="H8545" s="164"/>
    </row>
    <row r="8546" spans="1:11" x14ac:dyDescent="0.25">
      <c r="A8546" s="163"/>
      <c r="B8546" s="106"/>
      <c r="C8546" s="186" t="s">
        <v>8</v>
      </c>
      <c r="D8546" s="75"/>
      <c r="E8546" s="73"/>
      <c r="F8546" s="74" t="s">
        <v>3</v>
      </c>
      <c r="G8546" s="153">
        <f>G8547*0.7</f>
        <v>1.54E-2</v>
      </c>
      <c r="H8546" s="164"/>
    </row>
    <row r="8547" spans="1:11" x14ac:dyDescent="0.25">
      <c r="A8547" s="163"/>
      <c r="B8547" s="106"/>
      <c r="C8547" s="186" t="s">
        <v>115</v>
      </c>
      <c r="D8547" s="75"/>
      <c r="E8547" s="73"/>
      <c r="F8547" s="74" t="s">
        <v>3</v>
      </c>
      <c r="G8547" s="153">
        <f>0.5*0.02*2*1.1</f>
        <v>2.2000000000000002E-2</v>
      </c>
      <c r="H8547" s="164"/>
    </row>
    <row r="8548" spans="1:11" x14ac:dyDescent="0.25">
      <c r="A8548" s="163"/>
      <c r="B8548" s="106"/>
      <c r="C8548" s="186" t="s">
        <v>143</v>
      </c>
      <c r="D8548" s="75"/>
      <c r="E8548" s="73"/>
      <c r="F8548" s="74" t="s">
        <v>3</v>
      </c>
      <c r="G8548" s="153">
        <f>G8546</f>
        <v>1.54E-2</v>
      </c>
      <c r="H8548" s="164"/>
      <c r="K8548" s="443"/>
    </row>
    <row r="8549" spans="1:11" x14ac:dyDescent="0.25">
      <c r="A8549" s="163"/>
      <c r="B8549" s="106"/>
      <c r="C8549" s="186" t="s">
        <v>12</v>
      </c>
      <c r="D8549" s="75"/>
      <c r="E8549" s="73"/>
      <c r="F8549" s="74" t="s">
        <v>3</v>
      </c>
      <c r="G8549" s="153">
        <f>0.3*(G8547+G8546+G8548)</f>
        <v>1.584E-2</v>
      </c>
      <c r="H8549" s="164"/>
    </row>
    <row r="8550" spans="1:11" x14ac:dyDescent="0.25">
      <c r="A8550" s="163"/>
      <c r="B8550" s="106"/>
      <c r="C8550" s="73"/>
      <c r="D8550" s="75" t="s">
        <v>3980</v>
      </c>
      <c r="E8550" s="73"/>
      <c r="F8550" s="74"/>
      <c r="G8550" s="153"/>
      <c r="H8550" s="164"/>
    </row>
    <row r="8551" spans="1:11" x14ac:dyDescent="0.25">
      <c r="A8551" s="163"/>
      <c r="B8551" s="106"/>
      <c r="C8551" s="73"/>
      <c r="D8551" s="73" t="s">
        <v>3981</v>
      </c>
      <c r="E8551" s="73"/>
      <c r="F8551" s="74" t="s">
        <v>3</v>
      </c>
      <c r="G8551" s="153">
        <f>0.419*0.5</f>
        <v>0.20949999999999999</v>
      </c>
      <c r="H8551" s="164"/>
      <c r="I8551" t="s">
        <v>3982</v>
      </c>
    </row>
    <row r="8552" spans="1:11" x14ac:dyDescent="0.25">
      <c r="A8552" s="163"/>
      <c r="B8552" s="106"/>
      <c r="C8552" s="73"/>
      <c r="D8552" s="73"/>
      <c r="E8552" s="73"/>
      <c r="F8552" s="74"/>
      <c r="G8552" s="153"/>
      <c r="H8552" s="164"/>
    </row>
    <row r="8553" spans="1:11" x14ac:dyDescent="0.25">
      <c r="A8553" s="163"/>
      <c r="B8553" s="106"/>
      <c r="C8553" s="75" t="s">
        <v>3983</v>
      </c>
      <c r="D8553" s="73"/>
      <c r="E8553" s="73"/>
      <c r="F8553" s="74"/>
      <c r="G8553" s="153"/>
      <c r="H8553" s="164"/>
    </row>
    <row r="8554" spans="1:11" x14ac:dyDescent="0.25">
      <c r="A8554" s="163"/>
      <c r="B8554" s="106"/>
      <c r="C8554" s="73" t="s">
        <v>3981</v>
      </c>
      <c r="D8554" s="73"/>
      <c r="E8554" s="73"/>
      <c r="F8554" s="74" t="s">
        <v>3</v>
      </c>
      <c r="G8554" s="153">
        <f>0.419*0.322</f>
        <v>0.13491800000000001</v>
      </c>
      <c r="H8554" s="164"/>
      <c r="I8554" t="s">
        <v>3984</v>
      </c>
    </row>
    <row r="8555" spans="1:11" x14ac:dyDescent="0.25">
      <c r="A8555" s="163"/>
      <c r="B8555" s="106"/>
      <c r="C8555" s="73"/>
      <c r="D8555" s="73"/>
      <c r="E8555" s="73"/>
      <c r="F8555" s="74"/>
      <c r="G8555" s="153"/>
      <c r="H8555" s="164"/>
    </row>
    <row r="8556" spans="1:11" x14ac:dyDescent="0.25">
      <c r="A8556" s="163"/>
      <c r="B8556" s="106"/>
      <c r="C8556" s="75" t="s">
        <v>3985</v>
      </c>
      <c r="D8556" s="73"/>
      <c r="E8556" s="73"/>
      <c r="F8556" s="74"/>
      <c r="G8556" s="153"/>
      <c r="H8556" s="164"/>
    </row>
    <row r="8557" spans="1:11" x14ac:dyDescent="0.25">
      <c r="A8557" s="163"/>
      <c r="B8557" s="106"/>
      <c r="C8557" s="100" t="s">
        <v>140</v>
      </c>
      <c r="D8557" s="75"/>
      <c r="E8557" s="73"/>
      <c r="F8557" s="74" t="s">
        <v>3</v>
      </c>
      <c r="G8557" s="153">
        <f>0.018*3.14*2*0.08*1.15</f>
        <v>1.0399679999999998E-2</v>
      </c>
      <c r="H8557" s="164"/>
    </row>
    <row r="8558" spans="1:11" ht="17.25" x14ac:dyDescent="0.25">
      <c r="A8558" s="163"/>
      <c r="B8558" s="106"/>
      <c r="C8558" s="100" t="s">
        <v>23</v>
      </c>
      <c r="D8558" s="75"/>
      <c r="E8558" s="73"/>
      <c r="F8558" s="74" t="s">
        <v>596</v>
      </c>
      <c r="G8558" s="153">
        <f>G8557*2-0.001</f>
        <v>1.9799359999999995E-2</v>
      </c>
      <c r="H8558" s="164"/>
    </row>
    <row r="8559" spans="1:11" x14ac:dyDescent="0.25">
      <c r="A8559" s="163"/>
      <c r="B8559" s="106"/>
      <c r="C8559" s="100" t="s">
        <v>142</v>
      </c>
      <c r="D8559" s="75"/>
      <c r="E8559" s="73"/>
      <c r="F8559" s="74" t="s">
        <v>3</v>
      </c>
      <c r="G8559" s="153">
        <f>G8557/4+0.001</f>
        <v>3.5999199999999995E-3</v>
      </c>
      <c r="H8559" s="164"/>
    </row>
    <row r="8560" spans="1:11" x14ac:dyDescent="0.25">
      <c r="A8560" s="163"/>
      <c r="B8560" s="106"/>
      <c r="C8560" s="186" t="s">
        <v>8</v>
      </c>
      <c r="D8560" s="75"/>
      <c r="E8560" s="73"/>
      <c r="F8560" s="74" t="s">
        <v>3</v>
      </c>
      <c r="G8560" s="153">
        <f>G8561*0.78</f>
        <v>2.5115999999999996E-2</v>
      </c>
      <c r="H8560" s="164"/>
    </row>
    <row r="8561" spans="1:9" x14ac:dyDescent="0.25">
      <c r="A8561" s="163"/>
      <c r="B8561" s="106"/>
      <c r="C8561" s="186" t="s">
        <v>115</v>
      </c>
      <c r="D8561" s="75"/>
      <c r="E8561" s="73"/>
      <c r="F8561" s="74" t="s">
        <v>3</v>
      </c>
      <c r="G8561" s="153">
        <f>0.7*0.02*2*1.15</f>
        <v>3.2199999999999993E-2</v>
      </c>
      <c r="H8561" s="164"/>
    </row>
    <row r="8562" spans="1:9" x14ac:dyDescent="0.25">
      <c r="A8562" s="163"/>
      <c r="B8562" s="106"/>
      <c r="C8562" s="186" t="s">
        <v>143</v>
      </c>
      <c r="D8562" s="75"/>
      <c r="E8562" s="73"/>
      <c r="F8562" s="74" t="s">
        <v>3</v>
      </c>
      <c r="G8562" s="153">
        <f>G8560</f>
        <v>2.5115999999999996E-2</v>
      </c>
      <c r="H8562" s="164"/>
    </row>
    <row r="8563" spans="1:9" x14ac:dyDescent="0.25">
      <c r="A8563" s="163"/>
      <c r="B8563" s="106"/>
      <c r="C8563" s="186" t="s">
        <v>12</v>
      </c>
      <c r="D8563" s="75"/>
      <c r="E8563" s="73"/>
      <c r="F8563" s="74" t="s">
        <v>3</v>
      </c>
      <c r="G8563" s="153">
        <f>0.3*(G8561+G8560+G8562)</f>
        <v>2.4729599999999997E-2</v>
      </c>
      <c r="H8563" s="164"/>
    </row>
    <row r="8564" spans="1:9" x14ac:dyDescent="0.25">
      <c r="A8564" s="163"/>
      <c r="B8564" s="106"/>
      <c r="C8564" s="73"/>
      <c r="D8564" s="75" t="s">
        <v>3986</v>
      </c>
      <c r="E8564" s="73"/>
      <c r="F8564" s="74"/>
      <c r="G8564" s="153"/>
      <c r="H8564" s="164"/>
    </row>
    <row r="8565" spans="1:9" x14ac:dyDescent="0.25">
      <c r="A8565" s="163"/>
      <c r="B8565" s="106"/>
      <c r="C8565" s="73"/>
      <c r="D8565" s="73" t="s">
        <v>3981</v>
      </c>
      <c r="E8565" s="73"/>
      <c r="F8565" s="74" t="s">
        <v>3</v>
      </c>
      <c r="G8565" s="153">
        <f>0.419*0.75+0.001</f>
        <v>0.31524999999999997</v>
      </c>
      <c r="H8565" s="164"/>
      <c r="I8565" t="s">
        <v>1287</v>
      </c>
    </row>
    <row r="8566" spans="1:9" ht="15.75" thickBot="1" x14ac:dyDescent="0.3">
      <c r="A8566" s="421"/>
      <c r="B8566" s="422"/>
      <c r="C8566" s="425"/>
      <c r="D8566" s="425"/>
      <c r="E8566" s="425"/>
      <c r="F8566" s="426"/>
      <c r="G8566" s="429"/>
      <c r="H8566" s="430"/>
    </row>
    <row r="8567" spans="1:9" x14ac:dyDescent="0.25">
      <c r="A8567" s="163"/>
      <c r="B8567" s="106"/>
      <c r="C8567" s="73"/>
      <c r="D8567" s="73"/>
      <c r="E8567" s="444" t="s">
        <v>4045</v>
      </c>
      <c r="F8567" s="74"/>
      <c r="G8567" s="153"/>
      <c r="H8567" s="164" t="s">
        <v>4044</v>
      </c>
    </row>
    <row r="8568" spans="1:9" x14ac:dyDescent="0.25">
      <c r="A8568" s="163"/>
      <c r="B8568" s="106"/>
      <c r="C8568" s="73"/>
      <c r="D8568" s="73"/>
      <c r="E8568" s="73"/>
      <c r="F8568" s="74"/>
      <c r="G8568" s="153"/>
      <c r="H8568" s="164"/>
    </row>
    <row r="8569" spans="1:9" x14ac:dyDescent="0.25">
      <c r="A8569" s="163"/>
      <c r="B8569" s="106"/>
      <c r="C8569" s="75" t="s">
        <v>3960</v>
      </c>
      <c r="D8569" s="73"/>
      <c r="E8569" s="73"/>
      <c r="F8569" s="74"/>
      <c r="G8569" s="153"/>
      <c r="H8569" s="164"/>
    </row>
    <row r="8570" spans="1:9" x14ac:dyDescent="0.25">
      <c r="A8570" s="163"/>
      <c r="B8570" s="106"/>
      <c r="C8570" s="73" t="s">
        <v>3678</v>
      </c>
      <c r="D8570" s="73"/>
      <c r="E8570" s="73"/>
      <c r="F8570" s="74" t="s">
        <v>3</v>
      </c>
      <c r="G8570" s="153">
        <f>0.035*0.035*5*8*1.12</f>
        <v>5.4880000000000012E-2</v>
      </c>
      <c r="H8570" s="164"/>
    </row>
    <row r="8571" spans="1:9" x14ac:dyDescent="0.25">
      <c r="A8571" s="163"/>
      <c r="B8571" s="106"/>
      <c r="C8571" s="73"/>
      <c r="D8571" s="73"/>
      <c r="E8571" s="73"/>
      <c r="F8571" s="74"/>
      <c r="G8571" s="153"/>
      <c r="H8571" s="164"/>
    </row>
    <row r="8572" spans="1:9" x14ac:dyDescent="0.25">
      <c r="A8572" s="163"/>
      <c r="B8572" s="106"/>
      <c r="C8572" s="75" t="s">
        <v>3961</v>
      </c>
      <c r="D8572" s="73"/>
      <c r="E8572" s="73"/>
      <c r="F8572" s="74"/>
      <c r="G8572" s="153"/>
      <c r="H8572" s="164"/>
    </row>
    <row r="8573" spans="1:9" x14ac:dyDescent="0.25">
      <c r="A8573" s="163"/>
      <c r="B8573" s="106"/>
      <c r="C8573" s="73" t="s">
        <v>3962</v>
      </c>
      <c r="D8573" s="73"/>
      <c r="E8573" s="73"/>
      <c r="F8573" s="74" t="s">
        <v>3</v>
      </c>
      <c r="G8573" s="153">
        <f>0.41*0.155*4*8*1.1065</f>
        <v>2.2501783999999998</v>
      </c>
      <c r="H8573" s="164"/>
    </row>
    <row r="8574" spans="1:9" x14ac:dyDescent="0.25">
      <c r="A8574" s="163"/>
      <c r="B8574" s="106"/>
      <c r="C8574" s="73"/>
      <c r="D8574" s="73"/>
      <c r="E8574" s="73"/>
      <c r="F8574" s="74"/>
      <c r="G8574" s="153"/>
      <c r="H8574" s="164"/>
    </row>
    <row r="8575" spans="1:9" x14ac:dyDescent="0.25">
      <c r="A8575" s="163"/>
      <c r="B8575" s="106"/>
      <c r="C8575" s="75" t="s">
        <v>3933</v>
      </c>
      <c r="D8575" s="73"/>
      <c r="E8575" s="73"/>
      <c r="F8575" s="74"/>
      <c r="G8575" s="153"/>
      <c r="H8575" s="164"/>
    </row>
    <row r="8576" spans="1:9" x14ac:dyDescent="0.25">
      <c r="A8576" s="163"/>
      <c r="B8576" s="106"/>
      <c r="C8576" s="73" t="s">
        <v>3770</v>
      </c>
      <c r="D8576" s="73"/>
      <c r="E8576" s="73"/>
      <c r="F8576" s="74" t="s">
        <v>3</v>
      </c>
      <c r="G8576" s="153">
        <f>0.225*0.1*1*8*1.112</f>
        <v>0.20016000000000003</v>
      </c>
      <c r="H8576" s="164"/>
    </row>
    <row r="8577" spans="1:11" x14ac:dyDescent="0.25">
      <c r="A8577" s="163"/>
      <c r="B8577" s="106"/>
      <c r="C8577" s="73"/>
      <c r="D8577" s="73"/>
      <c r="E8577" s="73"/>
      <c r="F8577" s="74"/>
      <c r="G8577" s="153"/>
      <c r="H8577" s="164"/>
    </row>
    <row r="8578" spans="1:11" x14ac:dyDescent="0.25">
      <c r="A8578" s="163"/>
      <c r="B8578" s="106"/>
      <c r="C8578" s="75" t="s">
        <v>3963</v>
      </c>
      <c r="D8578" s="73"/>
      <c r="E8578" s="73"/>
      <c r="F8578" s="74"/>
      <c r="G8578" s="153"/>
      <c r="H8578" s="164"/>
    </row>
    <row r="8579" spans="1:11" x14ac:dyDescent="0.25">
      <c r="A8579" s="163"/>
      <c r="B8579" s="106"/>
      <c r="C8579" s="73" t="s">
        <v>415</v>
      </c>
      <c r="D8579" s="73"/>
      <c r="E8579" s="73"/>
      <c r="F8579" s="74" t="s">
        <v>3</v>
      </c>
      <c r="G8579" s="153">
        <f>0.155*0.02*1.5*8*1.12</f>
        <v>4.1664E-2</v>
      </c>
      <c r="H8579" s="164"/>
      <c r="K8579" s="443"/>
    </row>
    <row r="8580" spans="1:11" x14ac:dyDescent="0.25">
      <c r="A8580" s="163"/>
      <c r="B8580" s="106"/>
      <c r="C8580" s="73"/>
      <c r="D8580" s="73"/>
      <c r="E8580" s="73"/>
      <c r="F8580" s="74"/>
      <c r="G8580" s="153"/>
      <c r="H8580" s="164"/>
    </row>
    <row r="8581" spans="1:11" x14ac:dyDescent="0.25">
      <c r="A8581" s="163"/>
      <c r="B8581" s="106"/>
      <c r="C8581" s="75" t="s">
        <v>3990</v>
      </c>
      <c r="D8581" s="73"/>
      <c r="E8581" s="73"/>
      <c r="F8581" s="74"/>
      <c r="G8581" s="153"/>
      <c r="H8581" s="164"/>
    </row>
    <row r="8582" spans="1:11" x14ac:dyDescent="0.25">
      <c r="A8582" s="163"/>
      <c r="B8582" s="106"/>
      <c r="C8582" s="100" t="s">
        <v>140</v>
      </c>
      <c r="D8582" s="75"/>
      <c r="E8582" s="73"/>
      <c r="F8582" s="74" t="s">
        <v>3</v>
      </c>
      <c r="G8582" s="153">
        <f>0.018*3.14*2*0.08*1.15</f>
        <v>1.0399679999999998E-2</v>
      </c>
      <c r="H8582" s="164"/>
    </row>
    <row r="8583" spans="1:11" ht="17.25" x14ac:dyDescent="0.25">
      <c r="A8583" s="163"/>
      <c r="B8583" s="106"/>
      <c r="C8583" s="100" t="s">
        <v>23</v>
      </c>
      <c r="D8583" s="75"/>
      <c r="E8583" s="73"/>
      <c r="F8583" s="74" t="s">
        <v>596</v>
      </c>
      <c r="G8583" s="153">
        <f>G8582*2-0.001</f>
        <v>1.9799359999999995E-2</v>
      </c>
      <c r="H8583" s="164"/>
    </row>
    <row r="8584" spans="1:11" x14ac:dyDescent="0.25">
      <c r="A8584" s="163"/>
      <c r="B8584" s="106"/>
      <c r="C8584" s="100" t="s">
        <v>142</v>
      </c>
      <c r="D8584" s="75"/>
      <c r="E8584" s="73"/>
      <c r="F8584" s="74" t="s">
        <v>3</v>
      </c>
      <c r="G8584" s="153">
        <f>G8582/4+0.001</f>
        <v>3.5999199999999995E-3</v>
      </c>
      <c r="H8584" s="164"/>
    </row>
    <row r="8585" spans="1:11" x14ac:dyDescent="0.25">
      <c r="A8585" s="163"/>
      <c r="B8585" s="106"/>
      <c r="C8585" s="186" t="s">
        <v>143</v>
      </c>
      <c r="D8585" s="73"/>
      <c r="E8585" s="73"/>
      <c r="F8585" s="74" t="s">
        <v>3</v>
      </c>
      <c r="G8585" s="153">
        <f>G8586</f>
        <v>6.1599999999999997E-3</v>
      </c>
      <c r="H8585" s="164"/>
    </row>
    <row r="8586" spans="1:11" x14ac:dyDescent="0.25">
      <c r="A8586" s="163"/>
      <c r="B8586" s="106"/>
      <c r="C8586" s="186" t="s">
        <v>8</v>
      </c>
      <c r="D8586" s="73"/>
      <c r="E8586" s="73"/>
      <c r="F8586" s="74" t="s">
        <v>3</v>
      </c>
      <c r="G8586" s="153">
        <f>G8587*0.7</f>
        <v>6.1599999999999997E-3</v>
      </c>
      <c r="H8586" s="164"/>
    </row>
    <row r="8587" spans="1:11" x14ac:dyDescent="0.25">
      <c r="A8587" s="163"/>
      <c r="B8587" s="106"/>
      <c r="C8587" s="186" t="s">
        <v>325</v>
      </c>
      <c r="D8587" s="73"/>
      <c r="E8587" s="73"/>
      <c r="F8587" s="74" t="s">
        <v>3</v>
      </c>
      <c r="G8587" s="153">
        <f>0.2*0.02*2*1.1</f>
        <v>8.8000000000000005E-3</v>
      </c>
      <c r="H8587" s="164"/>
    </row>
    <row r="8588" spans="1:11" x14ac:dyDescent="0.25">
      <c r="A8588" s="163"/>
      <c r="B8588" s="106"/>
      <c r="C8588" s="186" t="s">
        <v>12</v>
      </c>
      <c r="D8588" s="73"/>
      <c r="E8588" s="73"/>
      <c r="F8588" s="74" t="s">
        <v>3</v>
      </c>
      <c r="G8588" s="153">
        <f>0.3*(G8587+G8586+G8585)</f>
        <v>6.3359999999999996E-3</v>
      </c>
      <c r="H8588" s="164"/>
    </row>
    <row r="8589" spans="1:11" x14ac:dyDescent="0.25">
      <c r="A8589" s="163"/>
      <c r="B8589" s="106"/>
      <c r="C8589" s="73"/>
      <c r="D8589" s="75" t="s">
        <v>3991</v>
      </c>
      <c r="E8589" s="73"/>
      <c r="F8589" s="74"/>
      <c r="G8589" s="153"/>
      <c r="H8589" s="164"/>
    </row>
    <row r="8590" spans="1:11" x14ac:dyDescent="0.25">
      <c r="A8590" s="163"/>
      <c r="B8590" s="106"/>
      <c r="C8590" s="73"/>
      <c r="D8590" s="73" t="s">
        <v>3992</v>
      </c>
      <c r="E8590" s="73"/>
      <c r="F8590" s="74" t="s">
        <v>3</v>
      </c>
      <c r="G8590" s="153">
        <f>0.469*0.213</f>
        <v>9.9896999999999986E-2</v>
      </c>
      <c r="H8590" s="164"/>
      <c r="I8590" t="s">
        <v>3993</v>
      </c>
    </row>
    <row r="8591" spans="1:11" x14ac:dyDescent="0.25">
      <c r="A8591" s="163"/>
      <c r="B8591" s="106"/>
      <c r="C8591" s="73"/>
      <c r="D8591" s="73"/>
      <c r="E8591" s="73"/>
      <c r="F8591" s="74"/>
      <c r="G8591" s="153"/>
      <c r="H8591" s="164"/>
    </row>
    <row r="8592" spans="1:11" x14ac:dyDescent="0.25">
      <c r="A8592" s="163"/>
      <c r="B8592" s="106"/>
      <c r="C8592" s="75" t="s">
        <v>3994</v>
      </c>
      <c r="D8592" s="73"/>
      <c r="E8592" s="73"/>
      <c r="F8592" s="74"/>
      <c r="G8592" s="153"/>
      <c r="H8592" s="164"/>
    </row>
    <row r="8593" spans="1:11" x14ac:dyDescent="0.25">
      <c r="A8593" s="163"/>
      <c r="B8593" s="106"/>
      <c r="C8593" s="73" t="s">
        <v>2755</v>
      </c>
      <c r="D8593" s="75"/>
      <c r="E8593" s="73"/>
      <c r="F8593" s="74" t="s">
        <v>3</v>
      </c>
      <c r="G8593" s="153">
        <f>0.012*3.14*3*0.08*1.2</f>
        <v>1.0851840000000001E-2</v>
      </c>
      <c r="H8593" s="164"/>
    </row>
    <row r="8594" spans="1:11" ht="17.25" x14ac:dyDescent="0.25">
      <c r="A8594" s="163"/>
      <c r="B8594" s="106"/>
      <c r="C8594" s="73" t="s">
        <v>1055</v>
      </c>
      <c r="D8594" s="75"/>
      <c r="E8594" s="73"/>
      <c r="F8594" s="74" t="s">
        <v>596</v>
      </c>
      <c r="G8594" s="153">
        <f>G8593*1.1</f>
        <v>1.1937024000000003E-2</v>
      </c>
      <c r="H8594" s="164"/>
    </row>
    <row r="8595" spans="1:11" x14ac:dyDescent="0.25">
      <c r="A8595" s="163"/>
      <c r="B8595" s="106"/>
      <c r="C8595" s="77" t="s">
        <v>8</v>
      </c>
      <c r="D8595" s="73"/>
      <c r="E8595" s="73"/>
      <c r="F8595" s="74" t="s">
        <v>3</v>
      </c>
      <c r="G8595" s="153">
        <f>G8596*0.65</f>
        <v>9.9450000000000007E-3</v>
      </c>
      <c r="H8595" s="164"/>
    </row>
    <row r="8596" spans="1:11" x14ac:dyDescent="0.25">
      <c r="A8596" s="163"/>
      <c r="B8596" s="106"/>
      <c r="C8596" s="77" t="s">
        <v>115</v>
      </c>
      <c r="D8596" s="73"/>
      <c r="E8596" s="73"/>
      <c r="F8596" s="74" t="s">
        <v>3</v>
      </c>
      <c r="G8596" s="153">
        <f>0.17*0.15*2*0.15*2</f>
        <v>1.5300000000000001E-2</v>
      </c>
      <c r="H8596" s="164"/>
    </row>
    <row r="8597" spans="1:11" x14ac:dyDescent="0.25">
      <c r="A8597" s="163"/>
      <c r="B8597" s="106"/>
      <c r="C8597" s="77" t="s">
        <v>12</v>
      </c>
      <c r="D8597" s="73"/>
      <c r="E8597" s="73"/>
      <c r="F8597" s="74" t="s">
        <v>3</v>
      </c>
      <c r="G8597" s="153">
        <f>0.3*(G8596+G8595)</f>
        <v>7.5735000000000004E-3</v>
      </c>
      <c r="H8597" s="164"/>
    </row>
    <row r="8598" spans="1:11" x14ac:dyDescent="0.25">
      <c r="A8598" s="163"/>
      <c r="B8598" s="106"/>
      <c r="C8598" s="73"/>
      <c r="D8598" s="75" t="s">
        <v>3995</v>
      </c>
      <c r="E8598" s="73"/>
      <c r="F8598" s="74"/>
      <c r="G8598" s="153"/>
      <c r="H8598" s="164"/>
    </row>
    <row r="8599" spans="1:11" x14ac:dyDescent="0.25">
      <c r="A8599" s="163"/>
      <c r="B8599" s="106"/>
      <c r="C8599" s="73"/>
      <c r="D8599" s="73" t="s">
        <v>1137</v>
      </c>
      <c r="E8599" s="73"/>
      <c r="F8599" s="74" t="s">
        <v>3</v>
      </c>
      <c r="G8599" s="153">
        <f>0.16*0.18*4*8*1.128</f>
        <v>1.0395648</v>
      </c>
      <c r="H8599" s="164"/>
    </row>
    <row r="8600" spans="1:11" x14ac:dyDescent="0.25">
      <c r="A8600" s="163"/>
      <c r="B8600" s="106"/>
      <c r="C8600" s="73"/>
      <c r="D8600" s="73"/>
      <c r="E8600" s="73"/>
      <c r="F8600" s="74"/>
      <c r="G8600" s="153"/>
      <c r="H8600" s="164"/>
    </row>
    <row r="8601" spans="1:11" x14ac:dyDescent="0.25">
      <c r="A8601" s="163"/>
      <c r="B8601" s="106"/>
      <c r="C8601" s="75" t="s">
        <v>3996</v>
      </c>
      <c r="D8601" s="73"/>
      <c r="E8601" s="73"/>
      <c r="F8601" s="74" t="s">
        <v>4002</v>
      </c>
      <c r="G8601" s="153"/>
      <c r="H8601" s="164"/>
    </row>
    <row r="8602" spans="1:11" x14ac:dyDescent="0.25">
      <c r="A8602" s="163"/>
      <c r="B8602" s="106"/>
      <c r="C8602" s="73"/>
      <c r="D8602" s="75" t="s">
        <v>3997</v>
      </c>
      <c r="E8602" s="73"/>
      <c r="F8602" s="74"/>
      <c r="G8602" s="153"/>
      <c r="H8602" s="164"/>
    </row>
    <row r="8603" spans="1:11" ht="17.25" x14ac:dyDescent="0.25">
      <c r="A8603" s="163"/>
      <c r="B8603" s="106"/>
      <c r="C8603" s="73"/>
      <c r="D8603" s="73" t="s">
        <v>4000</v>
      </c>
      <c r="E8603" s="73"/>
      <c r="F8603" s="74" t="s">
        <v>677</v>
      </c>
      <c r="G8603" s="153">
        <f>0.185*0.065*1.125</f>
        <v>1.3528125000000002E-2</v>
      </c>
      <c r="H8603" s="164"/>
    </row>
    <row r="8604" spans="1:11" x14ac:dyDescent="0.25">
      <c r="A8604" s="163"/>
      <c r="B8604" s="106"/>
      <c r="C8604" s="73"/>
      <c r="D8604" s="75" t="s">
        <v>3998</v>
      </c>
      <c r="E8604" s="73"/>
      <c r="F8604" s="74"/>
      <c r="G8604" s="153"/>
      <c r="H8604" s="164"/>
    </row>
    <row r="8605" spans="1:11" x14ac:dyDescent="0.25">
      <c r="A8605" s="163"/>
      <c r="B8605" s="106"/>
      <c r="C8605" s="73"/>
      <c r="D8605" s="73" t="s">
        <v>4001</v>
      </c>
      <c r="E8605" s="73"/>
      <c r="F8605" s="74" t="s">
        <v>3</v>
      </c>
      <c r="G8605" s="153">
        <f>0.013*(0.185*2+0.065*2)*0.5*8*1.15</f>
        <v>2.9899999999999996E-2</v>
      </c>
      <c r="H8605" s="164"/>
    </row>
    <row r="8606" spans="1:11" x14ac:dyDescent="0.25">
      <c r="A8606" s="163"/>
      <c r="B8606" s="106"/>
      <c r="C8606" s="73"/>
      <c r="D8606" s="73" t="s">
        <v>2755</v>
      </c>
      <c r="E8606" s="75"/>
      <c r="F8606" s="74" t="s">
        <v>3</v>
      </c>
      <c r="G8606" s="153">
        <f>0.06*0.08*1.15</f>
        <v>5.5199999999999989E-3</v>
      </c>
      <c r="H8606" s="164"/>
      <c r="K8606" s="443"/>
    </row>
    <row r="8607" spans="1:11" ht="17.25" x14ac:dyDescent="0.25">
      <c r="A8607" s="163"/>
      <c r="B8607" s="106"/>
      <c r="C8607" s="73"/>
      <c r="D8607" s="73" t="s">
        <v>1055</v>
      </c>
      <c r="E8607" s="75"/>
      <c r="F8607" s="74" t="s">
        <v>596</v>
      </c>
      <c r="G8607" s="153">
        <f>G8606*1.1</f>
        <v>6.0719999999999993E-3</v>
      </c>
      <c r="H8607" s="164"/>
      <c r="K8607" s="443"/>
    </row>
    <row r="8608" spans="1:11" x14ac:dyDescent="0.25">
      <c r="A8608" s="163"/>
      <c r="B8608" s="106"/>
      <c r="C8608" s="73"/>
      <c r="D8608" s="75" t="s">
        <v>3999</v>
      </c>
      <c r="E8608" s="73"/>
      <c r="F8608" s="74"/>
      <c r="G8608" s="153"/>
      <c r="H8608" s="164"/>
    </row>
    <row r="8609" spans="1:11" x14ac:dyDescent="0.25">
      <c r="A8609" s="163"/>
      <c r="B8609" s="106"/>
      <c r="C8609" s="73"/>
      <c r="D8609" s="73" t="s">
        <v>3770</v>
      </c>
      <c r="E8609" s="73"/>
      <c r="F8609" s="74" t="s">
        <v>3</v>
      </c>
      <c r="G8609" s="153">
        <f>0.185*0.07*1*8*1.11</f>
        <v>0.11499600000000003</v>
      </c>
      <c r="H8609" s="164"/>
    </row>
    <row r="8610" spans="1:11" x14ac:dyDescent="0.25">
      <c r="A8610" s="163"/>
      <c r="B8610" s="106"/>
      <c r="C8610" s="73"/>
      <c r="D8610" s="73"/>
      <c r="E8610" s="73"/>
      <c r="F8610" s="74"/>
      <c r="G8610" s="153"/>
      <c r="H8610" s="164"/>
    </row>
    <row r="8611" spans="1:11" x14ac:dyDescent="0.25">
      <c r="A8611" s="163"/>
      <c r="B8611" s="106"/>
      <c r="C8611" s="75" t="s">
        <v>4003</v>
      </c>
      <c r="D8611" s="73"/>
      <c r="E8611" s="73"/>
      <c r="F8611" s="74"/>
      <c r="G8611" s="153"/>
      <c r="H8611" s="164"/>
    </row>
    <row r="8612" spans="1:11" x14ac:dyDescent="0.25">
      <c r="A8612" s="163"/>
      <c r="B8612" s="106"/>
      <c r="C8612" s="73" t="s">
        <v>2755</v>
      </c>
      <c r="D8612" s="75"/>
      <c r="E8612" s="73"/>
      <c r="F8612" s="74" t="s">
        <v>3</v>
      </c>
      <c r="G8612" s="153">
        <f>0.25*0.08*1.2</f>
        <v>2.4E-2</v>
      </c>
      <c r="H8612" s="164"/>
    </row>
    <row r="8613" spans="1:11" ht="17.25" x14ac:dyDescent="0.25">
      <c r="A8613" s="163"/>
      <c r="B8613" s="106"/>
      <c r="C8613" s="73" t="s">
        <v>1055</v>
      </c>
      <c r="D8613" s="75"/>
      <c r="E8613" s="73"/>
      <c r="F8613" s="74" t="s">
        <v>596</v>
      </c>
      <c r="G8613" s="153">
        <f>G8612*1.1</f>
        <v>2.6400000000000003E-2</v>
      </c>
      <c r="H8613" s="164"/>
    </row>
    <row r="8614" spans="1:11" x14ac:dyDescent="0.25">
      <c r="A8614" s="163"/>
      <c r="B8614" s="106"/>
      <c r="C8614" s="77" t="s">
        <v>8</v>
      </c>
      <c r="D8614" s="73"/>
      <c r="E8614" s="73"/>
      <c r="F8614" s="74" t="s">
        <v>3</v>
      </c>
      <c r="G8614" s="153">
        <f>0.65*G8615</f>
        <v>8.7749999999999998E-3</v>
      </c>
      <c r="H8614" s="164"/>
      <c r="K8614" s="443"/>
    </row>
    <row r="8615" spans="1:11" x14ac:dyDescent="0.25">
      <c r="A8615" s="163"/>
      <c r="B8615" s="106"/>
      <c r="C8615" s="77" t="s">
        <v>115</v>
      </c>
      <c r="D8615" s="73"/>
      <c r="E8615" s="73"/>
      <c r="F8615" s="74" t="s">
        <v>3</v>
      </c>
      <c r="G8615" s="153">
        <f>0.2*0.03*2*1.125</f>
        <v>1.35E-2</v>
      </c>
      <c r="H8615" s="164"/>
      <c r="K8615" s="443"/>
    </row>
    <row r="8616" spans="1:11" x14ac:dyDescent="0.25">
      <c r="A8616" s="163"/>
      <c r="B8616" s="106"/>
      <c r="C8616" s="77" t="s">
        <v>12</v>
      </c>
      <c r="D8616" s="73"/>
      <c r="E8616" s="73"/>
      <c r="F8616" s="74" t="s">
        <v>3</v>
      </c>
      <c r="G8616" s="153">
        <f>0.3*(G8615+G8614)</f>
        <v>6.6825000000000001E-3</v>
      </c>
      <c r="H8616" s="164"/>
      <c r="K8616" s="443"/>
    </row>
    <row r="8617" spans="1:11" x14ac:dyDescent="0.25">
      <c r="A8617" s="163"/>
      <c r="B8617" s="106"/>
      <c r="C8617" s="73"/>
      <c r="D8617" s="75" t="s">
        <v>4004</v>
      </c>
      <c r="E8617" s="73"/>
      <c r="F8617" s="74"/>
      <c r="G8617" s="153"/>
      <c r="H8617" s="164"/>
    </row>
    <row r="8618" spans="1:11" x14ac:dyDescent="0.25">
      <c r="A8618" s="163"/>
      <c r="B8618" s="106"/>
      <c r="C8618" s="73"/>
      <c r="D8618" s="73" t="s">
        <v>227</v>
      </c>
      <c r="E8618" s="73"/>
      <c r="F8618" s="74" t="s">
        <v>3</v>
      </c>
      <c r="G8618" s="153">
        <f>0.042*0.033*5*8*1.12</f>
        <v>6.209280000000001E-2</v>
      </c>
      <c r="H8618" s="164"/>
    </row>
    <row r="8619" spans="1:11" x14ac:dyDescent="0.25">
      <c r="A8619" s="163"/>
      <c r="B8619" s="106"/>
      <c r="C8619" s="73"/>
      <c r="D8619" s="75" t="s">
        <v>4005</v>
      </c>
      <c r="E8619" s="73"/>
      <c r="F8619" s="74"/>
      <c r="G8619" s="153"/>
      <c r="H8619" s="164"/>
    </row>
    <row r="8620" spans="1:11" x14ac:dyDescent="0.25">
      <c r="A8620" s="163"/>
      <c r="B8620" s="106"/>
      <c r="C8620" s="73"/>
      <c r="D8620" s="73" t="s">
        <v>54</v>
      </c>
      <c r="E8620" s="73"/>
      <c r="F8620" s="74" t="s">
        <v>3</v>
      </c>
      <c r="G8620" s="153">
        <f>0.185*0.035*4*8*1.11</f>
        <v>0.22999200000000006</v>
      </c>
      <c r="H8620" s="164"/>
    </row>
    <row r="8621" spans="1:11" x14ac:dyDescent="0.25">
      <c r="A8621" s="163"/>
      <c r="B8621" s="106"/>
      <c r="C8621" s="73"/>
      <c r="D8621" s="75" t="s">
        <v>4006</v>
      </c>
      <c r="E8621" s="73"/>
      <c r="F8621" s="74"/>
      <c r="G8621" s="153"/>
      <c r="H8621" s="164"/>
    </row>
    <row r="8622" spans="1:11" x14ac:dyDescent="0.25">
      <c r="A8622" s="163"/>
      <c r="B8622" s="106"/>
      <c r="C8622" s="73"/>
      <c r="D8622" s="73" t="s">
        <v>4007</v>
      </c>
      <c r="E8622" s="73"/>
      <c r="F8622" s="74" t="s">
        <v>3</v>
      </c>
      <c r="G8622" s="153">
        <f>0.18*0.02*3*8*1.1</f>
        <v>9.5040000000000013E-2</v>
      </c>
      <c r="H8622" s="164"/>
    </row>
    <row r="8623" spans="1:11" x14ac:dyDescent="0.25">
      <c r="A8623" s="163"/>
      <c r="B8623" s="106"/>
      <c r="C8623" s="73"/>
      <c r="D8623" s="73"/>
      <c r="E8623" s="73"/>
      <c r="F8623" s="74"/>
      <c r="G8623" s="153"/>
      <c r="H8623" s="164"/>
    </row>
    <row r="8624" spans="1:11" x14ac:dyDescent="0.25">
      <c r="A8624" s="163"/>
      <c r="B8624" s="106"/>
      <c r="C8624" s="75" t="s">
        <v>4008</v>
      </c>
      <c r="D8624" s="73"/>
      <c r="E8624" s="73"/>
      <c r="F8624" s="74"/>
      <c r="G8624" s="153"/>
      <c r="H8624" s="164"/>
    </row>
    <row r="8625" spans="1:11" x14ac:dyDescent="0.25">
      <c r="A8625" s="163"/>
      <c r="B8625" s="106"/>
      <c r="C8625" s="73" t="s">
        <v>2755</v>
      </c>
      <c r="D8625" s="75"/>
      <c r="E8625" s="73"/>
      <c r="F8625" s="74" t="s">
        <v>3</v>
      </c>
      <c r="G8625" s="153">
        <f>0.25*0.08*1.2</f>
        <v>2.4E-2</v>
      </c>
      <c r="H8625" s="164"/>
    </row>
    <row r="8626" spans="1:11" ht="17.25" x14ac:dyDescent="0.25">
      <c r="A8626" s="163"/>
      <c r="B8626" s="106"/>
      <c r="C8626" s="73" t="s">
        <v>1055</v>
      </c>
      <c r="D8626" s="75"/>
      <c r="E8626" s="73"/>
      <c r="F8626" s="74" t="s">
        <v>596</v>
      </c>
      <c r="G8626" s="153">
        <f>G8625*1.1</f>
        <v>2.6400000000000003E-2</v>
      </c>
      <c r="H8626" s="164"/>
    </row>
    <row r="8627" spans="1:11" x14ac:dyDescent="0.25">
      <c r="A8627" s="163"/>
      <c r="B8627" s="106"/>
      <c r="C8627" s="77" t="s">
        <v>8</v>
      </c>
      <c r="D8627" s="73"/>
      <c r="E8627" s="73"/>
      <c r="F8627" s="74" t="s">
        <v>3</v>
      </c>
      <c r="G8627" s="153">
        <f>0.65*G8628</f>
        <v>1.0140000000000001E-2</v>
      </c>
      <c r="H8627" s="164"/>
    </row>
    <row r="8628" spans="1:11" x14ac:dyDescent="0.25">
      <c r="A8628" s="163"/>
      <c r="B8628" s="106"/>
      <c r="C8628" s="77" t="s">
        <v>115</v>
      </c>
      <c r="D8628" s="73"/>
      <c r="E8628" s="73"/>
      <c r="F8628" s="74" t="s">
        <v>3</v>
      </c>
      <c r="G8628" s="153">
        <f>0.2*0.03*2*1.3</f>
        <v>1.5600000000000001E-2</v>
      </c>
      <c r="H8628" s="164"/>
    </row>
    <row r="8629" spans="1:11" x14ac:dyDescent="0.25">
      <c r="A8629" s="163"/>
      <c r="B8629" s="106"/>
      <c r="C8629" s="77" t="s">
        <v>12</v>
      </c>
      <c r="D8629" s="73"/>
      <c r="E8629" s="73"/>
      <c r="F8629" s="74" t="s">
        <v>3</v>
      </c>
      <c r="G8629" s="153">
        <f>0.3*(G8628+G8627)</f>
        <v>7.7220000000000006E-3</v>
      </c>
      <c r="H8629" s="164"/>
    </row>
    <row r="8630" spans="1:11" x14ac:dyDescent="0.25">
      <c r="A8630" s="163"/>
      <c r="B8630" s="106"/>
      <c r="C8630" s="73"/>
      <c r="D8630" s="75" t="s">
        <v>4009</v>
      </c>
      <c r="E8630" s="73"/>
      <c r="F8630" s="74"/>
      <c r="G8630" s="153"/>
      <c r="H8630" s="164"/>
    </row>
    <row r="8631" spans="1:11" x14ac:dyDescent="0.25">
      <c r="A8631" s="163"/>
      <c r="B8631" s="106"/>
      <c r="C8631" s="73"/>
      <c r="D8631" s="73" t="s">
        <v>227</v>
      </c>
      <c r="E8631" s="73"/>
      <c r="F8631" s="74" t="s">
        <v>3</v>
      </c>
      <c r="G8631" s="153">
        <f>0.091*0.035*5*8*1.1</f>
        <v>0.14014000000000001</v>
      </c>
      <c r="H8631" s="164"/>
    </row>
    <row r="8632" spans="1:11" x14ac:dyDescent="0.25">
      <c r="A8632" s="163"/>
      <c r="B8632" s="106"/>
      <c r="C8632" s="73"/>
      <c r="D8632" s="75" t="s">
        <v>4010</v>
      </c>
      <c r="E8632" s="73"/>
      <c r="F8632" s="74"/>
      <c r="G8632" s="153"/>
      <c r="H8632" s="164"/>
    </row>
    <row r="8633" spans="1:11" x14ac:dyDescent="0.25">
      <c r="A8633" s="163"/>
      <c r="B8633" s="106"/>
      <c r="C8633" s="73"/>
      <c r="D8633" s="73" t="s">
        <v>4007</v>
      </c>
      <c r="E8633" s="73"/>
      <c r="F8633" s="74" t="s">
        <v>3</v>
      </c>
      <c r="G8633" s="153">
        <f>0.18*0.072*3*8*1.125</f>
        <v>0.34992000000000001</v>
      </c>
      <c r="H8633" s="164"/>
    </row>
    <row r="8634" spans="1:11" x14ac:dyDescent="0.25">
      <c r="A8634" s="163"/>
      <c r="B8634" s="106"/>
      <c r="C8634" s="73"/>
      <c r="D8634" s="73"/>
      <c r="E8634" s="73"/>
      <c r="F8634" s="74"/>
      <c r="G8634" s="153"/>
      <c r="H8634" s="164"/>
    </row>
    <row r="8635" spans="1:11" x14ac:dyDescent="0.25">
      <c r="A8635" s="163"/>
      <c r="B8635" s="106"/>
      <c r="C8635" s="233" t="s">
        <v>3921</v>
      </c>
      <c r="D8635" s="73"/>
      <c r="E8635" s="73"/>
      <c r="F8635" s="74"/>
      <c r="G8635" s="153"/>
      <c r="H8635" s="164"/>
    </row>
    <row r="8636" spans="1:11" x14ac:dyDescent="0.25">
      <c r="A8636" s="163"/>
      <c r="B8636" s="106"/>
      <c r="C8636" s="96" t="s">
        <v>4011</v>
      </c>
      <c r="D8636" s="73"/>
      <c r="E8636" s="73"/>
      <c r="F8636" s="74" t="s">
        <v>3</v>
      </c>
      <c r="G8636" s="153">
        <f>0.12*0.12*1*8*1.125</f>
        <v>0.12959999999999999</v>
      </c>
      <c r="H8636" s="164"/>
      <c r="K8636" s="443"/>
    </row>
    <row r="8637" spans="1:11" x14ac:dyDescent="0.25">
      <c r="A8637" s="163"/>
      <c r="B8637" s="106"/>
      <c r="C8637" s="96"/>
      <c r="D8637" s="73"/>
      <c r="E8637" s="73"/>
      <c r="F8637" s="74"/>
      <c r="G8637" s="153"/>
      <c r="H8637" s="164"/>
      <c r="K8637" s="443"/>
    </row>
    <row r="8638" spans="1:11" x14ac:dyDescent="0.25">
      <c r="A8638" s="163"/>
      <c r="B8638" s="106"/>
      <c r="C8638" s="233" t="s">
        <v>3923</v>
      </c>
      <c r="D8638" s="73"/>
      <c r="E8638" s="73"/>
      <c r="F8638" s="74"/>
      <c r="G8638" s="153"/>
      <c r="H8638" s="164"/>
    </row>
    <row r="8639" spans="1:11" x14ac:dyDescent="0.25">
      <c r="A8639" s="163"/>
      <c r="B8639" s="106"/>
      <c r="C8639" s="96" t="s">
        <v>4012</v>
      </c>
      <c r="D8639" s="73"/>
      <c r="E8639" s="73"/>
      <c r="F8639" s="74" t="s">
        <v>3</v>
      </c>
      <c r="G8639" s="153">
        <f>0.12*0.12*0.5*8*1.125</f>
        <v>6.4799999999999996E-2</v>
      </c>
      <c r="H8639" s="164"/>
      <c r="K8639" s="443"/>
    </row>
    <row r="8640" spans="1:11" x14ac:dyDescent="0.25">
      <c r="A8640" s="163"/>
      <c r="B8640" s="106"/>
      <c r="C8640" s="96"/>
      <c r="D8640" s="73"/>
      <c r="E8640" s="73"/>
      <c r="F8640" s="74"/>
      <c r="G8640" s="153"/>
      <c r="H8640" s="164"/>
      <c r="K8640" s="443"/>
    </row>
    <row r="8641" spans="1:11" x14ac:dyDescent="0.25">
      <c r="A8641" s="163"/>
      <c r="B8641" s="106"/>
      <c r="C8641" s="233" t="s">
        <v>3924</v>
      </c>
      <c r="D8641" s="73"/>
      <c r="E8641" s="73"/>
      <c r="F8641" s="74"/>
      <c r="G8641" s="153"/>
      <c r="H8641" s="164"/>
    </row>
    <row r="8642" spans="1:11" x14ac:dyDescent="0.25">
      <c r="A8642" s="163"/>
      <c r="B8642" s="106"/>
      <c r="C8642" s="96" t="s">
        <v>4013</v>
      </c>
      <c r="D8642" s="73"/>
      <c r="E8642" s="73"/>
      <c r="F8642" s="74" t="s">
        <v>3</v>
      </c>
      <c r="G8642" s="153">
        <f>0.12*0.12*0.25*8*1.125</f>
        <v>3.2399999999999998E-2</v>
      </c>
      <c r="H8642" s="164"/>
      <c r="K8642" s="443"/>
    </row>
    <row r="8643" spans="1:11" x14ac:dyDescent="0.25">
      <c r="A8643" s="163"/>
      <c r="B8643" s="106"/>
      <c r="C8643" s="96"/>
      <c r="D8643" s="73"/>
      <c r="E8643" s="73"/>
      <c r="F8643" s="74"/>
      <c r="G8643" s="153"/>
      <c r="H8643" s="164"/>
      <c r="K8643" s="443"/>
    </row>
    <row r="8644" spans="1:11" x14ac:dyDescent="0.25">
      <c r="A8644" s="163"/>
      <c r="B8644" s="106"/>
      <c r="C8644" s="233" t="s">
        <v>3925</v>
      </c>
      <c r="D8644" s="73"/>
      <c r="E8644" s="73"/>
      <c r="F8644" s="74"/>
      <c r="G8644" s="153"/>
      <c r="H8644" s="164"/>
    </row>
    <row r="8645" spans="1:11" x14ac:dyDescent="0.25">
      <c r="A8645" s="163"/>
      <c r="B8645" s="106"/>
      <c r="C8645" s="73" t="s">
        <v>4014</v>
      </c>
      <c r="D8645" s="73"/>
      <c r="E8645" s="73"/>
      <c r="F8645" s="74" t="s">
        <v>3</v>
      </c>
      <c r="G8645" s="153">
        <f>0.12*0.12*0.15*8*1.129</f>
        <v>1.9509120000000001E-2</v>
      </c>
      <c r="H8645" s="164"/>
    </row>
    <row r="8646" spans="1:11" x14ac:dyDescent="0.25">
      <c r="A8646" s="163"/>
      <c r="B8646" s="106"/>
      <c r="C8646" s="73"/>
      <c r="D8646" s="73"/>
      <c r="E8646" s="73"/>
      <c r="F8646" s="74"/>
      <c r="G8646" s="153"/>
      <c r="H8646" s="164"/>
    </row>
    <row r="8647" spans="1:11" x14ac:dyDescent="0.25">
      <c r="A8647" s="163"/>
      <c r="B8647" s="106"/>
      <c r="C8647" s="75" t="s">
        <v>4015</v>
      </c>
      <c r="D8647" s="73"/>
      <c r="E8647" s="73"/>
      <c r="F8647" s="74"/>
      <c r="G8647" s="153"/>
      <c r="H8647" s="164"/>
    </row>
    <row r="8648" spans="1:11" x14ac:dyDescent="0.25">
      <c r="A8648" s="163"/>
      <c r="B8648" s="106"/>
      <c r="C8648" s="73" t="s">
        <v>2755</v>
      </c>
      <c r="D8648" s="75"/>
      <c r="E8648" s="73"/>
      <c r="F8648" s="74" t="s">
        <v>3</v>
      </c>
      <c r="G8648" s="153">
        <f>0.3*0.1*1.15</f>
        <v>3.4499999999999996E-2</v>
      </c>
      <c r="H8648" s="164" t="s">
        <v>4017</v>
      </c>
      <c r="I8648" t="s">
        <v>624</v>
      </c>
    </row>
    <row r="8649" spans="1:11" ht="17.25" x14ac:dyDescent="0.25">
      <c r="A8649" s="163"/>
      <c r="B8649" s="106"/>
      <c r="C8649" s="73" t="s">
        <v>1055</v>
      </c>
      <c r="D8649" s="75"/>
      <c r="E8649" s="73"/>
      <c r="F8649" s="74" t="s">
        <v>596</v>
      </c>
      <c r="G8649" s="153">
        <f>G8648*1.1</f>
        <v>3.7949999999999998E-2</v>
      </c>
      <c r="H8649" s="164"/>
    </row>
    <row r="8650" spans="1:11" x14ac:dyDescent="0.25">
      <c r="A8650" s="163"/>
      <c r="B8650" s="106"/>
      <c r="C8650" s="77" t="s">
        <v>8</v>
      </c>
      <c r="D8650" s="73"/>
      <c r="E8650" s="73"/>
      <c r="F8650" s="74" t="s">
        <v>3</v>
      </c>
      <c r="G8650" s="153">
        <f>0.65*G8651+0.001</f>
        <v>3.0337749999999997E-2</v>
      </c>
      <c r="H8650" s="164"/>
    </row>
    <row r="8651" spans="1:11" x14ac:dyDescent="0.25">
      <c r="A8651" s="163"/>
      <c r="B8651" s="106"/>
      <c r="C8651" s="77" t="s">
        <v>36</v>
      </c>
      <c r="D8651" s="73"/>
      <c r="E8651" s="73"/>
      <c r="F8651" s="74" t="s">
        <v>3</v>
      </c>
      <c r="G8651" s="153">
        <f>0.425*0.15*2*0.15*2*1.18</f>
        <v>4.5134999999999995E-2</v>
      </c>
      <c r="H8651" s="164"/>
    </row>
    <row r="8652" spans="1:11" x14ac:dyDescent="0.25">
      <c r="A8652" s="163"/>
      <c r="B8652" s="106"/>
      <c r="C8652" s="77" t="s">
        <v>12</v>
      </c>
      <c r="D8652" s="73"/>
      <c r="E8652" s="73"/>
      <c r="F8652" s="74" t="s">
        <v>3</v>
      </c>
      <c r="G8652" s="153">
        <f>0.3*(G8651+G8650)+0.002</f>
        <v>2.4641824999999999E-2</v>
      </c>
      <c r="H8652" s="164"/>
    </row>
    <row r="8653" spans="1:11" x14ac:dyDescent="0.25">
      <c r="A8653" s="163"/>
      <c r="B8653" s="106"/>
      <c r="C8653" s="73"/>
      <c r="D8653" s="75" t="s">
        <v>4016</v>
      </c>
      <c r="E8653" s="73"/>
      <c r="F8653" s="74"/>
      <c r="G8653" s="153"/>
      <c r="H8653" s="164"/>
    </row>
    <row r="8654" spans="1:11" x14ac:dyDescent="0.25">
      <c r="A8654" s="163"/>
      <c r="B8654" s="106"/>
      <c r="C8654" s="73"/>
      <c r="D8654" s="73" t="s">
        <v>54</v>
      </c>
      <c r="E8654" s="73"/>
      <c r="F8654" s="74" t="s">
        <v>3</v>
      </c>
      <c r="G8654" s="153">
        <f>0.15*0.43*4*8*1.1145</f>
        <v>2.3003280000000004</v>
      </c>
      <c r="H8654" s="164"/>
    </row>
    <row r="8655" spans="1:11" x14ac:dyDescent="0.25">
      <c r="A8655" s="163"/>
      <c r="B8655" s="106"/>
      <c r="C8655" s="73"/>
      <c r="D8655" s="73"/>
      <c r="E8655" s="73"/>
      <c r="F8655" s="74"/>
      <c r="G8655" s="153"/>
      <c r="H8655" s="164"/>
    </row>
    <row r="8656" spans="1:11" x14ac:dyDescent="0.25">
      <c r="A8656" s="163"/>
      <c r="B8656" s="106"/>
      <c r="C8656" s="75" t="s">
        <v>4018</v>
      </c>
      <c r="D8656" s="73"/>
      <c r="E8656" s="73"/>
      <c r="F8656" s="74"/>
      <c r="G8656" s="153"/>
      <c r="H8656" s="164"/>
    </row>
    <row r="8657" spans="1:9" x14ac:dyDescent="0.25">
      <c r="A8657" s="163"/>
      <c r="B8657" s="106"/>
      <c r="C8657" s="73" t="s">
        <v>2755</v>
      </c>
      <c r="D8657" s="75"/>
      <c r="E8657" s="73"/>
      <c r="F8657" s="74" t="s">
        <v>3</v>
      </c>
      <c r="G8657" s="153">
        <f>(0.13*3.14+0.1)*0.05*1.18</f>
        <v>2.9983800000000001E-2</v>
      </c>
      <c r="H8657" s="164" t="s">
        <v>4021</v>
      </c>
      <c r="I8657" t="s">
        <v>624</v>
      </c>
    </row>
    <row r="8658" spans="1:9" ht="17.25" x14ac:dyDescent="0.25">
      <c r="A8658" s="163"/>
      <c r="B8658" s="106"/>
      <c r="C8658" s="73" t="s">
        <v>1055</v>
      </c>
      <c r="D8658" s="75"/>
      <c r="E8658" s="73"/>
      <c r="F8658" s="74" t="s">
        <v>596</v>
      </c>
      <c r="G8658" s="153">
        <f>G8657*1.1</f>
        <v>3.2982180000000007E-2</v>
      </c>
      <c r="H8658" s="164"/>
    </row>
    <row r="8659" spans="1:9" x14ac:dyDescent="0.25">
      <c r="A8659" s="163"/>
      <c r="B8659" s="106"/>
      <c r="C8659" s="77"/>
      <c r="D8659" s="75" t="s">
        <v>4019</v>
      </c>
      <c r="E8659" s="73"/>
      <c r="F8659" s="74"/>
      <c r="G8659" s="153"/>
      <c r="H8659" s="164"/>
    </row>
    <row r="8660" spans="1:9" x14ac:dyDescent="0.25">
      <c r="A8660" s="163"/>
      <c r="B8660" s="106"/>
      <c r="C8660" s="77"/>
      <c r="D8660" s="73" t="s">
        <v>410</v>
      </c>
      <c r="E8660" s="73"/>
      <c r="F8660" s="74" t="s">
        <v>3</v>
      </c>
      <c r="G8660" s="153">
        <f>(0.13*3.14/2)*0.1*5*2.7*1.125</f>
        <v>0.30997687500000004</v>
      </c>
      <c r="H8660" s="164"/>
    </row>
    <row r="8661" spans="1:9" x14ac:dyDescent="0.25">
      <c r="A8661" s="163"/>
      <c r="B8661" s="106"/>
      <c r="C8661" s="77"/>
      <c r="D8661" s="75" t="s">
        <v>4020</v>
      </c>
      <c r="E8661" s="73"/>
      <c r="F8661" s="74"/>
      <c r="G8661" s="153"/>
      <c r="H8661" s="164"/>
    </row>
    <row r="8662" spans="1:9" x14ac:dyDescent="0.25">
      <c r="A8662" s="163"/>
      <c r="B8662" s="106"/>
      <c r="C8662" s="73"/>
      <c r="D8662" s="73" t="s">
        <v>1138</v>
      </c>
      <c r="E8662" s="73"/>
      <c r="F8662" s="74" t="s">
        <v>3</v>
      </c>
      <c r="G8662" s="153">
        <f>0.09*0.03*4*2.8*1.1</f>
        <v>3.3263999999999995E-2</v>
      </c>
      <c r="H8662" s="164"/>
    </row>
    <row r="8663" spans="1:9" x14ac:dyDescent="0.25">
      <c r="A8663" s="163"/>
      <c r="B8663" s="106"/>
      <c r="C8663" s="73"/>
      <c r="D8663" s="73"/>
      <c r="E8663" s="73"/>
      <c r="F8663" s="74"/>
      <c r="G8663" s="153"/>
      <c r="H8663" s="164"/>
    </row>
    <row r="8664" spans="1:9" x14ac:dyDescent="0.25">
      <c r="A8664" s="163"/>
      <c r="B8664" s="106"/>
      <c r="C8664" s="75" t="s">
        <v>4022</v>
      </c>
      <c r="D8664" s="73"/>
      <c r="E8664" s="73"/>
      <c r="F8664" s="74"/>
      <c r="G8664" s="153"/>
      <c r="H8664" s="164"/>
    </row>
    <row r="8665" spans="1:9" x14ac:dyDescent="0.25">
      <c r="A8665" s="163"/>
      <c r="B8665" s="106"/>
      <c r="C8665" s="73" t="s">
        <v>2755</v>
      </c>
      <c r="D8665" s="75"/>
      <c r="E8665" s="73"/>
      <c r="F8665" s="74" t="s">
        <v>3</v>
      </c>
      <c r="G8665" s="153">
        <f>0.25*0.08*1.2</f>
        <v>2.4E-2</v>
      </c>
      <c r="H8665" s="164" t="s">
        <v>4025</v>
      </c>
      <c r="I8665" t="s">
        <v>4026</v>
      </c>
    </row>
    <row r="8666" spans="1:9" ht="17.25" x14ac:dyDescent="0.25">
      <c r="A8666" s="163"/>
      <c r="B8666" s="106"/>
      <c r="C8666" s="73" t="s">
        <v>1055</v>
      </c>
      <c r="D8666" s="75"/>
      <c r="E8666" s="73"/>
      <c r="F8666" s="74" t="s">
        <v>596</v>
      </c>
      <c r="G8666" s="153">
        <f>G8665*1.1</f>
        <v>2.6400000000000003E-2</v>
      </c>
      <c r="H8666" s="164"/>
    </row>
    <row r="8667" spans="1:9" x14ac:dyDescent="0.25">
      <c r="A8667" s="163"/>
      <c r="B8667" s="106"/>
      <c r="C8667" s="73"/>
      <c r="D8667" s="75" t="s">
        <v>4023</v>
      </c>
      <c r="E8667" s="73"/>
      <c r="F8667" s="74"/>
      <c r="G8667" s="153"/>
      <c r="H8667" s="164"/>
    </row>
    <row r="8668" spans="1:9" x14ac:dyDescent="0.25">
      <c r="A8668" s="163"/>
      <c r="B8668" s="106"/>
      <c r="C8668" s="73"/>
      <c r="D8668" s="73" t="s">
        <v>226</v>
      </c>
      <c r="E8668" s="73"/>
      <c r="F8668" s="74" t="s">
        <v>3</v>
      </c>
      <c r="G8668" s="153">
        <f>0.115*0.255*5*8*1.125</f>
        <v>1.319625</v>
      </c>
      <c r="H8668" s="164"/>
    </row>
    <row r="8669" spans="1:9" x14ac:dyDescent="0.25">
      <c r="A8669" s="163"/>
      <c r="B8669" s="106"/>
      <c r="C8669" s="73"/>
      <c r="D8669" s="75" t="s">
        <v>4024</v>
      </c>
      <c r="E8669" s="73"/>
      <c r="F8669" s="74"/>
      <c r="G8669" s="153"/>
      <c r="H8669" s="164"/>
    </row>
    <row r="8670" spans="1:9" x14ac:dyDescent="0.25">
      <c r="A8670" s="163"/>
      <c r="B8670" s="106"/>
      <c r="C8670" s="73"/>
      <c r="D8670" s="73" t="s">
        <v>226</v>
      </c>
      <c r="E8670" s="73"/>
      <c r="F8670" s="74" t="s">
        <v>3</v>
      </c>
      <c r="G8670" s="153">
        <f>0.1*0.055*5*8*1.09</f>
        <v>0.23980000000000004</v>
      </c>
      <c r="H8670" s="164"/>
    </row>
    <row r="8671" spans="1:9" x14ac:dyDescent="0.25">
      <c r="A8671" s="163"/>
      <c r="B8671" s="106"/>
      <c r="C8671" s="73"/>
      <c r="D8671" s="73"/>
      <c r="E8671" s="73"/>
      <c r="F8671" s="74"/>
      <c r="G8671" s="153"/>
      <c r="H8671" s="164"/>
    </row>
    <row r="8672" spans="1:9" x14ac:dyDescent="0.25">
      <c r="A8672" s="163"/>
      <c r="B8672" s="106"/>
      <c r="C8672" s="75" t="s">
        <v>4027</v>
      </c>
      <c r="D8672" s="73"/>
      <c r="E8672" s="73"/>
      <c r="F8672" s="74"/>
      <c r="G8672" s="153"/>
      <c r="H8672" s="164"/>
    </row>
    <row r="8673" spans="1:9" x14ac:dyDescent="0.25">
      <c r="A8673" s="163"/>
      <c r="B8673" s="106"/>
      <c r="C8673" s="100" t="s">
        <v>140</v>
      </c>
      <c r="D8673" s="75"/>
      <c r="E8673" s="73"/>
      <c r="F8673" s="74" t="s">
        <v>3</v>
      </c>
      <c r="G8673" s="153">
        <f>0.01*3.14*2*0.08*1.15</f>
        <v>5.7775999999999999E-3</v>
      </c>
      <c r="H8673" s="164"/>
    </row>
    <row r="8674" spans="1:9" ht="17.25" x14ac:dyDescent="0.25">
      <c r="A8674" s="163"/>
      <c r="B8674" s="106"/>
      <c r="C8674" s="100" t="s">
        <v>23</v>
      </c>
      <c r="D8674" s="75"/>
      <c r="E8674" s="73"/>
      <c r="F8674" s="74" t="s">
        <v>596</v>
      </c>
      <c r="G8674" s="153">
        <f>G8673*2-0.001</f>
        <v>1.0555200000000001E-2</v>
      </c>
      <c r="H8674" s="164"/>
    </row>
    <row r="8675" spans="1:9" x14ac:dyDescent="0.25">
      <c r="A8675" s="163"/>
      <c r="B8675" s="106"/>
      <c r="C8675" s="100" t="s">
        <v>142</v>
      </c>
      <c r="D8675" s="75"/>
      <c r="E8675" s="73"/>
      <c r="F8675" s="74" t="s">
        <v>3</v>
      </c>
      <c r="G8675" s="153">
        <f>G8673/4+0.001</f>
        <v>2.4444000000000002E-3</v>
      </c>
      <c r="H8675" s="164"/>
    </row>
    <row r="8676" spans="1:9" x14ac:dyDescent="0.25">
      <c r="A8676" s="163"/>
      <c r="B8676" s="106"/>
      <c r="C8676" s="77" t="s">
        <v>8</v>
      </c>
      <c r="D8676" s="73"/>
      <c r="E8676" s="73"/>
      <c r="F8676" s="74" t="s">
        <v>3</v>
      </c>
      <c r="G8676" s="153">
        <f>0.65*G8677+0.001</f>
        <v>9.0437499999999997E-3</v>
      </c>
      <c r="H8676" s="164"/>
    </row>
    <row r="8677" spans="1:9" x14ac:dyDescent="0.25">
      <c r="A8677" s="163"/>
      <c r="B8677" s="106"/>
      <c r="C8677" s="77" t="s">
        <v>115</v>
      </c>
      <c r="D8677" s="73"/>
      <c r="E8677" s="73"/>
      <c r="F8677" s="74" t="s">
        <v>3</v>
      </c>
      <c r="G8677" s="153">
        <f>0.125*0.15*2*0.15*2*1.1</f>
        <v>1.2375000000000001E-2</v>
      </c>
      <c r="H8677" s="164"/>
    </row>
    <row r="8678" spans="1:9" x14ac:dyDescent="0.25">
      <c r="A8678" s="163"/>
      <c r="B8678" s="106"/>
      <c r="C8678" s="186" t="s">
        <v>143</v>
      </c>
      <c r="D8678" s="73"/>
      <c r="E8678" s="73"/>
      <c r="F8678" s="74" t="s">
        <v>3</v>
      </c>
      <c r="G8678" s="153">
        <f>G8676</f>
        <v>9.0437499999999997E-3</v>
      </c>
      <c r="H8678" s="164"/>
    </row>
    <row r="8679" spans="1:9" x14ac:dyDescent="0.25">
      <c r="A8679" s="163"/>
      <c r="B8679" s="106"/>
      <c r="C8679" s="77" t="s">
        <v>12</v>
      </c>
      <c r="D8679" s="73"/>
      <c r="E8679" s="73"/>
      <c r="F8679" s="74" t="s">
        <v>3</v>
      </c>
      <c r="G8679" s="153">
        <f>0.3*(G8677+G8676)+0.002</f>
        <v>8.4256249999999991E-3</v>
      </c>
      <c r="H8679" s="164"/>
    </row>
    <row r="8680" spans="1:9" x14ac:dyDescent="0.25">
      <c r="A8680" s="163"/>
      <c r="B8680" s="106"/>
      <c r="C8680" s="73"/>
      <c r="D8680" s="75" t="s">
        <v>4028</v>
      </c>
      <c r="E8680" s="73"/>
      <c r="F8680" s="74"/>
      <c r="G8680" s="153"/>
      <c r="H8680" s="164"/>
    </row>
    <row r="8681" spans="1:9" x14ac:dyDescent="0.25">
      <c r="A8681" s="163"/>
      <c r="B8681" s="106"/>
      <c r="C8681" s="73"/>
      <c r="D8681" s="73" t="s">
        <v>4029</v>
      </c>
      <c r="E8681" s="73"/>
      <c r="F8681" s="74" t="s">
        <v>3</v>
      </c>
      <c r="G8681" s="153">
        <f>0.222*0.15</f>
        <v>3.3299999999999996E-2</v>
      </c>
      <c r="H8681" s="164"/>
      <c r="I8681" t="s">
        <v>3635</v>
      </c>
    </row>
    <row r="8682" spans="1:9" x14ac:dyDescent="0.25">
      <c r="A8682" s="163"/>
      <c r="B8682" s="106"/>
      <c r="C8682" s="73"/>
      <c r="D8682" s="73"/>
      <c r="E8682" s="73"/>
      <c r="F8682" s="74"/>
      <c r="G8682" s="153"/>
      <c r="H8682" s="164"/>
    </row>
    <row r="8683" spans="1:9" x14ac:dyDescent="0.25">
      <c r="A8683" s="163"/>
      <c r="B8683" s="106"/>
      <c r="C8683" s="75" t="s">
        <v>4030</v>
      </c>
      <c r="D8683" s="73"/>
      <c r="E8683" s="73"/>
      <c r="F8683" s="74"/>
      <c r="G8683" s="153"/>
      <c r="H8683" s="164"/>
    </row>
    <row r="8684" spans="1:9" x14ac:dyDescent="0.25">
      <c r="A8684" s="163"/>
      <c r="B8684" s="106"/>
      <c r="C8684" s="100" t="s">
        <v>140</v>
      </c>
      <c r="D8684" s="75"/>
      <c r="E8684" s="73"/>
      <c r="F8684" s="74" t="s">
        <v>3</v>
      </c>
      <c r="G8684" s="153">
        <f>0.018*3.14*4*0.08*1.12</f>
        <v>2.0256768000000001E-2</v>
      </c>
      <c r="H8684" s="164"/>
    </row>
    <row r="8685" spans="1:9" ht="17.25" x14ac:dyDescent="0.25">
      <c r="A8685" s="163"/>
      <c r="B8685" s="106"/>
      <c r="C8685" s="100" t="s">
        <v>23</v>
      </c>
      <c r="D8685" s="75"/>
      <c r="E8685" s="73"/>
      <c r="F8685" s="74" t="s">
        <v>596</v>
      </c>
      <c r="G8685" s="153">
        <f>G8684*2-0.001</f>
        <v>3.9513536000000002E-2</v>
      </c>
      <c r="H8685" s="164"/>
    </row>
    <row r="8686" spans="1:9" x14ac:dyDescent="0.25">
      <c r="A8686" s="163"/>
      <c r="B8686" s="106"/>
      <c r="C8686" s="100" t="s">
        <v>142</v>
      </c>
      <c r="D8686" s="75"/>
      <c r="E8686" s="73"/>
      <c r="F8686" s="74" t="s">
        <v>3</v>
      </c>
      <c r="G8686" s="153">
        <f>G8684/4+0.001</f>
        <v>6.0641920000000004E-3</v>
      </c>
      <c r="H8686" s="164"/>
    </row>
    <row r="8687" spans="1:9" x14ac:dyDescent="0.25">
      <c r="A8687" s="163"/>
      <c r="B8687" s="106"/>
      <c r="C8687" s="77" t="s">
        <v>8</v>
      </c>
      <c r="D8687" s="73"/>
      <c r="E8687" s="73"/>
      <c r="F8687" s="74" t="s">
        <v>3</v>
      </c>
      <c r="G8687" s="153">
        <f>0.65*G8688+0.001</f>
        <v>2.0500000000000001E-2</v>
      </c>
      <c r="H8687" s="164"/>
    </row>
    <row r="8688" spans="1:9" x14ac:dyDescent="0.25">
      <c r="A8688" s="163"/>
      <c r="B8688" s="106"/>
      <c r="C8688" s="77" t="s">
        <v>115</v>
      </c>
      <c r="D8688" s="73"/>
      <c r="E8688" s="73"/>
      <c r="F8688" s="74" t="s">
        <v>3</v>
      </c>
      <c r="G8688" s="153">
        <f>0.6*0.02*2*1.25</f>
        <v>0.03</v>
      </c>
      <c r="H8688" s="164"/>
    </row>
    <row r="8689" spans="1:9" x14ac:dyDescent="0.25">
      <c r="A8689" s="163"/>
      <c r="B8689" s="106"/>
      <c r="C8689" s="186" t="s">
        <v>143</v>
      </c>
      <c r="D8689" s="73"/>
      <c r="E8689" s="73"/>
      <c r="F8689" s="74" t="s">
        <v>3</v>
      </c>
      <c r="G8689" s="153">
        <f>G8687</f>
        <v>2.0500000000000001E-2</v>
      </c>
      <c r="H8689" s="164"/>
    </row>
    <row r="8690" spans="1:9" x14ac:dyDescent="0.25">
      <c r="A8690" s="163"/>
      <c r="B8690" s="106"/>
      <c r="C8690" s="77" t="s">
        <v>12</v>
      </c>
      <c r="D8690" s="73"/>
      <c r="E8690" s="73"/>
      <c r="F8690" s="74" t="s">
        <v>3</v>
      </c>
      <c r="G8690" s="153">
        <f>0.3*(G8688+G8687)+0.002</f>
        <v>1.7149999999999999E-2</v>
      </c>
      <c r="H8690" s="164"/>
    </row>
    <row r="8691" spans="1:9" x14ac:dyDescent="0.25">
      <c r="A8691" s="163"/>
      <c r="B8691" s="106"/>
      <c r="C8691" s="73"/>
      <c r="D8691" s="75" t="s">
        <v>4031</v>
      </c>
      <c r="E8691" s="73"/>
      <c r="F8691" s="74"/>
      <c r="G8691" s="153"/>
      <c r="H8691" s="164"/>
      <c r="I8691" t="s">
        <v>4033</v>
      </c>
    </row>
    <row r="8692" spans="1:9" x14ac:dyDescent="0.25">
      <c r="A8692" s="163"/>
      <c r="B8692" s="106"/>
      <c r="C8692" s="73"/>
      <c r="D8692" s="73" t="s">
        <v>3981</v>
      </c>
      <c r="E8692" s="73"/>
      <c r="F8692" s="74" t="s">
        <v>3</v>
      </c>
      <c r="G8692" s="153">
        <f>0.419*0.37</f>
        <v>0.15503</v>
      </c>
      <c r="H8692" s="164"/>
    </row>
    <row r="8693" spans="1:9" x14ac:dyDescent="0.25">
      <c r="A8693" s="163"/>
      <c r="B8693" s="106"/>
      <c r="C8693" s="73"/>
      <c r="D8693" s="75" t="s">
        <v>4032</v>
      </c>
      <c r="E8693" s="73"/>
      <c r="F8693" s="74"/>
      <c r="G8693" s="153"/>
      <c r="H8693" s="164"/>
    </row>
    <row r="8694" spans="1:9" x14ac:dyDescent="0.25">
      <c r="A8694" s="163"/>
      <c r="B8694" s="106"/>
      <c r="C8694" s="73"/>
      <c r="D8694" s="73" t="s">
        <v>3981</v>
      </c>
      <c r="E8694" s="73"/>
      <c r="F8694" s="74" t="s">
        <v>3</v>
      </c>
      <c r="G8694" s="153">
        <f>0.419*0.27+0.002</f>
        <v>0.11513000000000001</v>
      </c>
      <c r="H8694" s="164"/>
      <c r="I8694" t="s">
        <v>4034</v>
      </c>
    </row>
    <row r="8695" spans="1:9" x14ac:dyDescent="0.25">
      <c r="A8695" s="163"/>
      <c r="B8695" s="106"/>
      <c r="C8695" s="73"/>
      <c r="D8695" s="73"/>
      <c r="E8695" s="73"/>
      <c r="F8695" s="74"/>
      <c r="G8695" s="153"/>
      <c r="H8695" s="164"/>
    </row>
    <row r="8696" spans="1:9" x14ac:dyDescent="0.25">
      <c r="A8696" s="163"/>
      <c r="B8696" s="106"/>
      <c r="C8696" s="75" t="s">
        <v>4035</v>
      </c>
      <c r="D8696" s="73"/>
      <c r="E8696" s="73"/>
      <c r="F8696" s="74"/>
      <c r="G8696" s="153"/>
      <c r="H8696" s="164"/>
    </row>
    <row r="8697" spans="1:9" x14ac:dyDescent="0.25">
      <c r="A8697" s="163"/>
      <c r="B8697" s="106"/>
      <c r="C8697" s="73" t="s">
        <v>412</v>
      </c>
      <c r="D8697" s="73"/>
      <c r="E8697" s="73"/>
      <c r="F8697" s="74" t="s">
        <v>3</v>
      </c>
      <c r="G8697" s="153">
        <f>0.09*0.065*2*8*1.12</f>
        <v>0.10483200000000001</v>
      </c>
      <c r="H8697" s="164"/>
    </row>
    <row r="8698" spans="1:9" x14ac:dyDescent="0.25">
      <c r="A8698" s="163"/>
      <c r="B8698" s="106"/>
      <c r="C8698" s="73"/>
      <c r="D8698" s="73"/>
      <c r="E8698" s="73"/>
      <c r="F8698" s="74"/>
      <c r="G8698" s="153"/>
      <c r="H8698" s="164"/>
    </row>
    <row r="8699" spans="1:9" x14ac:dyDescent="0.25">
      <c r="A8699" s="163"/>
      <c r="B8699" s="106"/>
      <c r="C8699" s="75" t="s">
        <v>4036</v>
      </c>
      <c r="D8699" s="73"/>
      <c r="E8699" s="73"/>
      <c r="F8699" s="74"/>
      <c r="G8699" s="153"/>
      <c r="H8699" s="164"/>
    </row>
    <row r="8700" spans="1:9" x14ac:dyDescent="0.25">
      <c r="A8700" s="163"/>
      <c r="B8700" s="106"/>
      <c r="C8700" s="73" t="s">
        <v>412</v>
      </c>
      <c r="D8700" s="73"/>
      <c r="E8700" s="73"/>
      <c r="F8700" s="74" t="s">
        <v>3</v>
      </c>
      <c r="G8700" s="153">
        <f>0.05*0.02*2*8*1.1</f>
        <v>1.7600000000000001E-2</v>
      </c>
      <c r="H8700" s="164"/>
    </row>
    <row r="8701" spans="1:9" x14ac:dyDescent="0.25">
      <c r="A8701" s="163"/>
      <c r="B8701" s="106"/>
      <c r="C8701" s="73"/>
      <c r="D8701" s="73"/>
      <c r="E8701" s="73"/>
      <c r="F8701" s="74"/>
      <c r="G8701" s="153"/>
      <c r="H8701" s="164"/>
    </row>
    <row r="8702" spans="1:9" x14ac:dyDescent="0.25">
      <c r="A8702" s="163"/>
      <c r="B8702" s="106"/>
      <c r="C8702" s="75" t="s">
        <v>4037</v>
      </c>
      <c r="D8702" s="73"/>
      <c r="E8702" s="73"/>
      <c r="F8702" s="74"/>
      <c r="G8702" s="153"/>
      <c r="H8702" s="164"/>
    </row>
    <row r="8703" spans="1:9" x14ac:dyDescent="0.25">
      <c r="A8703" s="163"/>
      <c r="B8703" s="106"/>
      <c r="C8703" s="73" t="s">
        <v>4038</v>
      </c>
      <c r="D8703" s="73"/>
      <c r="E8703" s="73"/>
      <c r="F8703" s="74" t="s">
        <v>3</v>
      </c>
      <c r="G8703" s="153">
        <f>0.05*0.05*8</f>
        <v>2.0000000000000004E-2</v>
      </c>
      <c r="H8703" s="164"/>
    </row>
    <row r="8704" spans="1:9" x14ac:dyDescent="0.25">
      <c r="A8704" s="163"/>
      <c r="B8704" s="106"/>
      <c r="C8704" s="73"/>
      <c r="D8704" s="73"/>
      <c r="E8704" s="73"/>
      <c r="F8704" s="74"/>
      <c r="G8704" s="153"/>
      <c r="H8704" s="164"/>
    </row>
    <row r="8705" spans="1:8" x14ac:dyDescent="0.25">
      <c r="A8705" s="163"/>
      <c r="B8705" s="106"/>
      <c r="C8705" s="75" t="s">
        <v>4039</v>
      </c>
      <c r="D8705" s="73"/>
      <c r="E8705" s="73"/>
      <c r="F8705" s="74"/>
      <c r="G8705" s="153"/>
      <c r="H8705" s="164"/>
    </row>
    <row r="8706" spans="1:8" x14ac:dyDescent="0.25">
      <c r="A8706" s="163"/>
      <c r="B8706" s="106"/>
      <c r="C8706" s="73" t="s">
        <v>4040</v>
      </c>
      <c r="D8706" s="73"/>
      <c r="E8706" s="73"/>
      <c r="F8706" s="74" t="s">
        <v>3</v>
      </c>
      <c r="G8706" s="153">
        <f>0.135*0.04*4*8*1.12+0.001</f>
        <v>0.19453600000000004</v>
      </c>
      <c r="H8706" s="164"/>
    </row>
    <row r="8707" spans="1:8" x14ac:dyDescent="0.25">
      <c r="A8707" s="163"/>
      <c r="B8707" s="106"/>
      <c r="C8707" s="73"/>
      <c r="D8707" s="73"/>
      <c r="E8707" s="73"/>
      <c r="F8707" s="74"/>
      <c r="G8707" s="153"/>
      <c r="H8707" s="164"/>
    </row>
    <row r="8708" spans="1:8" x14ac:dyDescent="0.25">
      <c r="A8708" s="163"/>
      <c r="B8708" s="106"/>
      <c r="C8708" s="75" t="s">
        <v>4041</v>
      </c>
      <c r="D8708" s="73"/>
      <c r="E8708" s="73"/>
      <c r="F8708" s="74"/>
      <c r="G8708" s="153"/>
      <c r="H8708" s="164"/>
    </row>
    <row r="8709" spans="1:8" x14ac:dyDescent="0.25">
      <c r="A8709" s="163"/>
      <c r="B8709" s="106"/>
      <c r="C8709" s="73" t="s">
        <v>4042</v>
      </c>
      <c r="D8709" s="73"/>
      <c r="E8709" s="73"/>
      <c r="F8709" s="74" t="s">
        <v>3</v>
      </c>
      <c r="G8709" s="153">
        <f>0.04*0.04*3*8*1.12</f>
        <v>4.3008000000000011E-2</v>
      </c>
      <c r="H8709" s="164"/>
    </row>
    <row r="8710" spans="1:8" x14ac:dyDescent="0.25">
      <c r="A8710" s="163"/>
      <c r="B8710" s="106"/>
      <c r="C8710" s="73"/>
      <c r="D8710" s="73"/>
      <c r="E8710" s="73"/>
      <c r="F8710" s="74"/>
      <c r="G8710" s="153"/>
      <c r="H8710" s="164"/>
    </row>
    <row r="8711" spans="1:8" x14ac:dyDescent="0.25">
      <c r="A8711" s="163"/>
      <c r="B8711" s="106"/>
      <c r="C8711" s="75" t="s">
        <v>4043</v>
      </c>
      <c r="D8711" s="73"/>
      <c r="E8711" s="73"/>
      <c r="F8711" s="74"/>
      <c r="G8711" s="153"/>
      <c r="H8711" s="164"/>
    </row>
    <row r="8712" spans="1:8" x14ac:dyDescent="0.25">
      <c r="A8712" s="163"/>
      <c r="B8712" s="106"/>
      <c r="C8712" s="73" t="s">
        <v>1138</v>
      </c>
      <c r="D8712" s="73"/>
      <c r="E8712" s="73"/>
      <c r="F8712" s="74" t="s">
        <v>3</v>
      </c>
      <c r="G8712" s="153">
        <f>0.04*0.04*4*2.7*1.15</f>
        <v>1.9872000000000004E-2</v>
      </c>
      <c r="H8712" s="164"/>
    </row>
    <row r="8713" spans="1:8" ht="15.75" thickBot="1" x14ac:dyDescent="0.3">
      <c r="A8713" s="67"/>
      <c r="B8713" s="86"/>
      <c r="C8713" s="68"/>
      <c r="D8713" s="68"/>
      <c r="E8713" s="68"/>
      <c r="F8713" s="82"/>
      <c r="G8713" s="89"/>
      <c r="H8713" s="165"/>
    </row>
    <row r="8714" spans="1:8" x14ac:dyDescent="0.25">
      <c r="A8714" s="159"/>
      <c r="B8714" s="181"/>
      <c r="C8714" s="93"/>
      <c r="D8714" s="93"/>
      <c r="E8714" s="93"/>
      <c r="F8714" s="160"/>
      <c r="G8714" s="161"/>
      <c r="H8714" s="447" t="s">
        <v>4055</v>
      </c>
    </row>
    <row r="8715" spans="1:8" ht="15.75" x14ac:dyDescent="0.25">
      <c r="A8715" s="163"/>
      <c r="B8715" s="106"/>
      <c r="C8715" s="73"/>
      <c r="D8715" s="73"/>
      <c r="E8715" s="352" t="s">
        <v>4046</v>
      </c>
      <c r="F8715" s="74"/>
      <c r="G8715" s="153"/>
      <c r="H8715" s="164"/>
    </row>
    <row r="8716" spans="1:8" x14ac:dyDescent="0.25">
      <c r="A8716" s="163"/>
      <c r="B8716" s="106"/>
      <c r="C8716" s="73"/>
      <c r="D8716" s="73"/>
      <c r="E8716" s="73"/>
      <c r="F8716" s="74"/>
      <c r="G8716" s="153"/>
      <c r="H8716" s="164"/>
    </row>
    <row r="8717" spans="1:8" x14ac:dyDescent="0.25">
      <c r="A8717" s="163"/>
      <c r="B8717" s="106"/>
      <c r="C8717" s="75" t="s">
        <v>4047</v>
      </c>
      <c r="D8717" s="73"/>
      <c r="E8717" s="73"/>
      <c r="F8717" s="74"/>
      <c r="G8717" s="153"/>
      <c r="H8717" s="164"/>
    </row>
    <row r="8718" spans="1:8" x14ac:dyDescent="0.25">
      <c r="A8718" s="163"/>
      <c r="B8718" s="106"/>
      <c r="C8718" s="73" t="s">
        <v>1021</v>
      </c>
      <c r="D8718" s="73"/>
      <c r="E8718" s="73"/>
      <c r="F8718" s="74" t="s">
        <v>3</v>
      </c>
      <c r="G8718" s="153">
        <f>0.01</f>
        <v>0.01</v>
      </c>
      <c r="H8718" s="164"/>
    </row>
    <row r="8719" spans="1:8" x14ac:dyDescent="0.25">
      <c r="A8719" s="163"/>
      <c r="B8719" s="106"/>
      <c r="C8719" s="73"/>
      <c r="D8719" s="75" t="s">
        <v>4048</v>
      </c>
      <c r="E8719" s="73"/>
      <c r="F8719" s="74"/>
      <c r="G8719" s="153"/>
      <c r="H8719" s="164"/>
    </row>
    <row r="8720" spans="1:8" x14ac:dyDescent="0.25">
      <c r="A8720" s="163"/>
      <c r="B8720" s="106"/>
      <c r="C8720" s="73"/>
      <c r="D8720" s="73" t="s">
        <v>2755</v>
      </c>
      <c r="E8720" s="75"/>
      <c r="F8720" s="74" t="s">
        <v>3</v>
      </c>
      <c r="G8720" s="153">
        <f>0.007*3.14*0.08</f>
        <v>1.7584000000000002E-3</v>
      </c>
      <c r="H8720" s="164"/>
    </row>
    <row r="8721" spans="1:11" ht="17.25" x14ac:dyDescent="0.25">
      <c r="A8721" s="163"/>
      <c r="B8721" s="106"/>
      <c r="C8721" s="73"/>
      <c r="D8721" s="73" t="s">
        <v>1055</v>
      </c>
      <c r="E8721" s="75"/>
      <c r="F8721" s="74" t="s">
        <v>596</v>
      </c>
      <c r="G8721" s="153">
        <f>G8720*1.1</f>
        <v>1.9342400000000005E-3</v>
      </c>
      <c r="H8721" s="164"/>
      <c r="K8721" s="445"/>
    </row>
    <row r="8722" spans="1:11" x14ac:dyDescent="0.25">
      <c r="A8722" s="163"/>
      <c r="B8722" s="106"/>
      <c r="C8722" s="73"/>
      <c r="D8722" s="100" t="s">
        <v>8</v>
      </c>
      <c r="E8722" s="73"/>
      <c r="F8722" s="74" t="s">
        <v>3</v>
      </c>
      <c r="G8722" s="153">
        <f>0.05*0.05*2*0.15*2*1.2</f>
        <v>1.8000000000000002E-3</v>
      </c>
      <c r="H8722" s="164"/>
      <c r="K8722" s="445"/>
    </row>
    <row r="8723" spans="1:11" x14ac:dyDescent="0.25">
      <c r="A8723" s="163"/>
      <c r="B8723" s="106"/>
      <c r="C8723" s="73"/>
      <c r="D8723" s="73" t="s">
        <v>115</v>
      </c>
      <c r="E8723" s="73"/>
      <c r="F8723" s="74" t="s">
        <v>3</v>
      </c>
      <c r="G8723" s="153">
        <f>0.24*0.33*2*0.15*2*1.27</f>
        <v>6.0350399999999998E-2</v>
      </c>
      <c r="H8723" s="164"/>
      <c r="K8723" s="445"/>
    </row>
    <row r="8724" spans="1:11" x14ac:dyDescent="0.25">
      <c r="A8724" s="163"/>
      <c r="B8724" s="106"/>
      <c r="C8724" s="73"/>
      <c r="D8724" s="73" t="s">
        <v>12</v>
      </c>
      <c r="E8724" s="73"/>
      <c r="F8724" s="74" t="s">
        <v>3</v>
      </c>
      <c r="G8724" s="153">
        <f>0.3*(G8723+G8722)+0.001</f>
        <v>1.9645120000000002E-2</v>
      </c>
      <c r="H8724" s="164"/>
      <c r="K8724" s="445"/>
    </row>
    <row r="8725" spans="1:11" x14ac:dyDescent="0.25">
      <c r="A8725" s="163"/>
      <c r="B8725" s="106"/>
      <c r="C8725" s="73"/>
      <c r="D8725" s="73"/>
      <c r="E8725" s="75" t="s">
        <v>4049</v>
      </c>
      <c r="F8725" s="74"/>
      <c r="G8725" s="153"/>
      <c r="H8725" s="164"/>
    </row>
    <row r="8726" spans="1:11" x14ac:dyDescent="0.25">
      <c r="A8726" s="163"/>
      <c r="B8726" s="106"/>
      <c r="C8726" s="73"/>
      <c r="D8726" s="73"/>
      <c r="E8726" s="100" t="s">
        <v>4054</v>
      </c>
      <c r="F8726" s="74" t="s">
        <v>3</v>
      </c>
      <c r="G8726" s="153">
        <f>0.34*0.24*3*8*1.1235</f>
        <v>2.2002624000000002</v>
      </c>
      <c r="H8726" s="164"/>
      <c r="K8726" s="445"/>
    </row>
    <row r="8727" spans="1:11" x14ac:dyDescent="0.25">
      <c r="A8727" s="163"/>
      <c r="B8727" s="106"/>
      <c r="C8727" s="73"/>
      <c r="D8727" s="75" t="s">
        <v>4050</v>
      </c>
      <c r="E8727" s="73"/>
      <c r="F8727" s="74"/>
      <c r="G8727" s="153"/>
      <c r="H8727" s="164"/>
    </row>
    <row r="8728" spans="1:11" x14ac:dyDescent="0.25">
      <c r="A8728" s="163"/>
      <c r="B8728" s="106"/>
      <c r="C8728" s="73"/>
      <c r="D8728" s="73" t="s">
        <v>4133</v>
      </c>
      <c r="E8728" s="73"/>
      <c r="F8728" s="74" t="s">
        <v>3</v>
      </c>
      <c r="G8728" s="153">
        <f>0.03*0.03*4*8*1.12</f>
        <v>3.2256E-2</v>
      </c>
      <c r="H8728" s="164"/>
    </row>
    <row r="8729" spans="1:11" x14ac:dyDescent="0.25">
      <c r="A8729" s="163"/>
      <c r="B8729" s="106"/>
      <c r="C8729" s="73"/>
      <c r="D8729" s="75" t="s">
        <v>4051</v>
      </c>
      <c r="E8729" s="73"/>
      <c r="F8729" s="74"/>
      <c r="G8729" s="153"/>
      <c r="H8729" s="164"/>
    </row>
    <row r="8730" spans="1:11" x14ac:dyDescent="0.25">
      <c r="A8730" s="163"/>
      <c r="B8730" s="106"/>
      <c r="C8730" s="73"/>
      <c r="D8730" s="73" t="s">
        <v>4052</v>
      </c>
      <c r="E8730" s="73"/>
      <c r="F8730" s="74" t="s">
        <v>4053</v>
      </c>
      <c r="G8730" s="153">
        <f>0.045*0.045*2*8*1.12</f>
        <v>3.6288000000000001E-2</v>
      </c>
      <c r="H8730" s="164"/>
    </row>
    <row r="8731" spans="1:11" x14ac:dyDescent="0.25">
      <c r="A8731" s="163"/>
      <c r="B8731" s="106"/>
      <c r="C8731" s="73"/>
      <c r="D8731" s="100" t="s">
        <v>8</v>
      </c>
      <c r="E8731" s="73"/>
      <c r="F8731" s="74" t="s">
        <v>3</v>
      </c>
      <c r="G8731" s="153">
        <f>0.05*0.05*2*0.15*2*1.2</f>
        <v>1.8000000000000002E-3</v>
      </c>
      <c r="H8731" s="164"/>
    </row>
    <row r="8732" spans="1:11" x14ac:dyDescent="0.25">
      <c r="A8732" s="163"/>
      <c r="B8732" s="106"/>
      <c r="C8732" s="73"/>
      <c r="D8732" s="73" t="s">
        <v>115</v>
      </c>
      <c r="E8732" s="73"/>
      <c r="F8732" s="74" t="s">
        <v>3</v>
      </c>
      <c r="G8732" s="153">
        <f>0.05*0.05*2*0.15*2*1.2</f>
        <v>1.8000000000000002E-3</v>
      </c>
      <c r="H8732" s="164"/>
    </row>
    <row r="8733" spans="1:11" x14ac:dyDescent="0.25">
      <c r="A8733" s="163"/>
      <c r="B8733" s="106"/>
      <c r="C8733" s="73"/>
      <c r="D8733" s="73" t="s">
        <v>12</v>
      </c>
      <c r="E8733" s="73"/>
      <c r="F8733" s="74" t="s">
        <v>3</v>
      </c>
      <c r="G8733" s="153">
        <f>0.3*(G8732+G8731)</f>
        <v>1.08E-3</v>
      </c>
      <c r="H8733" s="164"/>
    </row>
    <row r="8734" spans="1:11" ht="15.75" thickBot="1" x14ac:dyDescent="0.3">
      <c r="A8734" s="67"/>
      <c r="B8734" s="86"/>
      <c r="C8734" s="68"/>
      <c r="D8734" s="68"/>
      <c r="E8734" s="68"/>
      <c r="F8734" s="82"/>
      <c r="G8734" s="89"/>
      <c r="H8734" s="165"/>
    </row>
    <row r="8735" spans="1:11" x14ac:dyDescent="0.25">
      <c r="A8735" s="159"/>
      <c r="B8735" s="181"/>
      <c r="C8735" s="93"/>
      <c r="D8735" s="93"/>
      <c r="E8735" s="93"/>
      <c r="F8735" s="160"/>
      <c r="G8735" s="161"/>
      <c r="H8735" s="162" t="s">
        <v>4111</v>
      </c>
    </row>
    <row r="8736" spans="1:11" x14ac:dyDescent="0.25">
      <c r="A8736" s="163"/>
      <c r="B8736" s="106"/>
      <c r="C8736" s="73"/>
      <c r="D8736" s="73"/>
      <c r="E8736" s="73"/>
      <c r="F8736" s="74"/>
      <c r="G8736" s="153"/>
      <c r="H8736" s="164"/>
    </row>
    <row r="8737" spans="1:9" x14ac:dyDescent="0.25">
      <c r="A8737" s="163"/>
      <c r="B8737" s="106"/>
      <c r="C8737" s="75" t="s">
        <v>4056</v>
      </c>
      <c r="D8737" s="73"/>
      <c r="E8737" s="73"/>
      <c r="F8737" s="74"/>
      <c r="G8737" s="153"/>
      <c r="H8737" s="164"/>
    </row>
    <row r="8738" spans="1:9" x14ac:dyDescent="0.25">
      <c r="A8738" s="163"/>
      <c r="B8738" s="106"/>
      <c r="C8738" s="100" t="s">
        <v>140</v>
      </c>
      <c r="D8738" s="75"/>
      <c r="E8738" s="73"/>
      <c r="F8738" s="74" t="s">
        <v>3</v>
      </c>
      <c r="G8738" s="153">
        <f>0.01*3.14*3*0.08*1.15</f>
        <v>8.6664000000000012E-3</v>
      </c>
      <c r="H8738" s="164"/>
    </row>
    <row r="8739" spans="1:9" ht="17.25" x14ac:dyDescent="0.25">
      <c r="A8739" s="163"/>
      <c r="B8739" s="106"/>
      <c r="C8739" s="100" t="s">
        <v>23</v>
      </c>
      <c r="D8739" s="75"/>
      <c r="E8739" s="73"/>
      <c r="F8739" s="74" t="s">
        <v>596</v>
      </c>
      <c r="G8739" s="153">
        <f>G8738*2-0.001</f>
        <v>1.6332800000000001E-2</v>
      </c>
      <c r="H8739" s="164"/>
    </row>
    <row r="8740" spans="1:9" x14ac:dyDescent="0.25">
      <c r="A8740" s="163"/>
      <c r="B8740" s="106"/>
      <c r="C8740" s="100" t="s">
        <v>142</v>
      </c>
      <c r="D8740" s="75"/>
      <c r="E8740" s="73"/>
      <c r="F8740" s="74" t="s">
        <v>3</v>
      </c>
      <c r="G8740" s="153">
        <f>G8738/4+0.001</f>
        <v>3.1666000000000003E-3</v>
      </c>
      <c r="H8740" s="164"/>
    </row>
    <row r="8741" spans="1:9" x14ac:dyDescent="0.25">
      <c r="A8741" s="163"/>
      <c r="B8741" s="106"/>
      <c r="C8741" s="73" t="s">
        <v>2755</v>
      </c>
      <c r="D8741" s="75"/>
      <c r="E8741" s="73"/>
      <c r="F8741" s="74" t="s">
        <v>3</v>
      </c>
      <c r="G8741" s="153">
        <f>0.05*0.08*1.2</f>
        <v>4.7999999999999996E-3</v>
      </c>
      <c r="H8741" s="164"/>
    </row>
    <row r="8742" spans="1:9" ht="17.25" x14ac:dyDescent="0.25">
      <c r="A8742" s="163"/>
      <c r="B8742" s="106"/>
      <c r="C8742" s="73" t="s">
        <v>1055</v>
      </c>
      <c r="D8742" s="75"/>
      <c r="E8742" s="73"/>
      <c r="F8742" s="74" t="s">
        <v>596</v>
      </c>
      <c r="G8742" s="153">
        <f>G8741*1.1</f>
        <v>5.28E-3</v>
      </c>
      <c r="H8742" s="164"/>
    </row>
    <row r="8743" spans="1:9" x14ac:dyDescent="0.25">
      <c r="A8743" s="163"/>
      <c r="B8743" s="106"/>
      <c r="C8743" s="186" t="s">
        <v>143</v>
      </c>
      <c r="D8743" s="73"/>
      <c r="E8743" s="73"/>
      <c r="F8743" s="74" t="s">
        <v>3</v>
      </c>
      <c r="G8743" s="153">
        <f>G8744</f>
        <v>7.1662499999999999E-3</v>
      </c>
      <c r="H8743" s="164"/>
    </row>
    <row r="8744" spans="1:9" x14ac:dyDescent="0.25">
      <c r="A8744" s="163"/>
      <c r="B8744" s="106"/>
      <c r="C8744" s="73" t="s">
        <v>8</v>
      </c>
      <c r="D8744" s="73"/>
      <c r="E8744" s="73"/>
      <c r="F8744" s="74" t="s">
        <v>3</v>
      </c>
      <c r="G8744" s="153">
        <f>G8745*0.7</f>
        <v>7.1662499999999999E-3</v>
      </c>
      <c r="H8744" s="164"/>
    </row>
    <row r="8745" spans="1:9" x14ac:dyDescent="0.25">
      <c r="A8745" s="163"/>
      <c r="B8745" s="106"/>
      <c r="C8745" s="73" t="s">
        <v>148</v>
      </c>
      <c r="D8745" s="73"/>
      <c r="E8745" s="73"/>
      <c r="F8745" s="74" t="s">
        <v>3</v>
      </c>
      <c r="G8745" s="153">
        <f>0.125*0.07*3*0.15*2*1.3</f>
        <v>1.02375E-2</v>
      </c>
      <c r="H8745" s="164"/>
    </row>
    <row r="8746" spans="1:9" x14ac:dyDescent="0.25">
      <c r="A8746" s="163"/>
      <c r="B8746" s="106"/>
      <c r="C8746" s="73" t="s">
        <v>12</v>
      </c>
      <c r="D8746" s="73"/>
      <c r="E8746" s="73"/>
      <c r="F8746" s="74" t="s">
        <v>3</v>
      </c>
      <c r="G8746" s="153">
        <f>0.3*(G8745+G8744+G8743)</f>
        <v>7.3709999999999991E-3</v>
      </c>
      <c r="H8746" s="164"/>
    </row>
    <row r="8747" spans="1:9" x14ac:dyDescent="0.25">
      <c r="A8747" s="163"/>
      <c r="B8747" s="106"/>
      <c r="C8747" s="73"/>
      <c r="D8747" s="75" t="s">
        <v>3781</v>
      </c>
      <c r="E8747" s="73"/>
      <c r="F8747" s="74"/>
      <c r="G8747" s="153"/>
      <c r="H8747" s="164"/>
    </row>
    <row r="8748" spans="1:9" x14ac:dyDescent="0.25">
      <c r="A8748" s="163"/>
      <c r="B8748" s="106"/>
      <c r="C8748" s="73"/>
      <c r="D8748" s="73" t="s">
        <v>3785</v>
      </c>
      <c r="E8748" s="73"/>
      <c r="F8748" s="74" t="s">
        <v>3</v>
      </c>
      <c r="G8748" s="153">
        <f>0.314*0.075+0.001</f>
        <v>2.4549999999999999E-2</v>
      </c>
      <c r="H8748" s="164"/>
      <c r="I8748" t="s">
        <v>4057</v>
      </c>
    </row>
    <row r="8749" spans="1:9" x14ac:dyDescent="0.25">
      <c r="A8749" s="163"/>
      <c r="B8749" s="106"/>
      <c r="C8749" s="73"/>
      <c r="D8749" s="75" t="s">
        <v>3782</v>
      </c>
      <c r="E8749" s="73"/>
      <c r="F8749" s="74"/>
      <c r="G8749" s="153"/>
      <c r="H8749" s="164"/>
    </row>
    <row r="8750" spans="1:9" x14ac:dyDescent="0.25">
      <c r="A8750" s="163"/>
      <c r="B8750" s="106"/>
      <c r="C8750" s="73"/>
      <c r="D8750" s="73" t="s">
        <v>3683</v>
      </c>
      <c r="E8750" s="73"/>
      <c r="F8750" s="74" t="s">
        <v>3</v>
      </c>
      <c r="G8750" s="153">
        <f>0.065*0.025*2*8*1.15</f>
        <v>2.9899999999999999E-2</v>
      </c>
      <c r="H8750" s="164"/>
    </row>
    <row r="8751" spans="1:9" x14ac:dyDescent="0.25">
      <c r="A8751" s="163"/>
      <c r="B8751" s="106"/>
      <c r="C8751" s="73"/>
      <c r="D8751" s="75" t="s">
        <v>3783</v>
      </c>
      <c r="E8751" s="73"/>
      <c r="F8751" s="74"/>
      <c r="G8751" s="153"/>
      <c r="H8751" s="164"/>
    </row>
    <row r="8752" spans="1:9" x14ac:dyDescent="0.25">
      <c r="A8752" s="163"/>
      <c r="B8752" s="106"/>
      <c r="C8752" s="73"/>
      <c r="D8752" s="73" t="s">
        <v>3785</v>
      </c>
      <c r="E8752" s="73"/>
      <c r="F8752" s="74" t="s">
        <v>3</v>
      </c>
      <c r="G8752" s="153">
        <f>0.314*0.075+0.001</f>
        <v>2.4549999999999999E-2</v>
      </c>
      <c r="H8752" s="164"/>
      <c r="I8752" t="s">
        <v>4058</v>
      </c>
    </row>
    <row r="8753" spans="1:9" x14ac:dyDescent="0.25">
      <c r="A8753" s="163"/>
      <c r="B8753" s="106"/>
      <c r="C8753" s="73"/>
      <c r="D8753" s="75" t="s">
        <v>3784</v>
      </c>
      <c r="E8753" s="73"/>
      <c r="F8753" s="74"/>
      <c r="G8753" s="153"/>
      <c r="H8753" s="164"/>
    </row>
    <row r="8754" spans="1:9" x14ac:dyDescent="0.25">
      <c r="A8754" s="163"/>
      <c r="B8754" s="106"/>
      <c r="C8754" s="73"/>
      <c r="D8754" s="73" t="s">
        <v>3785</v>
      </c>
      <c r="E8754" s="73"/>
      <c r="F8754" s="74" t="s">
        <v>3</v>
      </c>
      <c r="G8754" s="153">
        <f>0.314*0.085</f>
        <v>2.6690000000000002E-2</v>
      </c>
      <c r="H8754" s="164"/>
      <c r="I8754" t="s">
        <v>4059</v>
      </c>
    </row>
    <row r="8755" spans="1:9" x14ac:dyDescent="0.25">
      <c r="A8755" s="163"/>
      <c r="B8755" s="106"/>
      <c r="C8755" s="73"/>
      <c r="D8755" s="73"/>
      <c r="E8755" s="73"/>
      <c r="F8755" s="74"/>
      <c r="G8755" s="153"/>
      <c r="H8755" s="164"/>
    </row>
    <row r="8756" spans="1:9" x14ac:dyDescent="0.25">
      <c r="A8756" s="163"/>
      <c r="B8756" s="106"/>
      <c r="C8756" s="75" t="s">
        <v>4060</v>
      </c>
      <c r="D8756" s="73"/>
      <c r="E8756" s="73"/>
      <c r="F8756" s="74"/>
      <c r="G8756" s="153"/>
      <c r="H8756" s="164"/>
    </row>
    <row r="8757" spans="1:9" x14ac:dyDescent="0.25">
      <c r="A8757" s="163"/>
      <c r="B8757" s="106"/>
      <c r="C8757" s="73" t="s">
        <v>3683</v>
      </c>
      <c r="D8757" s="73"/>
      <c r="E8757" s="73"/>
      <c r="F8757" s="74" t="s">
        <v>3</v>
      </c>
      <c r="G8757" s="153">
        <f>0.03*0.016*2*8*1.29</f>
        <v>9.9071999999999997E-3</v>
      </c>
      <c r="H8757" s="164"/>
    </row>
    <row r="8758" spans="1:9" x14ac:dyDescent="0.25">
      <c r="A8758" s="163"/>
      <c r="B8758" s="106"/>
      <c r="C8758" s="73"/>
      <c r="D8758" s="73"/>
      <c r="E8758" s="73"/>
      <c r="F8758" s="74"/>
      <c r="G8758" s="153"/>
      <c r="H8758" s="164"/>
    </row>
    <row r="8759" spans="1:9" x14ac:dyDescent="0.25">
      <c r="A8759" s="163"/>
      <c r="B8759" s="106"/>
      <c r="C8759" s="75" t="s">
        <v>4061</v>
      </c>
      <c r="D8759" s="73"/>
      <c r="E8759" s="73"/>
      <c r="F8759" s="74"/>
      <c r="G8759" s="153"/>
      <c r="H8759" s="164"/>
    </row>
    <row r="8760" spans="1:9" x14ac:dyDescent="0.25">
      <c r="A8760" s="163"/>
      <c r="B8760" s="106"/>
      <c r="C8760" s="73" t="s">
        <v>3683</v>
      </c>
      <c r="D8760" s="73"/>
      <c r="E8760" s="73"/>
      <c r="F8760" s="74" t="s">
        <v>3</v>
      </c>
      <c r="G8760" s="153">
        <f>0.09*0.065*2*8*1.12</f>
        <v>0.10483200000000001</v>
      </c>
      <c r="H8760" s="164"/>
    </row>
    <row r="8761" spans="1:9" x14ac:dyDescent="0.25">
      <c r="A8761" s="163"/>
      <c r="B8761" s="106"/>
      <c r="C8761" s="73"/>
      <c r="D8761" s="73"/>
      <c r="E8761" s="73"/>
      <c r="F8761" s="74"/>
      <c r="G8761" s="153"/>
      <c r="H8761" s="164"/>
    </row>
    <row r="8762" spans="1:9" x14ac:dyDescent="0.25">
      <c r="A8762" s="163"/>
      <c r="B8762" s="106"/>
      <c r="C8762" s="75" t="s">
        <v>4062</v>
      </c>
      <c r="D8762" s="73"/>
      <c r="E8762" s="73"/>
      <c r="F8762" s="74"/>
      <c r="G8762" s="153"/>
      <c r="H8762" s="164"/>
    </row>
    <row r="8763" spans="1:9" x14ac:dyDescent="0.25">
      <c r="A8763" s="163"/>
      <c r="B8763" s="106"/>
      <c r="C8763" s="73" t="s">
        <v>984</v>
      </c>
      <c r="D8763" s="73"/>
      <c r="E8763" s="73"/>
      <c r="F8763" s="74" t="s">
        <v>3</v>
      </c>
      <c r="G8763" s="153">
        <f>0.22*0.03*1*8*1.14</f>
        <v>6.0191999999999996E-2</v>
      </c>
      <c r="H8763" s="164"/>
    </row>
    <row r="8764" spans="1:9" x14ac:dyDescent="0.25">
      <c r="A8764" s="163"/>
      <c r="B8764" s="106"/>
      <c r="C8764" s="73"/>
      <c r="D8764" s="73"/>
      <c r="E8764" s="73"/>
      <c r="F8764" s="74"/>
      <c r="G8764" s="153"/>
      <c r="H8764" s="164"/>
    </row>
    <row r="8765" spans="1:9" x14ac:dyDescent="0.25">
      <c r="A8765" s="163"/>
      <c r="B8765" s="106"/>
      <c r="C8765" s="75" t="s">
        <v>4063</v>
      </c>
      <c r="D8765" s="73"/>
      <c r="E8765" s="73"/>
      <c r="F8765" s="74"/>
      <c r="G8765" s="153"/>
      <c r="H8765" s="164"/>
    </row>
    <row r="8766" spans="1:9" x14ac:dyDescent="0.25">
      <c r="A8766" s="163"/>
      <c r="B8766" s="106"/>
      <c r="C8766" s="73" t="s">
        <v>2755</v>
      </c>
      <c r="D8766" s="75"/>
      <c r="E8766" s="73"/>
      <c r="F8766" s="74" t="s">
        <v>3</v>
      </c>
      <c r="G8766" s="153">
        <f>0.04*0.08*1.2</f>
        <v>3.8400000000000001E-3</v>
      </c>
      <c r="H8766" s="164"/>
    </row>
    <row r="8767" spans="1:9" ht="17.25" x14ac:dyDescent="0.25">
      <c r="A8767" s="163"/>
      <c r="B8767" s="106"/>
      <c r="C8767" s="73" t="s">
        <v>1055</v>
      </c>
      <c r="D8767" s="75"/>
      <c r="E8767" s="73"/>
      <c r="F8767" s="74" t="s">
        <v>596</v>
      </c>
      <c r="G8767" s="153">
        <f>G8766*1.1</f>
        <v>4.2240000000000003E-3</v>
      </c>
      <c r="H8767" s="164"/>
    </row>
    <row r="8768" spans="1:9" x14ac:dyDescent="0.25">
      <c r="A8768" s="163"/>
      <c r="B8768" s="106"/>
      <c r="C8768" s="73"/>
      <c r="D8768" s="75" t="s">
        <v>4064</v>
      </c>
      <c r="E8768" s="73"/>
      <c r="F8768" s="74"/>
      <c r="G8768" s="153"/>
      <c r="H8768" s="164"/>
    </row>
    <row r="8769" spans="1:10" x14ac:dyDescent="0.25">
      <c r="A8769" s="163"/>
      <c r="B8769" s="106"/>
      <c r="C8769" s="73"/>
      <c r="D8769" s="73" t="s">
        <v>54</v>
      </c>
      <c r="E8769" s="73"/>
      <c r="F8769" s="74" t="s">
        <v>3</v>
      </c>
      <c r="G8769" s="153">
        <f>0.08*0.02*4*8*1.125</f>
        <v>5.7600000000000005E-2</v>
      </c>
      <c r="H8769" s="164"/>
    </row>
    <row r="8770" spans="1:10" x14ac:dyDescent="0.25">
      <c r="A8770" s="163"/>
      <c r="B8770" s="106"/>
      <c r="C8770" s="73"/>
      <c r="D8770" s="73"/>
      <c r="E8770" s="73"/>
      <c r="F8770" s="74"/>
      <c r="G8770" s="153"/>
      <c r="H8770" s="164"/>
    </row>
    <row r="8771" spans="1:10" x14ac:dyDescent="0.25">
      <c r="A8771" s="163"/>
      <c r="B8771" s="106"/>
      <c r="C8771" s="75" t="s">
        <v>4065</v>
      </c>
      <c r="D8771" s="73"/>
      <c r="E8771" s="73"/>
      <c r="F8771" s="74"/>
      <c r="G8771" s="153"/>
      <c r="H8771" s="164"/>
    </row>
    <row r="8772" spans="1:10" x14ac:dyDescent="0.25">
      <c r="A8772" s="163"/>
      <c r="B8772" s="106"/>
      <c r="C8772" s="73" t="s">
        <v>4066</v>
      </c>
      <c r="D8772" s="73"/>
      <c r="E8772" s="73"/>
      <c r="F8772" s="74" t="s">
        <v>3</v>
      </c>
      <c r="G8772" s="153">
        <f>0.022*0.028*5*8*1.15</f>
        <v>2.8336E-2</v>
      </c>
      <c r="H8772" s="164"/>
    </row>
    <row r="8773" spans="1:10" x14ac:dyDescent="0.25">
      <c r="A8773" s="163"/>
      <c r="B8773" s="106"/>
      <c r="C8773" s="73"/>
      <c r="D8773" s="73"/>
      <c r="E8773" s="73"/>
      <c r="F8773" s="74"/>
      <c r="G8773" s="153"/>
      <c r="H8773" s="164"/>
    </row>
    <row r="8774" spans="1:10" x14ac:dyDescent="0.25">
      <c r="A8774" s="163"/>
      <c r="B8774" s="106"/>
      <c r="C8774" s="75" t="s">
        <v>4067</v>
      </c>
      <c r="D8774" s="73"/>
      <c r="E8774" s="73"/>
      <c r="F8774" s="74"/>
      <c r="G8774" s="153"/>
      <c r="H8774" s="164"/>
    </row>
    <row r="8775" spans="1:10" x14ac:dyDescent="0.25">
      <c r="A8775" s="163"/>
      <c r="B8775" s="106"/>
      <c r="C8775" s="73" t="s">
        <v>4068</v>
      </c>
      <c r="D8775" s="73"/>
      <c r="E8775" s="73"/>
      <c r="F8775" s="74" t="s">
        <v>3</v>
      </c>
      <c r="G8775" s="153">
        <f>0.033*0.12*1*8*1.12</f>
        <v>3.5481600000000002E-2</v>
      </c>
      <c r="H8775" s="164"/>
    </row>
    <row r="8776" spans="1:10" x14ac:dyDescent="0.25">
      <c r="A8776" s="163"/>
      <c r="B8776" s="106"/>
      <c r="C8776" s="73"/>
      <c r="D8776" s="73"/>
      <c r="E8776" s="73"/>
      <c r="F8776" s="74"/>
      <c r="G8776" s="153"/>
      <c r="H8776" s="164"/>
    </row>
    <row r="8777" spans="1:10" x14ac:dyDescent="0.25">
      <c r="A8777" s="163"/>
      <c r="B8777" s="106"/>
      <c r="C8777" s="75" t="s">
        <v>4069</v>
      </c>
      <c r="D8777" s="73"/>
      <c r="E8777" s="73"/>
      <c r="F8777" s="74"/>
      <c r="G8777" s="153"/>
      <c r="H8777" s="164"/>
      <c r="I8777" t="s">
        <v>4070</v>
      </c>
      <c r="J8777" s="13" t="s">
        <v>99</v>
      </c>
    </row>
    <row r="8778" spans="1:10" x14ac:dyDescent="0.25">
      <c r="A8778" s="163"/>
      <c r="B8778" s="106"/>
      <c r="C8778" s="100" t="s">
        <v>3004</v>
      </c>
      <c r="D8778" s="100"/>
      <c r="E8778" s="73"/>
      <c r="F8778" s="74" t="s">
        <v>3</v>
      </c>
      <c r="G8778" s="153">
        <f>0.03*3.14*0.08*1.2</f>
        <v>9.0432000000000012E-3</v>
      </c>
      <c r="H8778" s="164"/>
      <c r="I8778" t="s">
        <v>4071</v>
      </c>
      <c r="J8778" s="13" t="s">
        <v>3615</v>
      </c>
    </row>
    <row r="8779" spans="1:10" ht="17.25" x14ac:dyDescent="0.25">
      <c r="A8779" s="163"/>
      <c r="B8779" s="106"/>
      <c r="C8779" s="100" t="s">
        <v>168</v>
      </c>
      <c r="D8779" s="100"/>
      <c r="E8779" s="73"/>
      <c r="F8779" s="74" t="s">
        <v>596</v>
      </c>
      <c r="G8779" s="153">
        <f>G8778</f>
        <v>9.0432000000000012E-3</v>
      </c>
      <c r="H8779" s="164"/>
      <c r="I8779" t="s">
        <v>4079</v>
      </c>
      <c r="J8779" s="13" t="s">
        <v>3615</v>
      </c>
    </row>
    <row r="8780" spans="1:10" x14ac:dyDescent="0.25">
      <c r="A8780" s="163"/>
      <c r="B8780" s="106"/>
      <c r="C8780" s="186" t="s">
        <v>114</v>
      </c>
      <c r="D8780" s="73"/>
      <c r="E8780" s="73"/>
      <c r="F8780" s="74" t="s">
        <v>3</v>
      </c>
      <c r="G8780" s="153">
        <f>0.005</f>
        <v>5.0000000000000001E-3</v>
      </c>
      <c r="H8780" s="164"/>
    </row>
    <row r="8781" spans="1:10" x14ac:dyDescent="0.25">
      <c r="A8781" s="163"/>
      <c r="B8781" s="106"/>
      <c r="C8781" s="186" t="s">
        <v>164</v>
      </c>
      <c r="D8781" s="73"/>
      <c r="E8781" s="73"/>
      <c r="F8781" s="74" t="s">
        <v>3</v>
      </c>
      <c r="G8781" s="153">
        <f>0.3*G8780</f>
        <v>1.5E-3</v>
      </c>
      <c r="H8781" s="164"/>
    </row>
    <row r="8782" spans="1:10" x14ac:dyDescent="0.25">
      <c r="A8782" s="163"/>
      <c r="B8782" s="106"/>
      <c r="C8782" s="186" t="s">
        <v>325</v>
      </c>
      <c r="D8782" s="73"/>
      <c r="E8782" s="73"/>
      <c r="F8782" s="74" t="s">
        <v>3</v>
      </c>
      <c r="G8782" s="153">
        <v>8.0000000000000002E-3</v>
      </c>
      <c r="H8782" s="164"/>
    </row>
    <row r="8783" spans="1:10" x14ac:dyDescent="0.25">
      <c r="A8783" s="163"/>
      <c r="B8783" s="106"/>
      <c r="C8783" s="186" t="s">
        <v>12</v>
      </c>
      <c r="D8783" s="73"/>
      <c r="E8783" s="73"/>
      <c r="F8783" s="74" t="s">
        <v>3</v>
      </c>
      <c r="G8783" s="153">
        <f>0.3*G8782</f>
        <v>2.3999999999999998E-3</v>
      </c>
      <c r="H8783" s="164"/>
    </row>
    <row r="8784" spans="1:10" x14ac:dyDescent="0.25">
      <c r="A8784" s="163"/>
      <c r="B8784" s="106"/>
      <c r="C8784" s="73"/>
      <c r="D8784" s="73"/>
      <c r="E8784" s="73"/>
      <c r="F8784" s="74"/>
      <c r="G8784" s="153"/>
      <c r="H8784" s="164"/>
    </row>
    <row r="8785" spans="1:9" x14ac:dyDescent="0.25">
      <c r="A8785" s="163"/>
      <c r="B8785" s="106"/>
      <c r="C8785" s="75" t="s">
        <v>4072</v>
      </c>
      <c r="D8785" s="73"/>
      <c r="E8785" s="73"/>
      <c r="F8785" s="74"/>
      <c r="G8785" s="153"/>
      <c r="H8785" s="164"/>
    </row>
    <row r="8786" spans="1:9" x14ac:dyDescent="0.25">
      <c r="A8786" s="163"/>
      <c r="B8786" s="106"/>
      <c r="C8786" s="100" t="s">
        <v>140</v>
      </c>
      <c r="D8786" s="75"/>
      <c r="E8786" s="73"/>
      <c r="F8786" s="74" t="s">
        <v>3</v>
      </c>
      <c r="G8786" s="153">
        <f>0.03*3.14*0.08*1.15</f>
        <v>8.6664000000000012E-3</v>
      </c>
      <c r="H8786" s="164"/>
    </row>
    <row r="8787" spans="1:9" ht="17.25" x14ac:dyDescent="0.25">
      <c r="A8787" s="163"/>
      <c r="B8787" s="106"/>
      <c r="C8787" s="100" t="s">
        <v>23</v>
      </c>
      <c r="D8787" s="75"/>
      <c r="E8787" s="73"/>
      <c r="F8787" s="74" t="s">
        <v>596</v>
      </c>
      <c r="G8787" s="153">
        <f>G8786*2-0.001</f>
        <v>1.6332800000000001E-2</v>
      </c>
      <c r="H8787" s="164"/>
    </row>
    <row r="8788" spans="1:9" x14ac:dyDescent="0.25">
      <c r="A8788" s="163"/>
      <c r="B8788" s="106"/>
      <c r="C8788" s="100" t="s">
        <v>142</v>
      </c>
      <c r="D8788" s="75"/>
      <c r="E8788" s="73"/>
      <c r="F8788" s="74" t="s">
        <v>3</v>
      </c>
      <c r="G8788" s="153">
        <f>G8786/4+0.001</f>
        <v>3.1666000000000003E-3</v>
      </c>
      <c r="H8788" s="164"/>
    </row>
    <row r="8789" spans="1:9" x14ac:dyDescent="0.25">
      <c r="A8789" s="163"/>
      <c r="B8789" s="106"/>
      <c r="C8789" s="73" t="s">
        <v>8</v>
      </c>
      <c r="D8789" s="73"/>
      <c r="E8789" s="73"/>
      <c r="F8789" s="74" t="s">
        <v>3</v>
      </c>
      <c r="G8789" s="153">
        <v>5.0000000000000001E-3</v>
      </c>
      <c r="H8789" s="164"/>
    </row>
    <row r="8790" spans="1:9" x14ac:dyDescent="0.25">
      <c r="A8790" s="163"/>
      <c r="B8790" s="106"/>
      <c r="C8790" s="73" t="s">
        <v>325</v>
      </c>
      <c r="D8790" s="73"/>
      <c r="E8790" s="73"/>
      <c r="F8790" s="74" t="s">
        <v>3</v>
      </c>
      <c r="G8790" s="153">
        <v>6.0000000000000001E-3</v>
      </c>
      <c r="H8790" s="164"/>
    </row>
    <row r="8791" spans="1:9" x14ac:dyDescent="0.25">
      <c r="A8791" s="163"/>
      <c r="B8791" s="106"/>
      <c r="C8791" s="73" t="s">
        <v>12</v>
      </c>
      <c r="D8791" s="73"/>
      <c r="E8791" s="73"/>
      <c r="F8791" s="74" t="s">
        <v>3</v>
      </c>
      <c r="G8791" s="153">
        <f>0.3*(G8790+G8789)</f>
        <v>3.2999999999999995E-3</v>
      </c>
      <c r="H8791" s="164"/>
    </row>
    <row r="8792" spans="1:9" x14ac:dyDescent="0.25">
      <c r="A8792" s="163"/>
      <c r="B8792" s="106"/>
      <c r="C8792" s="73"/>
      <c r="D8792" s="73"/>
      <c r="E8792" s="73"/>
      <c r="F8792" s="74"/>
      <c r="G8792" s="153"/>
      <c r="H8792" s="164"/>
    </row>
    <row r="8793" spans="1:9" x14ac:dyDescent="0.25">
      <c r="A8793" s="163"/>
      <c r="B8793" s="106"/>
      <c r="C8793" s="75" t="s">
        <v>4073</v>
      </c>
      <c r="D8793" s="73"/>
      <c r="E8793" s="73"/>
      <c r="F8793" s="74"/>
      <c r="G8793" s="153"/>
      <c r="H8793" s="164"/>
    </row>
    <row r="8794" spans="1:9" x14ac:dyDescent="0.25">
      <c r="A8794" s="163"/>
      <c r="B8794" s="106"/>
      <c r="C8794" s="100" t="s">
        <v>140</v>
      </c>
      <c r="D8794" s="75"/>
      <c r="E8794" s="73"/>
      <c r="F8794" s="74" t="s">
        <v>3</v>
      </c>
      <c r="G8794" s="153">
        <f>(0.012*3.14+0.005*3.14)*0.08*1.15</f>
        <v>4.9109600000000007E-3</v>
      </c>
      <c r="H8794" s="164"/>
    </row>
    <row r="8795" spans="1:9" ht="17.25" x14ac:dyDescent="0.25">
      <c r="A8795" s="163"/>
      <c r="B8795" s="106"/>
      <c r="C8795" s="100" t="s">
        <v>23</v>
      </c>
      <c r="D8795" s="75"/>
      <c r="E8795" s="73"/>
      <c r="F8795" s="74" t="s">
        <v>596</v>
      </c>
      <c r="G8795" s="153">
        <f>G8794*2-0.001</f>
        <v>8.8219200000000005E-3</v>
      </c>
      <c r="H8795" s="164"/>
    </row>
    <row r="8796" spans="1:9" x14ac:dyDescent="0.25">
      <c r="A8796" s="163"/>
      <c r="B8796" s="106"/>
      <c r="C8796" s="100" t="s">
        <v>142</v>
      </c>
      <c r="D8796" s="75"/>
      <c r="E8796" s="73"/>
      <c r="F8796" s="74" t="s">
        <v>3</v>
      </c>
      <c r="G8796" s="153">
        <f>G8794/4+0.001</f>
        <v>2.2277400000000002E-3</v>
      </c>
      <c r="H8796" s="164"/>
    </row>
    <row r="8797" spans="1:9" x14ac:dyDescent="0.25">
      <c r="A8797" s="163"/>
      <c r="B8797" s="106"/>
      <c r="C8797" s="73"/>
      <c r="D8797" s="75" t="s">
        <v>4074</v>
      </c>
      <c r="E8797" s="73"/>
      <c r="F8797" s="74"/>
      <c r="G8797" s="153"/>
      <c r="H8797" s="164"/>
    </row>
    <row r="8798" spans="1:9" x14ac:dyDescent="0.25">
      <c r="A8798" s="163"/>
      <c r="B8798" s="106"/>
      <c r="C8798" s="73"/>
      <c r="D8798" s="73" t="s">
        <v>4076</v>
      </c>
      <c r="E8798" s="73"/>
      <c r="F8798" s="74" t="s">
        <v>3</v>
      </c>
      <c r="G8798" s="153">
        <f>0.307*0.075</f>
        <v>2.3025E-2</v>
      </c>
      <c r="H8798" s="164"/>
      <c r="I8798" t="s">
        <v>4058</v>
      </c>
    </row>
    <row r="8799" spans="1:9" x14ac:dyDescent="0.25">
      <c r="A8799" s="163"/>
      <c r="B8799" s="106"/>
      <c r="C8799" s="73"/>
      <c r="D8799" s="75" t="s">
        <v>4075</v>
      </c>
      <c r="E8799" s="73"/>
      <c r="F8799" s="74"/>
      <c r="G8799" s="153"/>
      <c r="H8799" s="164"/>
    </row>
    <row r="8800" spans="1:9" x14ac:dyDescent="0.25">
      <c r="A8800" s="163"/>
      <c r="B8800" s="106"/>
      <c r="C8800" s="73"/>
      <c r="D8800" s="73" t="s">
        <v>4077</v>
      </c>
      <c r="E8800" s="73"/>
      <c r="F8800" s="74" t="s">
        <v>3</v>
      </c>
      <c r="G8800" s="153">
        <f>0.112*0.075</f>
        <v>8.3999999999999995E-3</v>
      </c>
      <c r="H8800" s="164"/>
      <c r="I8800" t="s">
        <v>4058</v>
      </c>
    </row>
    <row r="8801" spans="1:11" x14ac:dyDescent="0.25">
      <c r="A8801" s="163"/>
      <c r="B8801" s="106"/>
      <c r="C8801" s="73"/>
      <c r="D8801" s="73"/>
      <c r="E8801" s="73"/>
      <c r="F8801" s="74"/>
      <c r="G8801" s="153"/>
      <c r="H8801" s="164"/>
    </row>
    <row r="8802" spans="1:11" x14ac:dyDescent="0.25">
      <c r="A8802" s="163"/>
      <c r="B8802" s="106"/>
      <c r="C8802" s="75" t="s">
        <v>4078</v>
      </c>
      <c r="D8802" s="73"/>
      <c r="E8802" s="73"/>
      <c r="F8802" s="74"/>
      <c r="G8802" s="153"/>
      <c r="H8802" s="164"/>
    </row>
    <row r="8803" spans="1:11" x14ac:dyDescent="0.25">
      <c r="A8803" s="163"/>
      <c r="B8803" s="106"/>
      <c r="C8803" s="100" t="s">
        <v>3004</v>
      </c>
      <c r="D8803" s="100"/>
      <c r="E8803" s="73"/>
      <c r="F8803" s="74" t="s">
        <v>3</v>
      </c>
      <c r="G8803" s="153">
        <f>0.03*3.14*0.08*1.2</f>
        <v>9.0432000000000012E-3</v>
      </c>
      <c r="H8803" s="164"/>
    </row>
    <row r="8804" spans="1:11" ht="17.25" x14ac:dyDescent="0.25">
      <c r="A8804" s="163"/>
      <c r="B8804" s="106"/>
      <c r="C8804" s="100" t="s">
        <v>168</v>
      </c>
      <c r="D8804" s="100"/>
      <c r="E8804" s="73"/>
      <c r="F8804" s="74" t="s">
        <v>596</v>
      </c>
      <c r="G8804" s="153">
        <f>G8803</f>
        <v>9.0432000000000012E-3</v>
      </c>
      <c r="H8804" s="164"/>
    </row>
    <row r="8805" spans="1:11" x14ac:dyDescent="0.25">
      <c r="A8805" s="163"/>
      <c r="B8805" s="106"/>
      <c r="C8805" s="186" t="s">
        <v>114</v>
      </c>
      <c r="D8805" s="73"/>
      <c r="E8805" s="73"/>
      <c r="F8805" s="74" t="s">
        <v>3</v>
      </c>
      <c r="G8805" s="153">
        <f>0.005</f>
        <v>5.0000000000000001E-3</v>
      </c>
      <c r="H8805" s="164"/>
    </row>
    <row r="8806" spans="1:11" x14ac:dyDescent="0.25">
      <c r="A8806" s="163"/>
      <c r="B8806" s="106"/>
      <c r="C8806" s="186" t="s">
        <v>164</v>
      </c>
      <c r="D8806" s="73"/>
      <c r="E8806" s="73"/>
      <c r="F8806" s="74" t="s">
        <v>3</v>
      </c>
      <c r="G8806" s="153">
        <f>0.3*G8805</f>
        <v>1.5E-3</v>
      </c>
      <c r="H8806" s="164"/>
    </row>
    <row r="8807" spans="1:11" x14ac:dyDescent="0.25">
      <c r="A8807" s="163"/>
      <c r="B8807" s="106"/>
      <c r="C8807" s="186" t="s">
        <v>325</v>
      </c>
      <c r="D8807" s="73"/>
      <c r="E8807" s="73"/>
      <c r="F8807" s="74" t="s">
        <v>3</v>
      </c>
      <c r="G8807" s="153">
        <v>8.0000000000000002E-3</v>
      </c>
      <c r="H8807" s="164"/>
    </row>
    <row r="8808" spans="1:11" x14ac:dyDescent="0.25">
      <c r="A8808" s="163"/>
      <c r="B8808" s="106"/>
      <c r="C8808" s="186" t="s">
        <v>12</v>
      </c>
      <c r="D8808" s="73"/>
      <c r="E8808" s="73"/>
      <c r="F8808" s="74" t="s">
        <v>3</v>
      </c>
      <c r="G8808" s="153">
        <f>0.3*G8807</f>
        <v>2.3999999999999998E-3</v>
      </c>
      <c r="H8808" s="164"/>
    </row>
    <row r="8809" spans="1:11" x14ac:dyDescent="0.25">
      <c r="A8809" s="163"/>
      <c r="B8809" s="106"/>
      <c r="C8809" s="73"/>
      <c r="D8809" s="73"/>
      <c r="E8809" s="73"/>
      <c r="F8809" s="74"/>
      <c r="G8809" s="153"/>
      <c r="H8809" s="164"/>
    </row>
    <row r="8810" spans="1:11" x14ac:dyDescent="0.25">
      <c r="A8810" s="163"/>
      <c r="B8810" s="106"/>
      <c r="C8810" s="75" t="s">
        <v>4080</v>
      </c>
      <c r="D8810" s="73"/>
      <c r="E8810" s="73"/>
      <c r="F8810" s="74"/>
      <c r="G8810" s="153"/>
      <c r="H8810" s="164"/>
    </row>
    <row r="8811" spans="1:11" x14ac:dyDescent="0.25">
      <c r="A8811" s="163"/>
      <c r="B8811" s="106"/>
      <c r="C8811" s="73" t="s">
        <v>4081</v>
      </c>
      <c r="D8811" s="73"/>
      <c r="E8811" s="73"/>
      <c r="F8811" s="74" t="s">
        <v>1516</v>
      </c>
      <c r="G8811" s="153">
        <v>2</v>
      </c>
      <c r="H8811" s="164"/>
    </row>
    <row r="8812" spans="1:11" x14ac:dyDescent="0.25">
      <c r="A8812" s="163"/>
      <c r="B8812" s="106"/>
      <c r="C8812" s="73"/>
      <c r="D8812" s="75" t="s">
        <v>4082</v>
      </c>
      <c r="E8812" s="73"/>
      <c r="F8812" s="74"/>
      <c r="G8812" s="153"/>
      <c r="H8812" s="164"/>
    </row>
    <row r="8813" spans="1:11" x14ac:dyDescent="0.25">
      <c r="A8813" s="163"/>
      <c r="B8813" s="106"/>
      <c r="C8813" s="73"/>
      <c r="D8813" s="73" t="s">
        <v>4085</v>
      </c>
      <c r="E8813" s="73"/>
      <c r="F8813" s="74" t="s">
        <v>3</v>
      </c>
      <c r="G8813" s="153">
        <f>0.075*0.02*0.75*8*1.1</f>
        <v>9.9000000000000025E-3</v>
      </c>
      <c r="H8813" s="164"/>
    </row>
    <row r="8814" spans="1:11" x14ac:dyDescent="0.25">
      <c r="A8814" s="163"/>
      <c r="B8814" s="106"/>
      <c r="C8814" s="73"/>
      <c r="D8814" s="75" t="s">
        <v>4083</v>
      </c>
      <c r="E8814" s="73"/>
      <c r="F8814" s="74"/>
      <c r="G8814" s="153"/>
      <c r="H8814" s="164"/>
    </row>
    <row r="8815" spans="1:11" x14ac:dyDescent="0.25">
      <c r="A8815" s="163"/>
      <c r="B8815" s="106"/>
      <c r="C8815" s="73"/>
      <c r="D8815" s="100" t="s">
        <v>4086</v>
      </c>
      <c r="E8815" s="73"/>
      <c r="F8815" s="74" t="s">
        <v>3</v>
      </c>
      <c r="G8815" s="153">
        <f>0.052*0.02*1.5*8*1.12</f>
        <v>1.39776E-2</v>
      </c>
      <c r="H8815" s="164"/>
      <c r="K8815" s="446"/>
    </row>
    <row r="8816" spans="1:11" x14ac:dyDescent="0.25">
      <c r="A8816" s="163"/>
      <c r="B8816" s="106"/>
      <c r="C8816" s="73"/>
      <c r="D8816" s="73"/>
      <c r="E8816" s="73"/>
      <c r="F8816" s="74"/>
      <c r="G8816" s="153"/>
      <c r="H8816" s="164"/>
    </row>
    <row r="8817" spans="1:11" x14ac:dyDescent="0.25">
      <c r="A8817" s="163"/>
      <c r="B8817" s="106"/>
      <c r="C8817" s="75" t="s">
        <v>4084</v>
      </c>
      <c r="D8817" s="73"/>
      <c r="E8817" s="73"/>
      <c r="F8817" s="74" t="s">
        <v>4092</v>
      </c>
      <c r="G8817" s="153"/>
      <c r="H8817" s="164"/>
    </row>
    <row r="8818" spans="1:11" x14ac:dyDescent="0.25">
      <c r="A8818" s="163"/>
      <c r="B8818" s="106"/>
      <c r="C8818" s="73"/>
      <c r="D8818" s="75" t="s">
        <v>4087</v>
      </c>
      <c r="E8818" s="73"/>
      <c r="F8818" s="74"/>
      <c r="G8818" s="153"/>
      <c r="H8818" s="164"/>
    </row>
    <row r="8819" spans="1:11" x14ac:dyDescent="0.25">
      <c r="A8819" s="163"/>
      <c r="B8819" s="106"/>
      <c r="C8819" s="73"/>
      <c r="D8819" s="73" t="s">
        <v>4089</v>
      </c>
      <c r="E8819" s="73"/>
      <c r="F8819" s="74" t="s">
        <v>3</v>
      </c>
      <c r="G8819" s="153">
        <f>0.45*0.15*0.5*8*1.11</f>
        <v>0.29970000000000002</v>
      </c>
      <c r="H8819" s="164"/>
    </row>
    <row r="8820" spans="1:11" x14ac:dyDescent="0.25">
      <c r="A8820" s="163"/>
      <c r="B8820" s="106"/>
      <c r="C8820" s="73"/>
      <c r="D8820" s="73" t="s">
        <v>4090</v>
      </c>
      <c r="E8820" s="73"/>
      <c r="F8820" s="74" t="s">
        <v>3</v>
      </c>
      <c r="G8820" s="153">
        <v>1.0999999999999999E-2</v>
      </c>
      <c r="H8820" s="164"/>
      <c r="K8820" s="446"/>
    </row>
    <row r="8821" spans="1:11" x14ac:dyDescent="0.25">
      <c r="A8821" s="163"/>
      <c r="B8821" s="106"/>
      <c r="C8821" s="73"/>
      <c r="D8821" s="73" t="s">
        <v>2470</v>
      </c>
      <c r="E8821" s="73"/>
      <c r="F8821" s="74" t="s">
        <v>3</v>
      </c>
      <c r="G8821" s="153">
        <v>1E-3</v>
      </c>
      <c r="H8821" s="164"/>
      <c r="K8821" s="446"/>
    </row>
    <row r="8822" spans="1:11" x14ac:dyDescent="0.25">
      <c r="A8822" s="163"/>
      <c r="B8822" s="106"/>
      <c r="C8822" s="73"/>
      <c r="D8822" s="73" t="s">
        <v>313</v>
      </c>
      <c r="E8822" s="73"/>
      <c r="F8822" s="74" t="s">
        <v>3</v>
      </c>
      <c r="G8822" s="153">
        <v>3.0000000000000001E-3</v>
      </c>
      <c r="H8822" s="164"/>
      <c r="K8822" s="446"/>
    </row>
    <row r="8823" spans="1:11" x14ac:dyDescent="0.25">
      <c r="A8823" s="163"/>
      <c r="B8823" s="106"/>
      <c r="C8823" s="73"/>
      <c r="D8823" s="75" t="s">
        <v>4088</v>
      </c>
      <c r="E8823" s="73"/>
      <c r="F8823" s="74"/>
      <c r="G8823" s="153"/>
      <c r="H8823" s="164"/>
    </row>
    <row r="8824" spans="1:11" x14ac:dyDescent="0.25">
      <c r="A8824" s="163"/>
      <c r="B8824" s="106"/>
      <c r="C8824" s="73"/>
      <c r="D8824" s="73" t="s">
        <v>4091</v>
      </c>
      <c r="E8824" s="73"/>
      <c r="F8824" s="74" t="s">
        <v>3</v>
      </c>
      <c r="G8824" s="153">
        <f>0.42*0.12*1.475*1.15</f>
        <v>8.5490999999999984E-2</v>
      </c>
      <c r="H8824" s="164"/>
    </row>
    <row r="8825" spans="1:11" x14ac:dyDescent="0.25">
      <c r="A8825" s="163"/>
      <c r="B8825" s="106"/>
      <c r="C8825" s="73"/>
      <c r="D8825" s="73"/>
      <c r="E8825" s="73"/>
      <c r="F8825" s="74"/>
      <c r="G8825" s="153"/>
      <c r="H8825" s="164"/>
    </row>
    <row r="8826" spans="1:11" x14ac:dyDescent="0.25">
      <c r="A8826" s="163"/>
      <c r="B8826" s="106"/>
      <c r="C8826" s="75" t="s">
        <v>4093</v>
      </c>
      <c r="D8826" s="73"/>
      <c r="E8826" s="73"/>
      <c r="F8826" s="74" t="s">
        <v>2180</v>
      </c>
      <c r="G8826" s="153"/>
      <c r="H8826" s="164"/>
    </row>
    <row r="8827" spans="1:11" x14ac:dyDescent="0.25">
      <c r="A8827" s="163"/>
      <c r="B8827" s="106"/>
      <c r="C8827" s="73" t="s">
        <v>4094</v>
      </c>
      <c r="D8827" s="73"/>
      <c r="E8827" s="73"/>
      <c r="F8827" s="74" t="s">
        <v>1516</v>
      </c>
      <c r="G8827" s="153">
        <v>2</v>
      </c>
      <c r="H8827" s="164"/>
    </row>
    <row r="8828" spans="1:11" x14ac:dyDescent="0.25">
      <c r="A8828" s="163"/>
      <c r="B8828" s="106"/>
      <c r="C8828" s="73"/>
      <c r="D8828" s="75" t="s">
        <v>4095</v>
      </c>
      <c r="E8828" s="73"/>
      <c r="F8828" s="74"/>
      <c r="G8828" s="153"/>
      <c r="H8828" s="164"/>
    </row>
    <row r="8829" spans="1:11" x14ac:dyDescent="0.25">
      <c r="A8829" s="163"/>
      <c r="B8829" s="106"/>
      <c r="C8829" s="73"/>
      <c r="D8829" s="73" t="s">
        <v>55</v>
      </c>
      <c r="E8829" s="73"/>
      <c r="F8829" s="74" t="s">
        <v>3</v>
      </c>
      <c r="G8829" s="153">
        <f>0.055*0.03*3*8*1.14</f>
        <v>4.514399999999999E-2</v>
      </c>
      <c r="H8829" s="164"/>
    </row>
    <row r="8830" spans="1:11" x14ac:dyDescent="0.25">
      <c r="A8830" s="163"/>
      <c r="B8830" s="106"/>
      <c r="C8830" s="73"/>
      <c r="D8830" s="75" t="s">
        <v>4096</v>
      </c>
      <c r="E8830" s="73"/>
      <c r="F8830" s="74"/>
      <c r="G8830" s="153"/>
      <c r="H8830" s="164"/>
    </row>
    <row r="8831" spans="1:11" x14ac:dyDescent="0.25">
      <c r="A8831" s="163"/>
      <c r="B8831" s="106"/>
      <c r="C8831" s="73"/>
      <c r="D8831" s="73" t="s">
        <v>4097</v>
      </c>
      <c r="E8831" s="73"/>
      <c r="F8831" s="74" t="s">
        <v>3</v>
      </c>
      <c r="G8831" s="153">
        <f>0.12*0.045*1*8*1.15</f>
        <v>4.9679999999999988E-2</v>
      </c>
      <c r="H8831" s="164"/>
    </row>
    <row r="8832" spans="1:11" x14ac:dyDescent="0.25">
      <c r="A8832" s="163"/>
      <c r="B8832" s="106"/>
      <c r="C8832" s="73"/>
      <c r="D8832" s="73"/>
      <c r="E8832" s="73"/>
      <c r="F8832" s="74"/>
      <c r="G8832" s="153"/>
      <c r="H8832" s="164"/>
    </row>
    <row r="8833" spans="1:8" x14ac:dyDescent="0.25">
      <c r="A8833" s="163"/>
      <c r="B8833" s="106"/>
      <c r="C8833" s="75" t="s">
        <v>4098</v>
      </c>
      <c r="D8833" s="73"/>
      <c r="E8833" s="73"/>
      <c r="F8833" s="74"/>
      <c r="G8833" s="153"/>
      <c r="H8833" s="164"/>
    </row>
    <row r="8834" spans="1:8" x14ac:dyDescent="0.25">
      <c r="A8834" s="163"/>
      <c r="B8834" s="106"/>
      <c r="C8834" s="73" t="s">
        <v>4099</v>
      </c>
      <c r="D8834" s="73"/>
      <c r="E8834" s="73"/>
      <c r="F8834" s="74" t="s">
        <v>3</v>
      </c>
      <c r="G8834" s="153">
        <f>0.15*3.14*0.056*0.2*2*1.39</f>
        <v>1.4665056000000001E-2</v>
      </c>
      <c r="H8834" s="164"/>
    </row>
    <row r="8835" spans="1:8" x14ac:dyDescent="0.25">
      <c r="A8835" s="163"/>
      <c r="B8835" s="106"/>
      <c r="C8835" s="73" t="s">
        <v>8</v>
      </c>
      <c r="D8835" s="73"/>
      <c r="E8835" s="73"/>
      <c r="F8835" s="74" t="s">
        <v>3</v>
      </c>
      <c r="G8835" s="153">
        <f>G8836*0.7</f>
        <v>4.1937840000000004E-2</v>
      </c>
      <c r="H8835" s="164"/>
    </row>
    <row r="8836" spans="1:8" x14ac:dyDescent="0.25">
      <c r="A8836" s="163"/>
      <c r="B8836" s="106"/>
      <c r="C8836" s="73" t="s">
        <v>500</v>
      </c>
      <c r="D8836" s="73"/>
      <c r="E8836" s="73"/>
      <c r="F8836" s="74" t="s">
        <v>3</v>
      </c>
      <c r="G8836" s="153">
        <f>(0.15*3.14*2)*0.1*2*0.15*2*1.06</f>
        <v>5.9911200000000005E-2</v>
      </c>
      <c r="H8836" s="164"/>
    </row>
    <row r="8837" spans="1:8" x14ac:dyDescent="0.25">
      <c r="A8837" s="163"/>
      <c r="B8837" s="106"/>
      <c r="C8837" s="73" t="s">
        <v>12</v>
      </c>
      <c r="D8837" s="73"/>
      <c r="E8837" s="73"/>
      <c r="F8837" s="74" t="s">
        <v>3</v>
      </c>
      <c r="G8837" s="153">
        <f>0.3*(G8836+G8835)</f>
        <v>3.0554711999999998E-2</v>
      </c>
      <c r="H8837" s="164"/>
    </row>
    <row r="8838" spans="1:8" x14ac:dyDescent="0.25">
      <c r="A8838" s="163"/>
      <c r="B8838" s="106"/>
      <c r="C8838" s="73"/>
      <c r="D8838" s="73"/>
      <c r="E8838" s="73"/>
      <c r="F8838" s="74"/>
      <c r="G8838" s="153"/>
      <c r="H8838" s="164"/>
    </row>
    <row r="8839" spans="1:8" x14ac:dyDescent="0.25">
      <c r="A8839" s="163"/>
      <c r="B8839" s="106"/>
      <c r="C8839" s="75" t="s">
        <v>2884</v>
      </c>
      <c r="D8839" s="73"/>
      <c r="E8839" s="73"/>
      <c r="F8839" s="74"/>
      <c r="G8839" s="153"/>
      <c r="H8839" s="164"/>
    </row>
    <row r="8840" spans="1:8" x14ac:dyDescent="0.25">
      <c r="A8840" s="163"/>
      <c r="B8840" s="106"/>
      <c r="C8840" s="73" t="s">
        <v>2755</v>
      </c>
      <c r="D8840" s="73"/>
      <c r="E8840" s="73"/>
      <c r="F8840" s="74" t="s">
        <v>3</v>
      </c>
      <c r="G8840" s="153">
        <f>(0.6+0.012*3.14*3+0.25+0.1)*0.08*1.17</f>
        <v>9.9500543999999996E-2</v>
      </c>
      <c r="H8840" s="164"/>
    </row>
    <row r="8841" spans="1:8" ht="17.25" x14ac:dyDescent="0.25">
      <c r="A8841" s="163"/>
      <c r="B8841" s="106"/>
      <c r="C8841" s="73" t="s">
        <v>1055</v>
      </c>
      <c r="D8841" s="73"/>
      <c r="E8841" s="73"/>
      <c r="F8841" s="74" t="s">
        <v>596</v>
      </c>
      <c r="G8841" s="153">
        <f>1.09*G8840</f>
        <v>0.10845559296</v>
      </c>
      <c r="H8841" s="164"/>
    </row>
    <row r="8842" spans="1:8" x14ac:dyDescent="0.25">
      <c r="A8842" s="163"/>
      <c r="B8842" s="106"/>
      <c r="C8842" s="77" t="s">
        <v>8</v>
      </c>
      <c r="D8842" s="73"/>
      <c r="E8842" s="73"/>
      <c r="F8842" s="74" t="s">
        <v>3</v>
      </c>
      <c r="G8842" s="153">
        <f>G8843*0.81+0.001</f>
        <v>8.9865100000000003E-2</v>
      </c>
      <c r="H8842" s="164"/>
    </row>
    <row r="8843" spans="1:8" x14ac:dyDescent="0.25">
      <c r="A8843" s="163"/>
      <c r="B8843" s="106"/>
      <c r="C8843" s="77" t="s">
        <v>115</v>
      </c>
      <c r="D8843" s="73"/>
      <c r="E8843" s="73"/>
      <c r="F8843" s="74" t="s">
        <v>3</v>
      </c>
      <c r="G8843" s="153">
        <f>(0.65*0.15+0.5*0.15)*2*0.15*2*1.06</f>
        <v>0.10971</v>
      </c>
      <c r="H8843" s="164"/>
    </row>
    <row r="8844" spans="1:8" x14ac:dyDescent="0.25">
      <c r="A8844" s="163"/>
      <c r="B8844" s="106"/>
      <c r="C8844" s="77" t="s">
        <v>12</v>
      </c>
      <c r="D8844" s="73"/>
      <c r="E8844" s="73"/>
      <c r="F8844" s="74" t="s">
        <v>3</v>
      </c>
      <c r="G8844" s="153">
        <f>0.3*(G8843+G8842)</f>
        <v>5.987253E-2</v>
      </c>
      <c r="H8844" s="164"/>
    </row>
    <row r="8845" spans="1:8" x14ac:dyDescent="0.25">
      <c r="A8845" s="163"/>
      <c r="B8845" s="106"/>
      <c r="C8845" s="73"/>
      <c r="D8845" s="75" t="s">
        <v>2885</v>
      </c>
      <c r="E8845" s="73"/>
      <c r="F8845" s="74"/>
      <c r="G8845" s="153"/>
      <c r="H8845" s="164"/>
    </row>
    <row r="8846" spans="1:8" x14ac:dyDescent="0.25">
      <c r="A8846" s="163"/>
      <c r="B8846" s="106"/>
      <c r="C8846" s="73"/>
      <c r="D8846" s="73" t="s">
        <v>412</v>
      </c>
      <c r="E8846" s="73"/>
      <c r="F8846" s="74" t="s">
        <v>3</v>
      </c>
      <c r="G8846" s="153">
        <f>0.65*0.155*2*8*1.15-0.004</f>
        <v>1.8497999999999999</v>
      </c>
      <c r="H8846" s="164"/>
    </row>
    <row r="8847" spans="1:8" x14ac:dyDescent="0.25">
      <c r="A8847" s="163"/>
      <c r="B8847" s="106"/>
      <c r="C8847" s="73"/>
      <c r="D8847" s="73" t="s">
        <v>2755</v>
      </c>
      <c r="E8847" s="73"/>
      <c r="F8847" s="74" t="s">
        <v>3</v>
      </c>
      <c r="G8847" s="153">
        <f>0.1*0.08*1.2</f>
        <v>9.5999999999999992E-3</v>
      </c>
      <c r="H8847" s="164"/>
    </row>
    <row r="8848" spans="1:8" ht="17.25" x14ac:dyDescent="0.25">
      <c r="A8848" s="163"/>
      <c r="B8848" s="106"/>
      <c r="C8848" s="73"/>
      <c r="D8848" s="73" t="s">
        <v>1055</v>
      </c>
      <c r="E8848" s="73"/>
      <c r="F8848" s="74" t="s">
        <v>596</v>
      </c>
      <c r="G8848" s="153">
        <f>1.09*G8847</f>
        <v>1.0463999999999999E-2</v>
      </c>
      <c r="H8848" s="164"/>
    </row>
    <row r="8849" spans="1:8" x14ac:dyDescent="0.25">
      <c r="A8849" s="163"/>
      <c r="B8849" s="106"/>
      <c r="C8849" s="73"/>
      <c r="D8849" s="75" t="s">
        <v>2886</v>
      </c>
      <c r="E8849" s="73"/>
      <c r="F8849" s="74"/>
      <c r="G8849" s="153"/>
      <c r="H8849" s="164"/>
    </row>
    <row r="8850" spans="1:8" x14ac:dyDescent="0.25">
      <c r="A8850" s="163"/>
      <c r="B8850" s="106"/>
      <c r="C8850" s="73"/>
      <c r="D8850" s="73" t="s">
        <v>412</v>
      </c>
      <c r="E8850" s="73"/>
      <c r="F8850" s="74" t="s">
        <v>3</v>
      </c>
      <c r="G8850" s="153">
        <f>0.515*0.235*2*8*1.136</f>
        <v>2.1997503999999997</v>
      </c>
      <c r="H8850" s="164"/>
    </row>
    <row r="8851" spans="1:8" x14ac:dyDescent="0.25">
      <c r="A8851" s="163"/>
      <c r="B8851" s="106"/>
      <c r="C8851" s="73"/>
      <c r="D8851" s="75" t="s">
        <v>2887</v>
      </c>
      <c r="E8851" s="73"/>
      <c r="F8851" s="74"/>
      <c r="G8851" s="153"/>
      <c r="H8851" s="164"/>
    </row>
    <row r="8852" spans="1:8" x14ac:dyDescent="0.25">
      <c r="A8852" s="163"/>
      <c r="B8852" s="106"/>
      <c r="C8852" s="73"/>
      <c r="D8852" s="73" t="s">
        <v>54</v>
      </c>
      <c r="E8852" s="73"/>
      <c r="F8852" s="74" t="s">
        <v>3</v>
      </c>
      <c r="G8852" s="153">
        <f>0.115*0.05*4*8*1.14</f>
        <v>0.20976</v>
      </c>
      <c r="H8852" s="164"/>
    </row>
    <row r="8853" spans="1:8" x14ac:dyDescent="0.25">
      <c r="A8853" s="163"/>
      <c r="B8853" s="106"/>
      <c r="C8853" s="73"/>
      <c r="D8853" s="75" t="s">
        <v>2888</v>
      </c>
      <c r="E8853" s="73"/>
      <c r="F8853" s="74"/>
      <c r="G8853" s="153"/>
      <c r="H8853" s="164"/>
    </row>
    <row r="8854" spans="1:8" x14ac:dyDescent="0.25">
      <c r="A8854" s="163"/>
      <c r="B8854" s="106"/>
      <c r="C8854" s="73"/>
      <c r="D8854" s="73" t="s">
        <v>2890</v>
      </c>
      <c r="E8854" s="73"/>
      <c r="F8854" s="74" t="s">
        <v>3</v>
      </c>
      <c r="G8854" s="153">
        <f>0.12*0.08*3*8*1.128</f>
        <v>0.25989119999999999</v>
      </c>
      <c r="H8854" s="164"/>
    </row>
    <row r="8855" spans="1:8" x14ac:dyDescent="0.25">
      <c r="A8855" s="163"/>
      <c r="B8855" s="106"/>
      <c r="C8855" s="73"/>
      <c r="D8855" s="75" t="s">
        <v>2889</v>
      </c>
      <c r="E8855" s="73"/>
      <c r="F8855" s="74"/>
      <c r="G8855" s="153"/>
      <c r="H8855" s="164"/>
    </row>
    <row r="8856" spans="1:8" x14ac:dyDescent="0.25">
      <c r="A8856" s="163"/>
      <c r="B8856" s="106"/>
      <c r="C8856" s="73"/>
      <c r="D8856" s="73" t="s">
        <v>2891</v>
      </c>
      <c r="E8856" s="73"/>
      <c r="F8856" s="74" t="s">
        <v>3</v>
      </c>
      <c r="G8856" s="153">
        <f>0.39*0.09*2*8*1.121</f>
        <v>0.62955359999999994</v>
      </c>
      <c r="H8856" s="164"/>
    </row>
    <row r="8857" spans="1:8" x14ac:dyDescent="0.25">
      <c r="A8857" s="163"/>
      <c r="B8857" s="106"/>
      <c r="C8857" s="73"/>
      <c r="D8857" s="73"/>
      <c r="E8857" s="73"/>
      <c r="F8857" s="74"/>
      <c r="G8857" s="153"/>
      <c r="H8857" s="164"/>
    </row>
    <row r="8858" spans="1:8" x14ac:dyDescent="0.25">
      <c r="A8858" s="163"/>
      <c r="B8858" s="106"/>
      <c r="C8858" s="75" t="s">
        <v>4103</v>
      </c>
      <c r="D8858" s="73"/>
      <c r="E8858" s="73"/>
      <c r="F8858" s="74"/>
      <c r="G8858" s="153"/>
      <c r="H8858" s="164"/>
    </row>
    <row r="8859" spans="1:8" x14ac:dyDescent="0.25">
      <c r="A8859" s="163"/>
      <c r="B8859" s="106"/>
      <c r="C8859" s="73" t="s">
        <v>54</v>
      </c>
      <c r="D8859" s="73"/>
      <c r="E8859" s="73"/>
      <c r="F8859" s="74" t="s">
        <v>3</v>
      </c>
      <c r="G8859" s="153">
        <f>0.135*0.085*4*8*1.143</f>
        <v>0.41970960000000002</v>
      </c>
      <c r="H8859" s="164"/>
    </row>
    <row r="8860" spans="1:8" x14ac:dyDescent="0.25">
      <c r="A8860" s="163"/>
      <c r="B8860" s="106"/>
      <c r="C8860" s="75"/>
      <c r="D8860" s="73"/>
      <c r="E8860" s="73"/>
      <c r="F8860" s="74"/>
      <c r="G8860" s="153"/>
      <c r="H8860" s="164"/>
    </row>
    <row r="8861" spans="1:8" x14ac:dyDescent="0.25">
      <c r="A8861" s="163"/>
      <c r="B8861" s="106"/>
      <c r="C8861" s="75" t="s">
        <v>4104</v>
      </c>
      <c r="D8861" s="73"/>
      <c r="E8861" s="73"/>
      <c r="F8861" s="74"/>
      <c r="G8861" s="153"/>
      <c r="H8861" s="164"/>
    </row>
    <row r="8862" spans="1:8" x14ac:dyDescent="0.25">
      <c r="A8862" s="163"/>
      <c r="B8862" s="106"/>
      <c r="C8862" s="73" t="s">
        <v>4105</v>
      </c>
      <c r="D8862" s="73"/>
      <c r="E8862" s="73"/>
      <c r="F8862" s="74" t="s">
        <v>3</v>
      </c>
      <c r="G8862" s="153">
        <f>0.06*0.02*1.5*8*1.12</f>
        <v>1.6128E-2</v>
      </c>
      <c r="H8862" s="164"/>
    </row>
    <row r="8863" spans="1:8" x14ac:dyDescent="0.25">
      <c r="A8863" s="163"/>
      <c r="B8863" s="106"/>
      <c r="C8863" s="73"/>
      <c r="D8863" s="73"/>
      <c r="E8863" s="73"/>
      <c r="F8863" s="74"/>
      <c r="G8863" s="153"/>
      <c r="H8863" s="164"/>
    </row>
    <row r="8864" spans="1:8" x14ac:dyDescent="0.25">
      <c r="A8864" s="163"/>
      <c r="B8864" s="106"/>
      <c r="C8864" s="75" t="s">
        <v>4106</v>
      </c>
      <c r="D8864" s="73"/>
      <c r="E8864" s="73"/>
      <c r="F8864" s="74"/>
      <c r="G8864" s="153"/>
      <c r="H8864" s="164"/>
    </row>
    <row r="8865" spans="1:11" x14ac:dyDescent="0.25">
      <c r="A8865" s="163"/>
      <c r="B8865" s="106"/>
      <c r="C8865" s="73" t="s">
        <v>3683</v>
      </c>
      <c r="D8865" s="73"/>
      <c r="E8865" s="73"/>
      <c r="F8865" s="74" t="s">
        <v>3</v>
      </c>
      <c r="G8865" s="153">
        <f>0.082*0.07*2*8*1.14</f>
        <v>0.10469760000000002</v>
      </c>
      <c r="H8865" s="164"/>
    </row>
    <row r="8866" spans="1:11" x14ac:dyDescent="0.25">
      <c r="A8866" s="163"/>
      <c r="B8866" s="106"/>
      <c r="C8866" s="73"/>
      <c r="D8866" s="73"/>
      <c r="E8866" s="73"/>
      <c r="F8866" s="74"/>
      <c r="G8866" s="153"/>
      <c r="H8866" s="164"/>
    </row>
    <row r="8867" spans="1:11" x14ac:dyDescent="0.25">
      <c r="A8867" s="163"/>
      <c r="B8867" s="106"/>
      <c r="C8867" s="75" t="s">
        <v>4107</v>
      </c>
      <c r="D8867" s="73"/>
      <c r="E8867" s="73"/>
      <c r="F8867" s="74"/>
      <c r="G8867" s="153"/>
      <c r="H8867" s="164"/>
    </row>
    <row r="8868" spans="1:11" x14ac:dyDescent="0.25">
      <c r="A8868" s="163"/>
      <c r="B8868" s="106"/>
      <c r="C8868" s="73" t="s">
        <v>4105</v>
      </c>
      <c r="D8868" s="73"/>
      <c r="E8868" s="73"/>
      <c r="F8868" s="74" t="s">
        <v>3</v>
      </c>
      <c r="G8868" s="153">
        <f>0.046*0.044*1.5*8*1.1</f>
        <v>2.6716799999999999E-2</v>
      </c>
      <c r="H8868" s="164"/>
    </row>
    <row r="8869" spans="1:11" x14ac:dyDescent="0.25">
      <c r="A8869" s="163"/>
      <c r="B8869" s="106"/>
      <c r="C8869" s="73" t="s">
        <v>420</v>
      </c>
      <c r="D8869" s="73"/>
      <c r="E8869" s="73"/>
      <c r="F8869" s="74" t="s">
        <v>3</v>
      </c>
      <c r="G8869" s="153">
        <v>3.0000000000000001E-3</v>
      </c>
      <c r="H8869" s="164"/>
    </row>
    <row r="8870" spans="1:11" x14ac:dyDescent="0.25">
      <c r="A8870" s="163"/>
      <c r="B8870" s="106"/>
      <c r="C8870" s="73"/>
      <c r="D8870" s="73"/>
      <c r="E8870" s="73"/>
      <c r="F8870" s="74"/>
      <c r="G8870" s="153"/>
      <c r="H8870" s="164"/>
    </row>
    <row r="8871" spans="1:11" x14ac:dyDescent="0.25">
      <c r="A8871" s="163"/>
      <c r="B8871" s="106"/>
      <c r="C8871" s="401" t="s">
        <v>413</v>
      </c>
      <c r="D8871" s="73"/>
      <c r="E8871" s="73"/>
      <c r="F8871" s="74"/>
      <c r="G8871" s="153"/>
      <c r="H8871" s="164"/>
    </row>
    <row r="8872" spans="1:11" x14ac:dyDescent="0.25">
      <c r="A8872" s="163"/>
      <c r="B8872" s="106"/>
      <c r="C8872" s="73" t="s">
        <v>4108</v>
      </c>
      <c r="D8872" s="73"/>
      <c r="E8872" s="73"/>
      <c r="F8872" s="74" t="s">
        <v>1516</v>
      </c>
      <c r="G8872" s="153">
        <v>3</v>
      </c>
      <c r="H8872" s="164"/>
    </row>
    <row r="8873" spans="1:11" x14ac:dyDescent="0.25">
      <c r="A8873" s="163"/>
      <c r="B8873" s="106"/>
      <c r="C8873" s="73"/>
      <c r="D8873" s="73"/>
      <c r="E8873" s="73"/>
      <c r="F8873" s="74"/>
      <c r="G8873" s="153"/>
      <c r="H8873" s="164"/>
    </row>
    <row r="8874" spans="1:11" x14ac:dyDescent="0.25">
      <c r="A8874" s="163"/>
      <c r="B8874" s="106"/>
      <c r="C8874" s="75" t="s">
        <v>4109</v>
      </c>
      <c r="D8874" s="73"/>
      <c r="E8874" s="73"/>
      <c r="F8874" s="74"/>
      <c r="G8874" s="153"/>
      <c r="H8874" s="164"/>
    </row>
    <row r="8875" spans="1:11" x14ac:dyDescent="0.25">
      <c r="A8875" s="163"/>
      <c r="B8875" s="106"/>
      <c r="C8875" s="73" t="s">
        <v>4110</v>
      </c>
      <c r="D8875" s="73"/>
      <c r="E8875" s="73"/>
      <c r="F8875" s="74" t="s">
        <v>195</v>
      </c>
      <c r="G8875" s="153">
        <v>7.4999999999999997E-2</v>
      </c>
      <c r="H8875" s="164"/>
      <c r="I8875" t="s">
        <v>4058</v>
      </c>
    </row>
    <row r="8876" spans="1:11" x14ac:dyDescent="0.25">
      <c r="A8876" s="163"/>
      <c r="B8876" s="106"/>
      <c r="C8876" s="73"/>
      <c r="D8876" s="73"/>
      <c r="E8876" s="73"/>
      <c r="F8876" s="74"/>
      <c r="G8876" s="153"/>
      <c r="H8876" s="164"/>
      <c r="K8876" s="451"/>
    </row>
    <row r="8877" spans="1:11" x14ac:dyDescent="0.25">
      <c r="C8877" s="3" t="s">
        <v>4112</v>
      </c>
      <c r="H8877" s="164"/>
    </row>
    <row r="8878" spans="1:11" x14ac:dyDescent="0.25">
      <c r="C8878" t="s">
        <v>3770</v>
      </c>
      <c r="F8878" s="431" t="s">
        <v>3</v>
      </c>
      <c r="G8878" s="10">
        <f>0.13*0.13*1*8*1.11</f>
        <v>0.15007200000000004</v>
      </c>
      <c r="H8878" s="164"/>
    </row>
    <row r="8879" spans="1:11" x14ac:dyDescent="0.25">
      <c r="H8879" s="164"/>
    </row>
    <row r="8880" spans="1:11" x14ac:dyDescent="0.25">
      <c r="C8880" s="3" t="s">
        <v>4113</v>
      </c>
      <c r="H8880" s="164"/>
    </row>
    <row r="8881" spans="3:9" x14ac:dyDescent="0.25">
      <c r="C8881" t="s">
        <v>4114</v>
      </c>
      <c r="F8881" s="431" t="s">
        <v>3</v>
      </c>
      <c r="G8881" s="10">
        <f>0.485*0.075*3*8*1.145</f>
        <v>0.99958500000000006</v>
      </c>
      <c r="H8881" s="164"/>
    </row>
    <row r="8882" spans="3:9" x14ac:dyDescent="0.25">
      <c r="H8882" s="164"/>
    </row>
    <row r="8883" spans="3:9" x14ac:dyDescent="0.25">
      <c r="C8883" s="3" t="s">
        <v>4115</v>
      </c>
      <c r="H8883" s="164"/>
    </row>
    <row r="8884" spans="3:9" x14ac:dyDescent="0.25">
      <c r="C8884" s="100" t="s">
        <v>140</v>
      </c>
      <c r="D8884" s="75"/>
      <c r="E8884" s="73"/>
      <c r="F8884" s="74" t="s">
        <v>3</v>
      </c>
      <c r="G8884" s="153">
        <f>(0.025*3.14*2+0.01*3.14*2)*0.08*1.2-0.001</f>
        <v>2.0100800000000005E-2</v>
      </c>
      <c r="H8884" s="164"/>
    </row>
    <row r="8885" spans="3:9" ht="17.25" x14ac:dyDescent="0.25">
      <c r="C8885" s="100" t="s">
        <v>23</v>
      </c>
      <c r="D8885" s="75"/>
      <c r="E8885" s="73"/>
      <c r="F8885" s="74" t="s">
        <v>596</v>
      </c>
      <c r="G8885" s="153">
        <f>G8884*2</f>
        <v>4.0201600000000011E-2</v>
      </c>
      <c r="H8885" s="164"/>
    </row>
    <row r="8886" spans="3:9" x14ac:dyDescent="0.25">
      <c r="C8886" s="100" t="s">
        <v>142</v>
      </c>
      <c r="D8886" s="75"/>
      <c r="E8886" s="73"/>
      <c r="F8886" s="74" t="s">
        <v>3</v>
      </c>
      <c r="G8886" s="153">
        <f>G8884/4+0.001</f>
        <v>6.0252000000000014E-3</v>
      </c>
      <c r="H8886" s="164"/>
    </row>
    <row r="8887" spans="3:9" x14ac:dyDescent="0.25">
      <c r="C8887" s="73" t="s">
        <v>8</v>
      </c>
      <c r="D8887" s="73"/>
      <c r="E8887" s="73"/>
      <c r="F8887" s="74" t="s">
        <v>3</v>
      </c>
      <c r="G8887" s="153">
        <f>G8888*0.58</f>
        <v>2.0357999999999998E-2</v>
      </c>
      <c r="H8887" s="164"/>
    </row>
    <row r="8888" spans="3:9" x14ac:dyDescent="0.25">
      <c r="C8888" s="186" t="s">
        <v>4116</v>
      </c>
      <c r="F8888" s="431" t="s">
        <v>3</v>
      </c>
      <c r="G8888" s="10">
        <f>0.15*0.15*2*0.15*2*1.3*2</f>
        <v>3.5099999999999999E-2</v>
      </c>
      <c r="H8888" s="164"/>
    </row>
    <row r="8889" spans="3:9" x14ac:dyDescent="0.25">
      <c r="C8889" s="186" t="s">
        <v>143</v>
      </c>
      <c r="F8889" s="431" t="s">
        <v>3</v>
      </c>
      <c r="G8889" s="10">
        <f>G8887</f>
        <v>2.0357999999999998E-2</v>
      </c>
      <c r="H8889" s="164"/>
    </row>
    <row r="8890" spans="3:9" x14ac:dyDescent="0.25">
      <c r="C8890" t="s">
        <v>12</v>
      </c>
      <c r="F8890" s="431" t="s">
        <v>3</v>
      </c>
      <c r="G8890" s="10">
        <f>0.3*(G8889+G8888+G8887)</f>
        <v>2.2744799999999999E-2</v>
      </c>
      <c r="H8890" s="164"/>
    </row>
    <row r="8891" spans="3:9" x14ac:dyDescent="0.25">
      <c r="D8891" s="3" t="s">
        <v>4117</v>
      </c>
      <c r="H8891" s="164"/>
    </row>
    <row r="8892" spans="3:9" x14ac:dyDescent="0.25">
      <c r="D8892" t="s">
        <v>4120</v>
      </c>
      <c r="F8892" s="431" t="s">
        <v>3</v>
      </c>
      <c r="G8892" s="10">
        <f>1.13*0.07+0.001</f>
        <v>8.0100000000000005E-2</v>
      </c>
      <c r="H8892" s="164"/>
      <c r="I8892" t="s">
        <v>4121</v>
      </c>
    </row>
    <row r="8893" spans="3:9" x14ac:dyDescent="0.25">
      <c r="D8893" s="3" t="s">
        <v>4118</v>
      </c>
      <c r="H8893" s="164"/>
    </row>
    <row r="8894" spans="3:9" x14ac:dyDescent="0.25">
      <c r="D8894" t="s">
        <v>426</v>
      </c>
      <c r="F8894" s="431" t="s">
        <v>3</v>
      </c>
      <c r="G8894" s="10">
        <f>0.314*0.15</f>
        <v>4.7099999999999996E-2</v>
      </c>
      <c r="H8894" s="164"/>
      <c r="I8894" t="s">
        <v>1174</v>
      </c>
    </row>
    <row r="8895" spans="3:9" x14ac:dyDescent="0.25">
      <c r="D8895" s="3" t="s">
        <v>4119</v>
      </c>
      <c r="H8895" s="164"/>
    </row>
    <row r="8896" spans="3:9" x14ac:dyDescent="0.25">
      <c r="D8896" t="s">
        <v>426</v>
      </c>
      <c r="F8896" s="431" t="s">
        <v>3</v>
      </c>
      <c r="G8896" s="10">
        <f>0.314*0.18</f>
        <v>5.6520000000000001E-2</v>
      </c>
      <c r="H8896" s="164"/>
      <c r="I8896" t="s">
        <v>4122</v>
      </c>
    </row>
    <row r="8897" spans="3:11" x14ac:dyDescent="0.25">
      <c r="H8897" s="164"/>
    </row>
    <row r="8898" spans="3:11" x14ac:dyDescent="0.25">
      <c r="C8898" s="3" t="s">
        <v>4123</v>
      </c>
      <c r="H8898" s="164"/>
    </row>
    <row r="8899" spans="3:11" x14ac:dyDescent="0.25">
      <c r="C8899" s="73" t="s">
        <v>3223</v>
      </c>
      <c r="F8899" s="74" t="s">
        <v>3</v>
      </c>
      <c r="G8899" s="10">
        <f>0.2*0.05*1.2</f>
        <v>1.2000000000000002E-2</v>
      </c>
      <c r="H8899" s="164"/>
    </row>
    <row r="8900" spans="3:11" ht="17.25" x14ac:dyDescent="0.25">
      <c r="C8900" s="73" t="s">
        <v>168</v>
      </c>
      <c r="F8900" s="74" t="s">
        <v>596</v>
      </c>
      <c r="G8900" s="10">
        <f>G8899*1.1</f>
        <v>1.3200000000000003E-2</v>
      </c>
      <c r="H8900" s="164"/>
    </row>
    <row r="8901" spans="3:11" x14ac:dyDescent="0.25">
      <c r="D8901" s="3" t="s">
        <v>4124</v>
      </c>
      <c r="H8901" s="164"/>
    </row>
    <row r="8902" spans="3:11" x14ac:dyDescent="0.25">
      <c r="D8902" t="s">
        <v>4125</v>
      </c>
      <c r="F8902" s="431" t="s">
        <v>3</v>
      </c>
      <c r="G8902" s="10">
        <f>0.36*0.252*3*2.7*1.143</f>
        <v>0.83991297599999992</v>
      </c>
      <c r="H8902" s="164"/>
    </row>
    <row r="8903" spans="3:11" x14ac:dyDescent="0.25">
      <c r="H8903" s="164"/>
    </row>
    <row r="8904" spans="3:11" x14ac:dyDescent="0.25">
      <c r="C8904" s="3" t="s">
        <v>4126</v>
      </c>
      <c r="H8904" s="164"/>
    </row>
    <row r="8905" spans="3:11" x14ac:dyDescent="0.25">
      <c r="C8905" s="73" t="s">
        <v>2755</v>
      </c>
      <c r="D8905" s="73"/>
      <c r="E8905" s="73"/>
      <c r="F8905" s="74" t="s">
        <v>3</v>
      </c>
      <c r="G8905" s="153">
        <f>0.6*0.08*1.25</f>
        <v>0.06</v>
      </c>
      <c r="H8905" s="164"/>
    </row>
    <row r="8906" spans="3:11" ht="17.25" x14ac:dyDescent="0.25">
      <c r="C8906" s="73" t="s">
        <v>1055</v>
      </c>
      <c r="D8906" s="73"/>
      <c r="E8906" s="73"/>
      <c r="F8906" s="74" t="s">
        <v>596</v>
      </c>
      <c r="G8906" s="153">
        <f>1.09*G8905</f>
        <v>6.54E-2</v>
      </c>
      <c r="H8906" s="164"/>
    </row>
    <row r="8907" spans="3:11" x14ac:dyDescent="0.25">
      <c r="C8907" s="77" t="s">
        <v>4128</v>
      </c>
      <c r="D8907" s="73"/>
      <c r="E8907" s="73"/>
      <c r="F8907" s="74" t="s">
        <v>3</v>
      </c>
      <c r="G8907" s="153">
        <v>1.2999999999999999E-2</v>
      </c>
      <c r="H8907" s="164"/>
      <c r="K8907" s="448"/>
    </row>
    <row r="8908" spans="3:11" x14ac:dyDescent="0.25">
      <c r="D8908" s="3" t="s">
        <v>4127</v>
      </c>
      <c r="H8908" s="164"/>
    </row>
    <row r="8909" spans="3:11" x14ac:dyDescent="0.25">
      <c r="D8909" t="s">
        <v>3509</v>
      </c>
      <c r="F8909" s="431" t="s">
        <v>3</v>
      </c>
      <c r="G8909" s="10">
        <f>0.165*0.23*3*8*1.098</f>
        <v>1.0000584000000001</v>
      </c>
      <c r="H8909" s="164"/>
    </row>
    <row r="8910" spans="3:11" x14ac:dyDescent="0.25">
      <c r="D8910" s="3" t="s">
        <v>4129</v>
      </c>
      <c r="H8910" s="164"/>
    </row>
    <row r="8911" spans="3:11" x14ac:dyDescent="0.25">
      <c r="D8911" t="s">
        <v>4114</v>
      </c>
      <c r="F8911" s="448" t="s">
        <v>3</v>
      </c>
      <c r="G8911" s="10">
        <f>0.18*0.08*3*8*1.1</f>
        <v>0.38016000000000005</v>
      </c>
      <c r="H8911" s="164"/>
      <c r="K8911" s="448"/>
    </row>
    <row r="8912" spans="3:11" x14ac:dyDescent="0.25">
      <c r="D8912" s="3" t="s">
        <v>4130</v>
      </c>
      <c r="H8912" s="164"/>
    </row>
    <row r="8913" spans="1:11" x14ac:dyDescent="0.25">
      <c r="D8913" t="s">
        <v>4114</v>
      </c>
      <c r="F8913" s="448" t="s">
        <v>3</v>
      </c>
      <c r="G8913" s="10">
        <f>0.195*0.08*3*8*1.123</f>
        <v>0.42045120000000002</v>
      </c>
      <c r="H8913" s="164"/>
      <c r="K8913" s="448"/>
    </row>
    <row r="8914" spans="1:11" x14ac:dyDescent="0.25">
      <c r="D8914" s="3" t="s">
        <v>4131</v>
      </c>
      <c r="H8914" s="164"/>
    </row>
    <row r="8915" spans="1:11" x14ac:dyDescent="0.25">
      <c r="D8915" t="s">
        <v>4114</v>
      </c>
      <c r="F8915" s="448" t="s">
        <v>3</v>
      </c>
      <c r="G8915" s="10">
        <f>0.15*0.075*3*8*1.11</f>
        <v>0.29970000000000002</v>
      </c>
      <c r="H8915" s="164"/>
      <c r="K8915" s="448"/>
    </row>
    <row r="8916" spans="1:11" x14ac:dyDescent="0.25">
      <c r="D8916" s="3" t="s">
        <v>4132</v>
      </c>
      <c r="H8916" s="164"/>
    </row>
    <row r="8917" spans="1:11" x14ac:dyDescent="0.25">
      <c r="D8917" t="s">
        <v>4114</v>
      </c>
      <c r="F8917" s="431" t="s">
        <v>3</v>
      </c>
      <c r="G8917" s="10">
        <f>0.12*0.075*3*8*1.11</f>
        <v>0.23976</v>
      </c>
      <c r="H8917" s="164"/>
    </row>
    <row r="8918" spans="1:11" ht="15.75" thickBot="1" x14ac:dyDescent="0.3">
      <c r="A8918" s="67"/>
      <c r="B8918" s="86"/>
      <c r="C8918" s="68"/>
      <c r="D8918" s="68"/>
      <c r="E8918" s="68"/>
      <c r="F8918" s="82"/>
      <c r="G8918" s="89"/>
      <c r="H8918" s="89"/>
      <c r="I8918" s="163"/>
    </row>
    <row r="8919" spans="1:11" x14ac:dyDescent="0.25">
      <c r="A8919" s="159"/>
      <c r="B8919" s="181"/>
      <c r="C8919" s="93"/>
      <c r="D8919" s="93"/>
      <c r="E8919" s="93"/>
      <c r="F8919" s="160"/>
      <c r="G8919" s="161"/>
      <c r="H8919" s="162" t="s">
        <v>4202</v>
      </c>
    </row>
    <row r="8920" spans="1:11" x14ac:dyDescent="0.25">
      <c r="A8920" s="163"/>
      <c r="B8920" s="106"/>
      <c r="C8920" s="73"/>
      <c r="D8920" s="73"/>
      <c r="E8920" s="456" t="s">
        <v>4134</v>
      </c>
      <c r="F8920" s="74"/>
      <c r="G8920" s="153"/>
      <c r="H8920" s="164"/>
      <c r="K8920" s="451"/>
    </row>
    <row r="8921" spans="1:11" x14ac:dyDescent="0.25">
      <c r="A8921" s="163"/>
      <c r="B8921" s="106"/>
      <c r="C8921" s="73"/>
      <c r="D8921" s="73"/>
      <c r="E8921" s="390"/>
      <c r="F8921" s="74"/>
      <c r="G8921" s="153"/>
      <c r="H8921" s="164"/>
      <c r="K8921" s="449"/>
    </row>
    <row r="8922" spans="1:11" x14ac:dyDescent="0.25">
      <c r="A8922" s="163"/>
      <c r="B8922" s="106"/>
      <c r="C8922" s="73"/>
      <c r="D8922" s="73"/>
      <c r="E8922" s="73"/>
      <c r="F8922" s="74"/>
      <c r="G8922" s="153"/>
      <c r="H8922" s="164"/>
      <c r="K8922" s="449"/>
    </row>
    <row r="8923" spans="1:11" x14ac:dyDescent="0.25">
      <c r="A8923" s="163"/>
      <c r="B8923" s="106"/>
      <c r="C8923" s="390" t="s">
        <v>4135</v>
      </c>
      <c r="D8923" s="73"/>
      <c r="E8923" s="73"/>
      <c r="F8923" s="74"/>
      <c r="G8923" s="153"/>
      <c r="H8923" s="164"/>
      <c r="K8923" s="449"/>
    </row>
    <row r="8924" spans="1:11" x14ac:dyDescent="0.25">
      <c r="A8924" s="163"/>
      <c r="B8924" s="106"/>
      <c r="C8924" s="73" t="s">
        <v>1902</v>
      </c>
      <c r="D8924" s="73"/>
      <c r="E8924" s="73"/>
      <c r="F8924" s="74" t="s">
        <v>3</v>
      </c>
      <c r="G8924" s="153">
        <f>0.005</f>
        <v>5.0000000000000001E-3</v>
      </c>
      <c r="H8924" s="164"/>
      <c r="K8924" s="449"/>
    </row>
    <row r="8925" spans="1:11" x14ac:dyDescent="0.25">
      <c r="A8925" s="163"/>
      <c r="B8925" s="106"/>
      <c r="C8925" s="73" t="s">
        <v>1021</v>
      </c>
      <c r="D8925" s="73"/>
      <c r="E8925" s="73"/>
      <c r="F8925" s="74" t="s">
        <v>3</v>
      </c>
      <c r="G8925" s="153">
        <f>G8928</f>
        <v>0.39969377280000007</v>
      </c>
      <c r="H8925" s="164"/>
      <c r="K8925" s="449"/>
    </row>
    <row r="8926" spans="1:11" x14ac:dyDescent="0.25">
      <c r="A8926" s="163"/>
      <c r="B8926" s="106"/>
      <c r="C8926" s="73" t="s">
        <v>661</v>
      </c>
      <c r="D8926" s="73"/>
      <c r="E8926" s="73"/>
      <c r="F8926" s="74" t="s">
        <v>3</v>
      </c>
      <c r="G8926" s="153">
        <f>G8925*0.4*0.85</f>
        <v>0.13589588275200004</v>
      </c>
      <c r="H8926" s="164"/>
      <c r="K8926" s="449"/>
    </row>
    <row r="8927" spans="1:11" x14ac:dyDescent="0.25">
      <c r="A8927" s="163"/>
      <c r="B8927" s="106"/>
      <c r="C8927" s="73" t="s">
        <v>1993</v>
      </c>
      <c r="D8927" s="73"/>
      <c r="E8927" s="73"/>
      <c r="F8927" s="74" t="s">
        <v>3</v>
      </c>
      <c r="G8927" s="153">
        <f>0.177*G8926</f>
        <v>2.4053571247104007E-2</v>
      </c>
      <c r="H8927" s="164"/>
      <c r="K8927" s="449"/>
    </row>
    <row r="8928" spans="1:11" x14ac:dyDescent="0.25">
      <c r="A8928" s="163"/>
      <c r="B8928" s="106"/>
      <c r="C8928" s="73" t="s">
        <v>8</v>
      </c>
      <c r="D8928" s="73"/>
      <c r="E8928" s="73"/>
      <c r="F8928" s="74" t="s">
        <v>3</v>
      </c>
      <c r="G8928" s="153">
        <f>G8930*0.888</f>
        <v>0.39969377280000007</v>
      </c>
      <c r="H8928" s="164"/>
      <c r="K8928" s="449"/>
    </row>
    <row r="8929" spans="1:11" x14ac:dyDescent="0.25">
      <c r="A8929" s="163"/>
      <c r="B8929" s="106"/>
      <c r="C8929" s="73" t="s">
        <v>12</v>
      </c>
      <c r="D8929" s="73"/>
      <c r="E8929" s="73"/>
      <c r="F8929" s="74" t="s">
        <v>3</v>
      </c>
      <c r="G8929" s="153">
        <f>0.3*G8928</f>
        <v>0.11990813184000002</v>
      </c>
      <c r="H8929" s="164"/>
      <c r="K8929" s="449"/>
    </row>
    <row r="8930" spans="1:11" x14ac:dyDescent="0.25">
      <c r="A8930" s="163"/>
      <c r="B8930" s="106"/>
      <c r="C8930" s="73" t="s">
        <v>72</v>
      </c>
      <c r="D8930" s="73"/>
      <c r="E8930" s="73"/>
      <c r="F8930" s="74" t="s">
        <v>3</v>
      </c>
      <c r="G8930" s="153">
        <f>(0.93*0.56*2+0.1*(0.93*2+0.56*2))*0.15*2*1.12</f>
        <v>0.45010560000000005</v>
      </c>
      <c r="H8930" s="164"/>
      <c r="K8930" s="449"/>
    </row>
    <row r="8931" spans="1:11" x14ac:dyDescent="0.25">
      <c r="A8931" s="163"/>
      <c r="B8931" s="106"/>
      <c r="C8931" s="73" t="s">
        <v>11</v>
      </c>
      <c r="D8931" s="73"/>
      <c r="E8931" s="73"/>
      <c r="F8931" s="74" t="s">
        <v>3</v>
      </c>
      <c r="G8931" s="153">
        <f>0.3*G8930</f>
        <v>0.13503168000000002</v>
      </c>
      <c r="H8931" s="164"/>
      <c r="K8931" s="449"/>
    </row>
    <row r="8932" spans="1:11" x14ac:dyDescent="0.25">
      <c r="A8932" s="163"/>
      <c r="B8932" s="106"/>
      <c r="C8932" s="73" t="s">
        <v>147</v>
      </c>
      <c r="D8932" s="73"/>
      <c r="E8932" s="73"/>
      <c r="F8932" s="74" t="s">
        <v>3</v>
      </c>
      <c r="G8932" s="153">
        <v>0.1</v>
      </c>
      <c r="H8932" s="164"/>
      <c r="K8932" s="449"/>
    </row>
    <row r="8933" spans="1:11" x14ac:dyDescent="0.25">
      <c r="A8933" s="163"/>
      <c r="B8933" s="106"/>
      <c r="C8933" s="73" t="s">
        <v>3085</v>
      </c>
      <c r="D8933" s="73"/>
      <c r="E8933" s="73"/>
      <c r="F8933" s="74" t="s">
        <v>3</v>
      </c>
      <c r="G8933" s="153">
        <v>0.8</v>
      </c>
      <c r="H8933" s="164"/>
      <c r="K8933" s="449"/>
    </row>
    <row r="8934" spans="1:11" x14ac:dyDescent="0.25">
      <c r="A8934" s="163"/>
      <c r="B8934" s="106"/>
      <c r="C8934" s="77" t="s">
        <v>1054</v>
      </c>
      <c r="D8934" s="73"/>
      <c r="E8934" s="73"/>
      <c r="F8934" s="152" t="s">
        <v>3</v>
      </c>
      <c r="G8934" s="153">
        <f>(0.56*4+0.065*2+0.15*2+0.85*2*0.1*3.14+0.12+0.025*3.14*2+0.12+0.8+0.8+1.5)*0.08*1.12</f>
        <v>0.60039168000000009</v>
      </c>
      <c r="H8934" s="164"/>
      <c r="K8934" s="449"/>
    </row>
    <row r="8935" spans="1:11" ht="17.25" x14ac:dyDescent="0.25">
      <c r="A8935" s="163"/>
      <c r="B8935" s="106"/>
      <c r="C8935" s="77" t="s">
        <v>1055</v>
      </c>
      <c r="D8935" s="73"/>
      <c r="E8935" s="73"/>
      <c r="F8935" s="152" t="s">
        <v>596</v>
      </c>
      <c r="G8935" s="153">
        <f>G8934*1.1</f>
        <v>0.66043084800000018</v>
      </c>
      <c r="H8935" s="164"/>
      <c r="K8935" s="449"/>
    </row>
    <row r="8936" spans="1:11" x14ac:dyDescent="0.25">
      <c r="A8936" s="163"/>
      <c r="B8936" s="106"/>
      <c r="C8936" s="73"/>
      <c r="D8936" s="75" t="s">
        <v>4136</v>
      </c>
      <c r="E8936" s="73"/>
      <c r="F8936" s="74"/>
      <c r="G8936" s="153"/>
      <c r="H8936" s="164"/>
      <c r="K8936" s="449"/>
    </row>
    <row r="8937" spans="1:11" x14ac:dyDescent="0.25">
      <c r="A8937" s="163"/>
      <c r="B8937" s="106"/>
      <c r="C8937" s="73"/>
      <c r="D8937" s="77" t="s">
        <v>1054</v>
      </c>
      <c r="E8937" s="73"/>
      <c r="F8937" s="152" t="s">
        <v>3</v>
      </c>
      <c r="G8937" s="153">
        <f>0.14*0.08*1.1</f>
        <v>1.2320000000000003E-2</v>
      </c>
      <c r="H8937" s="164"/>
      <c r="K8937" s="449"/>
    </row>
    <row r="8938" spans="1:11" ht="17.25" x14ac:dyDescent="0.25">
      <c r="A8938" s="163"/>
      <c r="B8938" s="106"/>
      <c r="C8938" s="73"/>
      <c r="D8938" s="77" t="s">
        <v>1055</v>
      </c>
      <c r="E8938" s="73"/>
      <c r="F8938" s="152" t="s">
        <v>596</v>
      </c>
      <c r="G8938" s="153">
        <f>G8937*1.1</f>
        <v>1.3552000000000005E-2</v>
      </c>
      <c r="H8938" s="164"/>
      <c r="K8938" s="449"/>
    </row>
    <row r="8939" spans="1:11" x14ac:dyDescent="0.25">
      <c r="A8939" s="163"/>
      <c r="B8939" s="106"/>
      <c r="C8939" s="73"/>
      <c r="D8939" s="77"/>
      <c r="E8939" s="75" t="s">
        <v>4139</v>
      </c>
      <c r="F8939" s="152"/>
      <c r="G8939" s="153"/>
      <c r="H8939" s="164"/>
      <c r="K8939" s="449"/>
    </row>
    <row r="8940" spans="1:11" x14ac:dyDescent="0.25">
      <c r="A8940" s="163"/>
      <c r="B8940" s="106"/>
      <c r="C8940" s="73"/>
      <c r="D8940" s="77"/>
      <c r="E8940" s="73" t="s">
        <v>4141</v>
      </c>
      <c r="F8940" s="152" t="s">
        <v>3</v>
      </c>
      <c r="G8940" s="153">
        <f>0.385*0.135*1.5*8*1.107</f>
        <v>0.6904359000000001</v>
      </c>
      <c r="H8940" s="164"/>
      <c r="K8940" s="449"/>
    </row>
    <row r="8941" spans="1:11" x14ac:dyDescent="0.25">
      <c r="A8941" s="163"/>
      <c r="B8941" s="106"/>
      <c r="C8941" s="73"/>
      <c r="D8941" s="77"/>
      <c r="E8941" s="75" t="s">
        <v>4140</v>
      </c>
      <c r="F8941" s="152"/>
      <c r="G8941" s="153"/>
      <c r="H8941" s="164"/>
      <c r="K8941" s="449"/>
    </row>
    <row r="8942" spans="1:11" x14ac:dyDescent="0.25">
      <c r="A8942" s="163"/>
      <c r="B8942" s="106"/>
      <c r="C8942" s="73"/>
      <c r="D8942" s="77"/>
      <c r="E8942" s="73" t="s">
        <v>4142</v>
      </c>
      <c r="F8942" s="152" t="s">
        <v>3</v>
      </c>
      <c r="G8942" s="153">
        <f>0.101*0.019*1.5*8*1.1</f>
        <v>2.5330800000000001E-2</v>
      </c>
      <c r="H8942" s="164"/>
      <c r="K8942" s="449"/>
    </row>
    <row r="8943" spans="1:11" x14ac:dyDescent="0.25">
      <c r="A8943" s="163"/>
      <c r="B8943" s="106"/>
      <c r="C8943" s="73"/>
      <c r="D8943" s="75" t="s">
        <v>4138</v>
      </c>
      <c r="E8943" s="73"/>
      <c r="F8943" s="74"/>
      <c r="G8943" s="153"/>
      <c r="H8943" s="164"/>
      <c r="K8943" s="449"/>
    </row>
    <row r="8944" spans="1:11" x14ac:dyDescent="0.25">
      <c r="A8944" s="163"/>
      <c r="B8944" s="106"/>
      <c r="C8944" s="73"/>
      <c r="D8944" s="77" t="s">
        <v>1054</v>
      </c>
      <c r="E8944" s="73"/>
      <c r="F8944" s="152" t="s">
        <v>3</v>
      </c>
      <c r="G8944" s="153">
        <f>(0.092+0.02*4+0.071)*0.08*1.15</f>
        <v>2.2355999999999997E-2</v>
      </c>
      <c r="H8944" s="164"/>
      <c r="K8944" s="449"/>
    </row>
    <row r="8945" spans="1:11" ht="17.25" x14ac:dyDescent="0.25">
      <c r="A8945" s="163"/>
      <c r="B8945" s="106"/>
      <c r="C8945" s="73"/>
      <c r="D8945" s="77" t="s">
        <v>1055</v>
      </c>
      <c r="E8945" s="73"/>
      <c r="F8945" s="152" t="s">
        <v>596</v>
      </c>
      <c r="G8945" s="153">
        <f>G8944*1.1</f>
        <v>2.4591599999999998E-2</v>
      </c>
      <c r="H8945" s="164"/>
      <c r="K8945" s="449"/>
    </row>
    <row r="8946" spans="1:11" x14ac:dyDescent="0.25">
      <c r="A8946" s="163"/>
      <c r="B8946" s="106"/>
      <c r="C8946" s="73"/>
      <c r="D8946" s="77"/>
      <c r="E8946" s="75" t="s">
        <v>4143</v>
      </c>
      <c r="F8946" s="152"/>
      <c r="G8946" s="153"/>
      <c r="H8946" s="164"/>
      <c r="K8946" s="450"/>
    </row>
    <row r="8947" spans="1:11" x14ac:dyDescent="0.25">
      <c r="A8947" s="163"/>
      <c r="B8947" s="106"/>
      <c r="C8947" s="73"/>
      <c r="D8947" s="77"/>
      <c r="E8947" s="73" t="s">
        <v>4141</v>
      </c>
      <c r="F8947" s="152" t="s">
        <v>3</v>
      </c>
      <c r="G8947" s="153">
        <f>0.13*0.22*1.5*8*1.108</f>
        <v>0.38026560000000004</v>
      </c>
      <c r="H8947" s="164"/>
      <c r="K8947" s="450"/>
    </row>
    <row r="8948" spans="1:11" x14ac:dyDescent="0.25">
      <c r="A8948" s="163"/>
      <c r="B8948" s="106"/>
      <c r="C8948" s="73"/>
      <c r="D8948" s="77"/>
      <c r="E8948" s="75" t="s">
        <v>4144</v>
      </c>
      <c r="F8948" s="152"/>
      <c r="G8948" s="153"/>
      <c r="H8948" s="164"/>
      <c r="K8948" s="450"/>
    </row>
    <row r="8949" spans="1:11" x14ac:dyDescent="0.25">
      <c r="A8949" s="163"/>
      <c r="B8949" s="106"/>
      <c r="C8949" s="73"/>
      <c r="D8949" s="77"/>
      <c r="E8949" s="73" t="s">
        <v>4141</v>
      </c>
      <c r="F8949" s="152" t="s">
        <v>3</v>
      </c>
      <c r="G8949" s="153">
        <f>0.071*0.019*1.5*8*1.1</f>
        <v>1.7806800000000001E-2</v>
      </c>
      <c r="H8949" s="164"/>
      <c r="K8949" s="450"/>
    </row>
    <row r="8950" spans="1:11" x14ac:dyDescent="0.25">
      <c r="A8950" s="163"/>
      <c r="B8950" s="106"/>
      <c r="C8950" s="73"/>
      <c r="D8950" s="77"/>
      <c r="E8950" s="75" t="s">
        <v>4145</v>
      </c>
      <c r="F8950" s="152"/>
      <c r="G8950" s="153"/>
      <c r="H8950" s="164"/>
      <c r="K8950" s="450"/>
    </row>
    <row r="8951" spans="1:11" x14ac:dyDescent="0.25">
      <c r="A8951" s="163"/>
      <c r="B8951" s="106"/>
      <c r="C8951" s="73"/>
      <c r="D8951" s="77"/>
      <c r="E8951" s="73" t="s">
        <v>4141</v>
      </c>
      <c r="F8951" s="152" t="s">
        <v>3</v>
      </c>
      <c r="G8951" s="153">
        <f>0.092*0.019*1.5*8*1.1</f>
        <v>2.3073600000000003E-2</v>
      </c>
      <c r="H8951" s="164"/>
      <c r="K8951" s="450"/>
    </row>
    <row r="8952" spans="1:11" x14ac:dyDescent="0.25">
      <c r="A8952" s="163"/>
      <c r="B8952" s="106"/>
      <c r="C8952" s="73"/>
      <c r="D8952" s="75" t="s">
        <v>4137</v>
      </c>
      <c r="E8952" s="73"/>
      <c r="F8952" s="74"/>
      <c r="G8952" s="153"/>
      <c r="H8952" s="164"/>
      <c r="K8952" s="449"/>
    </row>
    <row r="8953" spans="1:11" x14ac:dyDescent="0.25">
      <c r="A8953" s="163"/>
      <c r="B8953" s="106"/>
      <c r="C8953" s="73"/>
      <c r="D8953" s="77" t="s">
        <v>1054</v>
      </c>
      <c r="E8953" s="73"/>
      <c r="F8953" s="152" t="s">
        <v>3</v>
      </c>
      <c r="G8953" s="153">
        <f>(0.134+0.02*4+0.109)*0.08*1.15</f>
        <v>2.9715999999999999E-2</v>
      </c>
      <c r="H8953" s="164"/>
      <c r="K8953" s="449"/>
    </row>
    <row r="8954" spans="1:11" ht="17.25" x14ac:dyDescent="0.25">
      <c r="A8954" s="163"/>
      <c r="B8954" s="106"/>
      <c r="C8954" s="73"/>
      <c r="D8954" s="77" t="s">
        <v>1055</v>
      </c>
      <c r="E8954" s="73"/>
      <c r="F8954" s="152" t="s">
        <v>596</v>
      </c>
      <c r="G8954" s="153">
        <f>G8953*1.1</f>
        <v>3.2687600000000004E-2</v>
      </c>
      <c r="H8954" s="164"/>
      <c r="K8954" s="449"/>
    </row>
    <row r="8955" spans="1:11" x14ac:dyDescent="0.25">
      <c r="A8955" s="163"/>
      <c r="B8955" s="106"/>
      <c r="C8955" s="73"/>
      <c r="D8955" s="73"/>
      <c r="E8955" s="75" t="s">
        <v>4146</v>
      </c>
      <c r="F8955" s="74"/>
      <c r="G8955" s="153"/>
      <c r="H8955" s="164"/>
      <c r="K8955" s="449"/>
    </row>
    <row r="8956" spans="1:11" x14ac:dyDescent="0.25">
      <c r="A8956" s="163"/>
      <c r="B8956" s="106"/>
      <c r="C8956" s="73"/>
      <c r="D8956" s="73"/>
      <c r="E8956" s="73" t="s">
        <v>4141</v>
      </c>
      <c r="F8956" s="152" t="s">
        <v>3</v>
      </c>
      <c r="G8956" s="153">
        <f>0.235*0.16*1.5*8*1.11-0.001</f>
        <v>0.49983200000000005</v>
      </c>
      <c r="H8956" s="164"/>
      <c r="K8956" s="449"/>
    </row>
    <row r="8957" spans="1:11" x14ac:dyDescent="0.25">
      <c r="A8957" s="163"/>
      <c r="B8957" s="106"/>
      <c r="C8957" s="73"/>
      <c r="D8957" s="73"/>
      <c r="E8957" s="75" t="s">
        <v>4147</v>
      </c>
      <c r="F8957" s="74"/>
      <c r="G8957" s="153"/>
      <c r="H8957" s="164"/>
      <c r="K8957" s="449"/>
    </row>
    <row r="8958" spans="1:11" x14ac:dyDescent="0.25">
      <c r="A8958" s="163"/>
      <c r="B8958" s="106"/>
      <c r="C8958" s="73"/>
      <c r="D8958" s="73"/>
      <c r="E8958" s="73" t="s">
        <v>4141</v>
      </c>
      <c r="F8958" s="152" t="s">
        <v>3</v>
      </c>
      <c r="G8958" s="153">
        <f>0.11*0.02*1.5*8*1.12</f>
        <v>2.9568000000000004E-2</v>
      </c>
      <c r="H8958" s="164"/>
      <c r="K8958" s="449"/>
    </row>
    <row r="8959" spans="1:11" x14ac:dyDescent="0.25">
      <c r="A8959" s="163"/>
      <c r="B8959" s="106"/>
      <c r="C8959" s="73"/>
      <c r="D8959" s="73"/>
      <c r="E8959" s="75" t="s">
        <v>4148</v>
      </c>
      <c r="F8959" s="74"/>
      <c r="G8959" s="153"/>
      <c r="H8959" s="164"/>
      <c r="K8959" s="449"/>
    </row>
    <row r="8960" spans="1:11" x14ac:dyDescent="0.25">
      <c r="A8960" s="163"/>
      <c r="B8960" s="106"/>
      <c r="C8960" s="73"/>
      <c r="D8960" s="73"/>
      <c r="E8960" s="73" t="s">
        <v>4141</v>
      </c>
      <c r="F8960" s="152" t="s">
        <v>3</v>
      </c>
      <c r="G8960" s="153">
        <f>0.124*0.02*1.5*8*1.08</f>
        <v>3.2140800000000004E-2</v>
      </c>
      <c r="H8960" s="164"/>
      <c r="K8960" s="449"/>
    </row>
    <row r="8961" spans="1:11" x14ac:dyDescent="0.25">
      <c r="A8961" s="163"/>
      <c r="B8961" s="106"/>
      <c r="C8961" s="73"/>
      <c r="D8961" s="75" t="s">
        <v>4149</v>
      </c>
      <c r="E8961" s="73"/>
      <c r="F8961" s="74"/>
      <c r="G8961" s="153"/>
      <c r="H8961" s="164"/>
      <c r="K8961" s="449"/>
    </row>
    <row r="8962" spans="1:11" x14ac:dyDescent="0.25">
      <c r="A8962" s="163"/>
      <c r="B8962" s="106"/>
      <c r="C8962" s="73"/>
      <c r="D8962" s="73" t="s">
        <v>4150</v>
      </c>
      <c r="E8962" s="73"/>
      <c r="F8962" s="74" t="s">
        <v>3</v>
      </c>
      <c r="G8962" s="153">
        <f>(0.869)*1+0.001</f>
        <v>0.87</v>
      </c>
      <c r="H8962" s="164"/>
      <c r="I8962" t="s">
        <v>4151</v>
      </c>
      <c r="K8962" s="449"/>
    </row>
    <row r="8963" spans="1:11" x14ac:dyDescent="0.25">
      <c r="A8963" s="163"/>
      <c r="B8963" s="106"/>
      <c r="C8963" s="73"/>
      <c r="D8963" s="75" t="s">
        <v>4152</v>
      </c>
      <c r="E8963" s="73"/>
      <c r="F8963" s="74"/>
      <c r="G8963" s="153"/>
      <c r="H8963" s="164"/>
      <c r="K8963" s="449"/>
    </row>
    <row r="8964" spans="1:11" x14ac:dyDescent="0.25">
      <c r="A8964" s="163"/>
      <c r="B8964" s="106"/>
      <c r="C8964" s="73"/>
      <c r="D8964" s="73" t="s">
        <v>4141</v>
      </c>
      <c r="E8964" s="73"/>
      <c r="F8964" s="74" t="s">
        <v>3</v>
      </c>
      <c r="G8964" s="153">
        <f>0.05*0.02*1.5*8*1.1</f>
        <v>1.3200000000000002E-2</v>
      </c>
      <c r="H8964" s="164"/>
      <c r="K8964" s="449"/>
    </row>
    <row r="8965" spans="1:11" x14ac:dyDescent="0.25">
      <c r="A8965" s="163"/>
      <c r="B8965" s="106"/>
      <c r="C8965" s="73"/>
      <c r="D8965" s="75" t="s">
        <v>4154</v>
      </c>
      <c r="E8965" s="73"/>
      <c r="F8965" s="74"/>
      <c r="G8965" s="153"/>
      <c r="H8965" s="164"/>
      <c r="K8965" s="450"/>
    </row>
    <row r="8966" spans="1:11" x14ac:dyDescent="0.25">
      <c r="A8966" s="163"/>
      <c r="B8966" s="106"/>
      <c r="C8966" s="73"/>
      <c r="D8966" s="73" t="s">
        <v>4141</v>
      </c>
      <c r="E8966" s="73"/>
      <c r="F8966" s="74" t="s">
        <v>3</v>
      </c>
      <c r="G8966" s="153">
        <f>0.715*0.87*1.5*8*1.1253</f>
        <v>8.3999143800000002</v>
      </c>
      <c r="H8966" s="164"/>
      <c r="K8966" s="450"/>
    </row>
    <row r="8967" spans="1:11" x14ac:dyDescent="0.25">
      <c r="A8967" s="163"/>
      <c r="B8967" s="106"/>
      <c r="C8967" s="73"/>
      <c r="D8967" s="75" t="s">
        <v>4153</v>
      </c>
      <c r="E8967" s="73"/>
      <c r="F8967" s="74"/>
      <c r="G8967" s="153"/>
      <c r="H8967" s="164"/>
      <c r="K8967" s="449"/>
    </row>
    <row r="8968" spans="1:11" x14ac:dyDescent="0.25">
      <c r="A8968" s="163"/>
      <c r="B8968" s="106"/>
      <c r="C8968" s="73"/>
      <c r="D8968" s="73" t="s">
        <v>4141</v>
      </c>
      <c r="E8968" s="73"/>
      <c r="F8968" s="74" t="s">
        <v>3</v>
      </c>
      <c r="G8968" s="153">
        <f>0.865*0.275*1.5*8*1.121</f>
        <v>3.1998944999999996</v>
      </c>
      <c r="H8968" s="164"/>
      <c r="K8968" s="449"/>
    </row>
    <row r="8969" spans="1:11" x14ac:dyDescent="0.25">
      <c r="A8969" s="163"/>
      <c r="B8969" s="106"/>
      <c r="C8969" s="73"/>
      <c r="D8969" s="75" t="s">
        <v>4155</v>
      </c>
      <c r="E8969" s="73"/>
      <c r="F8969" s="74"/>
      <c r="G8969" s="153"/>
      <c r="H8969" s="164"/>
      <c r="K8969" s="449"/>
    </row>
    <row r="8970" spans="1:11" x14ac:dyDescent="0.25">
      <c r="A8970" s="163"/>
      <c r="B8970" s="106"/>
      <c r="C8970" s="73"/>
      <c r="D8970" s="73" t="s">
        <v>4141</v>
      </c>
      <c r="E8970" s="73"/>
      <c r="F8970" s="74" t="s">
        <v>3</v>
      </c>
      <c r="G8970" s="153">
        <f>0.185*0.87*1.5*8*1.139</f>
        <v>2.1998646000000002</v>
      </c>
      <c r="H8970" s="164"/>
      <c r="K8970" s="449"/>
    </row>
    <row r="8971" spans="1:11" x14ac:dyDescent="0.25">
      <c r="A8971" s="163"/>
      <c r="B8971" s="106"/>
      <c r="C8971" s="73"/>
      <c r="D8971" s="75" t="s">
        <v>4156</v>
      </c>
      <c r="E8971" s="73"/>
      <c r="F8971" s="74"/>
      <c r="G8971" s="153"/>
      <c r="H8971" s="164"/>
      <c r="K8971" s="449"/>
    </row>
    <row r="8972" spans="1:11" x14ac:dyDescent="0.25">
      <c r="A8972" s="163"/>
      <c r="B8972" s="106"/>
      <c r="C8972" s="73"/>
      <c r="D8972" s="73" t="s">
        <v>4141</v>
      </c>
      <c r="E8972" s="73"/>
      <c r="F8972" s="74" t="s">
        <v>3</v>
      </c>
      <c r="G8972" s="153">
        <f>0.61*0.13*1.5*8*1.156</f>
        <v>1.1000496</v>
      </c>
      <c r="H8972" s="164"/>
      <c r="K8972" s="449"/>
    </row>
    <row r="8973" spans="1:11" x14ac:dyDescent="0.25">
      <c r="A8973" s="163"/>
      <c r="B8973" s="106"/>
      <c r="C8973" s="73"/>
      <c r="D8973" s="77" t="s">
        <v>1054</v>
      </c>
      <c r="E8973" s="73"/>
      <c r="F8973" s="152" t="s">
        <v>3</v>
      </c>
      <c r="G8973" s="153">
        <f>0.2*0.08*1.15</f>
        <v>1.84E-2</v>
      </c>
      <c r="H8973" s="164"/>
      <c r="K8973" s="449"/>
    </row>
    <row r="8974" spans="1:11" ht="17.25" x14ac:dyDescent="0.25">
      <c r="A8974" s="163"/>
      <c r="B8974" s="106"/>
      <c r="C8974" s="73"/>
      <c r="D8974" s="77" t="s">
        <v>1055</v>
      </c>
      <c r="E8974" s="73"/>
      <c r="F8974" s="152" t="s">
        <v>596</v>
      </c>
      <c r="G8974" s="153">
        <f>G8973*1.1</f>
        <v>2.0240000000000001E-2</v>
      </c>
      <c r="H8974" s="164"/>
      <c r="K8974" s="449"/>
    </row>
    <row r="8975" spans="1:11" x14ac:dyDescent="0.25">
      <c r="A8975" s="163"/>
      <c r="B8975" s="106"/>
      <c r="C8975" s="73"/>
      <c r="D8975" s="78" t="s">
        <v>4157</v>
      </c>
      <c r="E8975" s="73"/>
      <c r="F8975" s="74"/>
      <c r="G8975" s="153"/>
      <c r="H8975" s="164"/>
      <c r="K8975" s="449"/>
    </row>
    <row r="8976" spans="1:11" x14ac:dyDescent="0.25">
      <c r="A8976" s="163"/>
      <c r="B8976" s="106"/>
      <c r="C8976" s="73"/>
      <c r="D8976" s="73" t="s">
        <v>4141</v>
      </c>
      <c r="E8976" s="73"/>
      <c r="F8976" s="74" t="s">
        <v>3</v>
      </c>
      <c r="G8976" s="153">
        <f>0.66*0.25*1.5*8*1.1109</f>
        <v>2.1995819999999999</v>
      </c>
      <c r="H8976" s="164"/>
      <c r="K8976" s="449"/>
    </row>
    <row r="8977" spans="1:11" x14ac:dyDescent="0.25">
      <c r="A8977" s="163"/>
      <c r="B8977" s="106"/>
      <c r="C8977" s="73"/>
      <c r="D8977" s="75" t="s">
        <v>4158</v>
      </c>
      <c r="E8977" s="73"/>
      <c r="F8977" s="74"/>
      <c r="G8977" s="153"/>
      <c r="H8977" s="164"/>
      <c r="K8977" s="449"/>
    </row>
    <row r="8978" spans="1:11" x14ac:dyDescent="0.25">
      <c r="A8978" s="163"/>
      <c r="B8978" s="106"/>
      <c r="C8978" s="73"/>
      <c r="D8978" s="73" t="s">
        <v>4150</v>
      </c>
      <c r="E8978" s="73"/>
      <c r="F8978" s="74" t="s">
        <v>3</v>
      </c>
      <c r="G8978" s="153">
        <f>(0.869)*0.15</f>
        <v>0.13034999999999999</v>
      </c>
      <c r="H8978" s="164"/>
      <c r="I8978" t="s">
        <v>4159</v>
      </c>
      <c r="K8978" s="449"/>
    </row>
    <row r="8979" spans="1:11" x14ac:dyDescent="0.25">
      <c r="A8979" s="163"/>
      <c r="B8979" s="106"/>
      <c r="C8979" s="73"/>
      <c r="D8979" s="75" t="s">
        <v>4160</v>
      </c>
      <c r="E8979" s="73"/>
      <c r="F8979" s="74"/>
      <c r="G8979" s="153"/>
      <c r="H8979" s="164"/>
      <c r="K8979" s="449"/>
    </row>
    <row r="8980" spans="1:11" x14ac:dyDescent="0.25">
      <c r="A8980" s="163"/>
      <c r="B8980" s="106"/>
      <c r="C8980" s="73"/>
      <c r="D8980" s="73" t="s">
        <v>4141</v>
      </c>
      <c r="E8980" s="73"/>
      <c r="F8980" s="74" t="s">
        <v>3</v>
      </c>
      <c r="G8980" s="153">
        <f>(0.013*3.14/2+0.013)*0.07*1.5*8*1.125</f>
        <v>3.1572450000000002E-2</v>
      </c>
      <c r="H8980" s="164"/>
      <c r="K8980" s="450"/>
    </row>
    <row r="8981" spans="1:11" x14ac:dyDescent="0.25">
      <c r="A8981" s="163"/>
      <c r="B8981" s="106"/>
      <c r="C8981" s="73"/>
      <c r="D8981" s="75" t="s">
        <v>4161</v>
      </c>
      <c r="E8981" s="73"/>
      <c r="F8981" s="74"/>
      <c r="G8981" s="153"/>
      <c r="H8981" s="164"/>
      <c r="K8981" s="450"/>
    </row>
    <row r="8982" spans="1:11" x14ac:dyDescent="0.25">
      <c r="A8982" s="163"/>
      <c r="B8982" s="106"/>
      <c r="C8982" s="73"/>
      <c r="D8982" s="73" t="s">
        <v>4141</v>
      </c>
      <c r="E8982" s="73"/>
      <c r="F8982" s="74" t="s">
        <v>3</v>
      </c>
      <c r="G8982" s="153">
        <f>0.075*0.015*1.5*8*1.1</f>
        <v>1.4849999999999999E-2</v>
      </c>
      <c r="H8982" s="164"/>
      <c r="K8982" s="450"/>
    </row>
    <row r="8983" spans="1:11" x14ac:dyDescent="0.25">
      <c r="A8983" s="163"/>
      <c r="B8983" s="106"/>
      <c r="C8983" s="73"/>
      <c r="D8983" s="73"/>
      <c r="E8983" s="73"/>
      <c r="F8983" s="74"/>
      <c r="G8983" s="153"/>
      <c r="H8983" s="164"/>
      <c r="K8983" s="450"/>
    </row>
    <row r="8984" spans="1:11" x14ac:dyDescent="0.25">
      <c r="A8984" s="163"/>
      <c r="B8984" s="106"/>
      <c r="C8984" s="73"/>
      <c r="D8984" s="73"/>
      <c r="E8984" s="73"/>
      <c r="F8984" s="74"/>
      <c r="G8984" s="153"/>
      <c r="H8984" s="164"/>
      <c r="K8984" s="450"/>
    </row>
    <row r="8985" spans="1:11" x14ac:dyDescent="0.25">
      <c r="A8985" s="163"/>
      <c r="B8985" s="106"/>
      <c r="C8985" s="390" t="s">
        <v>4162</v>
      </c>
      <c r="D8985" s="73"/>
      <c r="E8985" s="73"/>
      <c r="F8985" s="74"/>
      <c r="G8985" s="153"/>
      <c r="H8985" s="164"/>
      <c r="K8985" s="450"/>
    </row>
    <row r="8986" spans="1:11" x14ac:dyDescent="0.25">
      <c r="A8986" s="163"/>
      <c r="B8986" s="106"/>
      <c r="C8986" s="73" t="s">
        <v>1902</v>
      </c>
      <c r="D8986" s="73"/>
      <c r="E8986" s="73"/>
      <c r="F8986" s="74" t="s">
        <v>3</v>
      </c>
      <c r="G8986" s="427">
        <f>0.005</f>
        <v>5.0000000000000001E-3</v>
      </c>
      <c r="H8986" s="164"/>
      <c r="K8986" s="450"/>
    </row>
    <row r="8987" spans="1:11" x14ac:dyDescent="0.25">
      <c r="A8987" s="163"/>
      <c r="B8987" s="106"/>
      <c r="C8987" s="73" t="s">
        <v>1021</v>
      </c>
      <c r="D8987" s="73"/>
      <c r="E8987" s="73"/>
      <c r="F8987" s="74" t="s">
        <v>3</v>
      </c>
      <c r="G8987" s="153">
        <f>G8990</f>
        <v>0.56999167949999996</v>
      </c>
      <c r="H8987" s="164"/>
      <c r="K8987" s="450"/>
    </row>
    <row r="8988" spans="1:11" x14ac:dyDescent="0.25">
      <c r="A8988" s="163"/>
      <c r="B8988" s="106"/>
      <c r="C8988" s="73" t="s">
        <v>661</v>
      </c>
      <c r="D8988" s="73"/>
      <c r="E8988" s="73"/>
      <c r="F8988" s="74" t="s">
        <v>3</v>
      </c>
      <c r="G8988" s="153">
        <f>G8987*0.4*0.85+0.001</f>
        <v>0.19479717102999999</v>
      </c>
      <c r="H8988" s="164"/>
      <c r="K8988" s="450"/>
    </row>
    <row r="8989" spans="1:11" x14ac:dyDescent="0.25">
      <c r="A8989" s="163"/>
      <c r="B8989" s="106"/>
      <c r="C8989" s="73" t="s">
        <v>1993</v>
      </c>
      <c r="D8989" s="73"/>
      <c r="E8989" s="73"/>
      <c r="F8989" s="74" t="s">
        <v>3</v>
      </c>
      <c r="G8989" s="153">
        <f>0.177*G8988+0.001</f>
        <v>3.5479099272310001E-2</v>
      </c>
      <c r="H8989" s="164"/>
      <c r="K8989" s="450"/>
    </row>
    <row r="8990" spans="1:11" x14ac:dyDescent="0.25">
      <c r="A8990" s="163"/>
      <c r="B8990" s="106"/>
      <c r="C8990" s="73" t="s">
        <v>8</v>
      </c>
      <c r="D8990" s="73"/>
      <c r="E8990" s="73"/>
      <c r="F8990" s="74" t="s">
        <v>3</v>
      </c>
      <c r="G8990" s="153">
        <f>G8992*0.877</f>
        <v>0.56999167949999996</v>
      </c>
      <c r="H8990" s="164"/>
      <c r="K8990" s="450"/>
    </row>
    <row r="8991" spans="1:11" x14ac:dyDescent="0.25">
      <c r="A8991" s="163"/>
      <c r="B8991" s="106"/>
      <c r="C8991" s="73" t="s">
        <v>12</v>
      </c>
      <c r="D8991" s="73"/>
      <c r="E8991" s="73"/>
      <c r="F8991" s="74" t="s">
        <v>3</v>
      </c>
      <c r="G8991" s="153">
        <f>0.3*G8990</f>
        <v>0.17099750384999998</v>
      </c>
      <c r="H8991" s="164"/>
      <c r="K8991" s="450"/>
    </row>
    <row r="8992" spans="1:11" x14ac:dyDescent="0.25">
      <c r="A8992" s="163"/>
      <c r="B8992" s="106"/>
      <c r="C8992" s="73" t="s">
        <v>72</v>
      </c>
      <c r="D8992" s="73"/>
      <c r="E8992" s="73"/>
      <c r="F8992" s="74" t="s">
        <v>3</v>
      </c>
      <c r="G8992" s="153">
        <f>(1.2*0.55*2+0.175*(1.23*2+0.55*2))*0.15*2*1.115</f>
        <v>0.64993349999999994</v>
      </c>
      <c r="H8992" s="164"/>
      <c r="K8992" s="450"/>
    </row>
    <row r="8993" spans="1:11" x14ac:dyDescent="0.25">
      <c r="A8993" s="163"/>
      <c r="B8993" s="106"/>
      <c r="C8993" s="73" t="s">
        <v>11</v>
      </c>
      <c r="D8993" s="73"/>
      <c r="E8993" s="73"/>
      <c r="F8993" s="74" t="s">
        <v>3</v>
      </c>
      <c r="G8993" s="153">
        <f>0.3*G8992+0.005</f>
        <v>0.19998004999999999</v>
      </c>
      <c r="H8993" s="164"/>
      <c r="K8993" s="450"/>
    </row>
    <row r="8994" spans="1:11" x14ac:dyDescent="0.25">
      <c r="A8994" s="163"/>
      <c r="B8994" s="106"/>
      <c r="C8994" s="73" t="s">
        <v>147</v>
      </c>
      <c r="D8994" s="73"/>
      <c r="E8994" s="73"/>
      <c r="F8994" s="74" t="s">
        <v>3</v>
      </c>
      <c r="G8994" s="153">
        <v>0.12</v>
      </c>
      <c r="H8994" s="164"/>
      <c r="K8994" s="450"/>
    </row>
    <row r="8995" spans="1:11" x14ac:dyDescent="0.25">
      <c r="A8995" s="163"/>
      <c r="B8995" s="106"/>
      <c r="C8995" s="73" t="s">
        <v>3085</v>
      </c>
      <c r="D8995" s="73"/>
      <c r="E8995" s="73"/>
      <c r="F8995" s="74" t="s">
        <v>3</v>
      </c>
      <c r="G8995" s="153">
        <v>0.85</v>
      </c>
      <c r="H8995" s="164"/>
      <c r="K8995" s="450"/>
    </row>
    <row r="8996" spans="1:11" x14ac:dyDescent="0.25">
      <c r="A8996" s="163"/>
      <c r="B8996" s="106"/>
      <c r="C8996" s="77" t="s">
        <v>1054</v>
      </c>
      <c r="D8996" s="73"/>
      <c r="E8996" s="73"/>
      <c r="F8996" s="152" t="s">
        <v>3</v>
      </c>
      <c r="G8996" s="153">
        <f>(0.335*2+0.2*2+0.56*2+0.15*2+0.1*3.14+0.025*3.14*2+0.07*4+0.1+1.3*2+1.3+0.6+2.6)*0.08*1.078</f>
        <v>0.90043184000000009</v>
      </c>
      <c r="H8996" s="164"/>
      <c r="K8996" s="450"/>
    </row>
    <row r="8997" spans="1:11" ht="17.25" x14ac:dyDescent="0.25">
      <c r="A8997" s="163"/>
      <c r="B8997" s="106"/>
      <c r="C8997" s="77" t="s">
        <v>1055</v>
      </c>
      <c r="D8997" s="73"/>
      <c r="E8997" s="73"/>
      <c r="F8997" s="152" t="s">
        <v>596</v>
      </c>
      <c r="G8997" s="153">
        <f>G8996*1.1</f>
        <v>0.9904750240000002</v>
      </c>
      <c r="H8997" s="164"/>
      <c r="K8997" s="450"/>
    </row>
    <row r="8998" spans="1:11" x14ac:dyDescent="0.25">
      <c r="A8998" s="163"/>
      <c r="B8998" s="106"/>
      <c r="C8998" s="73"/>
      <c r="D8998" s="75" t="s">
        <v>4163</v>
      </c>
      <c r="E8998" s="73"/>
      <c r="F8998" s="74"/>
      <c r="G8998" s="153"/>
      <c r="H8998" s="164"/>
      <c r="K8998" s="450"/>
    </row>
    <row r="8999" spans="1:11" x14ac:dyDescent="0.25">
      <c r="A8999" s="163"/>
      <c r="B8999" s="106"/>
      <c r="C8999" s="73"/>
      <c r="D8999" s="77" t="s">
        <v>1054</v>
      </c>
      <c r="E8999" s="73"/>
      <c r="F8999" s="152" t="s">
        <v>3</v>
      </c>
      <c r="G8999" s="153">
        <f>0.4*0.08*1.1</f>
        <v>3.5200000000000002E-2</v>
      </c>
      <c r="H8999" s="164"/>
      <c r="K8999" s="450"/>
    </row>
    <row r="9000" spans="1:11" ht="17.25" x14ac:dyDescent="0.25">
      <c r="A9000" s="163"/>
      <c r="B9000" s="106"/>
      <c r="C9000" s="73"/>
      <c r="D9000" s="77" t="s">
        <v>1055</v>
      </c>
      <c r="E9000" s="73"/>
      <c r="F9000" s="152" t="s">
        <v>596</v>
      </c>
      <c r="G9000" s="153">
        <f>G8999*1.1+0.001</f>
        <v>3.9720000000000005E-2</v>
      </c>
      <c r="H9000" s="164"/>
      <c r="K9000" s="450"/>
    </row>
    <row r="9001" spans="1:11" x14ac:dyDescent="0.25">
      <c r="A9001" s="163"/>
      <c r="B9001" s="106"/>
      <c r="C9001" s="73"/>
      <c r="D9001" s="73"/>
      <c r="E9001" s="75" t="s">
        <v>4165</v>
      </c>
      <c r="F9001" s="74"/>
      <c r="G9001" s="153"/>
      <c r="H9001" s="164"/>
      <c r="K9001" s="450"/>
    </row>
    <row r="9002" spans="1:11" x14ac:dyDescent="0.25">
      <c r="A9002" s="163"/>
      <c r="B9002" s="106"/>
      <c r="C9002" s="73"/>
      <c r="D9002" s="73"/>
      <c r="E9002" s="73" t="s">
        <v>4141</v>
      </c>
      <c r="F9002" s="74" t="s">
        <v>3</v>
      </c>
      <c r="G9002" s="153">
        <f>0.42*0.2*1.5*8*1.141</f>
        <v>1.150128</v>
      </c>
      <c r="H9002" s="164"/>
      <c r="K9002" s="450"/>
    </row>
    <row r="9003" spans="1:11" x14ac:dyDescent="0.25">
      <c r="A9003" s="163"/>
      <c r="B9003" s="106"/>
      <c r="C9003" s="73"/>
      <c r="D9003" s="73"/>
      <c r="E9003" s="75" t="s">
        <v>4166</v>
      </c>
      <c r="F9003" s="74"/>
      <c r="G9003" s="153"/>
      <c r="H9003" s="164"/>
      <c r="K9003" s="450"/>
    </row>
    <row r="9004" spans="1:11" x14ac:dyDescent="0.25">
      <c r="A9004" s="163"/>
      <c r="B9004" s="106"/>
      <c r="C9004" s="73"/>
      <c r="D9004" s="73"/>
      <c r="E9004" s="73" t="s">
        <v>4141</v>
      </c>
      <c r="F9004" s="74" t="s">
        <v>3</v>
      </c>
      <c r="G9004" s="153">
        <f>0.161*0.019*1.5*8*1.1</f>
        <v>4.0378800000000006E-2</v>
      </c>
      <c r="H9004" s="164"/>
      <c r="K9004" s="450"/>
    </row>
    <row r="9005" spans="1:11" x14ac:dyDescent="0.25">
      <c r="A9005" s="163"/>
      <c r="B9005" s="106"/>
      <c r="C9005" s="73"/>
      <c r="D9005" s="73"/>
      <c r="E9005" s="75" t="s">
        <v>4167</v>
      </c>
      <c r="F9005" s="74"/>
      <c r="G9005" s="153"/>
      <c r="H9005" s="164"/>
      <c r="K9005" s="450"/>
    </row>
    <row r="9006" spans="1:11" x14ac:dyDescent="0.25">
      <c r="A9006" s="163"/>
      <c r="B9006" s="106"/>
      <c r="C9006" s="73"/>
      <c r="D9006" s="73"/>
      <c r="E9006" s="73" t="s">
        <v>4141</v>
      </c>
      <c r="F9006" s="74" t="s">
        <v>3</v>
      </c>
      <c r="G9006" s="153">
        <f>0.15*0.019*1.5*8*1.1</f>
        <v>3.7619999999999994E-2</v>
      </c>
      <c r="H9006" s="164"/>
      <c r="K9006" s="450"/>
    </row>
    <row r="9007" spans="1:11" x14ac:dyDescent="0.25">
      <c r="A9007" s="163"/>
      <c r="B9007" s="106"/>
      <c r="C9007" s="73"/>
      <c r="D9007" s="75" t="s">
        <v>4164</v>
      </c>
      <c r="E9007" s="73"/>
      <c r="F9007" s="74"/>
      <c r="G9007" s="153"/>
      <c r="H9007" s="164"/>
      <c r="K9007" s="450"/>
    </row>
    <row r="9008" spans="1:11" x14ac:dyDescent="0.25">
      <c r="A9008" s="163"/>
      <c r="B9008" s="106"/>
      <c r="C9008" s="73"/>
      <c r="D9008" s="77" t="s">
        <v>1054</v>
      </c>
      <c r="E9008" s="73"/>
      <c r="F9008" s="152" t="s">
        <v>3</v>
      </c>
      <c r="G9008" s="153">
        <f>0.43*0.08*1.1</f>
        <v>3.7840000000000006E-2</v>
      </c>
      <c r="H9008" s="164"/>
      <c r="K9008" s="450"/>
    </row>
    <row r="9009" spans="1:11" ht="17.25" x14ac:dyDescent="0.25">
      <c r="A9009" s="163"/>
      <c r="B9009" s="106"/>
      <c r="C9009" s="73"/>
      <c r="D9009" s="77" t="s">
        <v>1055</v>
      </c>
      <c r="E9009" s="73"/>
      <c r="F9009" s="152" t="s">
        <v>596</v>
      </c>
      <c r="G9009" s="153">
        <f>G9008*1.1+0.001</f>
        <v>4.2624000000000009E-2</v>
      </c>
      <c r="H9009" s="164"/>
      <c r="K9009" s="450"/>
    </row>
    <row r="9010" spans="1:11" x14ac:dyDescent="0.25">
      <c r="A9010" s="163"/>
      <c r="B9010" s="106"/>
      <c r="C9010" s="73"/>
      <c r="D9010" s="73"/>
      <c r="E9010" s="75" t="s">
        <v>4168</v>
      </c>
      <c r="F9010" s="74"/>
      <c r="G9010" s="153"/>
      <c r="H9010" s="164"/>
      <c r="K9010" s="450"/>
    </row>
    <row r="9011" spans="1:11" x14ac:dyDescent="0.25">
      <c r="A9011" s="163"/>
      <c r="B9011" s="106"/>
      <c r="C9011" s="73"/>
      <c r="D9011" s="73"/>
      <c r="E9011" s="73" t="s">
        <v>4141</v>
      </c>
      <c r="F9011" s="74" t="s">
        <v>3</v>
      </c>
      <c r="G9011" s="153">
        <f>0.42*0.22*1.5*8*1.1275</f>
        <v>1.2501719999999998</v>
      </c>
      <c r="H9011" s="164"/>
      <c r="K9011" s="450"/>
    </row>
    <row r="9012" spans="1:11" x14ac:dyDescent="0.25">
      <c r="A9012" s="163"/>
      <c r="B9012" s="106"/>
      <c r="C9012" s="73"/>
      <c r="D9012" s="73"/>
      <c r="E9012" s="75" t="s">
        <v>4170</v>
      </c>
      <c r="F9012" s="74"/>
      <c r="G9012" s="153"/>
      <c r="H9012" s="164"/>
      <c r="K9012" s="450"/>
    </row>
    <row r="9013" spans="1:11" x14ac:dyDescent="0.25">
      <c r="A9013" s="163"/>
      <c r="B9013" s="106"/>
      <c r="C9013" s="73"/>
      <c r="D9013" s="73"/>
      <c r="E9013" s="73" t="s">
        <v>4141</v>
      </c>
      <c r="F9013" s="74" t="s">
        <v>3</v>
      </c>
      <c r="G9013" s="153">
        <f>0.185*0.019*1.5*8*1.18</f>
        <v>4.9772399999999994E-2</v>
      </c>
      <c r="H9013" s="164"/>
      <c r="K9013" s="450"/>
    </row>
    <row r="9014" spans="1:11" x14ac:dyDescent="0.25">
      <c r="A9014" s="163"/>
      <c r="B9014" s="106"/>
      <c r="C9014" s="73"/>
      <c r="D9014" s="73"/>
      <c r="E9014" s="75" t="s">
        <v>4169</v>
      </c>
      <c r="F9014" s="74"/>
      <c r="G9014" s="153"/>
      <c r="H9014" s="164"/>
      <c r="K9014" s="450"/>
    </row>
    <row r="9015" spans="1:11" x14ac:dyDescent="0.25">
      <c r="A9015" s="163"/>
      <c r="B9015" s="106"/>
      <c r="C9015" s="73"/>
      <c r="D9015" s="73"/>
      <c r="E9015" s="73" t="s">
        <v>4141</v>
      </c>
      <c r="F9015" s="74" t="s">
        <v>3</v>
      </c>
      <c r="G9015" s="153">
        <f>0.17*0.019*1.5*8*1.15</f>
        <v>4.4574000000000003E-2</v>
      </c>
      <c r="H9015" s="164"/>
      <c r="K9015" s="450"/>
    </row>
    <row r="9016" spans="1:11" x14ac:dyDescent="0.25">
      <c r="A9016" s="163"/>
      <c r="B9016" s="106"/>
      <c r="C9016" s="73"/>
      <c r="D9016" s="75" t="s">
        <v>4171</v>
      </c>
      <c r="E9016" s="73"/>
      <c r="F9016" s="74"/>
      <c r="G9016" s="153"/>
      <c r="H9016" s="164"/>
      <c r="K9016" s="451"/>
    </row>
    <row r="9017" spans="1:11" x14ac:dyDescent="0.25">
      <c r="A9017" s="163"/>
      <c r="B9017" s="106"/>
      <c r="C9017" s="73"/>
      <c r="D9017" s="77" t="s">
        <v>1054</v>
      </c>
      <c r="E9017" s="73"/>
      <c r="F9017" s="152" t="s">
        <v>3</v>
      </c>
      <c r="G9017" s="153">
        <f>0.41*0.08*1.22</f>
        <v>4.0015999999999996E-2</v>
      </c>
      <c r="H9017" s="164"/>
      <c r="K9017" s="451"/>
    </row>
    <row r="9018" spans="1:11" ht="17.25" x14ac:dyDescent="0.25">
      <c r="A9018" s="163"/>
      <c r="B9018" s="106"/>
      <c r="C9018" s="73"/>
      <c r="D9018" s="77" t="s">
        <v>1055</v>
      </c>
      <c r="E9018" s="73"/>
      <c r="F9018" s="152" t="s">
        <v>596</v>
      </c>
      <c r="G9018" s="153">
        <f>G9017*1.1+0.001</f>
        <v>4.5017599999999998E-2</v>
      </c>
      <c r="H9018" s="164"/>
      <c r="K9018" s="451"/>
    </row>
    <row r="9019" spans="1:11" x14ac:dyDescent="0.25">
      <c r="A9019" s="163"/>
      <c r="B9019" s="106"/>
      <c r="C9019" s="73"/>
      <c r="D9019" s="73"/>
      <c r="E9019" s="75" t="s">
        <v>4172</v>
      </c>
      <c r="F9019" s="74"/>
      <c r="G9019" s="153"/>
      <c r="H9019" s="164"/>
      <c r="K9019" s="451"/>
    </row>
    <row r="9020" spans="1:11" x14ac:dyDescent="0.25">
      <c r="A9020" s="163"/>
      <c r="B9020" s="106"/>
      <c r="C9020" s="73"/>
      <c r="D9020" s="73"/>
      <c r="E9020" s="73" t="s">
        <v>4141</v>
      </c>
      <c r="F9020" s="74" t="s">
        <v>3</v>
      </c>
      <c r="G9020" s="153">
        <f>0.34*0.2*1.5*8*1.14</f>
        <v>0.93023999999999996</v>
      </c>
      <c r="H9020" s="164"/>
      <c r="K9020" s="451"/>
    </row>
    <row r="9021" spans="1:11" x14ac:dyDescent="0.25">
      <c r="A9021" s="163"/>
      <c r="B9021" s="106"/>
      <c r="C9021" s="73"/>
      <c r="D9021" s="73"/>
      <c r="E9021" s="75" t="s">
        <v>4173</v>
      </c>
      <c r="F9021" s="74"/>
      <c r="G9021" s="153"/>
      <c r="H9021" s="164"/>
      <c r="K9021" s="451"/>
    </row>
    <row r="9022" spans="1:11" x14ac:dyDescent="0.25">
      <c r="A9022" s="163"/>
      <c r="B9022" s="106"/>
      <c r="C9022" s="73"/>
      <c r="D9022" s="73"/>
      <c r="E9022" s="73" t="s">
        <v>4141</v>
      </c>
      <c r="F9022" s="74" t="s">
        <v>3</v>
      </c>
      <c r="G9022" s="153">
        <f>0.165*0.019*1.5*8*1.07</f>
        <v>4.0253400000000002E-2</v>
      </c>
      <c r="H9022" s="164"/>
      <c r="K9022" s="451"/>
    </row>
    <row r="9023" spans="1:11" x14ac:dyDescent="0.25">
      <c r="A9023" s="163"/>
      <c r="B9023" s="106"/>
      <c r="C9023" s="73"/>
      <c r="D9023" s="75" t="s">
        <v>4177</v>
      </c>
      <c r="E9023" s="73"/>
      <c r="F9023" s="74"/>
      <c r="G9023" s="153"/>
      <c r="H9023" s="164"/>
      <c r="K9023" s="451"/>
    </row>
    <row r="9024" spans="1:11" x14ac:dyDescent="0.25">
      <c r="A9024" s="163"/>
      <c r="B9024" s="106"/>
      <c r="C9024" s="73"/>
      <c r="D9024" s="73" t="s">
        <v>4150</v>
      </c>
      <c r="E9024" s="73"/>
      <c r="F9024" s="74" t="s">
        <v>3</v>
      </c>
      <c r="G9024" s="153">
        <f>(0.869)*1.5-0.004</f>
        <v>1.2995000000000001</v>
      </c>
      <c r="H9024" s="164"/>
      <c r="I9024" t="s">
        <v>4174</v>
      </c>
      <c r="K9024" s="451"/>
    </row>
    <row r="9025" spans="1:11" x14ac:dyDescent="0.25">
      <c r="A9025" s="163"/>
      <c r="B9025" s="106"/>
      <c r="C9025" s="73"/>
      <c r="D9025" s="75" t="s">
        <v>4176</v>
      </c>
      <c r="E9025" s="73"/>
      <c r="F9025" s="74"/>
      <c r="G9025" s="153"/>
      <c r="H9025" s="164"/>
      <c r="K9025" s="451"/>
    </row>
    <row r="9026" spans="1:11" x14ac:dyDescent="0.25">
      <c r="A9026" s="163"/>
      <c r="B9026" s="106"/>
      <c r="C9026" s="73"/>
      <c r="D9026" s="73" t="s">
        <v>4141</v>
      </c>
      <c r="E9026" s="73"/>
      <c r="F9026" s="74" t="s">
        <v>3</v>
      </c>
      <c r="G9026" s="153">
        <f>1.15*0.66*1.5*8*1.131-0.001</f>
        <v>10.300148000000002</v>
      </c>
      <c r="H9026" s="164"/>
      <c r="K9026" s="451"/>
    </row>
    <row r="9027" spans="1:11" x14ac:dyDescent="0.25">
      <c r="A9027" s="163"/>
      <c r="B9027" s="106"/>
      <c r="C9027" s="73"/>
      <c r="D9027" s="75" t="s">
        <v>4175</v>
      </c>
      <c r="E9027" s="73"/>
      <c r="F9027" s="74"/>
      <c r="G9027" s="153"/>
      <c r="H9027" s="164"/>
      <c r="K9027" s="451"/>
    </row>
    <row r="9028" spans="1:11" x14ac:dyDescent="0.25">
      <c r="A9028" s="163"/>
      <c r="B9028" s="106"/>
      <c r="C9028" s="73"/>
      <c r="D9028" s="73" t="s">
        <v>4141</v>
      </c>
      <c r="E9028" s="73"/>
      <c r="F9028" s="74" t="s">
        <v>3</v>
      </c>
      <c r="G9028" s="153">
        <f>1.2*0.31*1.5*8*1.12</f>
        <v>4.9996800000000006</v>
      </c>
      <c r="H9028" s="164"/>
      <c r="K9028" s="451"/>
    </row>
    <row r="9029" spans="1:11" x14ac:dyDescent="0.25">
      <c r="A9029" s="163"/>
      <c r="B9029" s="106"/>
      <c r="C9029" s="73"/>
      <c r="D9029" s="77" t="s">
        <v>1054</v>
      </c>
      <c r="E9029" s="73"/>
      <c r="F9029" s="152" t="s">
        <v>3</v>
      </c>
      <c r="G9029" s="153">
        <f>0.3*0.08*1.22+0.001</f>
        <v>3.0280000000000001E-2</v>
      </c>
      <c r="H9029" s="164"/>
      <c r="K9029" s="451"/>
    </row>
    <row r="9030" spans="1:11" ht="17.25" x14ac:dyDescent="0.25">
      <c r="A9030" s="163"/>
      <c r="B9030" s="106"/>
      <c r="C9030" s="73"/>
      <c r="D9030" s="77" t="s">
        <v>1055</v>
      </c>
      <c r="E9030" s="73"/>
      <c r="F9030" s="152" t="s">
        <v>596</v>
      </c>
      <c r="G9030" s="153">
        <f>G9029*1.1</f>
        <v>3.3308000000000004E-2</v>
      </c>
      <c r="H9030" s="164"/>
      <c r="K9030" s="451"/>
    </row>
    <row r="9031" spans="1:11" x14ac:dyDescent="0.25">
      <c r="A9031" s="163"/>
      <c r="B9031" s="106"/>
      <c r="C9031" s="73"/>
      <c r="D9031" s="75" t="s">
        <v>4178</v>
      </c>
      <c r="E9031" s="73"/>
      <c r="F9031" s="74"/>
      <c r="G9031" s="153"/>
      <c r="H9031" s="164"/>
      <c r="K9031" s="451"/>
    </row>
    <row r="9032" spans="1:11" x14ac:dyDescent="0.25">
      <c r="A9032" s="163"/>
      <c r="B9032" s="106"/>
      <c r="C9032" s="73"/>
      <c r="D9032" s="73" t="s">
        <v>4141</v>
      </c>
      <c r="E9032" s="73"/>
      <c r="F9032" s="74" t="s">
        <v>3</v>
      </c>
      <c r="G9032" s="153">
        <f>0.65*0.25*1.5*8*1.154</f>
        <v>2.2503000000000002</v>
      </c>
      <c r="H9032" s="164"/>
      <c r="K9032" s="451"/>
    </row>
    <row r="9033" spans="1:11" x14ac:dyDescent="0.25">
      <c r="A9033" s="163"/>
      <c r="B9033" s="106"/>
      <c r="C9033" s="73"/>
      <c r="D9033" s="77" t="s">
        <v>1054</v>
      </c>
      <c r="E9033" s="73"/>
      <c r="F9033" s="152" t="s">
        <v>3</v>
      </c>
      <c r="G9033" s="153">
        <f>0.15*0.08*1.22</f>
        <v>1.464E-2</v>
      </c>
      <c r="H9033" s="164"/>
      <c r="K9033" s="451"/>
    </row>
    <row r="9034" spans="1:11" ht="17.25" x14ac:dyDescent="0.25">
      <c r="A9034" s="163"/>
      <c r="B9034" s="106"/>
      <c r="C9034" s="73"/>
      <c r="D9034" s="77" t="s">
        <v>1055</v>
      </c>
      <c r="E9034" s="73"/>
      <c r="F9034" s="152" t="s">
        <v>596</v>
      </c>
      <c r="G9034" s="153">
        <f>G9033*1.1</f>
        <v>1.6104E-2</v>
      </c>
      <c r="H9034" s="164"/>
      <c r="K9034" s="451"/>
    </row>
    <row r="9035" spans="1:11" x14ac:dyDescent="0.25">
      <c r="A9035" s="163"/>
      <c r="B9035" s="106"/>
      <c r="C9035" s="73"/>
      <c r="D9035" s="75" t="s">
        <v>4179</v>
      </c>
      <c r="E9035" s="73"/>
      <c r="F9035" s="74"/>
      <c r="G9035" s="153"/>
      <c r="H9035" s="164"/>
      <c r="K9035" s="451"/>
    </row>
    <row r="9036" spans="1:11" x14ac:dyDescent="0.25">
      <c r="A9036" s="163"/>
      <c r="B9036" s="106"/>
      <c r="C9036" s="73"/>
      <c r="D9036" s="73" t="s">
        <v>4141</v>
      </c>
      <c r="E9036" s="73"/>
      <c r="F9036" s="74" t="s">
        <v>3</v>
      </c>
      <c r="G9036" s="153">
        <f>0.45*0.29*1.5*8*1.15-0.001</f>
        <v>1.7999000000000001</v>
      </c>
      <c r="H9036" s="164"/>
      <c r="K9036" s="451"/>
    </row>
    <row r="9037" spans="1:11" x14ac:dyDescent="0.25">
      <c r="A9037" s="163"/>
      <c r="B9037" s="106"/>
      <c r="C9037" s="73"/>
      <c r="D9037" s="77" t="s">
        <v>1054</v>
      </c>
      <c r="E9037" s="73"/>
      <c r="F9037" s="152" t="s">
        <v>3</v>
      </c>
      <c r="G9037" s="153">
        <f>0.1*0.08*1.22</f>
        <v>9.7599999999999996E-3</v>
      </c>
      <c r="H9037" s="164"/>
      <c r="K9037" s="451"/>
    </row>
    <row r="9038" spans="1:11" ht="17.25" x14ac:dyDescent="0.25">
      <c r="A9038" s="163"/>
      <c r="B9038" s="106"/>
      <c r="C9038" s="73"/>
      <c r="D9038" s="77" t="s">
        <v>1055</v>
      </c>
      <c r="E9038" s="73"/>
      <c r="F9038" s="152" t="s">
        <v>596</v>
      </c>
      <c r="G9038" s="153">
        <f>G9037*1.1</f>
        <v>1.0736000000000001E-2</v>
      </c>
      <c r="H9038" s="164"/>
      <c r="K9038" s="451"/>
    </row>
    <row r="9039" spans="1:11" x14ac:dyDescent="0.25">
      <c r="A9039" s="163"/>
      <c r="B9039" s="106"/>
      <c r="C9039" s="73"/>
      <c r="D9039" s="75" t="s">
        <v>4180</v>
      </c>
      <c r="E9039" s="73"/>
      <c r="F9039" s="74"/>
      <c r="G9039" s="153"/>
      <c r="H9039" s="164"/>
      <c r="K9039" s="451"/>
    </row>
    <row r="9040" spans="1:11" x14ac:dyDescent="0.25">
      <c r="A9040" s="163"/>
      <c r="B9040" s="106"/>
      <c r="C9040" s="73"/>
      <c r="D9040" s="73" t="s">
        <v>4141</v>
      </c>
      <c r="E9040" s="73"/>
      <c r="F9040" s="74" t="s">
        <v>3</v>
      </c>
      <c r="G9040" s="153">
        <f>1.15*0.425*1.5*8*1.1423</f>
        <v>6.6995895000000001</v>
      </c>
      <c r="H9040" s="164"/>
      <c r="K9040" s="451"/>
    </row>
    <row r="9041" spans="1:11" x14ac:dyDescent="0.25">
      <c r="A9041" s="163"/>
      <c r="B9041" s="106"/>
      <c r="C9041" s="73"/>
      <c r="D9041" s="75" t="s">
        <v>4181</v>
      </c>
      <c r="E9041" s="73"/>
      <c r="F9041" s="74"/>
      <c r="G9041" s="153"/>
      <c r="H9041" s="164"/>
      <c r="K9041" s="451"/>
    </row>
    <row r="9042" spans="1:11" x14ac:dyDescent="0.25">
      <c r="A9042" s="163"/>
      <c r="B9042" s="106"/>
      <c r="C9042" s="73"/>
      <c r="D9042" s="73" t="s">
        <v>4141</v>
      </c>
      <c r="E9042" s="73"/>
      <c r="F9042" s="74" t="s">
        <v>3</v>
      </c>
      <c r="G9042" s="153">
        <f>0.04*0.015*1.5*8*1.12</f>
        <v>8.064E-3</v>
      </c>
      <c r="H9042" s="164"/>
      <c r="I9042" s="453">
        <f>G9042+G9040+G9036+G9032+G9028+G9026+G9022+G9020+G9015+G9013+G9011+G9006+G9004+G9002</f>
        <v>29.6008201</v>
      </c>
      <c r="K9042" s="451"/>
    </row>
    <row r="9043" spans="1:11" x14ac:dyDescent="0.25">
      <c r="A9043" s="163"/>
      <c r="B9043" s="106"/>
      <c r="C9043" s="73"/>
      <c r="D9043" s="73"/>
      <c r="E9043" s="73"/>
      <c r="F9043" s="74"/>
      <c r="G9043" s="153"/>
      <c r="H9043" s="164"/>
      <c r="K9043" s="451"/>
    </row>
    <row r="9044" spans="1:11" x14ac:dyDescent="0.25">
      <c r="A9044" s="163"/>
      <c r="B9044" s="106"/>
      <c r="C9044" s="73"/>
      <c r="D9044" s="73"/>
      <c r="E9044" s="73"/>
      <c r="F9044" s="74"/>
      <c r="G9044" s="153"/>
      <c r="H9044" s="164"/>
      <c r="K9044" s="451"/>
    </row>
    <row r="9045" spans="1:11" x14ac:dyDescent="0.25">
      <c r="A9045" s="163"/>
      <c r="B9045" s="106"/>
      <c r="C9045" s="390" t="s">
        <v>4201</v>
      </c>
      <c r="D9045" s="73"/>
      <c r="E9045" s="73"/>
      <c r="F9045" s="74"/>
      <c r="G9045" s="153"/>
      <c r="H9045" s="164"/>
      <c r="K9045" s="451"/>
    </row>
    <row r="9046" spans="1:11" x14ac:dyDescent="0.25">
      <c r="A9046" s="163"/>
      <c r="B9046" s="106"/>
      <c r="C9046" s="73" t="s">
        <v>1902</v>
      </c>
      <c r="D9046" s="73"/>
      <c r="E9046" s="73"/>
      <c r="F9046" s="74" t="s">
        <v>3</v>
      </c>
      <c r="G9046" s="153">
        <f>0.005</f>
        <v>5.0000000000000001E-3</v>
      </c>
      <c r="H9046" s="164"/>
      <c r="K9046" s="451"/>
    </row>
    <row r="9047" spans="1:11" x14ac:dyDescent="0.25">
      <c r="A9047" s="163"/>
      <c r="B9047" s="106"/>
      <c r="C9047" s="73" t="s">
        <v>1021</v>
      </c>
      <c r="D9047" s="73"/>
      <c r="E9047" s="73"/>
      <c r="F9047" s="74" t="s">
        <v>3</v>
      </c>
      <c r="G9047" s="153">
        <f>G9050</f>
        <v>0.63045105020000003</v>
      </c>
      <c r="H9047" s="164"/>
      <c r="K9047" s="451"/>
    </row>
    <row r="9048" spans="1:11" x14ac:dyDescent="0.25">
      <c r="A9048" s="163"/>
      <c r="B9048" s="106"/>
      <c r="C9048" s="73" t="s">
        <v>661</v>
      </c>
      <c r="D9048" s="73"/>
      <c r="E9048" s="73"/>
      <c r="F9048" s="74" t="s">
        <v>3</v>
      </c>
      <c r="G9048" s="153">
        <f>G9047*0.4*0.85+0.001</f>
        <v>0.21535335706800002</v>
      </c>
      <c r="H9048" s="164"/>
      <c r="K9048" s="451"/>
    </row>
    <row r="9049" spans="1:11" x14ac:dyDescent="0.25">
      <c r="A9049" s="163"/>
      <c r="B9049" s="106"/>
      <c r="C9049" s="73" t="s">
        <v>1993</v>
      </c>
      <c r="D9049" s="73"/>
      <c r="E9049" s="73"/>
      <c r="F9049" s="74" t="s">
        <v>3</v>
      </c>
      <c r="G9049" s="153">
        <f>0.177*G9048</f>
        <v>3.8117544201036004E-2</v>
      </c>
      <c r="H9049" s="164"/>
      <c r="K9049" s="451"/>
    </row>
    <row r="9050" spans="1:11" x14ac:dyDescent="0.25">
      <c r="A9050" s="163"/>
      <c r="B9050" s="106"/>
      <c r="C9050" s="73" t="s">
        <v>8</v>
      </c>
      <c r="D9050" s="73"/>
      <c r="E9050" s="73"/>
      <c r="F9050" s="74" t="s">
        <v>3</v>
      </c>
      <c r="G9050" s="153">
        <f>G9052*0.877-0.001</f>
        <v>0.63045105020000003</v>
      </c>
      <c r="H9050" s="164"/>
      <c r="K9050" s="451"/>
    </row>
    <row r="9051" spans="1:11" x14ac:dyDescent="0.25">
      <c r="A9051" s="163"/>
      <c r="B9051" s="106"/>
      <c r="C9051" s="73" t="s">
        <v>12</v>
      </c>
      <c r="D9051" s="73"/>
      <c r="E9051" s="73"/>
      <c r="F9051" s="74" t="s">
        <v>3</v>
      </c>
      <c r="G9051" s="153">
        <f>0.3*G9050+0.001</f>
        <v>0.19013531506</v>
      </c>
      <c r="H9051" s="164"/>
      <c r="K9051" s="451"/>
    </row>
    <row r="9052" spans="1:11" x14ac:dyDescent="0.25">
      <c r="A9052" s="163"/>
      <c r="B9052" s="106"/>
      <c r="C9052" s="73" t="s">
        <v>72</v>
      </c>
      <c r="D9052" s="73"/>
      <c r="E9052" s="73"/>
      <c r="F9052" s="74" t="s">
        <v>3</v>
      </c>
      <c r="G9052" s="153">
        <f>(1.24*0.5*2+0.265*(1.24*2+0.5*2))*0.15*2*1.11</f>
        <v>0.7200126</v>
      </c>
      <c r="H9052" s="164"/>
      <c r="K9052" s="451"/>
    </row>
    <row r="9053" spans="1:11" x14ac:dyDescent="0.25">
      <c r="A9053" s="163"/>
      <c r="B9053" s="106"/>
      <c r="C9053" s="73" t="s">
        <v>11</v>
      </c>
      <c r="D9053" s="73"/>
      <c r="E9053" s="73"/>
      <c r="F9053" s="74" t="s">
        <v>3</v>
      </c>
      <c r="G9053" s="153">
        <f>0.3*G9052</f>
        <v>0.21600378000000001</v>
      </c>
      <c r="H9053" s="164"/>
      <c r="K9053" s="451"/>
    </row>
    <row r="9054" spans="1:11" x14ac:dyDescent="0.25">
      <c r="A9054" s="163"/>
      <c r="B9054" s="106"/>
      <c r="C9054" s="73" t="s">
        <v>147</v>
      </c>
      <c r="D9054" s="73"/>
      <c r="E9054" s="73"/>
      <c r="F9054" s="74" t="s">
        <v>3</v>
      </c>
      <c r="G9054" s="153">
        <v>0.12</v>
      </c>
      <c r="H9054" s="164"/>
      <c r="K9054" s="451"/>
    </row>
    <row r="9055" spans="1:11" x14ac:dyDescent="0.25">
      <c r="A9055" s="163"/>
      <c r="B9055" s="106"/>
      <c r="C9055" s="73" t="s">
        <v>3085</v>
      </c>
      <c r="D9055" s="73"/>
      <c r="E9055" s="73"/>
      <c r="F9055" s="74" t="s">
        <v>3</v>
      </c>
      <c r="G9055" s="153">
        <v>0.85</v>
      </c>
      <c r="H9055" s="164"/>
      <c r="K9055" s="451"/>
    </row>
    <row r="9056" spans="1:11" x14ac:dyDescent="0.25">
      <c r="A9056" s="163"/>
      <c r="B9056" s="106"/>
      <c r="C9056" s="77" t="s">
        <v>1054</v>
      </c>
      <c r="D9056" s="73"/>
      <c r="E9056" s="73"/>
      <c r="F9056" s="152" t="s">
        <v>3</v>
      </c>
      <c r="G9056" s="153">
        <f>(0.55*2+0.235*2+0.195*2+0.4*2+0.1*3.14+0.07*4+0.025*3.14+0.1+0.84*2+1.3*2+0.6+2)*0.08*1.08</f>
        <v>0.89964</v>
      </c>
      <c r="H9056" s="164"/>
      <c r="K9056" s="451"/>
    </row>
    <row r="9057" spans="1:11" ht="17.25" x14ac:dyDescent="0.25">
      <c r="A9057" s="163"/>
      <c r="B9057" s="106"/>
      <c r="C9057" s="77" t="s">
        <v>1055</v>
      </c>
      <c r="D9057" s="73"/>
      <c r="E9057" s="73"/>
      <c r="F9057" s="152" t="s">
        <v>596</v>
      </c>
      <c r="G9057" s="153">
        <f>G9056*1.1</f>
        <v>0.98960400000000004</v>
      </c>
      <c r="H9057" s="164"/>
      <c r="K9057" s="451"/>
    </row>
    <row r="9058" spans="1:11" x14ac:dyDescent="0.25">
      <c r="A9058" s="163"/>
      <c r="B9058" s="106"/>
      <c r="C9058" s="73"/>
      <c r="D9058" s="75" t="s">
        <v>4184</v>
      </c>
      <c r="E9058" s="73"/>
      <c r="F9058" s="74"/>
      <c r="G9058" s="153"/>
      <c r="H9058" s="164"/>
      <c r="K9058" s="451"/>
    </row>
    <row r="9059" spans="1:11" x14ac:dyDescent="0.25">
      <c r="A9059" s="163"/>
      <c r="B9059" s="106"/>
      <c r="C9059" s="73"/>
      <c r="D9059" s="77" t="s">
        <v>1054</v>
      </c>
      <c r="E9059" s="73"/>
      <c r="F9059" s="152" t="s">
        <v>3</v>
      </c>
      <c r="G9059" s="153">
        <f>0.53*0.08*1.18</f>
        <v>5.0032E-2</v>
      </c>
      <c r="H9059" s="164"/>
      <c r="K9059" s="451"/>
    </row>
    <row r="9060" spans="1:11" ht="17.25" x14ac:dyDescent="0.25">
      <c r="A9060" s="163"/>
      <c r="B9060" s="106"/>
      <c r="C9060" s="73"/>
      <c r="D9060" s="77" t="s">
        <v>1055</v>
      </c>
      <c r="E9060" s="73"/>
      <c r="F9060" s="152" t="s">
        <v>596</v>
      </c>
      <c r="G9060" s="153">
        <f>G9059*1.1+0.001</f>
        <v>5.6035200000000007E-2</v>
      </c>
      <c r="H9060" s="164"/>
      <c r="K9060" s="451"/>
    </row>
    <row r="9061" spans="1:11" x14ac:dyDescent="0.25">
      <c r="A9061" s="163"/>
      <c r="B9061" s="106"/>
      <c r="C9061" s="73"/>
      <c r="D9061" s="77"/>
      <c r="E9061" s="75" t="s">
        <v>4185</v>
      </c>
      <c r="F9061" s="74"/>
      <c r="G9061" s="153"/>
      <c r="H9061" s="164"/>
      <c r="K9061" s="451"/>
    </row>
    <row r="9062" spans="1:11" x14ac:dyDescent="0.25">
      <c r="A9062" s="163"/>
      <c r="B9062" s="106"/>
      <c r="C9062" s="73"/>
      <c r="D9062" s="77"/>
      <c r="E9062" s="73" t="s">
        <v>4141</v>
      </c>
      <c r="F9062" s="74" t="s">
        <v>3</v>
      </c>
      <c r="G9062" s="153">
        <f>0.4*0.26*1.5*8*1.122</f>
        <v>1.4002560000000004</v>
      </c>
      <c r="H9062" s="164"/>
      <c r="K9062" s="451"/>
    </row>
    <row r="9063" spans="1:11" x14ac:dyDescent="0.25">
      <c r="A9063" s="163"/>
      <c r="B9063" s="106"/>
      <c r="C9063" s="73"/>
      <c r="D9063" s="77"/>
      <c r="E9063" s="75" t="s">
        <v>4186</v>
      </c>
      <c r="F9063" s="74"/>
      <c r="G9063" s="153"/>
      <c r="H9063" s="164"/>
      <c r="K9063" s="451"/>
    </row>
    <row r="9064" spans="1:11" x14ac:dyDescent="0.25">
      <c r="A9064" s="163"/>
      <c r="B9064" s="106"/>
      <c r="C9064" s="73"/>
      <c r="D9064" s="77"/>
      <c r="E9064" s="73" t="s">
        <v>4141</v>
      </c>
      <c r="F9064" s="74" t="s">
        <v>3</v>
      </c>
      <c r="G9064" s="153">
        <f>0.22*0.019*1.5*8*1.1</f>
        <v>5.5176000000000003E-2</v>
      </c>
      <c r="H9064" s="164"/>
      <c r="K9064" s="451"/>
    </row>
    <row r="9065" spans="1:11" x14ac:dyDescent="0.25">
      <c r="A9065" s="163"/>
      <c r="B9065" s="106"/>
      <c r="C9065" s="73"/>
      <c r="D9065" s="75" t="s">
        <v>4183</v>
      </c>
      <c r="E9065" s="73"/>
      <c r="F9065" s="74"/>
      <c r="G9065" s="153"/>
      <c r="H9065" s="164"/>
      <c r="K9065" s="451"/>
    </row>
    <row r="9066" spans="1:11" x14ac:dyDescent="0.25">
      <c r="A9066" s="163"/>
      <c r="B9066" s="106"/>
      <c r="C9066" s="73"/>
      <c r="D9066" s="77" t="s">
        <v>1054</v>
      </c>
      <c r="E9066" s="73"/>
      <c r="F9066" s="152" t="s">
        <v>3</v>
      </c>
      <c r="G9066" s="153">
        <f>0.52*0.08*1.1-0.001</f>
        <v>4.4760000000000008E-2</v>
      </c>
      <c r="H9066" s="164"/>
      <c r="K9066" s="451"/>
    </row>
    <row r="9067" spans="1:11" ht="17.25" x14ac:dyDescent="0.25">
      <c r="A9067" s="163"/>
      <c r="B9067" s="106"/>
      <c r="C9067" s="73"/>
      <c r="D9067" s="77" t="s">
        <v>1055</v>
      </c>
      <c r="E9067" s="73"/>
      <c r="F9067" s="152" t="s">
        <v>596</v>
      </c>
      <c r="G9067" s="153">
        <f>G9066*1.1+0.001</f>
        <v>5.0236000000000017E-2</v>
      </c>
      <c r="H9067" s="164"/>
      <c r="K9067" s="451"/>
    </row>
    <row r="9068" spans="1:11" x14ac:dyDescent="0.25">
      <c r="A9068" s="163"/>
      <c r="B9068" s="106"/>
      <c r="C9068" s="73"/>
      <c r="D9068" s="73"/>
      <c r="E9068" s="75" t="s">
        <v>4187</v>
      </c>
      <c r="F9068" s="74"/>
      <c r="G9068" s="153"/>
      <c r="H9068" s="164"/>
      <c r="K9068" s="451"/>
    </row>
    <row r="9069" spans="1:11" x14ac:dyDescent="0.25">
      <c r="A9069" s="163"/>
      <c r="B9069" s="106"/>
      <c r="C9069" s="73"/>
      <c r="D9069" s="73"/>
      <c r="E9069" s="73" t="s">
        <v>4141</v>
      </c>
      <c r="F9069" s="74" t="s">
        <v>3</v>
      </c>
      <c r="G9069" s="153">
        <f>0.41*0.255*1.5*8*1.132</f>
        <v>1.4202071999999999</v>
      </c>
      <c r="H9069" s="164"/>
      <c r="K9069" s="451"/>
    </row>
    <row r="9070" spans="1:11" x14ac:dyDescent="0.25">
      <c r="A9070" s="163"/>
      <c r="B9070" s="106"/>
      <c r="C9070" s="73"/>
      <c r="D9070" s="73"/>
      <c r="E9070" s="75" t="s">
        <v>4188</v>
      </c>
      <c r="F9070" s="74"/>
      <c r="G9070" s="153"/>
      <c r="H9070" s="164"/>
      <c r="K9070" s="451"/>
    </row>
    <row r="9071" spans="1:11" x14ac:dyDescent="0.25">
      <c r="A9071" s="163"/>
      <c r="B9071" s="106"/>
      <c r="C9071" s="73"/>
      <c r="D9071" s="73"/>
      <c r="E9071" s="73" t="s">
        <v>4141</v>
      </c>
      <c r="F9071" s="74" t="s">
        <v>3</v>
      </c>
      <c r="G9071" s="153">
        <f>0.22*0.019*1.5*8*1.1</f>
        <v>5.5176000000000003E-2</v>
      </c>
      <c r="H9071" s="164"/>
      <c r="K9071" s="451"/>
    </row>
    <row r="9072" spans="1:11" x14ac:dyDescent="0.25">
      <c r="A9072" s="163"/>
      <c r="B9072" s="106"/>
      <c r="C9072" s="73"/>
      <c r="D9072" s="73"/>
      <c r="E9072" s="75" t="s">
        <v>4189</v>
      </c>
      <c r="F9072" s="74"/>
      <c r="G9072" s="153"/>
      <c r="H9072" s="164"/>
      <c r="K9072" s="451"/>
    </row>
    <row r="9073" spans="1:11" x14ac:dyDescent="0.25">
      <c r="A9073" s="163"/>
      <c r="B9073" s="106"/>
      <c r="C9073" s="73"/>
      <c r="D9073" s="73"/>
      <c r="E9073" s="73" t="s">
        <v>4141</v>
      </c>
      <c r="F9073" s="74" t="s">
        <v>3</v>
      </c>
      <c r="G9073" s="153">
        <f>0.205*0.019*1.5*8*1.12</f>
        <v>5.2348800000000001E-2</v>
      </c>
      <c r="H9073" s="164"/>
      <c r="K9073" s="451"/>
    </row>
    <row r="9074" spans="1:11" x14ac:dyDescent="0.25">
      <c r="A9074" s="163"/>
      <c r="B9074" s="106"/>
      <c r="C9074" s="73"/>
      <c r="D9074" s="75" t="s">
        <v>4182</v>
      </c>
      <c r="E9074" s="73"/>
      <c r="F9074" s="74"/>
      <c r="G9074" s="153"/>
      <c r="H9074" s="164"/>
      <c r="K9074" s="451"/>
    </row>
    <row r="9075" spans="1:11" x14ac:dyDescent="0.25">
      <c r="A9075" s="163"/>
      <c r="B9075" s="106"/>
      <c r="C9075" s="73"/>
      <c r="D9075" s="77" t="s">
        <v>1054</v>
      </c>
      <c r="E9075" s="73"/>
      <c r="F9075" s="152" t="s">
        <v>3</v>
      </c>
      <c r="G9075" s="153">
        <f>0.5*0.08*1.13</f>
        <v>4.5199999999999997E-2</v>
      </c>
      <c r="H9075" s="164"/>
      <c r="K9075" s="451"/>
    </row>
    <row r="9076" spans="1:11" ht="17.25" x14ac:dyDescent="0.25">
      <c r="A9076" s="163"/>
      <c r="B9076" s="106"/>
      <c r="C9076" s="73"/>
      <c r="D9076" s="77" t="s">
        <v>1055</v>
      </c>
      <c r="E9076" s="73"/>
      <c r="F9076" s="152" t="s">
        <v>596</v>
      </c>
      <c r="G9076" s="153">
        <f>G9075*1.1</f>
        <v>4.972E-2</v>
      </c>
      <c r="H9076" s="164"/>
      <c r="K9076" s="451"/>
    </row>
    <row r="9077" spans="1:11" x14ac:dyDescent="0.25">
      <c r="A9077" s="163"/>
      <c r="B9077" s="106"/>
      <c r="C9077" s="73"/>
      <c r="D9077" s="73"/>
      <c r="E9077" s="75" t="s">
        <v>4190</v>
      </c>
      <c r="F9077" s="74"/>
      <c r="G9077" s="153"/>
      <c r="H9077" s="164"/>
      <c r="K9077" s="451"/>
    </row>
    <row r="9078" spans="1:11" x14ac:dyDescent="0.25">
      <c r="A9078" s="163"/>
      <c r="B9078" s="106"/>
      <c r="C9078" s="73"/>
      <c r="D9078" s="77"/>
      <c r="E9078" s="73" t="s">
        <v>4141</v>
      </c>
      <c r="F9078" s="74" t="s">
        <v>3</v>
      </c>
      <c r="G9078" s="153">
        <f>0.295*0.24*1.5*8*1.12-0.002</f>
        <v>0.94955199999999995</v>
      </c>
      <c r="H9078" s="164"/>
      <c r="K9078" s="451"/>
    </row>
    <row r="9079" spans="1:11" x14ac:dyDescent="0.25">
      <c r="A9079" s="163"/>
      <c r="B9079" s="106"/>
      <c r="C9079" s="73"/>
      <c r="D9079" s="77"/>
      <c r="E9079" s="75" t="s">
        <v>4191</v>
      </c>
      <c r="F9079" s="74"/>
      <c r="G9079" s="153"/>
      <c r="H9079" s="164"/>
      <c r="K9079" s="451"/>
    </row>
    <row r="9080" spans="1:11" x14ac:dyDescent="0.25">
      <c r="A9080" s="163"/>
      <c r="B9080" s="106"/>
      <c r="C9080" s="73"/>
      <c r="D9080" s="73"/>
      <c r="E9080" s="73" t="s">
        <v>4141</v>
      </c>
      <c r="F9080" s="74" t="s">
        <v>3</v>
      </c>
      <c r="G9080" s="153">
        <f>0.215*0.019*1.5*8*1.12</f>
        <v>5.4902400000000004E-2</v>
      </c>
      <c r="H9080" s="164"/>
      <c r="K9080" s="451"/>
    </row>
    <row r="9081" spans="1:11" x14ac:dyDescent="0.25">
      <c r="A9081" s="163"/>
      <c r="B9081" s="106"/>
      <c r="C9081" s="73"/>
      <c r="D9081" s="73"/>
      <c r="E9081" s="75" t="s">
        <v>4192</v>
      </c>
      <c r="F9081" s="74"/>
      <c r="G9081" s="153"/>
      <c r="H9081" s="164"/>
      <c r="K9081" s="451"/>
    </row>
    <row r="9082" spans="1:11" x14ac:dyDescent="0.25">
      <c r="A9082" s="163"/>
      <c r="B9082" s="106"/>
      <c r="C9082" s="73"/>
      <c r="D9082" s="73"/>
      <c r="E9082" s="73" t="s">
        <v>4141</v>
      </c>
      <c r="F9082" s="74" t="s">
        <v>3</v>
      </c>
      <c r="G9082" s="153">
        <f>0.2*0.019*1.5*8*1.1</f>
        <v>5.0160000000000003E-2</v>
      </c>
      <c r="H9082" s="164"/>
      <c r="K9082" s="451"/>
    </row>
    <row r="9083" spans="1:11" x14ac:dyDescent="0.25">
      <c r="A9083" s="163"/>
      <c r="B9083" s="106"/>
      <c r="C9083" s="73"/>
      <c r="D9083" s="73" t="s">
        <v>4193</v>
      </c>
      <c r="E9083" s="73"/>
      <c r="F9083" s="74"/>
      <c r="G9083" s="153"/>
      <c r="H9083" s="164"/>
      <c r="K9083" s="451"/>
    </row>
    <row r="9084" spans="1:11" x14ac:dyDescent="0.25">
      <c r="A9084" s="163"/>
      <c r="B9084" s="106"/>
      <c r="C9084" s="73"/>
      <c r="D9084" s="73" t="s">
        <v>4150</v>
      </c>
      <c r="E9084" s="73"/>
      <c r="F9084" s="74" t="s">
        <v>3</v>
      </c>
      <c r="G9084" s="153">
        <f>(0.869)*1.45</f>
        <v>1.2600499999999999</v>
      </c>
      <c r="H9084" s="164"/>
      <c r="I9084" t="s">
        <v>4194</v>
      </c>
      <c r="K9084" s="451"/>
    </row>
    <row r="9085" spans="1:11" x14ac:dyDescent="0.25">
      <c r="A9085" s="163"/>
      <c r="B9085" s="106"/>
      <c r="C9085" s="73"/>
      <c r="D9085" s="75" t="s">
        <v>4195</v>
      </c>
      <c r="E9085" s="73"/>
      <c r="F9085" s="74"/>
      <c r="G9085" s="153"/>
      <c r="H9085" s="164"/>
      <c r="K9085" s="451"/>
    </row>
    <row r="9086" spans="1:11" x14ac:dyDescent="0.25">
      <c r="A9086" s="163"/>
      <c r="B9086" s="106"/>
      <c r="C9086" s="73"/>
      <c r="D9086" s="73" t="s">
        <v>4141</v>
      </c>
      <c r="E9086" s="73"/>
      <c r="F9086" s="74" t="s">
        <v>3</v>
      </c>
      <c r="G9086" s="153">
        <f>0.7*1.165*1.5*8*1.1241</f>
        <v>11.000442600000001</v>
      </c>
      <c r="H9086" s="164"/>
      <c r="K9086" s="451"/>
    </row>
    <row r="9087" spans="1:11" x14ac:dyDescent="0.25">
      <c r="A9087" s="163"/>
      <c r="B9087" s="106"/>
      <c r="C9087" s="73"/>
      <c r="D9087" s="75" t="s">
        <v>4196</v>
      </c>
      <c r="E9087" s="73"/>
      <c r="F9087" s="74"/>
      <c r="G9087" s="153"/>
      <c r="H9087" s="164"/>
      <c r="K9087" s="451"/>
    </row>
    <row r="9088" spans="1:11" x14ac:dyDescent="0.25">
      <c r="A9088" s="163"/>
      <c r="B9088" s="106"/>
      <c r="C9088" s="73"/>
      <c r="D9088" s="73" t="s">
        <v>4141</v>
      </c>
      <c r="E9088" s="73"/>
      <c r="F9088" s="74" t="s">
        <v>3</v>
      </c>
      <c r="G9088" s="153">
        <f>0.455*1.165*1.5*8*1.1241</f>
        <v>7.1502876900000016</v>
      </c>
      <c r="H9088" s="164"/>
      <c r="K9088" s="451"/>
    </row>
    <row r="9089" spans="1:11" x14ac:dyDescent="0.25">
      <c r="A9089" s="163"/>
      <c r="B9089" s="106"/>
      <c r="C9089" s="73"/>
      <c r="D9089" s="75" t="s">
        <v>4197</v>
      </c>
      <c r="E9089" s="73"/>
      <c r="F9089" s="74"/>
      <c r="G9089" s="153"/>
      <c r="H9089" s="164"/>
      <c r="K9089" s="451"/>
    </row>
    <row r="9090" spans="1:11" x14ac:dyDescent="0.25">
      <c r="A9090" s="163"/>
      <c r="B9090" s="106"/>
      <c r="C9090" s="73"/>
      <c r="D9090" s="73" t="s">
        <v>4141</v>
      </c>
      <c r="E9090" s="73"/>
      <c r="F9090" s="74" t="s">
        <v>3</v>
      </c>
      <c r="G9090" s="153">
        <f>0.325*1.25*1.5*8*1.1283</f>
        <v>5.5004625000000003</v>
      </c>
      <c r="H9090" s="164"/>
      <c r="K9090" s="451"/>
    </row>
    <row r="9091" spans="1:11" x14ac:dyDescent="0.25">
      <c r="A9091" s="163"/>
      <c r="B9091" s="106"/>
      <c r="C9091" s="73"/>
      <c r="D9091" s="77" t="s">
        <v>1054</v>
      </c>
      <c r="E9091" s="73"/>
      <c r="F9091" s="152" t="s">
        <v>3</v>
      </c>
      <c r="G9091" s="153">
        <f>0.5*0.08*1.12</f>
        <v>4.4800000000000006E-2</v>
      </c>
      <c r="H9091" s="164"/>
      <c r="K9091" s="451"/>
    </row>
    <row r="9092" spans="1:11" ht="17.25" x14ac:dyDescent="0.25">
      <c r="A9092" s="163"/>
      <c r="B9092" s="106"/>
      <c r="C9092" s="73"/>
      <c r="D9092" s="77" t="s">
        <v>1055</v>
      </c>
      <c r="E9092" s="73"/>
      <c r="F9092" s="152" t="s">
        <v>596</v>
      </c>
      <c r="G9092" s="153">
        <f>G9091*1.1+0.001</f>
        <v>5.0280000000000012E-2</v>
      </c>
      <c r="H9092" s="164"/>
      <c r="K9092" s="451"/>
    </row>
    <row r="9093" spans="1:11" x14ac:dyDescent="0.25">
      <c r="A9093" s="163"/>
      <c r="B9093" s="106"/>
      <c r="C9093" s="73"/>
      <c r="D9093" s="75" t="s">
        <v>4198</v>
      </c>
      <c r="E9093" s="73"/>
      <c r="F9093" s="74"/>
      <c r="G9093" s="153"/>
      <c r="H9093" s="164"/>
      <c r="K9093" s="451"/>
    </row>
    <row r="9094" spans="1:11" x14ac:dyDescent="0.25">
      <c r="A9094" s="163"/>
      <c r="B9094" s="106"/>
      <c r="C9094" s="73"/>
      <c r="D9094" s="73" t="s">
        <v>4141</v>
      </c>
      <c r="E9094" s="73"/>
      <c r="F9094" s="74" t="s">
        <v>3</v>
      </c>
      <c r="G9094" s="153">
        <f>0.48*0.29*1.5*8*1.1375</f>
        <v>1.9000799999999998</v>
      </c>
      <c r="H9094" s="164"/>
      <c r="K9094" s="451"/>
    </row>
    <row r="9095" spans="1:11" x14ac:dyDescent="0.25">
      <c r="A9095" s="163"/>
      <c r="B9095" s="106"/>
      <c r="C9095" s="73"/>
      <c r="D9095" s="77" t="s">
        <v>1054</v>
      </c>
      <c r="E9095" s="73"/>
      <c r="F9095" s="152" t="s">
        <v>3</v>
      </c>
      <c r="G9095" s="153">
        <f>0.17*0.08*1.12</f>
        <v>1.5232000000000002E-2</v>
      </c>
      <c r="H9095" s="164"/>
      <c r="K9095" s="451"/>
    </row>
    <row r="9096" spans="1:11" ht="17.25" x14ac:dyDescent="0.25">
      <c r="A9096" s="163"/>
      <c r="B9096" s="106"/>
      <c r="C9096" s="73"/>
      <c r="D9096" s="77" t="s">
        <v>1055</v>
      </c>
      <c r="E9096" s="73"/>
      <c r="F9096" s="152" t="s">
        <v>596</v>
      </c>
      <c r="G9096" s="153">
        <f>G9095*1.1+0.001</f>
        <v>1.7755200000000006E-2</v>
      </c>
      <c r="H9096" s="164"/>
      <c r="K9096" s="451"/>
    </row>
    <row r="9097" spans="1:11" x14ac:dyDescent="0.25">
      <c r="A9097" s="163"/>
      <c r="B9097" s="106"/>
      <c r="C9097" s="73"/>
      <c r="D9097" s="75" t="s">
        <v>4199</v>
      </c>
      <c r="E9097" s="73"/>
      <c r="F9097" s="74"/>
      <c r="G9097" s="153"/>
      <c r="H9097" s="164"/>
      <c r="K9097" s="451"/>
    </row>
    <row r="9098" spans="1:11" x14ac:dyDescent="0.25">
      <c r="A9098" s="163"/>
      <c r="B9098" s="106"/>
      <c r="C9098" s="73"/>
      <c r="D9098" s="73" t="s">
        <v>4141</v>
      </c>
      <c r="E9098" s="73"/>
      <c r="F9098" s="74" t="s">
        <v>3</v>
      </c>
      <c r="G9098" s="153">
        <f>0.33*0.64*1.5*8*1.1442</f>
        <v>2.8998604800000005</v>
      </c>
      <c r="H9098" s="164"/>
      <c r="K9098" s="449"/>
    </row>
    <row r="9099" spans="1:11" x14ac:dyDescent="0.25">
      <c r="A9099" s="163"/>
      <c r="B9099" s="106"/>
      <c r="C9099" s="73"/>
      <c r="D9099" s="77" t="s">
        <v>1054</v>
      </c>
      <c r="E9099" s="73"/>
      <c r="F9099" s="152" t="s">
        <v>3</v>
      </c>
      <c r="G9099" s="153">
        <f>0.17*0.08*1.12</f>
        <v>1.5232000000000002E-2</v>
      </c>
      <c r="H9099" s="164"/>
    </row>
    <row r="9100" spans="1:11" ht="18" thickBot="1" x14ac:dyDescent="0.3">
      <c r="A9100" s="67"/>
      <c r="B9100" s="86"/>
      <c r="C9100" s="68"/>
      <c r="D9100" s="170" t="s">
        <v>1055</v>
      </c>
      <c r="E9100" s="68"/>
      <c r="F9100" s="171" t="s">
        <v>596</v>
      </c>
      <c r="G9100" s="89">
        <f>G9099*1.1+0.001</f>
        <v>1.7755200000000006E-2</v>
      </c>
      <c r="H9100" s="455">
        <f>G9098+G9094+G9090+G9088+G9086+G9082+G9080+G9078+G9073+G9071+G9069+G9064+G9062</f>
        <v>32.488911670000007</v>
      </c>
    </row>
    <row r="9101" spans="1:11" x14ac:dyDescent="0.25">
      <c r="A9101" s="159"/>
      <c r="B9101" s="181"/>
      <c r="C9101" s="93"/>
      <c r="D9101" s="93"/>
      <c r="E9101" s="93"/>
      <c r="F9101" s="160"/>
      <c r="G9101" s="161"/>
      <c r="H9101" s="162"/>
    </row>
    <row r="9102" spans="1:11" x14ac:dyDescent="0.25">
      <c r="A9102" s="163"/>
      <c r="B9102" s="106"/>
      <c r="C9102" s="73"/>
      <c r="D9102" s="73"/>
      <c r="E9102" s="73"/>
      <c r="F9102" s="74"/>
      <c r="G9102" s="153"/>
      <c r="H9102" s="164"/>
    </row>
    <row r="9103" spans="1:11" x14ac:dyDescent="0.25">
      <c r="A9103" s="163"/>
      <c r="B9103" s="106"/>
      <c r="C9103" s="390" t="s">
        <v>4200</v>
      </c>
      <c r="D9103" s="73"/>
      <c r="E9103" s="73"/>
      <c r="F9103" s="74"/>
      <c r="G9103" s="153"/>
      <c r="H9103" s="164"/>
    </row>
    <row r="9104" spans="1:11" x14ac:dyDescent="0.25">
      <c r="A9104" s="163"/>
      <c r="B9104" s="106"/>
      <c r="C9104" s="73" t="s">
        <v>1902</v>
      </c>
      <c r="D9104" s="73"/>
      <c r="E9104" s="73"/>
      <c r="F9104" s="74" t="s">
        <v>3</v>
      </c>
      <c r="G9104" s="153">
        <f>0.005</f>
        <v>5.0000000000000001E-3</v>
      </c>
      <c r="H9104" s="164"/>
    </row>
    <row r="9105" spans="1:8" x14ac:dyDescent="0.25">
      <c r="A9105" s="163"/>
      <c r="B9105" s="106"/>
      <c r="C9105" s="73" t="s">
        <v>1021</v>
      </c>
      <c r="D9105" s="73"/>
      <c r="E9105" s="73"/>
      <c r="F9105" s="74" t="s">
        <v>3</v>
      </c>
      <c r="G9105" s="153">
        <f>G9108</f>
        <v>0.55952952202000006</v>
      </c>
      <c r="H9105" s="164"/>
    </row>
    <row r="9106" spans="1:8" x14ac:dyDescent="0.25">
      <c r="A9106" s="163"/>
      <c r="B9106" s="106"/>
      <c r="C9106" s="73" t="s">
        <v>661</v>
      </c>
      <c r="D9106" s="73"/>
      <c r="E9106" s="73"/>
      <c r="F9106" s="74" t="s">
        <v>3</v>
      </c>
      <c r="G9106" s="153">
        <f>G9105*0.4*0.85</f>
        <v>0.19024003748680002</v>
      </c>
      <c r="H9106" s="164"/>
    </row>
    <row r="9107" spans="1:8" x14ac:dyDescent="0.25">
      <c r="A9107" s="163"/>
      <c r="B9107" s="106"/>
      <c r="C9107" s="73" t="s">
        <v>1993</v>
      </c>
      <c r="D9107" s="73"/>
      <c r="E9107" s="73"/>
      <c r="F9107" s="74" t="s">
        <v>3</v>
      </c>
      <c r="G9107" s="153">
        <f>0.177*G9106+0.001</f>
        <v>3.4672486635163605E-2</v>
      </c>
      <c r="H9107" s="164"/>
    </row>
    <row r="9108" spans="1:8" x14ac:dyDescent="0.25">
      <c r="A9108" s="163"/>
      <c r="B9108" s="106"/>
      <c r="C9108" s="73" t="s">
        <v>8</v>
      </c>
      <c r="D9108" s="73"/>
      <c r="E9108" s="73"/>
      <c r="F9108" s="74" t="s">
        <v>3</v>
      </c>
      <c r="G9108" s="153">
        <f>G9110*0.877+0.007</f>
        <v>0.55952952202000006</v>
      </c>
      <c r="H9108" s="164"/>
    </row>
    <row r="9109" spans="1:8" x14ac:dyDescent="0.25">
      <c r="A9109" s="163"/>
      <c r="B9109" s="106"/>
      <c r="C9109" s="73" t="s">
        <v>12</v>
      </c>
      <c r="D9109" s="73"/>
      <c r="E9109" s="73"/>
      <c r="F9109" s="74" t="s">
        <v>3</v>
      </c>
      <c r="G9109" s="153">
        <f>0.3*G9108+0.002</f>
        <v>0.169858856606</v>
      </c>
      <c r="H9109" s="164"/>
    </row>
    <row r="9110" spans="1:8" x14ac:dyDescent="0.25">
      <c r="A9110" s="163"/>
      <c r="B9110" s="106"/>
      <c r="C9110" s="73" t="s">
        <v>72</v>
      </c>
      <c r="D9110" s="73"/>
      <c r="E9110" s="73"/>
      <c r="F9110" s="74" t="s">
        <v>3</v>
      </c>
      <c r="G9110" s="153">
        <f>(0.98*0.56*2+0.235*(0.98*2+0.56*2))*0.15*2*1.153</f>
        <v>0.63002226000000006</v>
      </c>
      <c r="H9110" s="164"/>
    </row>
    <row r="9111" spans="1:8" x14ac:dyDescent="0.25">
      <c r="A9111" s="163"/>
      <c r="B9111" s="106"/>
      <c r="C9111" s="73" t="s">
        <v>11</v>
      </c>
      <c r="D9111" s="73"/>
      <c r="E9111" s="73"/>
      <c r="F9111" s="74" t="s">
        <v>3</v>
      </c>
      <c r="G9111" s="153">
        <f>0.3*G9110+0.001</f>
        <v>0.19000667800000001</v>
      </c>
      <c r="H9111" s="164"/>
    </row>
    <row r="9112" spans="1:8" x14ac:dyDescent="0.25">
      <c r="A9112" s="163"/>
      <c r="B9112" s="106"/>
      <c r="C9112" s="73" t="s">
        <v>147</v>
      </c>
      <c r="D9112" s="73"/>
      <c r="E9112" s="73"/>
      <c r="F9112" s="74" t="s">
        <v>3</v>
      </c>
      <c r="G9112" s="153">
        <v>0.1</v>
      </c>
      <c r="H9112" s="164"/>
    </row>
    <row r="9113" spans="1:8" x14ac:dyDescent="0.25">
      <c r="A9113" s="163"/>
      <c r="B9113" s="106"/>
      <c r="C9113" s="73" t="s">
        <v>3085</v>
      </c>
      <c r="D9113" s="73"/>
      <c r="E9113" s="73"/>
      <c r="F9113" s="74" t="s">
        <v>3</v>
      </c>
      <c r="G9113" s="153">
        <v>0.8</v>
      </c>
      <c r="H9113" s="164"/>
    </row>
    <row r="9114" spans="1:8" x14ac:dyDescent="0.25">
      <c r="A9114" s="163"/>
      <c r="B9114" s="106"/>
      <c r="C9114" s="77" t="s">
        <v>1054</v>
      </c>
      <c r="D9114" s="73"/>
      <c r="E9114" s="73"/>
      <c r="F9114" s="152" t="s">
        <v>3</v>
      </c>
      <c r="G9114" s="153">
        <f>(0.56*4+0.235*4+0.1*3.14+0.3+0.25*3.14*2+0.1+2+2)*0.08*1.056</f>
        <v>0.79951871999999991</v>
      </c>
      <c r="H9114" s="164"/>
    </row>
    <row r="9115" spans="1:8" ht="17.25" x14ac:dyDescent="0.25">
      <c r="A9115" s="163"/>
      <c r="B9115" s="106"/>
      <c r="C9115" s="77" t="s">
        <v>1055</v>
      </c>
      <c r="D9115" s="73"/>
      <c r="E9115" s="73"/>
      <c r="F9115" s="74" t="s">
        <v>596</v>
      </c>
      <c r="G9115" s="153">
        <f>G9114*1.1+0.001</f>
        <v>0.880470592</v>
      </c>
      <c r="H9115" s="164"/>
    </row>
    <row r="9116" spans="1:8" x14ac:dyDescent="0.25">
      <c r="A9116" s="163"/>
      <c r="B9116" s="106"/>
      <c r="C9116" s="73"/>
      <c r="D9116" s="75" t="s">
        <v>4203</v>
      </c>
      <c r="E9116" s="73"/>
      <c r="F9116" s="74"/>
      <c r="G9116" s="153"/>
      <c r="H9116" s="164"/>
    </row>
    <row r="9117" spans="1:8" x14ac:dyDescent="0.25">
      <c r="A9117" s="163"/>
      <c r="B9117" s="106"/>
      <c r="C9117" s="73"/>
      <c r="D9117" s="77" t="s">
        <v>1054</v>
      </c>
      <c r="E9117" s="73"/>
      <c r="F9117" s="152" t="s">
        <v>3</v>
      </c>
      <c r="G9117" s="153">
        <f>0.45*0.08*1.12</f>
        <v>4.0320000000000009E-2</v>
      </c>
      <c r="H9117" s="164"/>
    </row>
    <row r="9118" spans="1:8" ht="17.25" x14ac:dyDescent="0.25">
      <c r="A9118" s="163"/>
      <c r="B9118" s="106"/>
      <c r="C9118" s="73"/>
      <c r="D9118" s="77" t="s">
        <v>1055</v>
      </c>
      <c r="E9118" s="73"/>
      <c r="F9118" s="152" t="s">
        <v>596</v>
      </c>
      <c r="G9118" s="153">
        <f>G9117*1.1+0.001</f>
        <v>4.5352000000000017E-2</v>
      </c>
      <c r="H9118" s="164"/>
    </row>
    <row r="9119" spans="1:8" x14ac:dyDescent="0.25">
      <c r="A9119" s="163"/>
      <c r="B9119" s="106"/>
      <c r="C9119" s="73"/>
      <c r="D9119" s="73"/>
      <c r="E9119" s="75" t="s">
        <v>4204</v>
      </c>
      <c r="F9119" s="74"/>
      <c r="G9119" s="153"/>
      <c r="H9119" s="164"/>
    </row>
    <row r="9120" spans="1:8" x14ac:dyDescent="0.25">
      <c r="A9120" s="163"/>
      <c r="B9120" s="106"/>
      <c r="C9120" s="73"/>
      <c r="D9120" s="73"/>
      <c r="E9120" s="73" t="s">
        <v>4141</v>
      </c>
      <c r="F9120" s="74" t="s">
        <v>3</v>
      </c>
      <c r="G9120" s="153">
        <f>0.9*0.37*1.5*8*1.1262</f>
        <v>4.5002952000000009</v>
      </c>
      <c r="H9120" s="164"/>
    </row>
    <row r="9121" spans="1:8" x14ac:dyDescent="0.25">
      <c r="A9121" s="163"/>
      <c r="B9121" s="106"/>
      <c r="C9121" s="73"/>
      <c r="D9121" s="73"/>
      <c r="E9121" s="75" t="s">
        <v>4205</v>
      </c>
      <c r="F9121" s="74"/>
      <c r="G9121" s="153"/>
      <c r="H9121" s="164"/>
    </row>
    <row r="9122" spans="1:8" x14ac:dyDescent="0.25">
      <c r="A9122" s="163"/>
      <c r="B9122" s="106"/>
      <c r="C9122" s="73"/>
      <c r="D9122" s="73"/>
      <c r="E9122" s="73" t="s">
        <v>4141</v>
      </c>
      <c r="F9122" s="74" t="s">
        <v>3</v>
      </c>
      <c r="G9122" s="153">
        <f>0.195*0.225*1.5*8*1.12</f>
        <v>0.58968000000000009</v>
      </c>
      <c r="H9122" s="164"/>
    </row>
    <row r="9123" spans="1:8" x14ac:dyDescent="0.25">
      <c r="A9123" s="163"/>
      <c r="B9123" s="106"/>
      <c r="C9123" s="73"/>
      <c r="D9123" s="75" t="s">
        <v>4206</v>
      </c>
      <c r="E9123" s="73"/>
      <c r="F9123" s="74"/>
      <c r="G9123" s="153"/>
      <c r="H9123" s="164"/>
    </row>
    <row r="9124" spans="1:8" x14ac:dyDescent="0.25">
      <c r="A9124" s="163"/>
      <c r="B9124" s="106"/>
      <c r="C9124" s="73"/>
      <c r="D9124" s="77" t="s">
        <v>1054</v>
      </c>
      <c r="E9124" s="73"/>
      <c r="F9124" s="152" t="s">
        <v>3</v>
      </c>
      <c r="G9124" s="153">
        <f>0.55*0.08*1.125</f>
        <v>4.9500000000000002E-2</v>
      </c>
      <c r="H9124" s="164"/>
    </row>
    <row r="9125" spans="1:8" ht="17.25" x14ac:dyDescent="0.25">
      <c r="A9125" s="163"/>
      <c r="B9125" s="106"/>
      <c r="C9125" s="73"/>
      <c r="D9125" s="77" t="s">
        <v>1055</v>
      </c>
      <c r="E9125" s="73"/>
      <c r="F9125" s="152" t="s">
        <v>596</v>
      </c>
      <c r="G9125" s="153">
        <f>G9124*1.1+0.001</f>
        <v>5.5450000000000006E-2</v>
      </c>
      <c r="H9125" s="164"/>
    </row>
    <row r="9126" spans="1:8" x14ac:dyDescent="0.25">
      <c r="A9126" s="163"/>
      <c r="B9126" s="106"/>
      <c r="C9126" s="73"/>
      <c r="D9126" s="73"/>
      <c r="E9126" s="75" t="s">
        <v>4207</v>
      </c>
      <c r="F9126" s="74"/>
      <c r="G9126" s="153"/>
      <c r="H9126" s="164"/>
    </row>
    <row r="9127" spans="1:8" x14ac:dyDescent="0.25">
      <c r="A9127" s="163"/>
      <c r="B9127" s="106"/>
      <c r="C9127" s="73"/>
      <c r="D9127" s="73"/>
      <c r="E9127" s="73" t="s">
        <v>4141</v>
      </c>
      <c r="F9127" s="74" t="s">
        <v>3</v>
      </c>
      <c r="G9127" s="153">
        <f>0.295*0.27*1.5*8*1.13</f>
        <v>1.0800539999999998</v>
      </c>
      <c r="H9127" s="164"/>
    </row>
    <row r="9128" spans="1:8" x14ac:dyDescent="0.25">
      <c r="A9128" s="163"/>
      <c r="B9128" s="106"/>
      <c r="C9128" s="73"/>
      <c r="D9128" s="73"/>
      <c r="E9128" s="75" t="s">
        <v>4208</v>
      </c>
      <c r="F9128" s="74"/>
      <c r="G9128" s="153"/>
      <c r="H9128" s="164"/>
    </row>
    <row r="9129" spans="1:8" x14ac:dyDescent="0.25">
      <c r="A9129" s="163"/>
      <c r="B9129" s="106"/>
      <c r="C9129" s="73"/>
      <c r="D9129" s="73"/>
      <c r="E9129" s="73" t="s">
        <v>4141</v>
      </c>
      <c r="F9129" s="74" t="s">
        <v>3</v>
      </c>
      <c r="G9129" s="153">
        <f>0.235*0.019*1.5*8*1.12</f>
        <v>6.0009599999999996E-2</v>
      </c>
      <c r="H9129" s="164"/>
    </row>
    <row r="9130" spans="1:8" x14ac:dyDescent="0.25">
      <c r="A9130" s="163"/>
      <c r="B9130" s="106"/>
      <c r="C9130" s="73"/>
      <c r="D9130" s="73"/>
      <c r="E9130" s="75" t="s">
        <v>4209</v>
      </c>
      <c r="F9130" s="74"/>
      <c r="G9130" s="153"/>
      <c r="H9130" s="164"/>
    </row>
    <row r="9131" spans="1:8" x14ac:dyDescent="0.25">
      <c r="A9131" s="163"/>
      <c r="B9131" s="106"/>
      <c r="C9131" s="73"/>
      <c r="D9131" s="73"/>
      <c r="E9131" s="73" t="s">
        <v>4141</v>
      </c>
      <c r="F9131" s="74" t="s">
        <v>3</v>
      </c>
      <c r="G9131" s="153">
        <f>0.24*0.019*1.5*8*1.125</f>
        <v>6.1559999999999997E-2</v>
      </c>
      <c r="H9131" s="164"/>
    </row>
    <row r="9132" spans="1:8" x14ac:dyDescent="0.25">
      <c r="A9132" s="163"/>
      <c r="B9132" s="106"/>
      <c r="C9132" s="73"/>
      <c r="D9132" s="75" t="s">
        <v>4210</v>
      </c>
      <c r="E9132" s="73"/>
      <c r="F9132" s="74"/>
      <c r="G9132" s="153"/>
      <c r="H9132" s="164"/>
    </row>
    <row r="9133" spans="1:8" x14ac:dyDescent="0.25">
      <c r="A9133" s="163"/>
      <c r="B9133" s="106"/>
      <c r="C9133" s="73"/>
      <c r="D9133" s="77" t="s">
        <v>1054</v>
      </c>
      <c r="E9133" s="73"/>
      <c r="F9133" s="152" t="s">
        <v>3</v>
      </c>
      <c r="G9133" s="153">
        <f>0.54*0.08*1.15</f>
        <v>4.9680000000000002E-2</v>
      </c>
      <c r="H9133" s="164"/>
    </row>
    <row r="9134" spans="1:8" ht="17.25" x14ac:dyDescent="0.25">
      <c r="A9134" s="163"/>
      <c r="B9134" s="106"/>
      <c r="C9134" s="73"/>
      <c r="D9134" s="77" t="s">
        <v>1055</v>
      </c>
      <c r="E9134" s="73"/>
      <c r="F9134" s="152" t="s">
        <v>596</v>
      </c>
      <c r="G9134" s="153">
        <f>G9133*1.1+0.001</f>
        <v>5.564800000000001E-2</v>
      </c>
      <c r="H9134" s="164"/>
    </row>
    <row r="9135" spans="1:8" x14ac:dyDescent="0.25">
      <c r="A9135" s="163"/>
      <c r="B9135" s="106"/>
      <c r="C9135" s="73"/>
      <c r="D9135" s="73"/>
      <c r="E9135" s="75" t="s">
        <v>4211</v>
      </c>
      <c r="F9135" s="74"/>
      <c r="G9135" s="153"/>
      <c r="H9135" s="164"/>
    </row>
    <row r="9136" spans="1:8" x14ac:dyDescent="0.25">
      <c r="A9136" s="163"/>
      <c r="B9136" s="106"/>
      <c r="C9136" s="73"/>
      <c r="D9136" s="73"/>
      <c r="E9136" s="73" t="s">
        <v>4141</v>
      </c>
      <c r="F9136" s="74" t="s">
        <v>3</v>
      </c>
      <c r="G9136" s="153">
        <f>0.3*0.27*1.5*8*1.132</f>
        <v>1.1003039999999999</v>
      </c>
      <c r="H9136" s="164"/>
    </row>
    <row r="9137" spans="1:8" x14ac:dyDescent="0.25">
      <c r="A9137" s="163"/>
      <c r="B9137" s="106"/>
      <c r="C9137" s="73"/>
      <c r="D9137" s="73"/>
      <c r="E9137" s="75" t="s">
        <v>4212</v>
      </c>
      <c r="F9137" s="74"/>
      <c r="G9137" s="153"/>
      <c r="H9137" s="164"/>
    </row>
    <row r="9138" spans="1:8" x14ac:dyDescent="0.25">
      <c r="A9138" s="163"/>
      <c r="B9138" s="106"/>
      <c r="C9138" s="73"/>
      <c r="D9138" s="73"/>
      <c r="E9138" s="73" t="s">
        <v>4141</v>
      </c>
      <c r="F9138" s="74" t="s">
        <v>3</v>
      </c>
      <c r="G9138" s="153">
        <f>0.23*0.0185*1.5*8*1.13</f>
        <v>5.7697799999999994E-2</v>
      </c>
      <c r="H9138" s="164"/>
    </row>
    <row r="9139" spans="1:8" x14ac:dyDescent="0.25">
      <c r="A9139" s="163"/>
      <c r="B9139" s="106"/>
      <c r="C9139" s="73"/>
      <c r="D9139" s="73"/>
      <c r="E9139" s="75" t="s">
        <v>4213</v>
      </c>
      <c r="F9139" s="74"/>
      <c r="G9139" s="153"/>
      <c r="H9139" s="164"/>
    </row>
    <row r="9140" spans="1:8" x14ac:dyDescent="0.25">
      <c r="A9140" s="163"/>
      <c r="B9140" s="106"/>
      <c r="C9140" s="73"/>
      <c r="D9140" s="73"/>
      <c r="E9140" s="73" t="s">
        <v>4141</v>
      </c>
      <c r="F9140" s="74" t="s">
        <v>3</v>
      </c>
      <c r="G9140" s="153">
        <f>0.23*0.0185*1.5*8*1.13</f>
        <v>5.7697799999999994E-2</v>
      </c>
      <c r="H9140" s="164"/>
    </row>
    <row r="9141" spans="1:8" x14ac:dyDescent="0.25">
      <c r="A9141" s="163"/>
      <c r="B9141" s="106"/>
      <c r="C9141" s="73"/>
      <c r="D9141" s="75" t="s">
        <v>4214</v>
      </c>
      <c r="E9141" s="73"/>
      <c r="F9141" s="74"/>
      <c r="G9141" s="153"/>
      <c r="H9141" s="164"/>
    </row>
    <row r="9142" spans="1:8" x14ac:dyDescent="0.25">
      <c r="A9142" s="163"/>
      <c r="B9142" s="106"/>
      <c r="C9142" s="73"/>
      <c r="D9142" s="77" t="s">
        <v>1054</v>
      </c>
      <c r="E9142" s="73"/>
      <c r="F9142" s="152" t="s">
        <v>3</v>
      </c>
      <c r="G9142" s="153">
        <f>0.55*0.08*1.14</f>
        <v>5.0160000000000003E-2</v>
      </c>
      <c r="H9142" s="164"/>
    </row>
    <row r="9143" spans="1:8" ht="17.25" x14ac:dyDescent="0.25">
      <c r="A9143" s="163"/>
      <c r="B9143" s="106"/>
      <c r="C9143" s="73"/>
      <c r="D9143" s="77" t="s">
        <v>1055</v>
      </c>
      <c r="E9143" s="73"/>
      <c r="F9143" s="152" t="s">
        <v>596</v>
      </c>
      <c r="G9143" s="153">
        <f>G9142*1.1+0.001</f>
        <v>5.6176000000000011E-2</v>
      </c>
      <c r="H9143" s="164"/>
    </row>
    <row r="9144" spans="1:8" x14ac:dyDescent="0.25">
      <c r="A9144" s="163"/>
      <c r="B9144" s="106"/>
      <c r="C9144" s="73"/>
      <c r="D9144" s="73"/>
      <c r="E9144" s="75" t="s">
        <v>4215</v>
      </c>
      <c r="F9144" s="74"/>
      <c r="G9144" s="153"/>
      <c r="H9144" s="164"/>
    </row>
    <row r="9145" spans="1:8" x14ac:dyDescent="0.25">
      <c r="A9145" s="163"/>
      <c r="B9145" s="106"/>
      <c r="C9145" s="73"/>
      <c r="D9145" s="73"/>
      <c r="E9145" s="73" t="s">
        <v>4141</v>
      </c>
      <c r="F9145" s="74" t="s">
        <v>3</v>
      </c>
      <c r="G9145" s="153">
        <f>0.4*0.265*1.5*8*1.14</f>
        <v>1.4500800000000003</v>
      </c>
      <c r="H9145" s="164"/>
    </row>
    <row r="9146" spans="1:8" x14ac:dyDescent="0.25">
      <c r="A9146" s="163"/>
      <c r="B9146" s="106"/>
      <c r="C9146" s="73"/>
      <c r="D9146" s="73"/>
      <c r="E9146" s="75" t="s">
        <v>4216</v>
      </c>
      <c r="F9146" s="74"/>
      <c r="G9146" s="153"/>
      <c r="H9146" s="164"/>
    </row>
    <row r="9147" spans="1:8" x14ac:dyDescent="0.25">
      <c r="A9147" s="163"/>
      <c r="B9147" s="106"/>
      <c r="C9147" s="73"/>
      <c r="D9147" s="73"/>
      <c r="E9147" s="73" t="s">
        <v>4141</v>
      </c>
      <c r="F9147" s="74" t="s">
        <v>3</v>
      </c>
      <c r="G9147" s="153">
        <f>0.23*0.0185*1.5*8*1.13</f>
        <v>5.7697799999999994E-2</v>
      </c>
      <c r="H9147" s="164"/>
    </row>
    <row r="9148" spans="1:8" x14ac:dyDescent="0.25">
      <c r="A9148" s="163"/>
      <c r="B9148" s="106"/>
      <c r="C9148" s="73"/>
      <c r="D9148" s="75" t="s">
        <v>4217</v>
      </c>
      <c r="E9148" s="73"/>
      <c r="F9148" s="74"/>
      <c r="G9148" s="153"/>
      <c r="H9148" s="164"/>
    </row>
    <row r="9149" spans="1:8" x14ac:dyDescent="0.25">
      <c r="A9149" s="163"/>
      <c r="B9149" s="106"/>
      <c r="C9149" s="73"/>
      <c r="D9149" s="73" t="s">
        <v>4141</v>
      </c>
      <c r="E9149" s="73"/>
      <c r="F9149" s="74" t="s">
        <v>3</v>
      </c>
      <c r="G9149" s="153">
        <f>0.9*0.705*1.5*8*1.1032</f>
        <v>8.399764799999998</v>
      </c>
      <c r="H9149" s="164"/>
    </row>
    <row r="9150" spans="1:8" x14ac:dyDescent="0.25">
      <c r="A9150" s="163"/>
      <c r="B9150" s="106"/>
      <c r="C9150" s="73"/>
      <c r="D9150" s="75" t="s">
        <v>4218</v>
      </c>
      <c r="E9150" s="73"/>
      <c r="F9150" s="74"/>
      <c r="G9150" s="153"/>
      <c r="H9150" s="164"/>
    </row>
    <row r="9151" spans="1:8" x14ac:dyDescent="0.25">
      <c r="A9151" s="163"/>
      <c r="B9151" s="106"/>
      <c r="C9151" s="73"/>
      <c r="D9151" s="73" t="s">
        <v>4141</v>
      </c>
      <c r="E9151" s="73"/>
      <c r="F9151" s="74" t="s">
        <v>3</v>
      </c>
      <c r="G9151" s="153">
        <f>0.9*0.455*1.5*8*1.1193</f>
        <v>5.5002402000000004</v>
      </c>
      <c r="H9151" s="164"/>
    </row>
    <row r="9152" spans="1:8" x14ac:dyDescent="0.25">
      <c r="A9152" s="163"/>
      <c r="B9152" s="106"/>
      <c r="C9152" s="73"/>
      <c r="D9152" s="75" t="s">
        <v>4219</v>
      </c>
      <c r="E9152" s="73"/>
      <c r="F9152" s="74"/>
      <c r="G9152" s="153"/>
      <c r="H9152" s="164"/>
    </row>
    <row r="9153" spans="1:11" x14ac:dyDescent="0.25">
      <c r="A9153" s="163"/>
      <c r="B9153" s="106"/>
      <c r="C9153" s="73"/>
      <c r="D9153" s="73" t="s">
        <v>4141</v>
      </c>
      <c r="E9153" s="73"/>
      <c r="F9153" s="74" t="s">
        <v>3</v>
      </c>
      <c r="G9153" s="153">
        <f>0.64*0.33*1.5*8*1.1048</f>
        <v>2.8000051200000002</v>
      </c>
      <c r="H9153" s="164"/>
    </row>
    <row r="9154" spans="1:11" x14ac:dyDescent="0.25">
      <c r="A9154" s="163"/>
      <c r="B9154" s="106"/>
      <c r="C9154" s="73"/>
      <c r="D9154" s="77" t="s">
        <v>1054</v>
      </c>
      <c r="E9154" s="73"/>
      <c r="F9154" s="152" t="s">
        <v>3</v>
      </c>
      <c r="G9154" s="153">
        <f>0.17*0.08*1.12</f>
        <v>1.5232000000000002E-2</v>
      </c>
      <c r="H9154" s="164"/>
      <c r="K9154" s="451"/>
    </row>
    <row r="9155" spans="1:11" ht="17.25" x14ac:dyDescent="0.25">
      <c r="A9155" s="163"/>
      <c r="B9155" s="106"/>
      <c r="C9155" s="73"/>
      <c r="D9155" s="77" t="s">
        <v>1055</v>
      </c>
      <c r="E9155" s="73"/>
      <c r="F9155" s="74" t="s">
        <v>596</v>
      </c>
      <c r="G9155" s="153">
        <f>G9154*1.1+0.001</f>
        <v>1.7755200000000006E-2</v>
      </c>
      <c r="H9155" s="164"/>
      <c r="K9155" s="451"/>
    </row>
    <row r="9156" spans="1:11" x14ac:dyDescent="0.25">
      <c r="A9156" s="163"/>
      <c r="B9156" s="106"/>
      <c r="C9156" s="73"/>
      <c r="D9156" s="75" t="s">
        <v>4220</v>
      </c>
      <c r="E9156" s="73"/>
      <c r="F9156" s="74"/>
      <c r="G9156" s="153"/>
      <c r="H9156" s="164"/>
    </row>
    <row r="9157" spans="1:11" x14ac:dyDescent="0.25">
      <c r="A9157" s="163"/>
      <c r="B9157" s="106"/>
      <c r="C9157" s="73"/>
      <c r="D9157" s="73" t="s">
        <v>4141</v>
      </c>
      <c r="E9157" s="73"/>
      <c r="F9157" s="74" t="s">
        <v>3</v>
      </c>
      <c r="G9157" s="153">
        <f>0.65*0.33*1.5*8*1.1268</f>
        <v>2.9003832000000003</v>
      </c>
      <c r="H9157" s="164"/>
    </row>
    <row r="9158" spans="1:11" x14ac:dyDescent="0.25">
      <c r="A9158" s="163"/>
      <c r="B9158" s="106"/>
      <c r="C9158" s="73"/>
      <c r="D9158" s="77" t="s">
        <v>1054</v>
      </c>
      <c r="E9158" s="73"/>
      <c r="F9158" s="152" t="s">
        <v>3</v>
      </c>
      <c r="G9158" s="153">
        <f>0.17*0.08*1.12</f>
        <v>1.5232000000000002E-2</v>
      </c>
      <c r="H9158" s="164"/>
    </row>
    <row r="9159" spans="1:11" ht="17.25" x14ac:dyDescent="0.25">
      <c r="A9159" s="163"/>
      <c r="B9159" s="106"/>
      <c r="C9159" s="73"/>
      <c r="D9159" s="77" t="s">
        <v>1055</v>
      </c>
      <c r="E9159" s="73"/>
      <c r="F9159" s="74" t="s">
        <v>596</v>
      </c>
      <c r="G9159" s="153">
        <f>G9158*1.1+0.001</f>
        <v>1.7755200000000006E-2</v>
      </c>
      <c r="H9159" s="164"/>
    </row>
    <row r="9160" spans="1:11" x14ac:dyDescent="0.25">
      <c r="A9160" s="163"/>
      <c r="B9160" s="106"/>
      <c r="C9160" s="73"/>
      <c r="D9160" s="75" t="s">
        <v>4221</v>
      </c>
      <c r="E9160" s="73"/>
      <c r="F9160" s="74"/>
      <c r="G9160" s="153"/>
      <c r="H9160" s="164"/>
    </row>
    <row r="9161" spans="1:11" x14ac:dyDescent="0.25">
      <c r="A9161" s="163"/>
      <c r="B9161" s="106"/>
      <c r="C9161" s="73"/>
      <c r="D9161" s="73" t="s">
        <v>4150</v>
      </c>
      <c r="E9161" s="73"/>
      <c r="F9161" s="74" t="s">
        <v>3</v>
      </c>
      <c r="G9161" s="153">
        <f>(0.869)*1.25</f>
        <v>1.0862499999999999</v>
      </c>
      <c r="H9161" s="391">
        <f>G9157+G9153+G9151+G9149+G9147+G9145+G9140+G9138+G9136+G9131+G9129+G9127+G9122+G9120</f>
        <v>28.615469520000001</v>
      </c>
      <c r="I9161" t="s">
        <v>4222</v>
      </c>
    </row>
    <row r="9162" spans="1:11" x14ac:dyDescent="0.25">
      <c r="A9162" s="163"/>
      <c r="B9162" s="106"/>
      <c r="C9162" s="73"/>
      <c r="D9162" s="73"/>
      <c r="E9162" s="73"/>
      <c r="F9162" s="74"/>
      <c r="G9162" s="153"/>
      <c r="H9162" s="164"/>
    </row>
    <row r="9163" spans="1:11" x14ac:dyDescent="0.25">
      <c r="A9163" s="163"/>
      <c r="B9163" s="106"/>
      <c r="C9163" s="73"/>
      <c r="D9163" s="73"/>
      <c r="E9163" s="73"/>
      <c r="F9163" s="74"/>
      <c r="G9163" s="153"/>
      <c r="H9163" s="164"/>
    </row>
    <row r="9164" spans="1:11" x14ac:dyDescent="0.25">
      <c r="A9164" s="163"/>
      <c r="B9164" s="106"/>
      <c r="C9164" s="390" t="s">
        <v>4223</v>
      </c>
      <c r="D9164" s="73"/>
      <c r="E9164" s="73"/>
      <c r="F9164" s="74"/>
      <c r="G9164" s="153"/>
      <c r="H9164" s="164"/>
    </row>
    <row r="9165" spans="1:11" x14ac:dyDescent="0.25">
      <c r="A9165" s="163"/>
      <c r="B9165" s="106"/>
      <c r="C9165" s="73" t="s">
        <v>1902</v>
      </c>
      <c r="D9165" s="73"/>
      <c r="E9165" s="73"/>
      <c r="F9165" s="74" t="s">
        <v>3</v>
      </c>
      <c r="G9165" s="153">
        <f>0.005</f>
        <v>5.0000000000000001E-3</v>
      </c>
      <c r="H9165" s="164"/>
    </row>
    <row r="9166" spans="1:11" x14ac:dyDescent="0.25">
      <c r="A9166" s="163"/>
      <c r="B9166" s="106"/>
      <c r="C9166" s="73" t="s">
        <v>1021</v>
      </c>
      <c r="D9166" s="73"/>
      <c r="E9166" s="73"/>
      <c r="F9166" s="74" t="s">
        <v>3</v>
      </c>
      <c r="G9166" s="153">
        <f>G9169</f>
        <v>0.48475413914000004</v>
      </c>
      <c r="H9166" s="164"/>
    </row>
    <row r="9167" spans="1:11" x14ac:dyDescent="0.25">
      <c r="A9167" s="163"/>
      <c r="B9167" s="106"/>
      <c r="C9167" s="73" t="s">
        <v>661</v>
      </c>
      <c r="D9167" s="73"/>
      <c r="E9167" s="73"/>
      <c r="F9167" s="74" t="s">
        <v>3</v>
      </c>
      <c r="G9167" s="153">
        <f>G9166*0.4*0.85</f>
        <v>0.16481640730760003</v>
      </c>
      <c r="H9167" s="164"/>
    </row>
    <row r="9168" spans="1:11" x14ac:dyDescent="0.25">
      <c r="A9168" s="163"/>
      <c r="B9168" s="106"/>
      <c r="C9168" s="73" t="s">
        <v>1993</v>
      </c>
      <c r="D9168" s="73"/>
      <c r="E9168" s="73"/>
      <c r="F9168" s="74" t="s">
        <v>3</v>
      </c>
      <c r="G9168" s="153">
        <f>0.177*G9167+0.001</f>
        <v>3.0172504093445206E-2</v>
      </c>
      <c r="H9168" s="164"/>
    </row>
    <row r="9169" spans="1:9" x14ac:dyDescent="0.25">
      <c r="A9169" s="163"/>
      <c r="B9169" s="106"/>
      <c r="C9169" s="73" t="s">
        <v>8</v>
      </c>
      <c r="D9169" s="73"/>
      <c r="E9169" s="73"/>
      <c r="F9169" s="74" t="s">
        <v>3</v>
      </c>
      <c r="G9169" s="153">
        <f>G9171*0.877+0.002</f>
        <v>0.48475413914000004</v>
      </c>
      <c r="H9169" s="164"/>
    </row>
    <row r="9170" spans="1:9" x14ac:dyDescent="0.25">
      <c r="A9170" s="163"/>
      <c r="B9170" s="106"/>
      <c r="C9170" s="73" t="s">
        <v>12</v>
      </c>
      <c r="D9170" s="73"/>
      <c r="E9170" s="73"/>
      <c r="F9170" s="74" t="s">
        <v>3</v>
      </c>
      <c r="G9170" s="153">
        <f>0.3*G9169</f>
        <v>0.145426241742</v>
      </c>
      <c r="H9170" s="164"/>
    </row>
    <row r="9171" spans="1:9" x14ac:dyDescent="0.25">
      <c r="A9171" s="163"/>
      <c r="B9171" s="106"/>
      <c r="C9171" s="73" t="s">
        <v>72</v>
      </c>
      <c r="D9171" s="73"/>
      <c r="E9171" s="73"/>
      <c r="F9171" s="74" t="s">
        <v>3</v>
      </c>
      <c r="G9171" s="153">
        <f>(1.05*0.56*2+0.225*(0.56*2+1.05*2))*0.13*2*1.114</f>
        <v>0.55046082000000007</v>
      </c>
      <c r="H9171" s="164"/>
    </row>
    <row r="9172" spans="1:9" x14ac:dyDescent="0.25">
      <c r="A9172" s="163"/>
      <c r="B9172" s="106"/>
      <c r="C9172" s="73" t="s">
        <v>11</v>
      </c>
      <c r="D9172" s="73"/>
      <c r="E9172" s="73"/>
      <c r="F9172" s="74" t="s">
        <v>3</v>
      </c>
      <c r="G9172" s="153">
        <f>0.3*G9171</f>
        <v>0.16513824600000002</v>
      </c>
      <c r="H9172" s="164"/>
    </row>
    <row r="9173" spans="1:9" x14ac:dyDescent="0.25">
      <c r="A9173" s="163"/>
      <c r="B9173" s="106"/>
      <c r="C9173" s="73" t="s">
        <v>147</v>
      </c>
      <c r="D9173" s="73"/>
      <c r="E9173" s="73"/>
      <c r="F9173" s="74" t="s">
        <v>3</v>
      </c>
      <c r="G9173" s="153">
        <v>0.1</v>
      </c>
      <c r="H9173" s="164"/>
    </row>
    <row r="9174" spans="1:9" x14ac:dyDescent="0.25">
      <c r="A9174" s="163"/>
      <c r="B9174" s="106"/>
      <c r="C9174" s="73" t="s">
        <v>3085</v>
      </c>
      <c r="D9174" s="73"/>
      <c r="E9174" s="73"/>
      <c r="F9174" s="74" t="s">
        <v>3</v>
      </c>
      <c r="G9174" s="153">
        <v>0.8</v>
      </c>
      <c r="H9174" s="164"/>
    </row>
    <row r="9175" spans="1:9" x14ac:dyDescent="0.25">
      <c r="A9175" s="163"/>
      <c r="B9175" s="106"/>
      <c r="C9175" s="77" t="s">
        <v>1054</v>
      </c>
      <c r="D9175" s="73"/>
      <c r="E9175" s="73"/>
      <c r="F9175" s="152" t="s">
        <v>3</v>
      </c>
      <c r="G9175" s="153">
        <f>(0.245*0.56*2+2+1.5+0.15+0.1+0.1*3.14+0.1*3.14+0.025*3.14+0.2+0.2*2+0.15*2+0.06+0.3*2+0.28*2+0.3*2+0.25)*0.08*1.136</f>
        <v>0.69985779199999987</v>
      </c>
      <c r="H9175" s="164"/>
    </row>
    <row r="9176" spans="1:9" ht="17.25" x14ac:dyDescent="0.25">
      <c r="A9176" s="163"/>
      <c r="B9176" s="106"/>
      <c r="C9176" s="77" t="s">
        <v>1055</v>
      </c>
      <c r="D9176" s="73"/>
      <c r="E9176" s="73"/>
      <c r="F9176" s="74" t="s">
        <v>596</v>
      </c>
      <c r="G9176" s="153">
        <f>G9175*1.1</f>
        <v>0.76984357119999991</v>
      </c>
      <c r="H9176" s="164"/>
    </row>
    <row r="9177" spans="1:9" x14ac:dyDescent="0.25">
      <c r="A9177" s="163"/>
      <c r="B9177" s="106"/>
      <c r="C9177" s="73"/>
      <c r="D9177" s="75" t="s">
        <v>4224</v>
      </c>
      <c r="E9177" s="73"/>
      <c r="F9177" s="74"/>
      <c r="G9177" s="153"/>
      <c r="H9177" s="164"/>
    </row>
    <row r="9178" spans="1:9" x14ac:dyDescent="0.25">
      <c r="A9178" s="163"/>
      <c r="B9178" s="106"/>
      <c r="C9178" s="73"/>
      <c r="D9178" s="77" t="s">
        <v>1054</v>
      </c>
      <c r="E9178" s="73"/>
      <c r="F9178" s="152" t="s">
        <v>3</v>
      </c>
      <c r="G9178" s="153">
        <f>0.025*3.14*0.08*1.12</f>
        <v>7.0336000000000018E-3</v>
      </c>
      <c r="H9178" s="164"/>
    </row>
    <row r="9179" spans="1:9" ht="17.25" x14ac:dyDescent="0.25">
      <c r="A9179" s="163"/>
      <c r="B9179" s="106"/>
      <c r="C9179" s="73"/>
      <c r="D9179" s="77" t="s">
        <v>1055</v>
      </c>
      <c r="E9179" s="73"/>
      <c r="F9179" s="74" t="s">
        <v>596</v>
      </c>
      <c r="G9179" s="153">
        <f>G9178*1.1+0.001</f>
        <v>8.7369600000000019E-3</v>
      </c>
      <c r="H9179" s="164"/>
    </row>
    <row r="9180" spans="1:9" x14ac:dyDescent="0.25">
      <c r="A9180" s="163"/>
      <c r="B9180" s="106"/>
      <c r="C9180" s="73"/>
      <c r="D9180" s="73"/>
      <c r="E9180" s="75" t="s">
        <v>4225</v>
      </c>
      <c r="F9180" s="74"/>
      <c r="G9180" s="153"/>
      <c r="H9180" s="164"/>
    </row>
    <row r="9181" spans="1:9" x14ac:dyDescent="0.25">
      <c r="A9181" s="163"/>
      <c r="B9181" s="106"/>
      <c r="C9181" s="73"/>
      <c r="D9181" s="73"/>
      <c r="E9181" s="73" t="s">
        <v>4150</v>
      </c>
      <c r="F9181" s="74" t="s">
        <v>3</v>
      </c>
      <c r="G9181" s="153">
        <f>(0.869)*0.95-0.001</f>
        <v>0.82455000000000001</v>
      </c>
      <c r="H9181" s="164"/>
      <c r="I9181" t="s">
        <v>4226</v>
      </c>
    </row>
    <row r="9182" spans="1:9" x14ac:dyDescent="0.25">
      <c r="A9182" s="163"/>
      <c r="B9182" s="106"/>
      <c r="C9182" s="73"/>
      <c r="D9182" s="75" t="s">
        <v>4227</v>
      </c>
      <c r="E9182" s="73"/>
      <c r="F9182" s="74"/>
      <c r="G9182" s="153"/>
      <c r="H9182" s="164"/>
    </row>
    <row r="9183" spans="1:9" x14ac:dyDescent="0.25">
      <c r="A9183" s="163"/>
      <c r="B9183" s="106"/>
      <c r="C9183" s="73"/>
      <c r="D9183" s="77" t="s">
        <v>1054</v>
      </c>
      <c r="E9183" s="73"/>
      <c r="F9183" s="152" t="s">
        <v>3</v>
      </c>
      <c r="G9183" s="153">
        <f>0.51*0.08*1.12-0.001</f>
        <v>4.4696000000000007E-2</v>
      </c>
      <c r="H9183" s="164"/>
    </row>
    <row r="9184" spans="1:9" ht="17.25" x14ac:dyDescent="0.25">
      <c r="A9184" s="163"/>
      <c r="B9184" s="106"/>
      <c r="C9184" s="73"/>
      <c r="D9184" s="77" t="s">
        <v>1055</v>
      </c>
      <c r="E9184" s="73"/>
      <c r="F9184" s="74" t="s">
        <v>596</v>
      </c>
      <c r="G9184" s="153">
        <f>G9183*1.1+0.001</f>
        <v>5.0165600000000012E-2</v>
      </c>
      <c r="H9184" s="164"/>
    </row>
    <row r="9185" spans="1:8" x14ac:dyDescent="0.25">
      <c r="A9185" s="163"/>
      <c r="B9185" s="106"/>
      <c r="C9185" s="73"/>
      <c r="D9185" s="73"/>
      <c r="E9185" s="75" t="s">
        <v>4228</v>
      </c>
      <c r="F9185" s="74"/>
      <c r="G9185" s="153"/>
      <c r="H9185" s="164"/>
    </row>
    <row r="9186" spans="1:8" x14ac:dyDescent="0.25">
      <c r="A9186" s="163"/>
      <c r="B9186" s="106"/>
      <c r="C9186" s="73"/>
      <c r="D9186" s="73"/>
      <c r="E9186" s="73" t="s">
        <v>4141</v>
      </c>
      <c r="F9186" s="74" t="s">
        <v>3</v>
      </c>
      <c r="G9186" s="153">
        <f>0.34*0.26*1.5*8*1.131</f>
        <v>1.1997648000000001</v>
      </c>
      <c r="H9186" s="164"/>
    </row>
    <row r="9187" spans="1:8" x14ac:dyDescent="0.25">
      <c r="A9187" s="163"/>
      <c r="B9187" s="106"/>
      <c r="C9187" s="73"/>
      <c r="D9187" s="73"/>
      <c r="E9187" s="75" t="s">
        <v>4229</v>
      </c>
      <c r="F9187" s="74"/>
      <c r="G9187" s="153"/>
      <c r="H9187" s="164"/>
    </row>
    <row r="9188" spans="1:8" x14ac:dyDescent="0.25">
      <c r="A9188" s="163"/>
      <c r="B9188" s="106"/>
      <c r="C9188" s="73"/>
      <c r="D9188" s="73"/>
      <c r="E9188" s="73" t="s">
        <v>4141</v>
      </c>
      <c r="F9188" s="74" t="s">
        <v>3</v>
      </c>
      <c r="G9188" s="153">
        <f>0.21*0.019*1.5*8*1.12</f>
        <v>5.3625599999999995E-2</v>
      </c>
      <c r="H9188" s="164"/>
    </row>
    <row r="9189" spans="1:8" x14ac:dyDescent="0.25">
      <c r="A9189" s="163"/>
      <c r="B9189" s="106"/>
      <c r="C9189" s="73"/>
      <c r="D9189" s="73"/>
      <c r="E9189" s="75" t="s">
        <v>4230</v>
      </c>
      <c r="F9189" s="74"/>
      <c r="G9189" s="153"/>
      <c r="H9189" s="164"/>
    </row>
    <row r="9190" spans="1:8" x14ac:dyDescent="0.25">
      <c r="A9190" s="163"/>
      <c r="B9190" s="106"/>
      <c r="C9190" s="73"/>
      <c r="D9190" s="73"/>
      <c r="E9190" s="73" t="s">
        <v>4141</v>
      </c>
      <c r="F9190" s="74" t="s">
        <v>3</v>
      </c>
      <c r="G9190" s="153">
        <f>0.22*0.019*1.5*8*1.12</f>
        <v>5.6179199999999999E-2</v>
      </c>
      <c r="H9190" s="164"/>
    </row>
    <row r="9191" spans="1:8" x14ac:dyDescent="0.25">
      <c r="A9191" s="163"/>
      <c r="B9191" s="106"/>
      <c r="C9191" s="73"/>
      <c r="D9191" s="75" t="s">
        <v>4231</v>
      </c>
      <c r="E9191" s="73"/>
      <c r="F9191" s="74"/>
      <c r="G9191" s="153"/>
      <c r="H9191" s="164"/>
    </row>
    <row r="9192" spans="1:8" x14ac:dyDescent="0.25">
      <c r="A9192" s="163"/>
      <c r="B9192" s="106"/>
      <c r="C9192" s="73"/>
      <c r="D9192" s="77" t="s">
        <v>1054</v>
      </c>
      <c r="E9192" s="73"/>
      <c r="F9192" s="152" t="s">
        <v>3</v>
      </c>
      <c r="G9192" s="153">
        <f>0.54*0.08*1.12+0.002</f>
        <v>5.0384000000000012E-2</v>
      </c>
      <c r="H9192" s="164"/>
    </row>
    <row r="9193" spans="1:8" ht="17.25" x14ac:dyDescent="0.25">
      <c r="A9193" s="163"/>
      <c r="B9193" s="106"/>
      <c r="C9193" s="73"/>
      <c r="D9193" s="77" t="s">
        <v>1055</v>
      </c>
      <c r="E9193" s="73"/>
      <c r="F9193" s="74" t="s">
        <v>596</v>
      </c>
      <c r="G9193" s="153">
        <f>G9192*1.1+0.001</f>
        <v>5.6422400000000018E-2</v>
      </c>
      <c r="H9193" s="164"/>
    </row>
    <row r="9194" spans="1:8" x14ac:dyDescent="0.25">
      <c r="A9194" s="163"/>
      <c r="B9194" s="106"/>
      <c r="C9194" s="73"/>
      <c r="D9194" s="73"/>
      <c r="E9194" s="75" t="s">
        <v>4232</v>
      </c>
      <c r="F9194" s="74"/>
      <c r="G9194" s="153"/>
      <c r="H9194" s="164"/>
    </row>
    <row r="9195" spans="1:8" x14ac:dyDescent="0.25">
      <c r="A9195" s="163"/>
      <c r="B9195" s="106"/>
      <c r="C9195" s="73"/>
      <c r="D9195" s="73"/>
      <c r="E9195" s="73" t="s">
        <v>4141</v>
      </c>
      <c r="F9195" s="74" t="s">
        <v>3</v>
      </c>
      <c r="G9195" s="153">
        <f>0.28*0.275*1.5*8*1.136</f>
        <v>1.0496640000000002</v>
      </c>
      <c r="H9195" s="164"/>
    </row>
    <row r="9196" spans="1:8" x14ac:dyDescent="0.25">
      <c r="A9196" s="163"/>
      <c r="B9196" s="106"/>
      <c r="C9196" s="73"/>
      <c r="D9196" s="73"/>
      <c r="E9196" s="75" t="s">
        <v>4229</v>
      </c>
      <c r="F9196" s="74"/>
      <c r="G9196" s="153"/>
      <c r="H9196" s="164"/>
    </row>
    <row r="9197" spans="1:8" x14ac:dyDescent="0.25">
      <c r="A9197" s="163"/>
      <c r="B9197" s="106"/>
      <c r="C9197" s="73"/>
      <c r="D9197" s="73"/>
      <c r="E9197" s="73" t="s">
        <v>4141</v>
      </c>
      <c r="F9197" s="74" t="s">
        <v>3</v>
      </c>
      <c r="G9197" s="153">
        <f>0.225*0.019*1.5*8*1.12</f>
        <v>5.7456000000000007E-2</v>
      </c>
      <c r="H9197" s="164"/>
    </row>
    <row r="9198" spans="1:8" x14ac:dyDescent="0.25">
      <c r="A9198" s="163"/>
      <c r="B9198" s="106"/>
      <c r="C9198" s="73"/>
      <c r="D9198" s="73"/>
      <c r="E9198" s="75" t="s">
        <v>4230</v>
      </c>
      <c r="F9198" s="74"/>
      <c r="G9198" s="153"/>
      <c r="H9198" s="164"/>
    </row>
    <row r="9199" spans="1:8" x14ac:dyDescent="0.25">
      <c r="A9199" s="163"/>
      <c r="B9199" s="106"/>
      <c r="C9199" s="73"/>
      <c r="D9199" s="73"/>
      <c r="E9199" s="73" t="s">
        <v>4141</v>
      </c>
      <c r="F9199" s="74" t="s">
        <v>3</v>
      </c>
      <c r="G9199" s="153">
        <f>0.235*0.019*1.5*8*1.12</f>
        <v>6.0009599999999996E-2</v>
      </c>
      <c r="H9199" s="164"/>
    </row>
    <row r="9200" spans="1:8" x14ac:dyDescent="0.25">
      <c r="A9200" s="163"/>
      <c r="B9200" s="106"/>
      <c r="C9200" s="73"/>
      <c r="D9200" s="75" t="s">
        <v>4233</v>
      </c>
      <c r="E9200" s="73"/>
      <c r="F9200" s="74"/>
      <c r="G9200" s="153"/>
      <c r="H9200" s="164"/>
    </row>
    <row r="9201" spans="1:9" x14ac:dyDescent="0.25">
      <c r="A9201" s="163"/>
      <c r="B9201" s="106"/>
      <c r="C9201" s="73"/>
      <c r="D9201" s="77" t="s">
        <v>1054</v>
      </c>
      <c r="E9201" s="73"/>
      <c r="F9201" s="152" t="s">
        <v>3</v>
      </c>
      <c r="G9201" s="153">
        <f>0.53*0.08*1.12+0.003</f>
        <v>5.0488000000000005E-2</v>
      </c>
      <c r="H9201" s="164"/>
    </row>
    <row r="9202" spans="1:9" ht="17.25" x14ac:dyDescent="0.25">
      <c r="A9202" s="163"/>
      <c r="B9202" s="106"/>
      <c r="C9202" s="73"/>
      <c r="D9202" s="77" t="s">
        <v>1055</v>
      </c>
      <c r="E9202" s="73"/>
      <c r="F9202" s="74" t="s">
        <v>596</v>
      </c>
      <c r="G9202" s="153">
        <f>G9201*1.1+0.001</f>
        <v>5.6536800000000012E-2</v>
      </c>
      <c r="H9202" s="164"/>
    </row>
    <row r="9203" spans="1:9" x14ac:dyDescent="0.25">
      <c r="A9203" s="163"/>
      <c r="B9203" s="106"/>
      <c r="C9203" s="73"/>
      <c r="D9203" s="73"/>
      <c r="E9203" s="75" t="s">
        <v>4234</v>
      </c>
      <c r="F9203" s="74"/>
      <c r="G9203" s="153"/>
      <c r="H9203" s="164"/>
    </row>
    <row r="9204" spans="1:9" x14ac:dyDescent="0.25">
      <c r="A9204" s="163"/>
      <c r="B9204" s="106"/>
      <c r="C9204" s="73"/>
      <c r="D9204" s="73"/>
      <c r="E9204" s="73" t="s">
        <v>4141</v>
      </c>
      <c r="F9204" s="74" t="s">
        <v>3</v>
      </c>
      <c r="G9204" s="153">
        <f>0.375*0.26*1.5*8*1.111</f>
        <v>1.2998699999999999</v>
      </c>
      <c r="H9204" s="164"/>
    </row>
    <row r="9205" spans="1:9" x14ac:dyDescent="0.25">
      <c r="A9205" s="163"/>
      <c r="B9205" s="106"/>
      <c r="C9205" s="73"/>
      <c r="D9205" s="73"/>
      <c r="E9205" s="75" t="s">
        <v>4235</v>
      </c>
      <c r="F9205" s="74"/>
      <c r="G9205" s="153"/>
      <c r="H9205" s="164"/>
    </row>
    <row r="9206" spans="1:9" x14ac:dyDescent="0.25">
      <c r="A9206" s="163"/>
      <c r="B9206" s="106"/>
      <c r="C9206" s="73"/>
      <c r="D9206" s="73"/>
      <c r="E9206" s="73" t="s">
        <v>4141</v>
      </c>
      <c r="F9206" s="74" t="s">
        <v>3</v>
      </c>
      <c r="G9206" s="153">
        <f>0.221*0.019*1.5*8*1.12</f>
        <v>5.6434560000000002E-2</v>
      </c>
      <c r="H9206" s="164"/>
    </row>
    <row r="9207" spans="1:9" x14ac:dyDescent="0.25">
      <c r="A9207" s="163"/>
      <c r="B9207" s="106"/>
      <c r="C9207" s="73"/>
      <c r="D9207" s="75" t="s">
        <v>4236</v>
      </c>
      <c r="E9207" s="75"/>
      <c r="F9207" s="74"/>
      <c r="G9207" s="153"/>
      <c r="H9207" s="164"/>
    </row>
    <row r="9208" spans="1:9" x14ac:dyDescent="0.25">
      <c r="A9208" s="163"/>
      <c r="B9208" s="106"/>
      <c r="C9208" s="73"/>
      <c r="D9208" s="73" t="s">
        <v>4150</v>
      </c>
      <c r="E9208" s="73"/>
      <c r="F9208" s="74" t="s">
        <v>3</v>
      </c>
      <c r="G9208" s="153">
        <f>(0.869)*1.5-0.004</f>
        <v>1.2995000000000001</v>
      </c>
      <c r="H9208" s="164"/>
      <c r="I9208" t="s">
        <v>2713</v>
      </c>
    </row>
    <row r="9209" spans="1:9" x14ac:dyDescent="0.25">
      <c r="A9209" s="163"/>
      <c r="B9209" s="106"/>
      <c r="C9209" s="73"/>
      <c r="D9209" s="75" t="s">
        <v>4237</v>
      </c>
      <c r="E9209" s="73"/>
      <c r="F9209" s="74"/>
      <c r="G9209" s="153"/>
      <c r="H9209" s="164"/>
    </row>
    <row r="9210" spans="1:9" x14ac:dyDescent="0.25">
      <c r="A9210" s="163"/>
      <c r="B9210" s="106"/>
      <c r="C9210" s="73"/>
      <c r="D9210" s="73" t="s">
        <v>4141</v>
      </c>
      <c r="E9210" s="73"/>
      <c r="F9210" s="74" t="s">
        <v>3</v>
      </c>
      <c r="G9210" s="153">
        <f>0.22*0.156*1.5*8*1.117</f>
        <v>0.46002528000000004</v>
      </c>
      <c r="H9210" s="164"/>
    </row>
    <row r="9211" spans="1:9" x14ac:dyDescent="0.25">
      <c r="A9211" s="163"/>
      <c r="B9211" s="106"/>
      <c r="C9211" s="73"/>
      <c r="D9211" s="75" t="s">
        <v>4238</v>
      </c>
      <c r="E9211" s="73"/>
      <c r="F9211" s="74"/>
      <c r="G9211" s="153"/>
      <c r="H9211" s="164"/>
    </row>
    <row r="9212" spans="1:9" x14ac:dyDescent="0.25">
      <c r="A9212" s="163"/>
      <c r="B9212" s="106"/>
      <c r="C9212" s="73"/>
      <c r="D9212" s="73" t="s">
        <v>4141</v>
      </c>
      <c r="E9212" s="73"/>
      <c r="F9212" s="74" t="s">
        <v>3</v>
      </c>
      <c r="G9212" s="153">
        <f>1*0.745*1.5*8*1.1186</f>
        <v>10.000284000000001</v>
      </c>
      <c r="H9212" s="164"/>
    </row>
    <row r="9213" spans="1:9" x14ac:dyDescent="0.25">
      <c r="A9213" s="163"/>
      <c r="B9213" s="106"/>
      <c r="C9213" s="73"/>
      <c r="D9213" s="75" t="s">
        <v>4239</v>
      </c>
      <c r="E9213" s="73"/>
      <c r="F9213" s="74"/>
      <c r="G9213" s="153"/>
      <c r="H9213" s="164"/>
    </row>
    <row r="9214" spans="1:9" x14ac:dyDescent="0.25">
      <c r="A9214" s="163"/>
      <c r="B9214" s="106"/>
      <c r="C9214" s="73"/>
      <c r="D9214" s="73" t="s">
        <v>4141</v>
      </c>
      <c r="E9214" s="73"/>
      <c r="F9214" s="74" t="s">
        <v>3</v>
      </c>
      <c r="G9214" s="153">
        <f>0.65*0.33*1.5*8*1.1265</f>
        <v>2.8996110000000006</v>
      </c>
      <c r="H9214" s="164"/>
    </row>
    <row r="9215" spans="1:9" x14ac:dyDescent="0.25">
      <c r="A9215" s="163"/>
      <c r="B9215" s="106"/>
      <c r="C9215" s="73"/>
      <c r="D9215" s="77" t="s">
        <v>1054</v>
      </c>
      <c r="E9215" s="73"/>
      <c r="F9215" s="152" t="s">
        <v>3</v>
      </c>
      <c r="G9215" s="153">
        <f>0.13*0.08*1.12+0.003</f>
        <v>1.4648000000000001E-2</v>
      </c>
      <c r="H9215" s="164"/>
    </row>
    <row r="9216" spans="1:9" ht="17.25" x14ac:dyDescent="0.25">
      <c r="A9216" s="163"/>
      <c r="B9216" s="106"/>
      <c r="C9216" s="73"/>
      <c r="D9216" s="77" t="s">
        <v>1055</v>
      </c>
      <c r="E9216" s="73"/>
      <c r="F9216" s="74" t="s">
        <v>596</v>
      </c>
      <c r="G9216" s="153">
        <f>G9215*1.1+0.001</f>
        <v>1.7112800000000004E-2</v>
      </c>
      <c r="H9216" s="164"/>
    </row>
    <row r="9217" spans="1:8" x14ac:dyDescent="0.25">
      <c r="A9217" s="163"/>
      <c r="B9217" s="106"/>
      <c r="C9217" s="73"/>
      <c r="D9217" s="75" t="s">
        <v>4240</v>
      </c>
      <c r="E9217" s="73"/>
      <c r="F9217" s="74"/>
      <c r="G9217" s="153"/>
      <c r="H9217" s="164"/>
    </row>
    <row r="9218" spans="1:8" x14ac:dyDescent="0.25">
      <c r="A9218" s="163"/>
      <c r="B9218" s="106"/>
      <c r="C9218" s="73"/>
      <c r="D9218" s="73" t="s">
        <v>4141</v>
      </c>
      <c r="E9218" s="73"/>
      <c r="F9218" s="74" t="s">
        <v>3</v>
      </c>
      <c r="G9218" s="153">
        <f>0.99*0.335*1.5*8*1.1308</f>
        <v>4.5003578400000004</v>
      </c>
      <c r="H9218" s="164"/>
    </row>
    <row r="9219" spans="1:8" x14ac:dyDescent="0.25">
      <c r="A9219" s="163"/>
      <c r="B9219" s="106"/>
      <c r="C9219" s="73"/>
      <c r="D9219" s="75" t="s">
        <v>4241</v>
      </c>
      <c r="E9219" s="73"/>
      <c r="F9219" s="74"/>
      <c r="G9219" s="153"/>
      <c r="H9219" s="164"/>
    </row>
    <row r="9220" spans="1:8" x14ac:dyDescent="0.25">
      <c r="A9220" s="163"/>
      <c r="B9220" s="106"/>
      <c r="C9220" s="73"/>
      <c r="D9220" s="73" t="s">
        <v>4141</v>
      </c>
      <c r="E9220" s="73"/>
      <c r="F9220" s="74" t="s">
        <v>3</v>
      </c>
      <c r="G9220" s="153">
        <f>0.65*0.32*1.5*8*1.0817</f>
        <v>2.6999232000000006</v>
      </c>
      <c r="H9220" s="164"/>
    </row>
    <row r="9221" spans="1:8" x14ac:dyDescent="0.25">
      <c r="A9221" s="163"/>
      <c r="B9221" s="106"/>
      <c r="C9221" s="73"/>
      <c r="D9221" s="77" t="s">
        <v>1054</v>
      </c>
      <c r="E9221" s="73"/>
      <c r="F9221" s="152" t="s">
        <v>3</v>
      </c>
      <c r="G9221" s="153">
        <f>0.13*0.08*1.12+0.003</f>
        <v>1.4648000000000001E-2</v>
      </c>
      <c r="H9221" s="164"/>
    </row>
    <row r="9222" spans="1:8" ht="17.25" x14ac:dyDescent="0.25">
      <c r="A9222" s="163"/>
      <c r="B9222" s="106"/>
      <c r="C9222" s="73"/>
      <c r="D9222" s="77" t="s">
        <v>1055</v>
      </c>
      <c r="E9222" s="73"/>
      <c r="F9222" s="74" t="s">
        <v>596</v>
      </c>
      <c r="G9222" s="153">
        <f>G9221*1.1+0.001</f>
        <v>1.7112800000000004E-2</v>
      </c>
      <c r="H9222" s="164"/>
    </row>
    <row r="9223" spans="1:8" x14ac:dyDescent="0.25">
      <c r="A9223" s="163"/>
      <c r="B9223" s="106"/>
      <c r="C9223" s="73"/>
      <c r="D9223" s="75" t="s">
        <v>4242</v>
      </c>
      <c r="E9223" s="73"/>
      <c r="F9223" s="74"/>
      <c r="G9223" s="153"/>
      <c r="H9223" s="164"/>
    </row>
    <row r="9224" spans="1:8" x14ac:dyDescent="0.25">
      <c r="A9224" s="163"/>
      <c r="B9224" s="106"/>
      <c r="C9224" s="73"/>
      <c r="D9224" s="73" t="s">
        <v>4141</v>
      </c>
      <c r="E9224" s="73"/>
      <c r="F9224" s="74" t="s">
        <v>3</v>
      </c>
      <c r="G9224" s="153">
        <f>0.45*0.99*1.5*8*1.1224</f>
        <v>6.0003504000000003</v>
      </c>
      <c r="H9224" s="164"/>
    </row>
    <row r="9225" spans="1:8" x14ac:dyDescent="0.25">
      <c r="A9225" s="163"/>
      <c r="B9225" s="106"/>
      <c r="C9225" s="73"/>
      <c r="D9225" s="75" t="s">
        <v>4243</v>
      </c>
      <c r="E9225" s="73"/>
      <c r="F9225" s="74"/>
      <c r="G9225" s="153"/>
      <c r="H9225" s="164"/>
    </row>
    <row r="9226" spans="1:8" x14ac:dyDescent="0.25">
      <c r="A9226" s="163"/>
      <c r="B9226" s="106"/>
      <c r="C9226" s="73"/>
      <c r="D9226" s="100" t="s">
        <v>4141</v>
      </c>
      <c r="E9226" s="73"/>
      <c r="F9226" s="74" t="s">
        <v>3</v>
      </c>
      <c r="G9226" s="153">
        <f>0.03*0.03*1.5*8*1.15</f>
        <v>1.242E-2</v>
      </c>
      <c r="H9226" s="164"/>
    </row>
    <row r="9227" spans="1:8" x14ac:dyDescent="0.25">
      <c r="A9227" s="163"/>
      <c r="B9227" s="106"/>
      <c r="C9227" s="73"/>
      <c r="D9227" s="73"/>
      <c r="E9227" s="73"/>
      <c r="F9227" s="74"/>
      <c r="G9227" s="153"/>
      <c r="H9227" s="391">
        <f>G9226+G9224+G9220+G9218+G9214+G9212+G9210+G9206+G9199+G9195+G9190+G9188+G9186</f>
        <v>29.048649480000002</v>
      </c>
    </row>
    <row r="9228" spans="1:8" x14ac:dyDescent="0.25">
      <c r="A9228" s="163"/>
      <c r="B9228" s="106"/>
      <c r="C9228" s="73"/>
      <c r="D9228" s="73"/>
      <c r="E9228" s="73"/>
      <c r="F9228" s="74"/>
      <c r="G9228" s="153"/>
      <c r="H9228" s="164"/>
    </row>
    <row r="9229" spans="1:8" x14ac:dyDescent="0.25">
      <c r="A9229" s="163"/>
      <c r="B9229" s="106"/>
      <c r="C9229" s="390" t="s">
        <v>4244</v>
      </c>
      <c r="D9229" s="73"/>
      <c r="E9229" s="73"/>
      <c r="F9229" s="74"/>
      <c r="G9229" s="153"/>
      <c r="H9229" s="164"/>
    </row>
    <row r="9230" spans="1:8" x14ac:dyDescent="0.25">
      <c r="A9230" s="163"/>
      <c r="B9230" s="106"/>
      <c r="C9230" s="73" t="s">
        <v>1902</v>
      </c>
      <c r="D9230" s="73"/>
      <c r="E9230" s="73"/>
      <c r="F9230" s="74" t="s">
        <v>3</v>
      </c>
      <c r="G9230" s="153">
        <v>1.2E-2</v>
      </c>
      <c r="H9230" s="391"/>
    </row>
    <row r="9231" spans="1:8" x14ac:dyDescent="0.25">
      <c r="A9231" s="163"/>
      <c r="B9231" s="106"/>
      <c r="C9231" s="73" t="s">
        <v>1021</v>
      </c>
      <c r="D9231" s="73"/>
      <c r="E9231" s="73"/>
      <c r="F9231" s="74" t="s">
        <v>3</v>
      </c>
      <c r="G9231" s="153">
        <f>G9234</f>
        <v>0.25997076705599997</v>
      </c>
      <c r="H9231" s="391"/>
    </row>
    <row r="9232" spans="1:8" x14ac:dyDescent="0.25">
      <c r="A9232" s="163"/>
      <c r="B9232" s="106"/>
      <c r="C9232" s="73" t="s">
        <v>661</v>
      </c>
      <c r="D9232" s="73"/>
      <c r="E9232" s="73"/>
      <c r="F9232" s="74" t="s">
        <v>3</v>
      </c>
      <c r="G9232" s="153">
        <f>G9231*0.4*0.85+0.002</f>
        <v>9.0390060799039995E-2</v>
      </c>
      <c r="H9232" s="391"/>
    </row>
    <row r="9233" spans="1:11" x14ac:dyDescent="0.25">
      <c r="A9233" s="163"/>
      <c r="B9233" s="106"/>
      <c r="C9233" s="73" t="s">
        <v>1993</v>
      </c>
      <c r="D9233" s="73"/>
      <c r="E9233" s="73"/>
      <c r="F9233" s="74" t="s">
        <v>3</v>
      </c>
      <c r="G9233" s="153">
        <f>0.177*G9232</f>
        <v>1.5999040761430078E-2</v>
      </c>
      <c r="H9233" s="391"/>
    </row>
    <row r="9234" spans="1:11" x14ac:dyDescent="0.25">
      <c r="A9234" s="163"/>
      <c r="B9234" s="106"/>
      <c r="C9234" s="73" t="s">
        <v>8</v>
      </c>
      <c r="D9234" s="73"/>
      <c r="E9234" s="73"/>
      <c r="F9234" s="74" t="s">
        <v>3</v>
      </c>
      <c r="G9234" s="153">
        <f>G9236*0.868</f>
        <v>0.25997076705599997</v>
      </c>
      <c r="H9234" s="391"/>
    </row>
    <row r="9235" spans="1:11" x14ac:dyDescent="0.25">
      <c r="A9235" s="163"/>
      <c r="B9235" s="106"/>
      <c r="C9235" s="73" t="s">
        <v>12</v>
      </c>
      <c r="D9235" s="73"/>
      <c r="E9235" s="73"/>
      <c r="F9235" s="74" t="s">
        <v>3</v>
      </c>
      <c r="G9235" s="153">
        <f>0.3*G9234+0.002</f>
        <v>7.9991230116799997E-2</v>
      </c>
      <c r="H9235" s="391"/>
    </row>
    <row r="9236" spans="1:11" x14ac:dyDescent="0.25">
      <c r="A9236" s="163"/>
      <c r="B9236" s="106"/>
      <c r="C9236" s="73" t="s">
        <v>72</v>
      </c>
      <c r="D9236" s="73"/>
      <c r="E9236" s="73"/>
      <c r="F9236" s="74" t="s">
        <v>3</v>
      </c>
      <c r="G9236" s="153">
        <f>(0.84*0.46*2+0.13*(0.84*1.5+0.4*2))*0.135*2*1.066</f>
        <v>0.29950549199999998</v>
      </c>
      <c r="H9236" s="391"/>
    </row>
    <row r="9237" spans="1:11" x14ac:dyDescent="0.25">
      <c r="A9237" s="163"/>
      <c r="B9237" s="106"/>
      <c r="C9237" s="73" t="s">
        <v>11</v>
      </c>
      <c r="D9237" s="73"/>
      <c r="E9237" s="73"/>
      <c r="F9237" s="74" t="s">
        <v>3</v>
      </c>
      <c r="G9237" s="153">
        <f>0.3*G9236</f>
        <v>8.9851647599999987E-2</v>
      </c>
      <c r="H9237" s="391"/>
    </row>
    <row r="9238" spans="1:11" x14ac:dyDescent="0.25">
      <c r="A9238" s="163"/>
      <c r="B9238" s="106"/>
      <c r="C9238" s="77" t="s">
        <v>420</v>
      </c>
      <c r="D9238" s="73"/>
      <c r="E9238" s="73"/>
      <c r="F9238" s="74" t="s">
        <v>3</v>
      </c>
      <c r="G9238" s="153">
        <v>5.0000000000000001E-3</v>
      </c>
      <c r="H9238" s="391"/>
      <c r="K9238" s="452"/>
    </row>
    <row r="9239" spans="1:11" x14ac:dyDescent="0.25">
      <c r="A9239" s="163"/>
      <c r="B9239" s="106"/>
      <c r="C9239" s="73" t="s">
        <v>147</v>
      </c>
      <c r="D9239" s="73"/>
      <c r="E9239" s="73"/>
      <c r="F9239" s="74" t="s">
        <v>3</v>
      </c>
      <c r="G9239" s="153">
        <v>0.1</v>
      </c>
      <c r="H9239" s="391"/>
    </row>
    <row r="9240" spans="1:11" x14ac:dyDescent="0.25">
      <c r="A9240" s="163"/>
      <c r="B9240" s="106"/>
      <c r="C9240" s="73" t="s">
        <v>3085</v>
      </c>
      <c r="D9240" s="73"/>
      <c r="E9240" s="73"/>
      <c r="F9240" s="74" t="s">
        <v>3</v>
      </c>
      <c r="G9240" s="153">
        <v>0.55000000000000004</v>
      </c>
      <c r="H9240" s="391"/>
    </row>
    <row r="9241" spans="1:11" x14ac:dyDescent="0.25">
      <c r="A9241" s="163"/>
      <c r="B9241" s="106"/>
      <c r="C9241" s="77" t="s">
        <v>1054</v>
      </c>
      <c r="D9241" s="73"/>
      <c r="E9241" s="73"/>
      <c r="F9241" s="152" t="s">
        <v>3</v>
      </c>
      <c r="G9241" s="153">
        <f>(0.13*4+0.4*4+0.8*2+0.1*3.14+0.3+0.15+0.08+0.34*2+0.3*4)*0.08*1.086</f>
        <v>0.55985472000000014</v>
      </c>
      <c r="H9241" s="391"/>
    </row>
    <row r="9242" spans="1:11" ht="17.25" x14ac:dyDescent="0.25">
      <c r="A9242" s="163"/>
      <c r="B9242" s="106"/>
      <c r="C9242" s="77" t="s">
        <v>1055</v>
      </c>
      <c r="D9242" s="73"/>
      <c r="E9242" s="73"/>
      <c r="F9242" s="74" t="s">
        <v>596</v>
      </c>
      <c r="G9242" s="153">
        <f>G9241*1.1</f>
        <v>0.61584019200000018</v>
      </c>
      <c r="H9242" s="391"/>
    </row>
    <row r="9243" spans="1:11" x14ac:dyDescent="0.25">
      <c r="A9243" s="163"/>
      <c r="B9243" s="106"/>
      <c r="C9243" s="73"/>
      <c r="D9243" s="75" t="s">
        <v>4245</v>
      </c>
      <c r="E9243" s="73"/>
      <c r="F9243" s="74"/>
      <c r="G9243" s="153"/>
      <c r="H9243" s="391"/>
    </row>
    <row r="9244" spans="1:11" x14ac:dyDescent="0.25">
      <c r="A9244" s="163"/>
      <c r="B9244" s="106"/>
      <c r="C9244" s="73"/>
      <c r="D9244" s="77" t="s">
        <v>1054</v>
      </c>
      <c r="E9244" s="73"/>
      <c r="F9244" s="152" t="s">
        <v>3</v>
      </c>
      <c r="G9244" s="153">
        <f>0.34*0.08*1.12</f>
        <v>3.0464000000000005E-2</v>
      </c>
      <c r="H9244" s="391"/>
    </row>
    <row r="9245" spans="1:11" ht="17.25" x14ac:dyDescent="0.25">
      <c r="A9245" s="163"/>
      <c r="B9245" s="106"/>
      <c r="C9245" s="73"/>
      <c r="D9245" s="77" t="s">
        <v>1055</v>
      </c>
      <c r="E9245" s="73"/>
      <c r="F9245" s="74" t="s">
        <v>596</v>
      </c>
      <c r="G9245" s="153">
        <f>G9244*1.1+0.001</f>
        <v>3.4510400000000011E-2</v>
      </c>
      <c r="H9245" s="391"/>
    </row>
    <row r="9246" spans="1:11" x14ac:dyDescent="0.25">
      <c r="A9246" s="163"/>
      <c r="B9246" s="106"/>
      <c r="C9246" s="73"/>
      <c r="D9246" s="73"/>
      <c r="E9246" s="75" t="s">
        <v>4246</v>
      </c>
      <c r="F9246" s="74"/>
      <c r="G9246" s="153"/>
      <c r="H9246" s="391"/>
    </row>
    <row r="9247" spans="1:11" x14ac:dyDescent="0.25">
      <c r="A9247" s="163"/>
      <c r="B9247" s="106"/>
      <c r="C9247" s="73"/>
      <c r="D9247" s="73"/>
      <c r="E9247" s="73" t="s">
        <v>4141</v>
      </c>
      <c r="F9247" s="74" t="s">
        <v>3</v>
      </c>
      <c r="G9247" s="153">
        <f>0.16*0.285*1.5*8*1.096</f>
        <v>0.59973119999999991</v>
      </c>
      <c r="H9247" s="391"/>
    </row>
    <row r="9248" spans="1:11" x14ac:dyDescent="0.25">
      <c r="A9248" s="163"/>
      <c r="B9248" s="106"/>
      <c r="C9248" s="73"/>
      <c r="D9248" s="73"/>
      <c r="E9248" s="75" t="s">
        <v>4247</v>
      </c>
      <c r="F9248" s="74"/>
      <c r="G9248" s="153"/>
      <c r="H9248" s="391"/>
    </row>
    <row r="9249" spans="1:11" x14ac:dyDescent="0.25">
      <c r="A9249" s="163"/>
      <c r="B9249" s="106"/>
      <c r="C9249" s="73"/>
      <c r="D9249" s="73"/>
      <c r="E9249" s="73" t="s">
        <v>4141</v>
      </c>
      <c r="F9249" s="74" t="s">
        <v>3</v>
      </c>
      <c r="G9249" s="153">
        <f>0.125*0.019*1.5*8*1.12</f>
        <v>3.1919999999999997E-2</v>
      </c>
      <c r="H9249" s="391"/>
    </row>
    <row r="9250" spans="1:11" x14ac:dyDescent="0.25">
      <c r="A9250" s="163"/>
      <c r="B9250" s="106"/>
      <c r="C9250" s="73"/>
      <c r="D9250" s="75" t="s">
        <v>4248</v>
      </c>
      <c r="E9250" s="73"/>
      <c r="F9250" s="74"/>
      <c r="G9250" s="153"/>
      <c r="H9250" s="391"/>
    </row>
    <row r="9251" spans="1:11" x14ac:dyDescent="0.25">
      <c r="A9251" s="163"/>
      <c r="B9251" s="106"/>
      <c r="C9251" s="73"/>
      <c r="D9251" s="77" t="s">
        <v>1054</v>
      </c>
      <c r="E9251" s="73"/>
      <c r="F9251" s="152" t="s">
        <v>3</v>
      </c>
      <c r="G9251" s="153">
        <f>0.25*0.08</f>
        <v>0.02</v>
      </c>
      <c r="H9251" s="391"/>
    </row>
    <row r="9252" spans="1:11" ht="17.25" x14ac:dyDescent="0.25">
      <c r="A9252" s="163"/>
      <c r="B9252" s="106"/>
      <c r="C9252" s="73"/>
      <c r="D9252" s="77" t="s">
        <v>1055</v>
      </c>
      <c r="E9252" s="73"/>
      <c r="F9252" s="74" t="s">
        <v>596</v>
      </c>
      <c r="G9252" s="153">
        <f>G9251*1.1+0.001</f>
        <v>2.3000000000000003E-2</v>
      </c>
      <c r="H9252" s="391"/>
      <c r="K9252" s="452"/>
    </row>
    <row r="9253" spans="1:11" x14ac:dyDescent="0.25">
      <c r="A9253" s="163"/>
      <c r="B9253" s="106"/>
      <c r="C9253" s="73"/>
      <c r="D9253" s="73"/>
      <c r="E9253" s="75" t="s">
        <v>4249</v>
      </c>
      <c r="F9253" s="74"/>
      <c r="G9253" s="153"/>
      <c r="H9253" s="391"/>
    </row>
    <row r="9254" spans="1:11" x14ac:dyDescent="0.25">
      <c r="A9254" s="163"/>
      <c r="B9254" s="106"/>
      <c r="C9254" s="73"/>
      <c r="D9254" s="73"/>
      <c r="E9254" s="73" t="s">
        <v>4141</v>
      </c>
      <c r="F9254" s="74" t="s">
        <v>3</v>
      </c>
      <c r="G9254" s="153">
        <f>0.35*0.16*1.5*8*1.131</f>
        <v>0.76003199999999993</v>
      </c>
      <c r="H9254" s="391"/>
    </row>
    <row r="9255" spans="1:11" x14ac:dyDescent="0.25">
      <c r="A9255" s="163"/>
      <c r="B9255" s="106"/>
      <c r="C9255" s="73"/>
      <c r="D9255" s="75" t="s">
        <v>4250</v>
      </c>
      <c r="E9255" s="73"/>
      <c r="F9255" s="74"/>
      <c r="G9255" s="153"/>
      <c r="H9255" s="391"/>
    </row>
    <row r="9256" spans="1:11" x14ac:dyDescent="0.25">
      <c r="A9256" s="163"/>
      <c r="B9256" s="106"/>
      <c r="C9256" s="73"/>
      <c r="D9256" s="73" t="s">
        <v>4141</v>
      </c>
      <c r="E9256" s="73"/>
      <c r="F9256" s="74" t="s">
        <v>3</v>
      </c>
      <c r="G9256" s="153">
        <f>0.865*0.76*1.5*8*1.1282</f>
        <v>8.90014416</v>
      </c>
      <c r="H9256" s="391"/>
    </row>
    <row r="9257" spans="1:11" x14ac:dyDescent="0.25">
      <c r="A9257" s="163"/>
      <c r="B9257" s="106"/>
      <c r="C9257" s="73"/>
      <c r="D9257" s="75" t="s">
        <v>4252</v>
      </c>
      <c r="E9257" s="73"/>
      <c r="F9257" s="74"/>
      <c r="G9257" s="153"/>
      <c r="H9257" s="391"/>
    </row>
    <row r="9258" spans="1:11" x14ac:dyDescent="0.25">
      <c r="A9258" s="163"/>
      <c r="B9258" s="106"/>
      <c r="C9258" s="73"/>
      <c r="D9258" s="73" t="s">
        <v>4141</v>
      </c>
      <c r="E9258" s="73"/>
      <c r="F9258" s="74" t="s">
        <v>3</v>
      </c>
      <c r="G9258" s="153">
        <f>0.23*0.76*1.5*8*1.192</f>
        <v>2.5003392</v>
      </c>
      <c r="H9258" s="391"/>
    </row>
    <row r="9259" spans="1:11" x14ac:dyDescent="0.25">
      <c r="A9259" s="163"/>
      <c r="B9259" s="106"/>
      <c r="C9259" s="73"/>
      <c r="D9259" s="75" t="s">
        <v>4251</v>
      </c>
      <c r="E9259" s="73"/>
      <c r="F9259" s="74"/>
      <c r="G9259" s="153"/>
      <c r="H9259" s="391"/>
    </row>
    <row r="9260" spans="1:11" x14ac:dyDescent="0.25">
      <c r="A9260" s="163"/>
      <c r="B9260" s="106"/>
      <c r="C9260" s="73"/>
      <c r="D9260" s="73" t="s">
        <v>4141</v>
      </c>
      <c r="E9260" s="73"/>
      <c r="F9260" s="74" t="s">
        <v>3</v>
      </c>
      <c r="G9260" s="153">
        <f>0.22*0.55*1.5*8*1.1365</f>
        <v>1.6501980000000003</v>
      </c>
      <c r="H9260" s="391"/>
    </row>
    <row r="9261" spans="1:11" x14ac:dyDescent="0.25">
      <c r="A9261" s="163"/>
      <c r="B9261" s="106"/>
      <c r="C9261" s="73"/>
      <c r="D9261" s="77" t="s">
        <v>1054</v>
      </c>
      <c r="E9261" s="73"/>
      <c r="F9261" s="152" t="s">
        <v>3</v>
      </c>
      <c r="G9261" s="153">
        <f>0.19*0.08</f>
        <v>1.52E-2</v>
      </c>
      <c r="H9261" s="391"/>
    </row>
    <row r="9262" spans="1:11" ht="17.25" x14ac:dyDescent="0.25">
      <c r="A9262" s="163"/>
      <c r="B9262" s="106"/>
      <c r="C9262" s="73"/>
      <c r="D9262" s="77" t="s">
        <v>1055</v>
      </c>
      <c r="E9262" s="73"/>
      <c r="F9262" s="74" t="s">
        <v>596</v>
      </c>
      <c r="G9262" s="153">
        <f>G9261*1.1+0.001</f>
        <v>1.7720000000000003E-2</v>
      </c>
      <c r="H9262" s="391"/>
    </row>
    <row r="9263" spans="1:11" x14ac:dyDescent="0.25">
      <c r="A9263" s="163"/>
      <c r="B9263" s="106"/>
      <c r="C9263" s="73"/>
      <c r="D9263" s="75" t="s">
        <v>4253</v>
      </c>
      <c r="E9263" s="73"/>
      <c r="F9263" s="74"/>
      <c r="G9263" s="153"/>
      <c r="H9263" s="391"/>
    </row>
    <row r="9264" spans="1:11" x14ac:dyDescent="0.25">
      <c r="A9264" s="163"/>
      <c r="B9264" s="106"/>
      <c r="C9264" s="73"/>
      <c r="D9264" s="73" t="s">
        <v>4141</v>
      </c>
      <c r="E9264" s="73"/>
      <c r="F9264" s="74" t="s">
        <v>3</v>
      </c>
      <c r="G9264" s="153">
        <f>0.22*0.55*1.5*8*1.1365</f>
        <v>1.6501980000000003</v>
      </c>
      <c r="H9264" s="391"/>
    </row>
    <row r="9265" spans="1:11" x14ac:dyDescent="0.25">
      <c r="A9265" s="163"/>
      <c r="B9265" s="106"/>
      <c r="C9265" s="73"/>
      <c r="D9265" s="77" t="s">
        <v>1054</v>
      </c>
      <c r="E9265" s="73"/>
      <c r="F9265" s="152" t="s">
        <v>3</v>
      </c>
      <c r="G9265" s="153">
        <f>0.19*0.08</f>
        <v>1.52E-2</v>
      </c>
      <c r="H9265" s="391"/>
    </row>
    <row r="9266" spans="1:11" ht="17.25" x14ac:dyDescent="0.25">
      <c r="A9266" s="163"/>
      <c r="B9266" s="106"/>
      <c r="C9266" s="73"/>
      <c r="D9266" s="77" t="s">
        <v>1055</v>
      </c>
      <c r="E9266" s="73"/>
      <c r="F9266" s="74" t="s">
        <v>596</v>
      </c>
      <c r="G9266" s="153">
        <f>G9265*1.1+0.001</f>
        <v>1.7720000000000003E-2</v>
      </c>
      <c r="H9266" s="391"/>
    </row>
    <row r="9267" spans="1:11" ht="15.75" thickBot="1" x14ac:dyDescent="0.3">
      <c r="A9267" s="67"/>
      <c r="B9267" s="86"/>
      <c r="C9267" s="68"/>
      <c r="D9267" s="68"/>
      <c r="E9267" s="68"/>
      <c r="F9267" s="82"/>
      <c r="G9267" s="89"/>
      <c r="H9267" s="455"/>
      <c r="I9267" s="2"/>
    </row>
    <row r="9268" spans="1:11" x14ac:dyDescent="0.25">
      <c r="A9268" s="159"/>
      <c r="B9268" s="181"/>
      <c r="C9268" s="93"/>
      <c r="D9268" s="93"/>
      <c r="E9268" s="93"/>
      <c r="F9268" s="160"/>
      <c r="G9268" s="161"/>
      <c r="H9268" s="162" t="s">
        <v>4258</v>
      </c>
    </row>
    <row r="9269" spans="1:11" x14ac:dyDescent="0.25">
      <c r="A9269" s="163"/>
      <c r="B9269" s="106"/>
      <c r="C9269" s="73"/>
      <c r="D9269" s="73"/>
      <c r="E9269" s="390" t="s">
        <v>4257</v>
      </c>
      <c r="F9269" s="74"/>
      <c r="G9269" s="153"/>
      <c r="H9269" s="164"/>
      <c r="K9269" s="458"/>
    </row>
    <row r="9270" spans="1:11" x14ac:dyDescent="0.25">
      <c r="A9270" s="163"/>
      <c r="B9270" s="106"/>
      <c r="C9270" s="73"/>
      <c r="D9270" s="73"/>
      <c r="E9270" s="73"/>
      <c r="F9270" s="74"/>
      <c r="G9270" s="153"/>
      <c r="H9270" s="164"/>
    </row>
    <row r="9271" spans="1:11" x14ac:dyDescent="0.25">
      <c r="A9271" s="163"/>
      <c r="B9271" s="106"/>
      <c r="C9271" s="75" t="s">
        <v>4254</v>
      </c>
      <c r="D9271" s="73"/>
      <c r="E9271" s="73"/>
      <c r="F9271" s="74"/>
      <c r="G9271" s="153"/>
      <c r="H9271" s="164"/>
    </row>
    <row r="9272" spans="1:11" x14ac:dyDescent="0.25">
      <c r="A9272" s="163"/>
      <c r="B9272" s="106"/>
      <c r="C9272" s="73" t="s">
        <v>4255</v>
      </c>
      <c r="D9272" s="73"/>
      <c r="E9272" s="73"/>
      <c r="F9272" s="74" t="s">
        <v>3</v>
      </c>
      <c r="G9272" s="153">
        <f>0.592*0.203</f>
        <v>0.12017600000000001</v>
      </c>
      <c r="H9272" s="164"/>
      <c r="I9272" t="s">
        <v>4256</v>
      </c>
    </row>
    <row r="9273" spans="1:11" ht="15.75" thickBot="1" x14ac:dyDescent="0.3">
      <c r="A9273" s="67"/>
      <c r="B9273" s="86"/>
      <c r="C9273" s="68"/>
      <c r="D9273" s="68"/>
      <c r="E9273" s="68"/>
      <c r="F9273" s="82"/>
      <c r="G9273" s="89"/>
      <c r="H9273" s="165"/>
    </row>
    <row r="9274" spans="1:11" x14ac:dyDescent="0.25">
      <c r="A9274" s="159" t="s">
        <v>4298</v>
      </c>
      <c r="B9274" s="181"/>
      <c r="C9274" s="93"/>
      <c r="D9274" s="93"/>
      <c r="E9274" s="93"/>
      <c r="F9274" s="160"/>
      <c r="G9274" s="161"/>
      <c r="H9274" s="162"/>
    </row>
    <row r="9275" spans="1:11" x14ac:dyDescent="0.25">
      <c r="A9275" s="163"/>
      <c r="B9275" s="106"/>
      <c r="C9275" s="73"/>
      <c r="D9275" s="73"/>
      <c r="E9275" s="390" t="s">
        <v>4259</v>
      </c>
      <c r="F9275" s="74"/>
      <c r="G9275" s="153"/>
      <c r="H9275" s="164"/>
    </row>
    <row r="9276" spans="1:11" x14ac:dyDescent="0.25">
      <c r="A9276" s="163"/>
      <c r="B9276" s="106"/>
      <c r="C9276" s="73"/>
      <c r="D9276" s="73"/>
      <c r="E9276" s="73"/>
      <c r="F9276" s="74"/>
      <c r="G9276" s="153"/>
      <c r="H9276" s="164"/>
    </row>
    <row r="9277" spans="1:11" x14ac:dyDescent="0.25">
      <c r="A9277" s="163"/>
      <c r="B9277" s="106"/>
      <c r="C9277" s="75" t="s">
        <v>4260</v>
      </c>
      <c r="D9277" s="73"/>
      <c r="E9277" s="73"/>
      <c r="F9277" s="74"/>
      <c r="G9277" s="153"/>
      <c r="H9277" s="164"/>
    </row>
    <row r="9278" spans="1:11" x14ac:dyDescent="0.25">
      <c r="A9278" s="163"/>
      <c r="B9278" s="106"/>
      <c r="C9278" s="73" t="s">
        <v>4261</v>
      </c>
      <c r="D9278" s="73"/>
      <c r="E9278" s="73"/>
      <c r="F9278" s="74" t="s">
        <v>3</v>
      </c>
      <c r="G9278" s="153">
        <f>0.05*0.02*4*8*1.1</f>
        <v>3.5200000000000002E-2</v>
      </c>
      <c r="H9278" s="164"/>
    </row>
    <row r="9279" spans="1:11" x14ac:dyDescent="0.25">
      <c r="A9279" s="163"/>
      <c r="B9279" s="106"/>
      <c r="C9279" s="73"/>
      <c r="D9279" s="73"/>
      <c r="E9279" s="73"/>
      <c r="F9279" s="74"/>
      <c r="G9279" s="153"/>
      <c r="H9279" s="164"/>
    </row>
    <row r="9280" spans="1:11" x14ac:dyDescent="0.25">
      <c r="A9280" s="163"/>
      <c r="B9280" s="106"/>
      <c r="C9280" s="75" t="s">
        <v>4262</v>
      </c>
      <c r="D9280" s="73"/>
      <c r="E9280" s="73"/>
      <c r="F9280" s="74"/>
      <c r="G9280" s="153"/>
      <c r="H9280" s="164"/>
    </row>
    <row r="9281" spans="1:8" x14ac:dyDescent="0.25">
      <c r="A9281" s="163"/>
      <c r="B9281" s="106"/>
      <c r="C9281" s="73" t="s">
        <v>4263</v>
      </c>
      <c r="D9281" s="73"/>
      <c r="E9281" s="73"/>
      <c r="F9281" s="74" t="s">
        <v>3</v>
      </c>
      <c r="G9281" s="428">
        <f>0.025*0.012*0.8*8*1.15</f>
        <v>2.2080000000000003E-3</v>
      </c>
      <c r="H9281" s="164"/>
    </row>
    <row r="9282" spans="1:8" x14ac:dyDescent="0.25">
      <c r="A9282" s="163"/>
      <c r="B9282" s="106"/>
      <c r="C9282" s="100"/>
      <c r="D9282" s="73"/>
      <c r="E9282" s="73"/>
      <c r="F9282" s="74"/>
      <c r="G9282" s="153"/>
      <c r="H9282" s="164"/>
    </row>
    <row r="9283" spans="1:8" x14ac:dyDescent="0.25">
      <c r="A9283" s="163"/>
      <c r="B9283" s="106"/>
      <c r="C9283" s="75" t="s">
        <v>4264</v>
      </c>
      <c r="D9283" s="73"/>
      <c r="E9283" s="73"/>
      <c r="F9283" s="74"/>
      <c r="G9283" s="153"/>
      <c r="H9283" s="164"/>
    </row>
    <row r="9284" spans="1:8" x14ac:dyDescent="0.25">
      <c r="A9284" s="163"/>
      <c r="B9284" s="106"/>
      <c r="C9284" s="73" t="s">
        <v>4265</v>
      </c>
      <c r="D9284" s="73"/>
      <c r="E9284" s="73"/>
      <c r="F9284" s="74" t="s">
        <v>3</v>
      </c>
      <c r="G9284" s="153">
        <f>0.028*0.4*1.5*8+0.001</f>
        <v>0.13540000000000002</v>
      </c>
      <c r="H9284" s="164"/>
    </row>
    <row r="9285" spans="1:8" x14ac:dyDescent="0.25">
      <c r="A9285" s="163"/>
      <c r="B9285" s="106"/>
      <c r="C9285" s="73"/>
      <c r="D9285" s="73"/>
      <c r="E9285" s="73"/>
      <c r="F9285" s="74"/>
      <c r="G9285" s="153"/>
      <c r="H9285" s="164"/>
    </row>
    <row r="9286" spans="1:8" x14ac:dyDescent="0.25">
      <c r="A9286" s="163"/>
      <c r="B9286" s="106"/>
      <c r="C9286" s="75" t="s">
        <v>4266</v>
      </c>
      <c r="D9286" s="73"/>
      <c r="E9286" s="73"/>
      <c r="F9286" s="74"/>
      <c r="G9286" s="153"/>
      <c r="H9286" s="164"/>
    </row>
    <row r="9287" spans="1:8" x14ac:dyDescent="0.25">
      <c r="A9287" s="163"/>
      <c r="B9287" s="106"/>
      <c r="C9287" s="73" t="s">
        <v>415</v>
      </c>
      <c r="D9287" s="73"/>
      <c r="E9287" s="73"/>
      <c r="F9287" s="74" t="s">
        <v>3</v>
      </c>
      <c r="G9287" s="153">
        <f>0.019*0.22*1.5*8*1.1</f>
        <v>5.5176000000000003E-2</v>
      </c>
      <c r="H9287" s="164"/>
    </row>
    <row r="9288" spans="1:8" x14ac:dyDescent="0.25">
      <c r="A9288" s="163"/>
      <c r="B9288" s="106"/>
      <c r="C9288" s="73" t="s">
        <v>8</v>
      </c>
      <c r="D9288" s="73"/>
      <c r="E9288" s="73"/>
      <c r="F9288" s="74" t="s">
        <v>3</v>
      </c>
      <c r="G9288" s="153">
        <f>0.9*G9289</f>
        <v>3.8610000000000003E-3</v>
      </c>
      <c r="H9288" s="164"/>
    </row>
    <row r="9289" spans="1:8" x14ac:dyDescent="0.25">
      <c r="A9289" s="163"/>
      <c r="B9289" s="106"/>
      <c r="C9289" s="73" t="s">
        <v>115</v>
      </c>
      <c r="D9289" s="73"/>
      <c r="E9289" s="73"/>
      <c r="F9289" s="74" t="s">
        <v>3</v>
      </c>
      <c r="G9289" s="153">
        <f>0.22*0.015*1.3</f>
        <v>4.2900000000000004E-3</v>
      </c>
      <c r="H9289" s="164"/>
    </row>
    <row r="9290" spans="1:8" x14ac:dyDescent="0.25">
      <c r="A9290" s="163"/>
      <c r="B9290" s="106"/>
      <c r="C9290" s="73" t="s">
        <v>12</v>
      </c>
      <c r="D9290" s="73"/>
      <c r="E9290" s="73"/>
      <c r="F9290" s="74" t="s">
        <v>3</v>
      </c>
      <c r="G9290" s="153">
        <f>0.3*(G9289+G9288)</f>
        <v>2.4453000000000001E-3</v>
      </c>
      <c r="H9290" s="164"/>
    </row>
    <row r="9291" spans="1:8" x14ac:dyDescent="0.25">
      <c r="A9291" s="163"/>
      <c r="B9291" s="106"/>
      <c r="C9291" s="73" t="s">
        <v>880</v>
      </c>
      <c r="D9291" s="73"/>
      <c r="E9291" s="73"/>
      <c r="F9291" s="74" t="s">
        <v>3</v>
      </c>
      <c r="G9291" s="153">
        <f>G9288</f>
        <v>3.8610000000000003E-3</v>
      </c>
      <c r="H9291" s="164"/>
    </row>
    <row r="9292" spans="1:8" x14ac:dyDescent="0.25">
      <c r="A9292" s="163"/>
      <c r="B9292" s="106"/>
      <c r="C9292" s="73" t="s">
        <v>313</v>
      </c>
      <c r="D9292" s="73"/>
      <c r="E9292" s="73"/>
      <c r="F9292" s="74" t="s">
        <v>3</v>
      </c>
      <c r="G9292" s="153">
        <f>0.3*G9291</f>
        <v>1.1583000000000001E-3</v>
      </c>
      <c r="H9292" s="164"/>
    </row>
    <row r="9293" spans="1:8" x14ac:dyDescent="0.25">
      <c r="A9293" s="163"/>
      <c r="B9293" s="106"/>
      <c r="C9293" s="73"/>
      <c r="D9293" s="73"/>
      <c r="E9293" s="73"/>
      <c r="F9293" s="74"/>
      <c r="G9293" s="153"/>
      <c r="H9293" s="164"/>
    </row>
    <row r="9294" spans="1:8" x14ac:dyDescent="0.25">
      <c r="A9294" s="163"/>
      <c r="B9294" s="106"/>
      <c r="C9294" s="78" t="s">
        <v>4267</v>
      </c>
      <c r="D9294" s="73"/>
      <c r="E9294" s="73"/>
      <c r="F9294" s="74"/>
      <c r="G9294" s="153"/>
      <c r="H9294" s="164"/>
    </row>
    <row r="9295" spans="1:8" x14ac:dyDescent="0.25">
      <c r="A9295" s="163"/>
      <c r="B9295" s="106"/>
      <c r="C9295" s="77" t="s">
        <v>4268</v>
      </c>
      <c r="D9295" s="73"/>
      <c r="E9295" s="73"/>
      <c r="F9295" s="74" t="s">
        <v>3</v>
      </c>
      <c r="G9295" s="153">
        <f>0.67*0.09*1.5*8*1.133</f>
        <v>0.81983879999999998</v>
      </c>
      <c r="H9295" s="164"/>
    </row>
    <row r="9296" spans="1:8" x14ac:dyDescent="0.25">
      <c r="A9296" s="163"/>
      <c r="B9296" s="106"/>
      <c r="C9296" s="73"/>
      <c r="D9296" s="73"/>
      <c r="E9296" s="73"/>
      <c r="F9296" s="74"/>
      <c r="G9296" s="153"/>
      <c r="H9296" s="164"/>
    </row>
    <row r="9297" spans="1:9" x14ac:dyDescent="0.25">
      <c r="A9297" s="163"/>
      <c r="B9297" s="106"/>
      <c r="C9297" s="78" t="s">
        <v>4269</v>
      </c>
      <c r="D9297" s="73"/>
      <c r="E9297" s="73"/>
      <c r="F9297" s="74"/>
      <c r="G9297" s="153"/>
      <c r="H9297" s="164"/>
    </row>
    <row r="9298" spans="1:9" x14ac:dyDescent="0.25">
      <c r="A9298" s="163"/>
      <c r="B9298" s="106"/>
      <c r="C9298" s="77" t="s">
        <v>4268</v>
      </c>
      <c r="D9298" s="73"/>
      <c r="E9298" s="73"/>
      <c r="F9298" s="74" t="s">
        <v>3</v>
      </c>
      <c r="G9298" s="153">
        <f>0.89*0.09*1.5*8*1.144</f>
        <v>1.0996128000000001</v>
      </c>
      <c r="H9298" s="164"/>
    </row>
    <row r="9299" spans="1:9" x14ac:dyDescent="0.25">
      <c r="A9299" s="163"/>
      <c r="B9299" s="106"/>
      <c r="C9299" s="73"/>
      <c r="D9299" s="73"/>
      <c r="E9299" s="73"/>
      <c r="F9299" s="74"/>
      <c r="G9299" s="153"/>
      <c r="H9299" s="164"/>
    </row>
    <row r="9300" spans="1:9" x14ac:dyDescent="0.25">
      <c r="A9300" s="163"/>
      <c r="B9300" s="106"/>
      <c r="C9300" s="75" t="s">
        <v>4270</v>
      </c>
      <c r="D9300" s="73"/>
      <c r="E9300" s="73"/>
      <c r="F9300" s="74"/>
      <c r="G9300" s="153"/>
      <c r="H9300" s="164"/>
    </row>
    <row r="9301" spans="1:9" x14ac:dyDescent="0.25">
      <c r="A9301" s="163"/>
      <c r="B9301" s="106"/>
      <c r="C9301" s="73" t="s">
        <v>4272</v>
      </c>
      <c r="D9301" s="73"/>
      <c r="E9301" s="73"/>
      <c r="F9301" s="74" t="s">
        <v>3</v>
      </c>
      <c r="G9301" s="153">
        <f>0.271*0.55+0.001</f>
        <v>0.15005000000000002</v>
      </c>
      <c r="H9301" s="164"/>
      <c r="I9301" t="s">
        <v>4273</v>
      </c>
    </row>
    <row r="9302" spans="1:9" x14ac:dyDescent="0.25">
      <c r="A9302" s="163"/>
      <c r="B9302" s="106"/>
      <c r="C9302" s="73"/>
      <c r="D9302" s="73"/>
      <c r="E9302" s="73"/>
      <c r="F9302" s="74"/>
      <c r="G9302" s="153"/>
      <c r="H9302" s="164"/>
    </row>
    <row r="9303" spans="1:9" x14ac:dyDescent="0.25">
      <c r="A9303" s="163"/>
      <c r="B9303" s="106"/>
      <c r="C9303" s="75" t="s">
        <v>4271</v>
      </c>
      <c r="D9303" s="73"/>
      <c r="E9303" s="73"/>
      <c r="F9303" s="74"/>
      <c r="G9303" s="153"/>
      <c r="H9303" s="164"/>
    </row>
    <row r="9304" spans="1:9" x14ac:dyDescent="0.25">
      <c r="A9304" s="163"/>
      <c r="B9304" s="106"/>
      <c r="C9304" s="73" t="s">
        <v>4272</v>
      </c>
      <c r="D9304" s="73"/>
      <c r="E9304" s="73"/>
      <c r="F9304" s="74" t="s">
        <v>3</v>
      </c>
      <c r="G9304" s="153">
        <f>0.271*0.11</f>
        <v>2.9810000000000003E-2</v>
      </c>
      <c r="H9304" s="164"/>
      <c r="I9304" t="s">
        <v>4274</v>
      </c>
    </row>
    <row r="9305" spans="1:9" x14ac:dyDescent="0.25">
      <c r="A9305" s="163"/>
      <c r="B9305" s="106"/>
      <c r="C9305" s="73"/>
      <c r="D9305" s="73"/>
      <c r="E9305" s="73"/>
      <c r="F9305" s="74"/>
      <c r="G9305" s="153"/>
      <c r="H9305" s="164"/>
    </row>
    <row r="9306" spans="1:9" x14ac:dyDescent="0.25">
      <c r="A9306" s="163"/>
      <c r="B9306" s="106"/>
      <c r="C9306" s="75" t="s">
        <v>4275</v>
      </c>
      <c r="D9306" s="73"/>
      <c r="E9306" s="73"/>
      <c r="F9306" s="74"/>
      <c r="G9306" s="153"/>
      <c r="H9306" s="164"/>
    </row>
    <row r="9307" spans="1:9" x14ac:dyDescent="0.25">
      <c r="A9307" s="163"/>
      <c r="B9307" s="106"/>
      <c r="C9307" s="77" t="s">
        <v>1054</v>
      </c>
      <c r="D9307" s="73"/>
      <c r="E9307" s="73"/>
      <c r="F9307" s="152" t="s">
        <v>3</v>
      </c>
      <c r="G9307" s="153">
        <f>0.06*0.08*1.2</f>
        <v>5.7599999999999995E-3</v>
      </c>
      <c r="H9307" s="164"/>
    </row>
    <row r="9308" spans="1:9" ht="17.25" x14ac:dyDescent="0.25">
      <c r="A9308" s="163"/>
      <c r="B9308" s="106"/>
      <c r="C9308" s="77" t="s">
        <v>1055</v>
      </c>
      <c r="D9308" s="73"/>
      <c r="E9308" s="73"/>
      <c r="F9308" s="74" t="s">
        <v>596</v>
      </c>
      <c r="G9308" s="153">
        <f>G9307*1.1</f>
        <v>6.3359999999999996E-3</v>
      </c>
      <c r="H9308" s="164"/>
    </row>
    <row r="9309" spans="1:9" x14ac:dyDescent="0.25">
      <c r="A9309" s="163"/>
      <c r="B9309" s="106"/>
      <c r="C9309" s="73" t="s">
        <v>8</v>
      </c>
      <c r="D9309" s="73"/>
      <c r="E9309" s="73"/>
      <c r="F9309" s="74" t="s">
        <v>3</v>
      </c>
      <c r="G9309" s="153">
        <f>G9311</f>
        <v>6.2919999999999998E-3</v>
      </c>
      <c r="H9309" s="164"/>
    </row>
    <row r="9310" spans="1:9" x14ac:dyDescent="0.25">
      <c r="A9310" s="163"/>
      <c r="B9310" s="106"/>
      <c r="C9310" s="73" t="s">
        <v>12</v>
      </c>
      <c r="D9310" s="73"/>
      <c r="E9310" s="73"/>
      <c r="F9310" s="74" t="s">
        <v>3</v>
      </c>
      <c r="G9310" s="153">
        <f>0.3*G9309</f>
        <v>1.8875999999999999E-3</v>
      </c>
      <c r="H9310" s="164"/>
    </row>
    <row r="9311" spans="1:9" x14ac:dyDescent="0.25">
      <c r="A9311" s="163"/>
      <c r="B9311" s="106"/>
      <c r="C9311" s="73" t="s">
        <v>72</v>
      </c>
      <c r="D9311" s="73"/>
      <c r="E9311" s="73"/>
      <c r="F9311" s="74" t="s">
        <v>3</v>
      </c>
      <c r="G9311" s="153">
        <f>0.22*0.011*2*1.3</f>
        <v>6.2919999999999998E-3</v>
      </c>
      <c r="H9311" s="164"/>
    </row>
    <row r="9312" spans="1:9" x14ac:dyDescent="0.25">
      <c r="A9312" s="163"/>
      <c r="B9312" s="106"/>
      <c r="C9312" s="73" t="s">
        <v>11</v>
      </c>
      <c r="D9312" s="73"/>
      <c r="E9312" s="73"/>
      <c r="F9312" s="74" t="s">
        <v>3</v>
      </c>
      <c r="G9312" s="153">
        <f>0.3*G9311</f>
        <v>1.8875999999999999E-3</v>
      </c>
      <c r="H9312" s="164"/>
    </row>
    <row r="9313" spans="1:8" x14ac:dyDescent="0.25">
      <c r="A9313" s="163"/>
      <c r="B9313" s="106"/>
      <c r="C9313" s="73"/>
      <c r="D9313" s="75" t="s">
        <v>4276</v>
      </c>
      <c r="E9313" s="73"/>
      <c r="F9313" s="74"/>
      <c r="G9313" s="153"/>
      <c r="H9313" s="164"/>
    </row>
    <row r="9314" spans="1:8" x14ac:dyDescent="0.25">
      <c r="A9314" s="163"/>
      <c r="B9314" s="106"/>
      <c r="C9314" s="73"/>
      <c r="D9314" s="73" t="s">
        <v>1143</v>
      </c>
      <c r="E9314" s="73"/>
      <c r="F9314" s="74" t="s">
        <v>3</v>
      </c>
      <c r="G9314" s="153">
        <f>0.21*0.022*3*8*1.125</f>
        <v>0.12474</v>
      </c>
      <c r="H9314" s="164"/>
    </row>
    <row r="9315" spans="1:8" x14ac:dyDescent="0.25">
      <c r="A9315" s="163"/>
      <c r="B9315" s="106"/>
      <c r="C9315" s="73"/>
      <c r="D9315" s="73"/>
      <c r="E9315" s="73"/>
      <c r="F9315" s="74"/>
      <c r="G9315" s="153"/>
      <c r="H9315" s="164"/>
    </row>
    <row r="9316" spans="1:8" x14ac:dyDescent="0.25">
      <c r="A9316" s="163"/>
      <c r="B9316" s="106"/>
      <c r="C9316" s="75" t="s">
        <v>4277</v>
      </c>
      <c r="D9316" s="73"/>
      <c r="E9316" s="73"/>
      <c r="F9316" s="74"/>
      <c r="G9316" s="153"/>
      <c r="H9316" s="164"/>
    </row>
    <row r="9317" spans="1:8" x14ac:dyDescent="0.25">
      <c r="A9317" s="163"/>
      <c r="B9317" s="106"/>
      <c r="C9317" s="77" t="s">
        <v>1054</v>
      </c>
      <c r="D9317" s="73"/>
      <c r="E9317" s="73"/>
      <c r="F9317" s="152" t="s">
        <v>3</v>
      </c>
      <c r="G9317" s="153">
        <f>0.011*3.14*2*0.08*1.1</f>
        <v>6.07904E-3</v>
      </c>
      <c r="H9317" s="164"/>
    </row>
    <row r="9318" spans="1:8" ht="17.25" x14ac:dyDescent="0.25">
      <c r="A9318" s="163"/>
      <c r="B9318" s="106"/>
      <c r="C9318" s="77" t="s">
        <v>1055</v>
      </c>
      <c r="D9318" s="73"/>
      <c r="E9318" s="73"/>
      <c r="F9318" s="74" t="s">
        <v>596</v>
      </c>
      <c r="G9318" s="153">
        <f>G9317*1.1</f>
        <v>6.6869440000000002E-3</v>
      </c>
      <c r="H9318" s="164"/>
    </row>
    <row r="9319" spans="1:8" x14ac:dyDescent="0.25">
      <c r="A9319" s="163"/>
      <c r="B9319" s="106"/>
      <c r="C9319" s="73"/>
      <c r="D9319" s="75" t="s">
        <v>4278</v>
      </c>
      <c r="E9319" s="73"/>
      <c r="F9319" s="74"/>
      <c r="G9319" s="153"/>
      <c r="H9319" s="164"/>
    </row>
    <row r="9320" spans="1:8" x14ac:dyDescent="0.25">
      <c r="A9320" s="163"/>
      <c r="B9320" s="106"/>
      <c r="C9320" s="73"/>
      <c r="D9320" s="73" t="s">
        <v>4279</v>
      </c>
      <c r="E9320" s="73"/>
      <c r="F9320" s="74" t="s">
        <v>3</v>
      </c>
      <c r="G9320" s="153">
        <f>0.086*0.025*4*8*1.159</f>
        <v>7.9739199999999996E-2</v>
      </c>
      <c r="H9320" s="164"/>
    </row>
    <row r="9321" spans="1:8" x14ac:dyDescent="0.25">
      <c r="A9321" s="163"/>
      <c r="B9321" s="106"/>
      <c r="C9321" s="73"/>
      <c r="D9321" s="73"/>
      <c r="E9321" s="73"/>
      <c r="F9321" s="74"/>
      <c r="G9321" s="153"/>
      <c r="H9321" s="164"/>
    </row>
    <row r="9322" spans="1:8" x14ac:dyDescent="0.25">
      <c r="A9322" s="163"/>
      <c r="B9322" s="106"/>
      <c r="C9322" s="75" t="s">
        <v>4280</v>
      </c>
      <c r="D9322" s="73"/>
      <c r="E9322" s="73"/>
      <c r="F9322" s="74"/>
      <c r="G9322" s="153"/>
      <c r="H9322" s="164"/>
    </row>
    <row r="9323" spans="1:8" x14ac:dyDescent="0.25">
      <c r="A9323" s="163"/>
      <c r="B9323" s="106"/>
      <c r="C9323" s="73" t="s">
        <v>213</v>
      </c>
      <c r="D9323" s="73"/>
      <c r="E9323" s="73"/>
      <c r="F9323" s="74" t="s">
        <v>3</v>
      </c>
      <c r="G9323" s="153">
        <f>0.1*0.082*3*2.7*1.13</f>
        <v>7.5054600000000013E-2</v>
      </c>
      <c r="H9323" s="164"/>
    </row>
    <row r="9324" spans="1:8" x14ac:dyDescent="0.25">
      <c r="A9324" s="163"/>
      <c r="B9324" s="106"/>
      <c r="C9324" s="73"/>
      <c r="D9324" s="73"/>
      <c r="E9324" s="73"/>
      <c r="F9324" s="74"/>
      <c r="G9324" s="153"/>
      <c r="H9324" s="164"/>
    </row>
    <row r="9325" spans="1:8" x14ac:dyDescent="0.25">
      <c r="A9325" s="163"/>
      <c r="B9325" s="106"/>
      <c r="C9325" s="75" t="s">
        <v>4281</v>
      </c>
      <c r="D9325" s="73"/>
      <c r="E9325" s="73"/>
      <c r="F9325" s="74"/>
      <c r="G9325" s="153"/>
      <c r="H9325" s="164"/>
    </row>
    <row r="9326" spans="1:8" x14ac:dyDescent="0.25">
      <c r="A9326" s="163"/>
      <c r="B9326" s="106"/>
      <c r="C9326" s="73" t="s">
        <v>828</v>
      </c>
      <c r="D9326" s="73"/>
      <c r="E9326" s="73"/>
      <c r="F9326" s="74" t="s">
        <v>3</v>
      </c>
      <c r="G9326" s="153">
        <f>0.04*0.025*3*8*1.15</f>
        <v>2.76E-2</v>
      </c>
      <c r="H9326" s="164"/>
    </row>
    <row r="9327" spans="1:8" x14ac:dyDescent="0.25">
      <c r="A9327" s="163"/>
      <c r="B9327" s="106"/>
      <c r="C9327" s="73"/>
      <c r="D9327" s="73"/>
      <c r="E9327" s="73"/>
      <c r="F9327" s="74"/>
      <c r="G9327" s="153"/>
      <c r="H9327" s="164"/>
    </row>
    <row r="9328" spans="1:8" x14ac:dyDescent="0.25">
      <c r="A9328" s="163"/>
      <c r="B9328" s="106"/>
      <c r="C9328" s="75" t="s">
        <v>4282</v>
      </c>
      <c r="D9328" s="73"/>
      <c r="E9328" s="73"/>
      <c r="F9328" s="74"/>
      <c r="G9328" s="153"/>
      <c r="H9328" s="164"/>
    </row>
    <row r="9329" spans="1:9" x14ac:dyDescent="0.25">
      <c r="A9329" s="163"/>
      <c r="B9329" s="106"/>
      <c r="C9329" s="73" t="s">
        <v>150</v>
      </c>
      <c r="D9329" s="73"/>
      <c r="E9329" s="73"/>
      <c r="F9329" s="74" t="s">
        <v>3</v>
      </c>
      <c r="G9329" s="153">
        <f>0.06*0.05*2*8*1.15</f>
        <v>5.5199999999999999E-2</v>
      </c>
      <c r="H9329" s="164"/>
    </row>
    <row r="9330" spans="1:9" x14ac:dyDescent="0.25">
      <c r="A9330" s="163"/>
      <c r="B9330" s="106"/>
      <c r="C9330" s="73"/>
      <c r="D9330" s="73"/>
      <c r="E9330" s="73"/>
      <c r="F9330" s="74"/>
      <c r="G9330" s="153"/>
      <c r="H9330" s="164"/>
    </row>
    <row r="9331" spans="1:9" x14ac:dyDescent="0.25">
      <c r="A9331" s="163"/>
      <c r="B9331" s="106"/>
      <c r="C9331" s="75" t="s">
        <v>669</v>
      </c>
      <c r="D9331" s="73"/>
      <c r="E9331" s="73"/>
      <c r="F9331" s="74"/>
      <c r="G9331" s="153"/>
      <c r="H9331" s="164"/>
    </row>
    <row r="9332" spans="1:9" x14ac:dyDescent="0.25">
      <c r="A9332" s="163"/>
      <c r="B9332" s="106"/>
      <c r="C9332" s="73" t="s">
        <v>2599</v>
      </c>
      <c r="D9332" s="73"/>
      <c r="E9332" s="73"/>
      <c r="F9332" s="74" t="s">
        <v>3</v>
      </c>
      <c r="G9332" s="153">
        <v>1E-3</v>
      </c>
      <c r="H9332" s="164"/>
    </row>
    <row r="9333" spans="1:9" x14ac:dyDescent="0.25">
      <c r="A9333" s="163"/>
      <c r="B9333" s="106"/>
      <c r="C9333" s="73"/>
      <c r="D9333" s="73"/>
      <c r="E9333" s="73"/>
      <c r="F9333" s="74"/>
      <c r="G9333" s="153"/>
      <c r="H9333" s="164"/>
    </row>
    <row r="9334" spans="1:9" x14ac:dyDescent="0.25">
      <c r="A9334" s="163"/>
      <c r="B9334" s="106"/>
      <c r="C9334" s="75" t="s">
        <v>2037</v>
      </c>
      <c r="D9334" s="73"/>
      <c r="E9334" s="73"/>
      <c r="F9334" s="74"/>
      <c r="G9334" s="153"/>
      <c r="H9334" s="164"/>
    </row>
    <row r="9335" spans="1:9" x14ac:dyDescent="0.25">
      <c r="A9335" s="163"/>
      <c r="B9335" s="106"/>
      <c r="C9335" s="73" t="s">
        <v>2040</v>
      </c>
      <c r="D9335" s="73"/>
      <c r="E9335" s="73"/>
      <c r="F9335" s="74" t="s">
        <v>3</v>
      </c>
      <c r="G9335" s="153">
        <f>0.06*0.046*4*8*1.13</f>
        <v>9.980159999999999E-2</v>
      </c>
      <c r="H9335" s="164"/>
    </row>
    <row r="9336" spans="1:9" x14ac:dyDescent="0.25">
      <c r="A9336" s="163"/>
      <c r="B9336" s="106"/>
      <c r="C9336" s="73"/>
      <c r="D9336" s="73"/>
      <c r="E9336" s="73"/>
      <c r="F9336" s="74"/>
      <c r="G9336" s="153"/>
      <c r="H9336" s="164"/>
    </row>
    <row r="9337" spans="1:9" x14ac:dyDescent="0.25">
      <c r="A9337" s="163"/>
      <c r="B9337" s="106"/>
      <c r="C9337" s="75" t="s">
        <v>2038</v>
      </c>
      <c r="D9337" s="74"/>
      <c r="E9337" s="73"/>
      <c r="F9337" s="73"/>
      <c r="G9337" s="73"/>
      <c r="H9337" s="164"/>
    </row>
    <row r="9338" spans="1:9" x14ac:dyDescent="0.25">
      <c r="A9338" s="163"/>
      <c r="B9338" s="106"/>
      <c r="C9338" s="73" t="s">
        <v>680</v>
      </c>
      <c r="D9338" s="73"/>
      <c r="E9338" s="73"/>
      <c r="F9338" s="74" t="s">
        <v>3</v>
      </c>
      <c r="G9338" s="153">
        <f>0.365*0.122</f>
        <v>4.453E-2</v>
      </c>
      <c r="H9338" s="164"/>
      <c r="I9338" t="s">
        <v>4283</v>
      </c>
    </row>
    <row r="9339" spans="1:9" x14ac:dyDescent="0.25">
      <c r="A9339" s="163"/>
      <c r="B9339" s="106"/>
      <c r="C9339" s="73"/>
      <c r="D9339" s="73"/>
      <c r="E9339" s="73"/>
      <c r="F9339" s="74"/>
      <c r="G9339" s="153"/>
      <c r="H9339" s="164"/>
    </row>
    <row r="9340" spans="1:9" x14ac:dyDescent="0.25">
      <c r="A9340" s="163"/>
      <c r="B9340" s="106"/>
      <c r="C9340" s="75" t="s">
        <v>4284</v>
      </c>
      <c r="D9340" s="73"/>
      <c r="E9340" s="73"/>
      <c r="F9340" s="74"/>
      <c r="G9340" s="153"/>
      <c r="H9340" s="164"/>
    </row>
    <row r="9341" spans="1:9" x14ac:dyDescent="0.25">
      <c r="A9341" s="163"/>
      <c r="B9341" s="106"/>
      <c r="C9341" s="73" t="s">
        <v>154</v>
      </c>
      <c r="D9341" s="73"/>
      <c r="E9341" s="73"/>
      <c r="F9341" s="74" t="s">
        <v>3</v>
      </c>
      <c r="G9341" s="153">
        <f>0.123*0.285</f>
        <v>3.5054999999999996E-2</v>
      </c>
      <c r="H9341" s="164"/>
      <c r="I9341" t="s">
        <v>4286</v>
      </c>
    </row>
    <row r="9342" spans="1:9" x14ac:dyDescent="0.25">
      <c r="A9342" s="163"/>
      <c r="B9342" s="106"/>
      <c r="C9342" s="73"/>
      <c r="D9342" s="73"/>
      <c r="E9342" s="73"/>
      <c r="F9342" s="74"/>
      <c r="G9342" s="153"/>
      <c r="H9342" s="164"/>
    </row>
    <row r="9343" spans="1:9" x14ac:dyDescent="0.25">
      <c r="A9343" s="163"/>
      <c r="B9343" s="106"/>
      <c r="C9343" s="75" t="s">
        <v>4285</v>
      </c>
      <c r="D9343" s="73"/>
      <c r="E9343" s="73"/>
      <c r="F9343" s="74"/>
      <c r="G9343" s="153"/>
      <c r="H9343" s="164"/>
    </row>
    <row r="9344" spans="1:9" x14ac:dyDescent="0.25">
      <c r="A9344" s="163"/>
      <c r="B9344" s="106"/>
      <c r="C9344" s="73" t="s">
        <v>154</v>
      </c>
      <c r="D9344" s="73"/>
      <c r="E9344" s="73"/>
      <c r="F9344" s="74" t="s">
        <v>3</v>
      </c>
      <c r="G9344" s="153">
        <f>0.123*0.24</f>
        <v>2.9519999999999998E-2</v>
      </c>
      <c r="H9344" s="164"/>
      <c r="I9344" t="s">
        <v>4287</v>
      </c>
    </row>
    <row r="9345" spans="1:11" x14ac:dyDescent="0.25">
      <c r="A9345" s="163"/>
      <c r="B9345" s="106"/>
      <c r="C9345" s="73"/>
      <c r="D9345" s="73"/>
      <c r="E9345" s="73"/>
      <c r="F9345" s="74"/>
      <c r="G9345" s="153"/>
      <c r="H9345" s="164"/>
    </row>
    <row r="9346" spans="1:11" x14ac:dyDescent="0.25">
      <c r="A9346" s="163"/>
      <c r="B9346" s="106"/>
      <c r="C9346" s="75" t="s">
        <v>4288</v>
      </c>
      <c r="D9346" s="73"/>
      <c r="E9346" s="73"/>
      <c r="F9346" s="74"/>
      <c r="G9346" s="153"/>
      <c r="H9346" s="164"/>
    </row>
    <row r="9347" spans="1:11" x14ac:dyDescent="0.25">
      <c r="A9347" s="163"/>
      <c r="B9347" s="106"/>
      <c r="C9347" s="73" t="s">
        <v>928</v>
      </c>
      <c r="D9347" s="73"/>
      <c r="E9347" s="73"/>
      <c r="F9347" s="74" t="s">
        <v>3</v>
      </c>
      <c r="G9347" s="153">
        <f>0.222*0.7</f>
        <v>0.15539999999999998</v>
      </c>
      <c r="H9347" s="164"/>
      <c r="I9347" t="s">
        <v>4289</v>
      </c>
    </row>
    <row r="9348" spans="1:11" x14ac:dyDescent="0.25">
      <c r="A9348" s="163"/>
      <c r="B9348" s="106"/>
      <c r="C9348" s="73"/>
      <c r="D9348" s="73"/>
      <c r="E9348" s="73"/>
      <c r="F9348" s="74"/>
      <c r="G9348" s="153"/>
      <c r="H9348" s="164"/>
    </row>
    <row r="9349" spans="1:11" x14ac:dyDescent="0.25">
      <c r="A9349" s="163"/>
      <c r="B9349" s="106"/>
      <c r="C9349" s="75" t="s">
        <v>3892</v>
      </c>
      <c r="D9349" s="73"/>
      <c r="E9349" s="73"/>
      <c r="F9349" s="74"/>
      <c r="G9349" s="153"/>
      <c r="H9349" s="164"/>
    </row>
    <row r="9350" spans="1:11" x14ac:dyDescent="0.25">
      <c r="A9350" s="163"/>
      <c r="B9350" s="106"/>
      <c r="C9350" s="73" t="s">
        <v>4290</v>
      </c>
      <c r="D9350" s="73"/>
      <c r="E9350" s="73"/>
      <c r="F9350" s="74" t="s">
        <v>1516</v>
      </c>
      <c r="G9350" s="153">
        <v>1</v>
      </c>
      <c r="H9350" s="164"/>
    </row>
    <row r="9351" spans="1:11" x14ac:dyDescent="0.25">
      <c r="A9351" s="163"/>
      <c r="B9351" s="106"/>
      <c r="C9351" s="73"/>
      <c r="D9351" s="73"/>
      <c r="E9351" s="73"/>
      <c r="F9351" s="74"/>
      <c r="G9351" s="153"/>
      <c r="H9351" s="164"/>
    </row>
    <row r="9352" spans="1:11" x14ac:dyDescent="0.25">
      <c r="A9352" s="163"/>
      <c r="B9352" s="106"/>
      <c r="C9352" s="75" t="s">
        <v>4291</v>
      </c>
      <c r="D9352" s="73"/>
      <c r="E9352" s="73"/>
      <c r="F9352" s="74"/>
      <c r="G9352" s="153"/>
      <c r="H9352" s="164"/>
    </row>
    <row r="9353" spans="1:11" x14ac:dyDescent="0.25">
      <c r="A9353" s="163"/>
      <c r="B9353" s="106"/>
      <c r="C9353" s="73" t="s">
        <v>595</v>
      </c>
      <c r="D9353" s="100"/>
      <c r="E9353" s="100"/>
      <c r="F9353" s="74" t="s">
        <v>3</v>
      </c>
      <c r="G9353" s="153">
        <f>0.17*0.05*1.2</f>
        <v>1.0200000000000001E-2</v>
      </c>
      <c r="H9353" s="164"/>
    </row>
    <row r="9354" spans="1:11" ht="17.25" x14ac:dyDescent="0.25">
      <c r="A9354" s="163"/>
      <c r="B9354" s="106"/>
      <c r="C9354" s="73" t="s">
        <v>168</v>
      </c>
      <c r="D9354" s="100"/>
      <c r="E9354" s="100"/>
      <c r="F9354" s="74" t="s">
        <v>596</v>
      </c>
      <c r="G9354" s="153">
        <f>1.08*G9353</f>
        <v>1.1016000000000001E-2</v>
      </c>
      <c r="H9354" s="164"/>
    </row>
    <row r="9355" spans="1:11" x14ac:dyDescent="0.25">
      <c r="A9355" s="163"/>
      <c r="B9355" s="106"/>
      <c r="C9355" s="73" t="s">
        <v>37</v>
      </c>
      <c r="D9355" s="100"/>
      <c r="E9355" s="100"/>
      <c r="F9355" s="74" t="s">
        <v>3</v>
      </c>
      <c r="G9355" s="153">
        <f>0.1*0.055*2*0.2*2*1.2</f>
        <v>5.28E-3</v>
      </c>
      <c r="H9355" s="164"/>
      <c r="K9355" s="459"/>
    </row>
    <row r="9356" spans="1:11" x14ac:dyDescent="0.25">
      <c r="A9356" s="163"/>
      <c r="B9356" s="106"/>
      <c r="C9356" s="73"/>
      <c r="D9356" s="75" t="s">
        <v>4292</v>
      </c>
      <c r="E9356" s="73"/>
      <c r="F9356" s="74"/>
      <c r="G9356" s="153"/>
      <c r="H9356" s="164"/>
    </row>
    <row r="9357" spans="1:11" x14ac:dyDescent="0.25">
      <c r="A9357" s="163"/>
      <c r="B9357" s="106"/>
      <c r="C9357" s="73"/>
      <c r="D9357" s="73" t="s">
        <v>4294</v>
      </c>
      <c r="E9357" s="73"/>
      <c r="F9357" s="74" t="s">
        <v>3</v>
      </c>
      <c r="G9357" s="153">
        <f>0.17*0.28*1.5*2.7*1.14</f>
        <v>0.21976920000000005</v>
      </c>
      <c r="H9357" s="164"/>
    </row>
    <row r="9358" spans="1:11" x14ac:dyDescent="0.25">
      <c r="A9358" s="163"/>
      <c r="B9358" s="106"/>
      <c r="C9358" s="73"/>
      <c r="D9358" s="75" t="s">
        <v>4293</v>
      </c>
      <c r="E9358" s="73"/>
      <c r="F9358" s="74"/>
      <c r="G9358" s="153"/>
      <c r="H9358" s="164"/>
    </row>
    <row r="9359" spans="1:11" x14ac:dyDescent="0.25">
      <c r="A9359" s="163"/>
      <c r="B9359" s="106"/>
      <c r="C9359" s="73"/>
      <c r="D9359" s="73" t="s">
        <v>4294</v>
      </c>
      <c r="E9359" s="73"/>
      <c r="F9359" s="74" t="s">
        <v>3</v>
      </c>
      <c r="G9359" s="153">
        <f>0.18*0.025*1.5*2.7*1.12</f>
        <v>2.0412E-2</v>
      </c>
      <c r="H9359" s="164"/>
    </row>
    <row r="9360" spans="1:11" x14ac:dyDescent="0.25">
      <c r="A9360" s="163"/>
      <c r="B9360" s="106"/>
      <c r="C9360" s="73"/>
      <c r="D9360" s="73"/>
      <c r="E9360" s="73"/>
      <c r="F9360" s="74"/>
      <c r="G9360" s="153"/>
      <c r="H9360" s="164"/>
    </row>
    <row r="9361" spans="1:8" x14ac:dyDescent="0.25">
      <c r="A9361" s="163"/>
      <c r="B9361" s="106"/>
      <c r="C9361" s="75" t="s">
        <v>4295</v>
      </c>
      <c r="D9361" s="73"/>
      <c r="E9361" s="73"/>
      <c r="F9361" s="74"/>
      <c r="G9361" s="153"/>
      <c r="H9361" s="164"/>
    </row>
    <row r="9362" spans="1:8" x14ac:dyDescent="0.25">
      <c r="A9362" s="163"/>
      <c r="B9362" s="106"/>
      <c r="C9362" s="73" t="s">
        <v>4296</v>
      </c>
      <c r="D9362" s="73"/>
      <c r="E9362" s="73"/>
      <c r="F9362" s="74" t="s">
        <v>3</v>
      </c>
      <c r="G9362" s="153">
        <f>1.825*0.022*3*8*1.121</f>
        <v>1.0801955999999999</v>
      </c>
      <c r="H9362" s="164"/>
    </row>
    <row r="9363" spans="1:8" x14ac:dyDescent="0.25">
      <c r="A9363" s="163"/>
      <c r="B9363" s="106"/>
      <c r="C9363" s="73" t="s">
        <v>8</v>
      </c>
      <c r="D9363" s="73"/>
      <c r="E9363" s="73"/>
      <c r="F9363" s="74" t="s">
        <v>3</v>
      </c>
      <c r="G9363" s="153">
        <f>G9365*0.7</f>
        <v>3.5073500000000001E-2</v>
      </c>
      <c r="H9363" s="164"/>
    </row>
    <row r="9364" spans="1:8" x14ac:dyDescent="0.25">
      <c r="A9364" s="163"/>
      <c r="B9364" s="106"/>
      <c r="C9364" s="73" t="s">
        <v>12</v>
      </c>
      <c r="D9364" s="73"/>
      <c r="E9364" s="73"/>
      <c r="F9364" s="74" t="s">
        <v>3</v>
      </c>
      <c r="G9364" s="153">
        <f>0.3*G9363</f>
        <v>1.052205E-2</v>
      </c>
      <c r="H9364" s="164"/>
    </row>
    <row r="9365" spans="1:8" x14ac:dyDescent="0.25">
      <c r="A9365" s="163"/>
      <c r="B9365" s="106"/>
      <c r="C9365" s="73" t="s">
        <v>72</v>
      </c>
      <c r="D9365" s="73"/>
      <c r="E9365" s="73"/>
      <c r="F9365" s="74" t="s">
        <v>3</v>
      </c>
      <c r="G9365" s="153">
        <f>1.822*0.011*2*1.25</f>
        <v>5.0105000000000004E-2</v>
      </c>
      <c r="H9365" s="164"/>
    </row>
    <row r="9366" spans="1:8" x14ac:dyDescent="0.25">
      <c r="A9366" s="163"/>
      <c r="B9366" s="106"/>
      <c r="C9366" s="73" t="s">
        <v>11</v>
      </c>
      <c r="D9366" s="73"/>
      <c r="E9366" s="73"/>
      <c r="F9366" s="74" t="s">
        <v>3</v>
      </c>
      <c r="G9366" s="153">
        <f>0.3*G9365</f>
        <v>1.50315E-2</v>
      </c>
      <c r="H9366" s="164"/>
    </row>
    <row r="9367" spans="1:8" x14ac:dyDescent="0.25">
      <c r="A9367" s="163"/>
      <c r="B9367" s="106"/>
      <c r="C9367" s="73"/>
      <c r="D9367" s="73"/>
      <c r="E9367" s="73"/>
      <c r="F9367" s="74"/>
      <c r="G9367" s="153"/>
      <c r="H9367" s="164"/>
    </row>
    <row r="9368" spans="1:8" x14ac:dyDescent="0.25">
      <c r="A9368" s="163"/>
      <c r="B9368" s="106"/>
      <c r="C9368" s="75" t="s">
        <v>4297</v>
      </c>
      <c r="D9368" s="73"/>
      <c r="E9368" s="73"/>
      <c r="F9368" s="74"/>
      <c r="G9368" s="153"/>
      <c r="H9368" s="164"/>
    </row>
    <row r="9369" spans="1:8" x14ac:dyDescent="0.25">
      <c r="A9369" s="163"/>
      <c r="B9369" s="106"/>
      <c r="C9369" s="73" t="s">
        <v>4296</v>
      </c>
      <c r="D9369" s="73"/>
      <c r="E9369" s="73"/>
      <c r="F9369" s="74" t="s">
        <v>3</v>
      </c>
      <c r="G9369" s="153">
        <f>0.65*0.022*3*8*1.165</f>
        <v>0.39982800000000002</v>
      </c>
      <c r="H9369" s="164"/>
    </row>
    <row r="9370" spans="1:8" x14ac:dyDescent="0.25">
      <c r="A9370" s="460"/>
      <c r="B9370" s="461"/>
      <c r="C9370" s="462"/>
      <c r="D9370" s="462"/>
      <c r="E9370" s="462"/>
      <c r="F9370" s="463"/>
      <c r="G9370" s="464"/>
      <c r="H9370" s="465"/>
    </row>
    <row r="9371" spans="1:8" x14ac:dyDescent="0.25">
      <c r="A9371" s="163"/>
      <c r="B9371" s="106"/>
      <c r="C9371" s="73"/>
      <c r="D9371" s="73"/>
      <c r="E9371" s="73"/>
      <c r="F9371" s="74"/>
      <c r="G9371" s="153"/>
      <c r="H9371" s="164"/>
    </row>
    <row r="9372" spans="1:8" x14ac:dyDescent="0.25">
      <c r="A9372" s="163"/>
      <c r="B9372" s="106"/>
      <c r="C9372" s="73"/>
      <c r="D9372" s="73"/>
      <c r="E9372" s="73"/>
      <c r="F9372" s="74"/>
      <c r="G9372" s="153"/>
      <c r="H9372" s="164"/>
    </row>
    <row r="9373" spans="1:8" x14ac:dyDescent="0.25">
      <c r="A9373" s="163"/>
      <c r="B9373" s="106"/>
      <c r="C9373" s="75" t="s">
        <v>4299</v>
      </c>
      <c r="D9373" s="73"/>
      <c r="E9373" s="73"/>
      <c r="F9373" s="74"/>
      <c r="G9373" s="153"/>
      <c r="H9373" s="164"/>
    </row>
    <row r="9374" spans="1:8" x14ac:dyDescent="0.25">
      <c r="A9374" s="163"/>
      <c r="B9374" s="106"/>
      <c r="C9374" s="73" t="s">
        <v>595</v>
      </c>
      <c r="D9374" s="100"/>
      <c r="E9374" s="100"/>
      <c r="F9374" s="74" t="s">
        <v>3</v>
      </c>
      <c r="G9374" s="153">
        <f>0.24*0.156*1.19</f>
        <v>4.4553599999999999E-2</v>
      </c>
      <c r="H9374" s="164"/>
    </row>
    <row r="9375" spans="1:8" ht="17.25" x14ac:dyDescent="0.25">
      <c r="A9375" s="163"/>
      <c r="B9375" s="106"/>
      <c r="C9375" s="73" t="s">
        <v>168</v>
      </c>
      <c r="D9375" s="100"/>
      <c r="E9375" s="100"/>
      <c r="F9375" s="74" t="s">
        <v>596</v>
      </c>
      <c r="G9375" s="153">
        <f>1.08*G9374</f>
        <v>4.8117888000000004E-2</v>
      </c>
      <c r="H9375" s="164"/>
    </row>
    <row r="9376" spans="1:8" x14ac:dyDescent="0.25">
      <c r="A9376" s="163"/>
      <c r="B9376" s="106"/>
      <c r="C9376" s="73" t="s">
        <v>114</v>
      </c>
      <c r="D9376" s="73"/>
      <c r="E9376" s="73"/>
      <c r="F9376" s="74" t="s">
        <v>3</v>
      </c>
      <c r="G9376" s="153">
        <f>G9379/2</f>
        <v>5.0030999999999999E-2</v>
      </c>
      <c r="H9376" s="164"/>
    </row>
    <row r="9377" spans="1:8" x14ac:dyDescent="0.25">
      <c r="A9377" s="163"/>
      <c r="B9377" s="106"/>
      <c r="C9377" s="73" t="s">
        <v>163</v>
      </c>
      <c r="D9377" s="73"/>
      <c r="E9377" s="73"/>
      <c r="F9377" s="74" t="s">
        <v>3</v>
      </c>
      <c r="G9377" s="153">
        <f>G9379/2</f>
        <v>5.0030999999999999E-2</v>
      </c>
      <c r="H9377" s="164"/>
    </row>
    <row r="9378" spans="1:8" x14ac:dyDescent="0.25">
      <c r="A9378" s="163"/>
      <c r="B9378" s="106"/>
      <c r="C9378" s="73" t="s">
        <v>164</v>
      </c>
      <c r="D9378" s="73"/>
      <c r="E9378" s="73"/>
      <c r="F9378" s="74" t="s">
        <v>3</v>
      </c>
      <c r="G9378" s="153">
        <f>0.3*(G9377+G9376)</f>
        <v>3.0018599999999999E-2</v>
      </c>
      <c r="H9378" s="164"/>
    </row>
    <row r="9379" spans="1:8" x14ac:dyDescent="0.25">
      <c r="A9379" s="163"/>
      <c r="B9379" s="106"/>
      <c r="C9379" s="73" t="s">
        <v>72</v>
      </c>
      <c r="D9379" s="73"/>
      <c r="E9379" s="73"/>
      <c r="F9379" s="74" t="s">
        <v>3</v>
      </c>
      <c r="G9379" s="153">
        <f>1.7*0.09*2*0.15*2*1.09</f>
        <v>0.100062</v>
      </c>
      <c r="H9379" s="164"/>
    </row>
    <row r="9380" spans="1:8" x14ac:dyDescent="0.25">
      <c r="A9380" s="163"/>
      <c r="B9380" s="106"/>
      <c r="C9380" s="73" t="s">
        <v>444</v>
      </c>
      <c r="D9380" s="73"/>
      <c r="E9380" s="73"/>
      <c r="F9380" s="74" t="s">
        <v>3</v>
      </c>
      <c r="G9380" s="153">
        <f>0.3*G9379</f>
        <v>3.0018599999999999E-2</v>
      </c>
      <c r="H9380" s="164"/>
    </row>
    <row r="9381" spans="1:8" x14ac:dyDescent="0.25">
      <c r="A9381" s="163"/>
      <c r="B9381" s="106"/>
      <c r="C9381" s="73"/>
      <c r="D9381" s="75" t="s">
        <v>4300</v>
      </c>
      <c r="E9381" s="73"/>
      <c r="F9381" s="74"/>
      <c r="G9381" s="153"/>
      <c r="H9381" s="164"/>
    </row>
    <row r="9382" spans="1:8" x14ac:dyDescent="0.25">
      <c r="A9382" s="163"/>
      <c r="B9382" s="106"/>
      <c r="C9382" s="73"/>
      <c r="D9382" s="73" t="s">
        <v>4301</v>
      </c>
      <c r="E9382" s="73"/>
      <c r="F9382" s="74" t="s">
        <v>3</v>
      </c>
      <c r="G9382" s="153">
        <f>1.665*0.07*6*2.7*1.1385</f>
        <v>2.1496132350000003</v>
      </c>
      <c r="H9382" s="164"/>
    </row>
    <row r="9383" spans="1:8" x14ac:dyDescent="0.25">
      <c r="A9383" s="163"/>
      <c r="B9383" s="106"/>
      <c r="C9383" s="73"/>
      <c r="D9383" s="73"/>
      <c r="E9383" s="73"/>
      <c r="F9383" s="74"/>
      <c r="G9383" s="153"/>
      <c r="H9383" s="164"/>
    </row>
    <row r="9384" spans="1:8" x14ac:dyDescent="0.25">
      <c r="A9384" s="163"/>
      <c r="B9384" s="106"/>
      <c r="C9384" s="75" t="s">
        <v>4302</v>
      </c>
      <c r="D9384" s="73"/>
      <c r="E9384" s="73"/>
      <c r="F9384" s="74"/>
      <c r="G9384" s="153"/>
      <c r="H9384" s="164"/>
    </row>
    <row r="9385" spans="1:8" x14ac:dyDescent="0.25">
      <c r="A9385" s="163"/>
      <c r="B9385" s="106"/>
      <c r="C9385" s="77" t="s">
        <v>1054</v>
      </c>
      <c r="D9385" s="73"/>
      <c r="E9385" s="73"/>
      <c r="F9385" s="152" t="s">
        <v>3</v>
      </c>
      <c r="G9385" s="153">
        <f>(0.06+0.12+0.08+0.075)*0.08*1.2</f>
        <v>3.2160000000000001E-2</v>
      </c>
      <c r="H9385" s="164"/>
    </row>
    <row r="9386" spans="1:8" ht="17.25" x14ac:dyDescent="0.25">
      <c r="A9386" s="163"/>
      <c r="B9386" s="106"/>
      <c r="C9386" s="77" t="s">
        <v>1055</v>
      </c>
      <c r="D9386" s="73"/>
      <c r="E9386" s="73"/>
      <c r="F9386" s="74" t="s">
        <v>596</v>
      </c>
      <c r="G9386" s="153">
        <f>G9385*1.1</f>
        <v>3.5376000000000005E-2</v>
      </c>
      <c r="H9386" s="164"/>
    </row>
    <row r="9387" spans="1:8" x14ac:dyDescent="0.25">
      <c r="A9387" s="163"/>
      <c r="B9387" s="106"/>
      <c r="C9387" s="73" t="s">
        <v>8</v>
      </c>
      <c r="D9387" s="73"/>
      <c r="E9387" s="73"/>
      <c r="F9387" s="74" t="s">
        <v>3</v>
      </c>
      <c r="G9387" s="153">
        <f>G9389*0.67</f>
        <v>6.0078900000000011E-2</v>
      </c>
      <c r="H9387" s="164"/>
    </row>
    <row r="9388" spans="1:8" x14ac:dyDescent="0.25">
      <c r="A9388" s="163"/>
      <c r="B9388" s="106"/>
      <c r="C9388" s="73" t="s">
        <v>12</v>
      </c>
      <c r="D9388" s="73"/>
      <c r="E9388" s="73"/>
      <c r="F9388" s="74" t="s">
        <v>3</v>
      </c>
      <c r="G9388" s="153">
        <f>0.3*G9387</f>
        <v>1.8023670000000002E-2</v>
      </c>
      <c r="H9388" s="164"/>
    </row>
    <row r="9389" spans="1:8" x14ac:dyDescent="0.25">
      <c r="A9389" s="163"/>
      <c r="B9389" s="106"/>
      <c r="C9389" s="73" t="s">
        <v>72</v>
      </c>
      <c r="D9389" s="73"/>
      <c r="E9389" s="73"/>
      <c r="F9389" s="74" t="s">
        <v>3</v>
      </c>
      <c r="G9389" s="153">
        <f>0.61*0.2*2*0.15*2*1.225</f>
        <v>8.9670000000000014E-2</v>
      </c>
      <c r="H9389" s="164"/>
    </row>
    <row r="9390" spans="1:8" x14ac:dyDescent="0.25">
      <c r="A9390" s="163"/>
      <c r="B9390" s="106"/>
      <c r="C9390" s="73" t="s">
        <v>11</v>
      </c>
      <c r="D9390" s="73"/>
      <c r="E9390" s="73"/>
      <c r="F9390" s="74" t="s">
        <v>3</v>
      </c>
      <c r="G9390" s="153">
        <f>0.3*G9389</f>
        <v>2.6901000000000005E-2</v>
      </c>
      <c r="H9390" s="164"/>
    </row>
    <row r="9391" spans="1:8" x14ac:dyDescent="0.25">
      <c r="A9391" s="163"/>
      <c r="B9391" s="106"/>
      <c r="C9391" s="73"/>
      <c r="D9391" s="75" t="s">
        <v>4303</v>
      </c>
      <c r="E9391" s="73"/>
      <c r="F9391" s="74"/>
      <c r="G9391" s="153"/>
      <c r="H9391" s="164"/>
    </row>
    <row r="9392" spans="1:8" x14ac:dyDescent="0.25">
      <c r="A9392" s="163"/>
      <c r="B9392" s="106"/>
      <c r="C9392" s="73"/>
      <c r="D9392" s="73" t="s">
        <v>4304</v>
      </c>
      <c r="E9392" s="73"/>
      <c r="F9392" s="74" t="s">
        <v>3</v>
      </c>
      <c r="G9392" s="153">
        <f>0.195*0.6*2.5*8*1.154</f>
        <v>2.7003599999999994</v>
      </c>
      <c r="H9392" s="164"/>
    </row>
    <row r="9393" spans="1:8" x14ac:dyDescent="0.25">
      <c r="A9393" s="163"/>
      <c r="B9393" s="106"/>
      <c r="C9393" s="73"/>
      <c r="D9393" s="75" t="s">
        <v>4305</v>
      </c>
      <c r="E9393" s="73"/>
      <c r="F9393" s="74"/>
      <c r="G9393" s="153"/>
      <c r="H9393" s="164"/>
    </row>
    <row r="9394" spans="1:8" x14ac:dyDescent="0.25">
      <c r="A9394" s="163"/>
      <c r="B9394" s="106"/>
      <c r="C9394" s="73"/>
      <c r="D9394" s="73" t="s">
        <v>4306</v>
      </c>
      <c r="E9394" s="73"/>
      <c r="F9394" s="74" t="s">
        <v>3</v>
      </c>
      <c r="G9394" s="153">
        <f>0.032*0.03*4*8*1.125</f>
        <v>3.456E-2</v>
      </c>
      <c r="H9394" s="164"/>
    </row>
    <row r="9395" spans="1:8" x14ac:dyDescent="0.25">
      <c r="A9395" s="163"/>
      <c r="B9395" s="106"/>
      <c r="C9395" s="73"/>
      <c r="D9395" s="73"/>
      <c r="E9395" s="73"/>
      <c r="F9395" s="74"/>
      <c r="G9395" s="153"/>
      <c r="H9395" s="164"/>
    </row>
    <row r="9396" spans="1:8" x14ac:dyDescent="0.25">
      <c r="A9396" s="163"/>
      <c r="B9396" s="106"/>
      <c r="C9396" s="75" t="s">
        <v>4307</v>
      </c>
      <c r="D9396" s="73"/>
      <c r="E9396" s="73"/>
      <c r="F9396" s="74"/>
      <c r="G9396" s="153"/>
      <c r="H9396" s="164"/>
    </row>
    <row r="9397" spans="1:8" x14ac:dyDescent="0.25">
      <c r="A9397" s="163"/>
      <c r="B9397" s="106"/>
      <c r="C9397" s="77" t="s">
        <v>1054</v>
      </c>
      <c r="D9397" s="73"/>
      <c r="E9397" s="73"/>
      <c r="F9397" s="152" t="s">
        <v>3</v>
      </c>
      <c r="G9397" s="153">
        <f>(0.06+0.12+0.08+0.075)*0.08*1.2</f>
        <v>3.2160000000000001E-2</v>
      </c>
      <c r="H9397" s="164"/>
    </row>
    <row r="9398" spans="1:8" ht="17.25" x14ac:dyDescent="0.25">
      <c r="A9398" s="163"/>
      <c r="B9398" s="106"/>
      <c r="C9398" s="77" t="s">
        <v>1055</v>
      </c>
      <c r="D9398" s="73"/>
      <c r="E9398" s="73"/>
      <c r="F9398" s="74" t="s">
        <v>596</v>
      </c>
      <c r="G9398" s="153">
        <f>G9397*1.1</f>
        <v>3.5376000000000005E-2</v>
      </c>
      <c r="H9398" s="164"/>
    </row>
    <row r="9399" spans="1:8" x14ac:dyDescent="0.25">
      <c r="A9399" s="163"/>
      <c r="B9399" s="106"/>
      <c r="C9399" s="73" t="s">
        <v>8</v>
      </c>
      <c r="D9399" s="73"/>
      <c r="E9399" s="73"/>
      <c r="F9399" s="74" t="s">
        <v>3</v>
      </c>
      <c r="G9399" s="153">
        <f>G9401*0.67</f>
        <v>6.0078900000000011E-2</v>
      </c>
      <c r="H9399" s="164"/>
    </row>
    <row r="9400" spans="1:8" x14ac:dyDescent="0.25">
      <c r="A9400" s="163"/>
      <c r="B9400" s="106"/>
      <c r="C9400" s="73" t="s">
        <v>12</v>
      </c>
      <c r="D9400" s="73"/>
      <c r="E9400" s="73"/>
      <c r="F9400" s="74" t="s">
        <v>3</v>
      </c>
      <c r="G9400" s="153">
        <f>0.3*G9399</f>
        <v>1.8023670000000002E-2</v>
      </c>
      <c r="H9400" s="164"/>
    </row>
    <row r="9401" spans="1:8" x14ac:dyDescent="0.25">
      <c r="A9401" s="163"/>
      <c r="B9401" s="106"/>
      <c r="C9401" s="73" t="s">
        <v>72</v>
      </c>
      <c r="D9401" s="73"/>
      <c r="E9401" s="73"/>
      <c r="F9401" s="74" t="s">
        <v>3</v>
      </c>
      <c r="G9401" s="153">
        <f>0.61*0.2*2*0.15*2*1.225</f>
        <v>8.9670000000000014E-2</v>
      </c>
      <c r="H9401" s="164"/>
    </row>
    <row r="9402" spans="1:8" x14ac:dyDescent="0.25">
      <c r="A9402" s="163"/>
      <c r="B9402" s="106"/>
      <c r="C9402" s="73" t="s">
        <v>11</v>
      </c>
      <c r="D9402" s="73"/>
      <c r="E9402" s="73"/>
      <c r="F9402" s="74" t="s">
        <v>3</v>
      </c>
      <c r="G9402" s="153">
        <f>0.3*G9401</f>
        <v>2.6901000000000005E-2</v>
      </c>
      <c r="H9402" s="164"/>
    </row>
    <row r="9403" spans="1:8" x14ac:dyDescent="0.25">
      <c r="A9403" s="163"/>
      <c r="B9403" s="106"/>
      <c r="C9403" s="73"/>
      <c r="D9403" s="75" t="s">
        <v>4308</v>
      </c>
      <c r="E9403" s="73"/>
      <c r="F9403" s="74"/>
      <c r="G9403" s="153"/>
      <c r="H9403" s="164"/>
    </row>
    <row r="9404" spans="1:8" x14ac:dyDescent="0.25">
      <c r="A9404" s="163"/>
      <c r="B9404" s="106"/>
      <c r="C9404" s="73"/>
      <c r="D9404" s="73" t="s">
        <v>4304</v>
      </c>
      <c r="E9404" s="73"/>
      <c r="F9404" s="74" t="s">
        <v>3</v>
      </c>
      <c r="G9404" s="153">
        <f>0.195*0.6*2.5*8*1.154</f>
        <v>2.7003599999999994</v>
      </c>
      <c r="H9404" s="164"/>
    </row>
    <row r="9405" spans="1:8" x14ac:dyDescent="0.25">
      <c r="A9405" s="163"/>
      <c r="B9405" s="106"/>
      <c r="C9405" s="73"/>
      <c r="D9405" s="73"/>
      <c r="E9405" s="73"/>
      <c r="F9405" s="74"/>
      <c r="G9405" s="153"/>
      <c r="H9405" s="164"/>
    </row>
    <row r="9406" spans="1:8" x14ac:dyDescent="0.25">
      <c r="A9406" s="163"/>
      <c r="B9406" s="106"/>
      <c r="C9406" s="75" t="s">
        <v>4309</v>
      </c>
      <c r="D9406" s="73"/>
      <c r="E9406" s="73"/>
      <c r="F9406" s="74"/>
      <c r="G9406" s="153"/>
      <c r="H9406" s="164"/>
    </row>
    <row r="9407" spans="1:8" x14ac:dyDescent="0.25">
      <c r="A9407" s="163"/>
      <c r="B9407" s="106"/>
      <c r="C9407" s="73" t="s">
        <v>595</v>
      </c>
      <c r="D9407" s="100"/>
      <c r="E9407" s="100"/>
      <c r="F9407" s="74" t="s">
        <v>3</v>
      </c>
      <c r="G9407" s="153">
        <f>(0.4+0.2+0.1+0.07)*0.08*1.3</f>
        <v>8.0079999999999998E-2</v>
      </c>
      <c r="H9407" s="164"/>
    </row>
    <row r="9408" spans="1:8" ht="17.25" x14ac:dyDescent="0.25">
      <c r="A9408" s="163"/>
      <c r="B9408" s="106"/>
      <c r="C9408" s="73" t="s">
        <v>168</v>
      </c>
      <c r="D9408" s="100"/>
      <c r="E9408" s="100"/>
      <c r="F9408" s="74" t="s">
        <v>596</v>
      </c>
      <c r="G9408" s="153">
        <f>1.08*G9407</f>
        <v>8.6486400000000005E-2</v>
      </c>
      <c r="H9408" s="164"/>
    </row>
    <row r="9409" spans="1:8" x14ac:dyDescent="0.25">
      <c r="A9409" s="163"/>
      <c r="B9409" s="106"/>
      <c r="C9409" s="73" t="s">
        <v>114</v>
      </c>
      <c r="D9409" s="73"/>
      <c r="E9409" s="73"/>
      <c r="F9409" s="74" t="s">
        <v>3</v>
      </c>
      <c r="G9409" s="153">
        <f>G9412/2</f>
        <v>9.0090000000000003E-2</v>
      </c>
      <c r="H9409" s="164"/>
    </row>
    <row r="9410" spans="1:8" x14ac:dyDescent="0.25">
      <c r="A9410" s="163"/>
      <c r="B9410" s="106"/>
      <c r="C9410" s="73" t="s">
        <v>163</v>
      </c>
      <c r="D9410" s="73"/>
      <c r="E9410" s="73"/>
      <c r="F9410" s="74" t="s">
        <v>3</v>
      </c>
      <c r="G9410" s="153">
        <f>G9412/2</f>
        <v>9.0090000000000003E-2</v>
      </c>
      <c r="H9410" s="164"/>
    </row>
    <row r="9411" spans="1:8" x14ac:dyDescent="0.25">
      <c r="A9411" s="163"/>
      <c r="B9411" s="106"/>
      <c r="C9411" s="73" t="s">
        <v>164</v>
      </c>
      <c r="D9411" s="73"/>
      <c r="E9411" s="73"/>
      <c r="F9411" s="74" t="s">
        <v>3</v>
      </c>
      <c r="G9411" s="153">
        <f>0.3*(G9410+G9409)</f>
        <v>5.4053999999999998E-2</v>
      </c>
      <c r="H9411" s="164"/>
    </row>
    <row r="9412" spans="1:8" x14ac:dyDescent="0.25">
      <c r="A9412" s="163"/>
      <c r="B9412" s="106"/>
      <c r="C9412" s="73" t="s">
        <v>72</v>
      </c>
      <c r="D9412" s="73"/>
      <c r="E9412" s="73"/>
      <c r="F9412" s="74" t="s">
        <v>3</v>
      </c>
      <c r="G9412" s="153">
        <f>1.365*0.2*2*0.15*2*1.1</f>
        <v>0.18018000000000001</v>
      </c>
      <c r="H9412" s="164"/>
    </row>
    <row r="9413" spans="1:8" x14ac:dyDescent="0.25">
      <c r="A9413" s="163"/>
      <c r="B9413" s="106"/>
      <c r="C9413" s="73" t="s">
        <v>444</v>
      </c>
      <c r="D9413" s="73"/>
      <c r="E9413" s="73"/>
      <c r="F9413" s="74" t="s">
        <v>3</v>
      </c>
      <c r="G9413" s="153">
        <f>0.3*G9412</f>
        <v>5.4053999999999998E-2</v>
      </c>
      <c r="H9413" s="164"/>
    </row>
    <row r="9414" spans="1:8" x14ac:dyDescent="0.25">
      <c r="A9414" s="163"/>
      <c r="B9414" s="106"/>
      <c r="C9414" s="73"/>
      <c r="D9414" s="75" t="s">
        <v>4310</v>
      </c>
      <c r="E9414" s="73"/>
      <c r="F9414" s="74"/>
      <c r="G9414" s="153"/>
      <c r="H9414" s="164"/>
    </row>
    <row r="9415" spans="1:8" x14ac:dyDescent="0.25">
      <c r="A9415" s="163"/>
      <c r="B9415" s="106"/>
      <c r="C9415" s="73"/>
      <c r="D9415" s="73" t="s">
        <v>4311</v>
      </c>
      <c r="E9415" s="73"/>
      <c r="F9415" s="74" t="s">
        <v>3</v>
      </c>
      <c r="G9415" s="153">
        <f>0.195*1.365*5*2.5*1.124</f>
        <v>3.7397587500000005</v>
      </c>
      <c r="H9415" s="164"/>
    </row>
    <row r="9416" spans="1:8" x14ac:dyDescent="0.25">
      <c r="A9416" s="163"/>
      <c r="B9416" s="106"/>
      <c r="C9416" s="73"/>
      <c r="D9416" s="73"/>
      <c r="E9416" s="73"/>
      <c r="F9416" s="74"/>
      <c r="G9416" s="153"/>
      <c r="H9416" s="164"/>
    </row>
    <row r="9417" spans="1:8" x14ac:dyDescent="0.25">
      <c r="A9417" s="163"/>
      <c r="B9417" s="106"/>
      <c r="C9417" s="75" t="s">
        <v>4312</v>
      </c>
      <c r="D9417" s="73"/>
      <c r="E9417" s="73"/>
      <c r="F9417" s="74"/>
      <c r="G9417" s="153"/>
      <c r="H9417" s="164"/>
    </row>
    <row r="9418" spans="1:8" x14ac:dyDescent="0.25">
      <c r="A9418" s="163"/>
      <c r="B9418" s="106"/>
      <c r="C9418" s="73" t="s">
        <v>4313</v>
      </c>
      <c r="D9418" s="73"/>
      <c r="E9418" s="73"/>
      <c r="F9418" s="74" t="s">
        <v>3</v>
      </c>
      <c r="G9418" s="153">
        <f>1.37*0.5*12.76*1.0297</f>
        <v>9.0001958200000018</v>
      </c>
      <c r="H9418" s="164"/>
    </row>
    <row r="9419" spans="1:8" x14ac:dyDescent="0.25">
      <c r="A9419" s="163"/>
      <c r="B9419" s="106"/>
      <c r="C9419" s="73"/>
      <c r="D9419" s="73"/>
      <c r="E9419" s="73"/>
      <c r="F9419" s="74"/>
      <c r="G9419" s="153"/>
      <c r="H9419" s="164"/>
    </row>
    <row r="9420" spans="1:8" x14ac:dyDescent="0.25">
      <c r="A9420" s="163"/>
      <c r="B9420" s="106"/>
      <c r="C9420" s="75" t="s">
        <v>4314</v>
      </c>
      <c r="D9420" s="73"/>
      <c r="E9420" s="73"/>
      <c r="F9420" s="74"/>
      <c r="G9420" s="153"/>
      <c r="H9420" s="164"/>
    </row>
    <row r="9421" spans="1:8" x14ac:dyDescent="0.25">
      <c r="A9421" s="163"/>
      <c r="B9421" s="106"/>
      <c r="C9421" s="73" t="s">
        <v>4313</v>
      </c>
      <c r="D9421" s="73"/>
      <c r="E9421" s="73"/>
      <c r="F9421" s="74" t="s">
        <v>3</v>
      </c>
      <c r="G9421" s="153">
        <f>0.68*0.1*12.76*1.153</f>
        <v>1.0004350399999999</v>
      </c>
      <c r="H9421" s="164"/>
    </row>
    <row r="9422" spans="1:8" x14ac:dyDescent="0.25">
      <c r="A9422" s="163"/>
      <c r="B9422" s="106"/>
      <c r="C9422" s="73"/>
      <c r="D9422" s="73"/>
      <c r="E9422" s="73"/>
      <c r="F9422" s="74"/>
      <c r="G9422" s="153"/>
      <c r="H9422" s="164"/>
    </row>
    <row r="9423" spans="1:8" x14ac:dyDescent="0.25">
      <c r="A9423" s="163"/>
      <c r="B9423" s="106"/>
      <c r="C9423" s="75" t="s">
        <v>4315</v>
      </c>
      <c r="D9423" s="73"/>
      <c r="E9423" s="73"/>
      <c r="F9423" s="74"/>
      <c r="G9423" s="153"/>
      <c r="H9423" s="164"/>
    </row>
    <row r="9424" spans="1:8" x14ac:dyDescent="0.25">
      <c r="A9424" s="460"/>
      <c r="B9424" s="461"/>
      <c r="C9424" s="462" t="s">
        <v>4313</v>
      </c>
      <c r="D9424" s="462"/>
      <c r="E9424" s="462"/>
      <c r="F9424" s="463" t="s">
        <v>3</v>
      </c>
      <c r="G9424" s="464">
        <f>0.8*0.165*12.76*1.128</f>
        <v>1.8999129599999998</v>
      </c>
      <c r="H9424" s="465"/>
    </row>
    <row r="9425" spans="1:9" x14ac:dyDescent="0.25">
      <c r="A9425" s="163"/>
      <c r="B9425" s="106"/>
      <c r="C9425" s="73"/>
      <c r="D9425" s="73"/>
      <c r="E9425" s="73"/>
      <c r="F9425" s="74"/>
      <c r="G9425" s="153"/>
      <c r="H9425" s="164" t="s">
        <v>4340</v>
      </c>
    </row>
    <row r="9426" spans="1:9" x14ac:dyDescent="0.25">
      <c r="A9426" s="163"/>
      <c r="B9426" s="106"/>
      <c r="C9426" s="75" t="s">
        <v>4316</v>
      </c>
      <c r="D9426" s="73"/>
      <c r="E9426" s="73"/>
      <c r="F9426" s="74"/>
      <c r="G9426" s="153"/>
      <c r="H9426" s="164"/>
    </row>
    <row r="9427" spans="1:9" x14ac:dyDescent="0.25">
      <c r="A9427" s="163"/>
      <c r="B9427" s="106"/>
      <c r="C9427" s="73" t="s">
        <v>4313</v>
      </c>
      <c r="D9427" s="73"/>
      <c r="E9427" s="73"/>
      <c r="F9427" s="152" t="s">
        <v>3</v>
      </c>
      <c r="G9427" s="427">
        <f>1.665*0.175*12.76*1.1297</f>
        <v>4.2001624664999992</v>
      </c>
      <c r="H9427" s="164"/>
    </row>
    <row r="9428" spans="1:9" x14ac:dyDescent="0.25">
      <c r="A9428" s="163"/>
      <c r="B9428" s="106"/>
      <c r="C9428" s="73"/>
      <c r="D9428" s="73"/>
      <c r="E9428" s="73"/>
      <c r="F9428" s="74"/>
      <c r="G9428" s="153"/>
      <c r="H9428" s="164"/>
    </row>
    <row r="9429" spans="1:9" x14ac:dyDescent="0.25">
      <c r="A9429" s="163"/>
      <c r="B9429" s="106"/>
      <c r="C9429" s="75" t="s">
        <v>4317</v>
      </c>
      <c r="D9429" s="73"/>
      <c r="E9429" s="73"/>
      <c r="F9429" s="74"/>
      <c r="G9429" s="153"/>
      <c r="H9429" s="164"/>
    </row>
    <row r="9430" spans="1:9" x14ac:dyDescent="0.25">
      <c r="A9430" s="163"/>
      <c r="B9430" s="106"/>
      <c r="C9430" s="73" t="s">
        <v>4313</v>
      </c>
      <c r="D9430" s="73"/>
      <c r="E9430" s="73"/>
      <c r="F9430" s="74" t="s">
        <v>3</v>
      </c>
      <c r="G9430" s="153">
        <f>1.835*0.375*12.76*1.0933</f>
        <v>9.5996933174999981</v>
      </c>
      <c r="H9430" s="164"/>
    </row>
    <row r="9431" spans="1:9" x14ac:dyDescent="0.25">
      <c r="A9431" s="163"/>
      <c r="B9431" s="106"/>
      <c r="C9431" s="73"/>
      <c r="D9431" s="73"/>
      <c r="E9431" s="73"/>
      <c r="F9431" s="74"/>
      <c r="G9431" s="153">
        <f>1.83*0.45*12.76</f>
        <v>10.507859999999999</v>
      </c>
      <c r="H9431" s="164"/>
    </row>
    <row r="9432" spans="1:9" x14ac:dyDescent="0.25">
      <c r="A9432" s="163"/>
      <c r="B9432" s="106"/>
      <c r="C9432" s="75" t="s">
        <v>4318</v>
      </c>
      <c r="D9432" s="73"/>
      <c r="E9432" s="73"/>
      <c r="F9432" s="74"/>
      <c r="G9432" s="153"/>
      <c r="H9432" s="164"/>
    </row>
    <row r="9433" spans="1:9" x14ac:dyDescent="0.25">
      <c r="A9433" s="163"/>
      <c r="B9433" s="106"/>
      <c r="C9433" s="73" t="s">
        <v>723</v>
      </c>
      <c r="D9433" s="73"/>
      <c r="E9433" s="73"/>
      <c r="F9433" s="74" t="s">
        <v>3</v>
      </c>
      <c r="G9433" s="153">
        <v>2E-3</v>
      </c>
      <c r="H9433" s="164"/>
      <c r="I9433" t="s">
        <v>4319</v>
      </c>
    </row>
    <row r="9434" spans="1:9" x14ac:dyDescent="0.25">
      <c r="A9434" s="163"/>
      <c r="B9434" s="106"/>
      <c r="C9434" s="73" t="s">
        <v>4320</v>
      </c>
      <c r="D9434" s="73"/>
      <c r="E9434" s="73"/>
      <c r="F9434" s="74" t="s">
        <v>1516</v>
      </c>
      <c r="G9434" s="153">
        <v>1</v>
      </c>
      <c r="H9434" s="164"/>
    </row>
    <row r="9435" spans="1:9" x14ac:dyDescent="0.25">
      <c r="A9435" s="163"/>
      <c r="B9435" s="106"/>
      <c r="C9435" s="73"/>
      <c r="D9435" s="73"/>
      <c r="E9435" s="73"/>
      <c r="F9435" s="74"/>
      <c r="G9435" s="153"/>
      <c r="H9435" s="164"/>
    </row>
    <row r="9436" spans="1:9" x14ac:dyDescent="0.25">
      <c r="A9436" s="163"/>
      <c r="B9436" s="106"/>
      <c r="C9436" s="75" t="s">
        <v>4321</v>
      </c>
      <c r="D9436" s="73"/>
      <c r="E9436" s="73"/>
      <c r="F9436" s="74"/>
      <c r="G9436" s="74" t="s">
        <v>4331</v>
      </c>
      <c r="H9436" s="164"/>
    </row>
    <row r="9437" spans="1:9" x14ac:dyDescent="0.25">
      <c r="A9437" s="163"/>
      <c r="B9437" s="106"/>
      <c r="C9437" s="73"/>
      <c r="D9437" s="73" t="s">
        <v>4322</v>
      </c>
      <c r="E9437" s="73"/>
      <c r="F9437" s="73"/>
      <c r="G9437" s="153"/>
      <c r="H9437" s="164"/>
    </row>
    <row r="9438" spans="1:9" x14ac:dyDescent="0.25">
      <c r="A9438" s="163"/>
      <c r="B9438" s="106"/>
      <c r="C9438" s="73"/>
      <c r="D9438" s="73" t="s">
        <v>4324</v>
      </c>
      <c r="E9438" s="73"/>
      <c r="F9438" s="73"/>
      <c r="G9438" s="153">
        <f>0.0555*0.175</f>
        <v>9.7124999999999989E-3</v>
      </c>
      <c r="H9438" s="164"/>
      <c r="I9438" t="s">
        <v>4323</v>
      </c>
    </row>
    <row r="9439" spans="1:9" x14ac:dyDescent="0.25">
      <c r="A9439" s="163"/>
      <c r="B9439" s="106"/>
      <c r="C9439" s="73"/>
      <c r="D9439" s="73" t="s">
        <v>4325</v>
      </c>
      <c r="E9439" s="73"/>
      <c r="F9439" s="73"/>
      <c r="G9439" s="467"/>
      <c r="H9439" s="164"/>
    </row>
    <row r="9440" spans="1:9" x14ac:dyDescent="0.25">
      <c r="A9440" s="163"/>
      <c r="B9440" s="106"/>
      <c r="C9440" s="73"/>
      <c r="D9440" s="73" t="s">
        <v>4324</v>
      </c>
      <c r="E9440" s="73"/>
      <c r="F9440" s="73"/>
      <c r="G9440" s="153">
        <f>0.0555*0.055</f>
        <v>3.0525000000000001E-3</v>
      </c>
      <c r="H9440" s="164"/>
      <c r="I9440" t="s">
        <v>4326</v>
      </c>
    </row>
    <row r="9441" spans="1:8" x14ac:dyDescent="0.25">
      <c r="A9441" s="163"/>
      <c r="B9441" s="106"/>
      <c r="C9441" s="73"/>
      <c r="D9441" s="73"/>
      <c r="E9441" s="73"/>
      <c r="F9441" s="74"/>
      <c r="G9441" s="153"/>
      <c r="H9441" s="164"/>
    </row>
    <row r="9442" spans="1:8" x14ac:dyDescent="0.25">
      <c r="A9442" s="163"/>
      <c r="B9442" s="106"/>
      <c r="C9442" s="75" t="s">
        <v>4327</v>
      </c>
      <c r="D9442" s="73"/>
      <c r="E9442" s="73"/>
      <c r="F9442" s="74" t="s">
        <v>4331</v>
      </c>
      <c r="G9442" s="153"/>
      <c r="H9442" s="164"/>
    </row>
    <row r="9443" spans="1:8" x14ac:dyDescent="0.25">
      <c r="A9443" s="163"/>
      <c r="B9443" s="106"/>
      <c r="C9443" s="73" t="s">
        <v>4328</v>
      </c>
      <c r="D9443" s="73"/>
      <c r="E9443" s="73"/>
      <c r="F9443" s="74" t="s">
        <v>1516</v>
      </c>
      <c r="G9443" s="153">
        <v>8</v>
      </c>
      <c r="H9443" s="164"/>
    </row>
    <row r="9444" spans="1:8" x14ac:dyDescent="0.25">
      <c r="A9444" s="163"/>
      <c r="B9444" s="106"/>
      <c r="C9444" s="73"/>
      <c r="D9444" s="73" t="s">
        <v>4329</v>
      </c>
      <c r="E9444" s="73"/>
      <c r="F9444" s="74"/>
      <c r="G9444" s="153"/>
      <c r="H9444" s="164"/>
    </row>
    <row r="9445" spans="1:8" x14ac:dyDescent="0.25">
      <c r="A9445" s="163"/>
      <c r="B9445" s="106"/>
      <c r="C9445" s="73"/>
      <c r="D9445" s="73" t="s">
        <v>4330</v>
      </c>
      <c r="E9445" s="73"/>
      <c r="F9445" s="74" t="s">
        <v>3</v>
      </c>
      <c r="G9445" s="153">
        <f>0.205*0.165*1*2.7*1.145</f>
        <v>0.1045699875</v>
      </c>
      <c r="H9445" s="164"/>
    </row>
    <row r="9446" spans="1:8" x14ac:dyDescent="0.25">
      <c r="A9446" s="163"/>
      <c r="B9446" s="106"/>
      <c r="C9446" s="73"/>
      <c r="D9446" s="73" t="s">
        <v>163</v>
      </c>
      <c r="E9446" s="73"/>
      <c r="F9446" s="74" t="s">
        <v>3</v>
      </c>
      <c r="G9446" s="153">
        <f>G9448*0.7</f>
        <v>1.5119999999999998E-2</v>
      </c>
      <c r="H9446" s="164"/>
    </row>
    <row r="9447" spans="1:8" x14ac:dyDescent="0.25">
      <c r="A9447" s="163"/>
      <c r="B9447" s="106"/>
      <c r="C9447" s="73"/>
      <c r="D9447" s="73" t="s">
        <v>164</v>
      </c>
      <c r="E9447" s="73"/>
      <c r="F9447" s="74" t="s">
        <v>3</v>
      </c>
      <c r="G9447" s="153">
        <f>0.3*G9446</f>
        <v>4.5359999999999992E-3</v>
      </c>
      <c r="H9447" s="164"/>
    </row>
    <row r="9448" spans="1:8" x14ac:dyDescent="0.25">
      <c r="A9448" s="163"/>
      <c r="B9448" s="106"/>
      <c r="C9448" s="73"/>
      <c r="D9448" s="73" t="s">
        <v>115</v>
      </c>
      <c r="E9448" s="73"/>
      <c r="F9448" s="74" t="s">
        <v>3</v>
      </c>
      <c r="G9448" s="153">
        <f>0.2*0.15*2*0.15*2*1.2</f>
        <v>2.1599999999999998E-2</v>
      </c>
      <c r="H9448" s="164"/>
    </row>
    <row r="9449" spans="1:8" x14ac:dyDescent="0.25">
      <c r="A9449" s="163"/>
      <c r="B9449" s="106"/>
      <c r="C9449" s="73"/>
      <c r="D9449" s="73" t="s">
        <v>12</v>
      </c>
      <c r="E9449" s="73"/>
      <c r="F9449" s="74" t="s">
        <v>3</v>
      </c>
      <c r="G9449" s="153">
        <f>0.3*G9448</f>
        <v>6.4799999999999988E-3</v>
      </c>
      <c r="H9449" s="164"/>
    </row>
    <row r="9450" spans="1:8" x14ac:dyDescent="0.25">
      <c r="A9450" s="163"/>
      <c r="B9450" s="106"/>
      <c r="C9450" s="73"/>
      <c r="D9450" s="73"/>
      <c r="E9450" s="73"/>
      <c r="F9450" s="74"/>
      <c r="G9450" s="153"/>
      <c r="H9450" s="164"/>
    </row>
    <row r="9451" spans="1:8" x14ac:dyDescent="0.25">
      <c r="A9451" s="163"/>
      <c r="B9451" s="106"/>
      <c r="C9451" s="75" t="s">
        <v>4332</v>
      </c>
      <c r="D9451" s="73"/>
      <c r="E9451" s="73"/>
      <c r="F9451" s="74" t="s">
        <v>4331</v>
      </c>
      <c r="G9451" s="153"/>
      <c r="H9451" s="164"/>
    </row>
    <row r="9452" spans="1:8" x14ac:dyDescent="0.25">
      <c r="A9452" s="163"/>
      <c r="B9452" s="106"/>
      <c r="C9452" s="73" t="s">
        <v>4328</v>
      </c>
      <c r="D9452" s="73"/>
      <c r="E9452" s="73"/>
      <c r="F9452" s="74" t="s">
        <v>1516</v>
      </c>
      <c r="G9452" s="153">
        <v>4</v>
      </c>
      <c r="H9452" s="164"/>
    </row>
    <row r="9453" spans="1:8" x14ac:dyDescent="0.25">
      <c r="A9453" s="163"/>
      <c r="B9453" s="106"/>
      <c r="C9453" s="73"/>
      <c r="D9453" s="73"/>
      <c r="E9453" s="73"/>
      <c r="F9453" s="74"/>
      <c r="G9453" s="153"/>
      <c r="H9453" s="164"/>
    </row>
    <row r="9454" spans="1:8" x14ac:dyDescent="0.25">
      <c r="A9454" s="163"/>
      <c r="B9454" s="106"/>
      <c r="C9454" s="75" t="s">
        <v>4333</v>
      </c>
      <c r="D9454" s="73"/>
      <c r="E9454" s="73"/>
      <c r="F9454" s="74" t="s">
        <v>4331</v>
      </c>
      <c r="G9454" s="153"/>
      <c r="H9454" s="164"/>
    </row>
    <row r="9455" spans="1:8" x14ac:dyDescent="0.25">
      <c r="A9455" s="163"/>
      <c r="B9455" s="106"/>
      <c r="C9455" s="73" t="s">
        <v>4328</v>
      </c>
      <c r="D9455" s="73"/>
      <c r="E9455" s="73"/>
      <c r="F9455" s="74" t="s">
        <v>1516</v>
      </c>
      <c r="G9455" s="153">
        <v>4</v>
      </c>
      <c r="H9455" s="164"/>
    </row>
    <row r="9456" spans="1:8" x14ac:dyDescent="0.25">
      <c r="A9456" s="163"/>
      <c r="B9456" s="106"/>
      <c r="C9456" s="73"/>
      <c r="D9456" s="75" t="s">
        <v>4334</v>
      </c>
      <c r="E9456" s="73"/>
      <c r="F9456" s="74"/>
      <c r="G9456" s="153"/>
      <c r="H9456" s="164"/>
    </row>
    <row r="9457" spans="1:11" x14ac:dyDescent="0.25">
      <c r="A9457" s="163"/>
      <c r="B9457" s="106"/>
      <c r="C9457" s="73"/>
      <c r="D9457" s="73" t="s">
        <v>3770</v>
      </c>
      <c r="E9457" s="73"/>
      <c r="F9457" s="74" t="s">
        <v>3</v>
      </c>
      <c r="G9457" s="153">
        <f>0.06*0.065*1*8*1.12</f>
        <v>3.4944000000000003E-2</v>
      </c>
      <c r="H9457" s="164"/>
    </row>
    <row r="9458" spans="1:11" x14ac:dyDescent="0.25">
      <c r="A9458" s="163"/>
      <c r="B9458" s="106"/>
      <c r="C9458" s="73"/>
      <c r="D9458" s="73" t="s">
        <v>163</v>
      </c>
      <c r="E9458" s="73"/>
      <c r="F9458" s="74" t="s">
        <v>3</v>
      </c>
      <c r="G9458" s="153">
        <f>G9460*0.7</f>
        <v>1.9656000000000001E-3</v>
      </c>
      <c r="H9458" s="164"/>
    </row>
    <row r="9459" spans="1:11" x14ac:dyDescent="0.25">
      <c r="A9459" s="163"/>
      <c r="B9459" s="106"/>
      <c r="C9459" s="73"/>
      <c r="D9459" s="73" t="s">
        <v>164</v>
      </c>
      <c r="E9459" s="73"/>
      <c r="F9459" s="74" t="s">
        <v>3</v>
      </c>
      <c r="G9459" s="153">
        <f>0.3*G9458</f>
        <v>5.8967999999999998E-4</v>
      </c>
      <c r="H9459" s="164"/>
    </row>
    <row r="9460" spans="1:11" x14ac:dyDescent="0.25">
      <c r="A9460" s="163"/>
      <c r="B9460" s="106"/>
      <c r="C9460" s="73"/>
      <c r="D9460" s="73" t="s">
        <v>115</v>
      </c>
      <c r="E9460" s="73"/>
      <c r="F9460" s="74" t="s">
        <v>3</v>
      </c>
      <c r="G9460" s="153">
        <f>0.06*0.06*2*0.15*2*1.3</f>
        <v>2.8080000000000002E-3</v>
      </c>
      <c r="H9460" s="164"/>
    </row>
    <row r="9461" spans="1:11" x14ac:dyDescent="0.25">
      <c r="A9461" s="163"/>
      <c r="B9461" s="106"/>
      <c r="C9461" s="73"/>
      <c r="D9461" s="73" t="s">
        <v>12</v>
      </c>
      <c r="E9461" s="73"/>
      <c r="F9461" s="74" t="s">
        <v>3</v>
      </c>
      <c r="G9461" s="153">
        <f>0.3*G9460</f>
        <v>8.4239999999999998E-4</v>
      </c>
      <c r="H9461" s="164"/>
    </row>
    <row r="9462" spans="1:11" x14ac:dyDescent="0.25">
      <c r="A9462" s="163"/>
      <c r="B9462" s="106"/>
      <c r="C9462" s="73"/>
      <c r="D9462" s="73"/>
      <c r="E9462" s="73"/>
      <c r="F9462" s="74"/>
      <c r="G9462" s="153"/>
      <c r="H9462" s="164"/>
    </row>
    <row r="9463" spans="1:11" x14ac:dyDescent="0.25">
      <c r="A9463" s="163"/>
      <c r="B9463" s="106"/>
      <c r="C9463" s="75" t="s">
        <v>4335</v>
      </c>
      <c r="D9463" s="73"/>
      <c r="E9463" s="73"/>
      <c r="F9463" s="74"/>
      <c r="G9463" s="153"/>
      <c r="H9463" s="164"/>
    </row>
    <row r="9464" spans="1:11" x14ac:dyDescent="0.25">
      <c r="A9464" s="163"/>
      <c r="B9464" s="106"/>
      <c r="C9464" s="73" t="s">
        <v>595</v>
      </c>
      <c r="D9464" s="100"/>
      <c r="E9464" s="100"/>
      <c r="F9464" s="74" t="s">
        <v>3</v>
      </c>
      <c r="G9464" s="153">
        <f>0.15*0.05*1.1</f>
        <v>8.2500000000000004E-3</v>
      </c>
      <c r="H9464" s="164"/>
      <c r="K9464" s="466"/>
    </row>
    <row r="9465" spans="1:11" ht="17.25" x14ac:dyDescent="0.25">
      <c r="A9465" s="163"/>
      <c r="B9465" s="106"/>
      <c r="C9465" s="73" t="s">
        <v>168</v>
      </c>
      <c r="D9465" s="100"/>
      <c r="E9465" s="100"/>
      <c r="F9465" s="74" t="s">
        <v>596</v>
      </c>
      <c r="G9465" s="153">
        <f>1.08*G9464</f>
        <v>8.9100000000000013E-3</v>
      </c>
      <c r="H9465" s="164"/>
      <c r="K9465" s="466"/>
    </row>
    <row r="9466" spans="1:11" x14ac:dyDescent="0.25">
      <c r="A9466" s="163"/>
      <c r="B9466" s="106"/>
      <c r="C9466" s="73" t="s">
        <v>163</v>
      </c>
      <c r="D9466" s="73"/>
      <c r="E9466" s="73"/>
      <c r="F9466" s="74" t="s">
        <v>3</v>
      </c>
      <c r="G9466" s="153">
        <f>G9468*0.67</f>
        <v>3.0003269999999999E-2</v>
      </c>
      <c r="H9466" s="164"/>
      <c r="K9466" s="466"/>
    </row>
    <row r="9467" spans="1:11" x14ac:dyDescent="0.25">
      <c r="A9467" s="163"/>
      <c r="B9467" s="106"/>
      <c r="C9467" s="73" t="s">
        <v>164</v>
      </c>
      <c r="D9467" s="73"/>
      <c r="E9467" s="73"/>
      <c r="F9467" s="74" t="s">
        <v>3</v>
      </c>
      <c r="G9467" s="153">
        <f>0.3*G9466</f>
        <v>9.0009809999999999E-3</v>
      </c>
      <c r="H9467" s="164"/>
      <c r="K9467" s="466"/>
    </row>
    <row r="9468" spans="1:11" x14ac:dyDescent="0.25">
      <c r="A9468" s="163"/>
      <c r="B9468" s="106"/>
      <c r="C9468" s="73" t="s">
        <v>4337</v>
      </c>
      <c r="D9468" s="73"/>
      <c r="E9468" s="73"/>
      <c r="F9468" s="74" t="s">
        <v>3</v>
      </c>
      <c r="G9468" s="153">
        <f>0.295*0.22*2*0.15*2*1.15</f>
        <v>4.4780999999999994E-2</v>
      </c>
      <c r="H9468" s="164"/>
      <c r="K9468" s="466"/>
    </row>
    <row r="9469" spans="1:11" x14ac:dyDescent="0.25">
      <c r="A9469" s="163"/>
      <c r="B9469" s="106"/>
      <c r="C9469" s="73" t="s">
        <v>12</v>
      </c>
      <c r="D9469" s="73"/>
      <c r="E9469" s="73"/>
      <c r="F9469" s="74" t="s">
        <v>3</v>
      </c>
      <c r="G9469" s="153">
        <f>0.3*G9468</f>
        <v>1.3434299999999998E-2</v>
      </c>
      <c r="H9469" s="164"/>
      <c r="K9469" s="466"/>
    </row>
    <row r="9470" spans="1:11" x14ac:dyDescent="0.25">
      <c r="A9470" s="163"/>
      <c r="B9470" s="106"/>
      <c r="C9470" s="73"/>
      <c r="D9470" s="75" t="s">
        <v>4336</v>
      </c>
      <c r="E9470" s="73"/>
      <c r="F9470" s="74"/>
      <c r="G9470" s="153"/>
      <c r="H9470" s="164"/>
    </row>
    <row r="9471" spans="1:11" x14ac:dyDescent="0.25">
      <c r="A9471" s="163"/>
      <c r="B9471" s="106"/>
      <c r="C9471" s="73"/>
      <c r="D9471" s="73" t="s">
        <v>4294</v>
      </c>
      <c r="E9471" s="73"/>
      <c r="F9471" s="74" t="s">
        <v>3</v>
      </c>
      <c r="G9471" s="153">
        <f>0.23*0.3*1.5*2.7*1.145</f>
        <v>0.31997025000000007</v>
      </c>
      <c r="H9471" s="164"/>
    </row>
    <row r="9472" spans="1:11" x14ac:dyDescent="0.25">
      <c r="A9472" s="163"/>
      <c r="B9472" s="106"/>
      <c r="C9472" s="73"/>
      <c r="D9472" s="75" t="s">
        <v>4338</v>
      </c>
      <c r="E9472" s="73"/>
      <c r="F9472" s="74"/>
      <c r="G9472" s="153"/>
      <c r="H9472" s="164"/>
    </row>
    <row r="9473" spans="1:8" x14ac:dyDescent="0.25">
      <c r="A9473" s="163"/>
      <c r="B9473" s="106"/>
      <c r="C9473" s="73"/>
      <c r="D9473" s="73" t="s">
        <v>4339</v>
      </c>
      <c r="E9473" s="73"/>
      <c r="F9473" s="74" t="s">
        <v>3</v>
      </c>
      <c r="G9473" s="153">
        <f>0.155*0.04*2*2.7*1.12</f>
        <v>3.7497600000000006E-2</v>
      </c>
      <c r="H9473" s="164"/>
    </row>
    <row r="9474" spans="1:8" x14ac:dyDescent="0.25">
      <c r="A9474" s="460"/>
      <c r="B9474" s="461"/>
      <c r="C9474" s="462"/>
      <c r="D9474" s="462"/>
      <c r="E9474" s="462"/>
      <c r="F9474" s="463"/>
      <c r="G9474" s="464"/>
      <c r="H9474" s="465"/>
    </row>
    <row r="9475" spans="1:8" x14ac:dyDescent="0.25">
      <c r="A9475" s="163"/>
      <c r="B9475" s="106"/>
      <c r="C9475" s="73"/>
      <c r="D9475" s="73"/>
      <c r="E9475" s="73"/>
      <c r="F9475" s="74"/>
      <c r="G9475" s="153"/>
      <c r="H9475" s="164" t="s">
        <v>4369</v>
      </c>
    </row>
    <row r="9476" spans="1:8" x14ac:dyDescent="0.25">
      <c r="A9476" s="163"/>
      <c r="B9476" s="106"/>
      <c r="C9476" s="75" t="s">
        <v>4341</v>
      </c>
      <c r="D9476" s="73"/>
      <c r="E9476" s="73"/>
      <c r="F9476" s="74"/>
      <c r="G9476" s="153"/>
      <c r="H9476" s="164"/>
    </row>
    <row r="9477" spans="1:8" x14ac:dyDescent="0.25">
      <c r="A9477" s="163"/>
      <c r="B9477" s="106"/>
      <c r="C9477" s="73" t="s">
        <v>595</v>
      </c>
      <c r="D9477" s="100"/>
      <c r="E9477" s="100"/>
      <c r="F9477" s="74" t="s">
        <v>3</v>
      </c>
      <c r="G9477" s="153">
        <f>0.012*3.14*0.05*1.15</f>
        <v>2.1666000000000003E-3</v>
      </c>
      <c r="H9477" s="164"/>
    </row>
    <row r="9478" spans="1:8" ht="17.25" x14ac:dyDescent="0.25">
      <c r="A9478" s="163"/>
      <c r="B9478" s="106"/>
      <c r="C9478" s="73" t="s">
        <v>168</v>
      </c>
      <c r="D9478" s="100"/>
      <c r="E9478" s="100"/>
      <c r="F9478" s="74" t="s">
        <v>596</v>
      </c>
      <c r="G9478" s="153">
        <f>1.08*G9477</f>
        <v>2.3399280000000007E-3</v>
      </c>
      <c r="H9478" s="164"/>
    </row>
    <row r="9479" spans="1:8" x14ac:dyDescent="0.25">
      <c r="A9479" s="163"/>
      <c r="B9479" s="106"/>
      <c r="C9479" s="73" t="s">
        <v>4342</v>
      </c>
      <c r="D9479" s="73"/>
      <c r="E9479" s="73"/>
      <c r="F9479" s="74" t="s">
        <v>1516</v>
      </c>
      <c r="G9479" s="153">
        <v>1</v>
      </c>
      <c r="H9479" s="164"/>
    </row>
    <row r="9480" spans="1:8" x14ac:dyDescent="0.25">
      <c r="A9480" s="163"/>
      <c r="B9480" s="106"/>
      <c r="C9480" s="73"/>
      <c r="D9480" s="75" t="s">
        <v>4343</v>
      </c>
      <c r="E9480" s="73"/>
      <c r="F9480" s="74"/>
      <c r="G9480" s="153"/>
      <c r="H9480" s="164"/>
    </row>
    <row r="9481" spans="1:8" x14ac:dyDescent="0.25">
      <c r="A9481" s="163"/>
      <c r="B9481" s="106"/>
      <c r="C9481" s="73"/>
      <c r="D9481" s="73" t="s">
        <v>4346</v>
      </c>
      <c r="E9481" s="73"/>
      <c r="F9481" s="74" t="s">
        <v>3</v>
      </c>
      <c r="G9481" s="153">
        <f>0.2*0.05*3*2.7*1.11</f>
        <v>8.9910000000000032E-2</v>
      </c>
      <c r="H9481" s="164"/>
    </row>
    <row r="9482" spans="1:8" x14ac:dyDescent="0.25">
      <c r="A9482" s="163"/>
      <c r="B9482" s="106"/>
      <c r="C9482" s="73"/>
      <c r="D9482" s="75" t="s">
        <v>4344</v>
      </c>
      <c r="E9482" s="73"/>
      <c r="F9482" s="74"/>
      <c r="G9482" s="153"/>
      <c r="H9482" s="164"/>
    </row>
    <row r="9483" spans="1:8" x14ac:dyDescent="0.25">
      <c r="A9483" s="163"/>
      <c r="B9483" s="106"/>
      <c r="C9483" s="73"/>
      <c r="D9483" s="73" t="s">
        <v>4346</v>
      </c>
      <c r="E9483" s="73"/>
      <c r="F9483" s="74" t="s">
        <v>3</v>
      </c>
      <c r="G9483" s="153">
        <f>0.15*0.043*3*2.7*1.14</f>
        <v>5.9559299999999996E-2</v>
      </c>
      <c r="H9483" s="164"/>
    </row>
    <row r="9484" spans="1:8" x14ac:dyDescent="0.25">
      <c r="A9484" s="163"/>
      <c r="B9484" s="106"/>
      <c r="C9484" s="73"/>
      <c r="D9484" s="75" t="s">
        <v>4345</v>
      </c>
      <c r="E9484" s="73"/>
      <c r="F9484" s="74"/>
      <c r="G9484" s="153"/>
      <c r="H9484" s="164"/>
    </row>
    <row r="9485" spans="1:8" x14ac:dyDescent="0.25">
      <c r="A9485" s="163"/>
      <c r="B9485" s="106"/>
      <c r="C9485" s="73"/>
      <c r="D9485" s="73" t="s">
        <v>4347</v>
      </c>
      <c r="E9485" s="73"/>
      <c r="F9485" s="74" t="s">
        <v>3</v>
      </c>
      <c r="G9485" s="153">
        <f>0.02*0.04*6*2.7*1.12</f>
        <v>1.4515200000000004E-2</v>
      </c>
      <c r="H9485" s="164"/>
    </row>
    <row r="9486" spans="1:8" x14ac:dyDescent="0.25">
      <c r="A9486" s="163"/>
      <c r="B9486" s="106"/>
      <c r="C9486" s="73"/>
      <c r="D9486" s="73"/>
      <c r="E9486" s="73"/>
      <c r="F9486" s="74"/>
      <c r="G9486" s="153"/>
      <c r="H9486" s="164"/>
    </row>
    <row r="9487" spans="1:8" x14ac:dyDescent="0.25">
      <c r="A9487" s="163"/>
      <c r="B9487" s="106"/>
      <c r="C9487" s="75" t="s">
        <v>4348</v>
      </c>
      <c r="D9487" s="73"/>
      <c r="E9487" s="73"/>
      <c r="F9487" s="74"/>
      <c r="G9487" s="153"/>
      <c r="H9487" s="164"/>
    </row>
    <row r="9488" spans="1:8" x14ac:dyDescent="0.25">
      <c r="A9488" s="163"/>
      <c r="B9488" s="106"/>
      <c r="C9488" s="73" t="s">
        <v>731</v>
      </c>
      <c r="D9488" s="73"/>
      <c r="E9488" s="73"/>
      <c r="F9488" s="74" t="s">
        <v>3</v>
      </c>
      <c r="G9488" s="153">
        <f>0.7*0.025*0.2*2*1.3</f>
        <v>9.0999999999999987E-3</v>
      </c>
      <c r="H9488" s="164"/>
    </row>
    <row r="9489" spans="1:11" x14ac:dyDescent="0.25">
      <c r="A9489" s="163"/>
      <c r="B9489" s="106"/>
      <c r="C9489" s="73" t="s">
        <v>8</v>
      </c>
      <c r="D9489" s="73"/>
      <c r="E9489" s="73"/>
      <c r="F9489" s="74" t="s">
        <v>3</v>
      </c>
      <c r="G9489" s="153">
        <f>G9490*0.7</f>
        <v>1.5600899999999999E-2</v>
      </c>
      <c r="H9489" s="164"/>
      <c r="K9489" s="466"/>
    </row>
    <row r="9490" spans="1:11" x14ac:dyDescent="0.25">
      <c r="A9490" s="163"/>
      <c r="B9490" s="106"/>
      <c r="C9490" s="73" t="s">
        <v>36</v>
      </c>
      <c r="D9490" s="73"/>
      <c r="E9490" s="73"/>
      <c r="F9490" s="74" t="s">
        <v>3</v>
      </c>
      <c r="G9490" s="153">
        <f>0.19*0.17*2*0.15*2*1.15</f>
        <v>2.2287000000000001E-2</v>
      </c>
      <c r="H9490" s="164"/>
      <c r="K9490" s="466"/>
    </row>
    <row r="9491" spans="1:11" x14ac:dyDescent="0.25">
      <c r="A9491" s="163"/>
      <c r="B9491" s="106"/>
      <c r="C9491" s="73" t="s">
        <v>12</v>
      </c>
      <c r="D9491" s="73"/>
      <c r="E9491" s="73"/>
      <c r="F9491" s="74" t="s">
        <v>3</v>
      </c>
      <c r="G9491" s="153">
        <f>0.3*(G9490+G9489)</f>
        <v>1.1366370000000001E-2</v>
      </c>
      <c r="H9491" s="164"/>
      <c r="K9491" s="466"/>
    </row>
    <row r="9492" spans="1:11" x14ac:dyDescent="0.25">
      <c r="A9492" s="163"/>
      <c r="B9492" s="106"/>
      <c r="C9492" s="73"/>
      <c r="D9492" s="75" t="s">
        <v>4349</v>
      </c>
      <c r="E9492" s="73"/>
      <c r="F9492" s="74"/>
      <c r="G9492" s="153"/>
      <c r="H9492" s="164"/>
    </row>
    <row r="9493" spans="1:11" x14ac:dyDescent="0.25">
      <c r="A9493" s="163"/>
      <c r="B9493" s="106"/>
      <c r="C9493" s="73"/>
      <c r="D9493" s="73" t="s">
        <v>4350</v>
      </c>
      <c r="E9493" s="73"/>
      <c r="F9493" s="74" t="s">
        <v>3</v>
      </c>
      <c r="G9493" s="153">
        <f>0.19*0.17*3*8*1.161</f>
        <v>0.90000720000000012</v>
      </c>
      <c r="H9493" s="164"/>
    </row>
    <row r="9494" spans="1:11" x14ac:dyDescent="0.25">
      <c r="A9494" s="163"/>
      <c r="B9494" s="106"/>
      <c r="C9494" s="73"/>
      <c r="D9494" s="73"/>
      <c r="E9494" s="73"/>
      <c r="F9494" s="74"/>
      <c r="G9494" s="153"/>
      <c r="H9494" s="164"/>
    </row>
    <row r="9495" spans="1:11" x14ac:dyDescent="0.25">
      <c r="A9495" s="163"/>
      <c r="B9495" s="106"/>
      <c r="C9495" s="75" t="s">
        <v>4357</v>
      </c>
      <c r="D9495" s="73"/>
      <c r="E9495" s="73"/>
      <c r="F9495" s="74"/>
      <c r="G9495" s="153"/>
      <c r="H9495" s="164"/>
    </row>
    <row r="9496" spans="1:11" x14ac:dyDescent="0.25">
      <c r="A9496" s="163"/>
      <c r="B9496" s="106"/>
      <c r="C9496" s="77" t="s">
        <v>1054</v>
      </c>
      <c r="D9496" s="73"/>
      <c r="E9496" s="73"/>
      <c r="F9496" s="152" t="s">
        <v>3</v>
      </c>
      <c r="G9496" s="153">
        <f>0.15*0.08*1.1</f>
        <v>1.3200000000000002E-2</v>
      </c>
      <c r="H9496" s="164"/>
    </row>
    <row r="9497" spans="1:11" ht="17.25" x14ac:dyDescent="0.25">
      <c r="A9497" s="163"/>
      <c r="B9497" s="106"/>
      <c r="C9497" s="77" t="s">
        <v>1055</v>
      </c>
      <c r="D9497" s="73"/>
      <c r="E9497" s="73"/>
      <c r="F9497" s="74" t="s">
        <v>596</v>
      </c>
      <c r="G9497" s="153">
        <f>G9496*1.1</f>
        <v>1.4520000000000003E-2</v>
      </c>
      <c r="H9497" s="164"/>
    </row>
    <row r="9498" spans="1:11" x14ac:dyDescent="0.25">
      <c r="A9498" s="163"/>
      <c r="B9498" s="106"/>
      <c r="C9498" s="73" t="s">
        <v>8</v>
      </c>
      <c r="D9498" s="73"/>
      <c r="E9498" s="73"/>
      <c r="F9498" s="74" t="s">
        <v>3</v>
      </c>
      <c r="G9498" s="153">
        <f>G9499*0.7</f>
        <v>1.7325E-2</v>
      </c>
      <c r="H9498" s="164"/>
    </row>
    <row r="9499" spans="1:11" x14ac:dyDescent="0.25">
      <c r="A9499" s="163"/>
      <c r="B9499" s="106"/>
      <c r="C9499" s="73" t="s">
        <v>4358</v>
      </c>
      <c r="D9499" s="73"/>
      <c r="E9499" s="73"/>
      <c r="F9499" s="74" t="s">
        <v>3</v>
      </c>
      <c r="G9499" s="153">
        <f>0.75*0.015*2*1.1</f>
        <v>2.4750000000000001E-2</v>
      </c>
      <c r="H9499" s="164"/>
    </row>
    <row r="9500" spans="1:11" x14ac:dyDescent="0.25">
      <c r="A9500" s="163"/>
      <c r="B9500" s="106"/>
      <c r="C9500" s="73" t="s">
        <v>12</v>
      </c>
      <c r="D9500" s="73"/>
      <c r="E9500" s="73"/>
      <c r="F9500" s="74" t="s">
        <v>3</v>
      </c>
      <c r="G9500" s="153">
        <f>0.3*(G9499+G9498)</f>
        <v>1.26225E-2</v>
      </c>
      <c r="H9500" s="164"/>
    </row>
    <row r="9501" spans="1:11" x14ac:dyDescent="0.25">
      <c r="A9501" s="163"/>
      <c r="B9501" s="106"/>
      <c r="C9501" s="73"/>
      <c r="D9501" s="75" t="s">
        <v>4353</v>
      </c>
      <c r="E9501" s="73"/>
      <c r="F9501" s="74"/>
      <c r="G9501" s="153"/>
      <c r="H9501" s="164"/>
    </row>
    <row r="9502" spans="1:11" x14ac:dyDescent="0.25">
      <c r="A9502" s="163"/>
      <c r="B9502" s="106"/>
      <c r="C9502" s="73"/>
      <c r="D9502" s="73" t="s">
        <v>4354</v>
      </c>
      <c r="E9502" s="73"/>
      <c r="F9502" s="74" t="s">
        <v>3</v>
      </c>
      <c r="G9502" s="153">
        <f>0.962*0.811</f>
        <v>0.78018200000000004</v>
      </c>
      <c r="H9502" s="164"/>
      <c r="I9502" t="s">
        <v>4355</v>
      </c>
    </row>
    <row r="9503" spans="1:11" x14ac:dyDescent="0.25">
      <c r="A9503" s="163"/>
      <c r="B9503" s="106"/>
      <c r="C9503" s="73"/>
      <c r="D9503" s="75" t="s">
        <v>4356</v>
      </c>
      <c r="E9503" s="73"/>
      <c r="F9503" s="74"/>
      <c r="G9503" s="153"/>
      <c r="H9503" s="164"/>
    </row>
    <row r="9504" spans="1:11" x14ac:dyDescent="0.25">
      <c r="A9504" s="163"/>
      <c r="B9504" s="106"/>
      <c r="C9504" s="73"/>
      <c r="D9504" s="100" t="s">
        <v>54</v>
      </c>
      <c r="E9504" s="73"/>
      <c r="F9504" s="74" t="s">
        <v>3</v>
      </c>
      <c r="G9504" s="153">
        <f>0.15*0.03*4*8*1.11</f>
        <v>0.15984000000000001</v>
      </c>
      <c r="H9504" s="164"/>
    </row>
    <row r="9505" spans="1:8" x14ac:dyDescent="0.25">
      <c r="A9505" s="163"/>
      <c r="B9505" s="106"/>
      <c r="C9505" s="73"/>
      <c r="D9505" s="73"/>
      <c r="E9505" s="73"/>
      <c r="F9505" s="74"/>
      <c r="G9505" s="153"/>
      <c r="H9505" s="164"/>
    </row>
    <row r="9506" spans="1:8" x14ac:dyDescent="0.25">
      <c r="A9506" s="163"/>
      <c r="B9506" s="106"/>
      <c r="C9506" s="75" t="s">
        <v>4359</v>
      </c>
      <c r="D9506" s="73"/>
      <c r="E9506" s="73"/>
      <c r="F9506" s="74"/>
      <c r="G9506" s="153"/>
      <c r="H9506" s="164"/>
    </row>
    <row r="9507" spans="1:8" x14ac:dyDescent="0.25">
      <c r="A9507" s="163"/>
      <c r="B9507" s="106"/>
      <c r="C9507" s="77" t="s">
        <v>1054</v>
      </c>
      <c r="D9507" s="73"/>
      <c r="E9507" s="73"/>
      <c r="F9507" s="152" t="s">
        <v>3</v>
      </c>
      <c r="G9507" s="153">
        <f>0.02*2*0.08*1.15</f>
        <v>3.6799999999999997E-3</v>
      </c>
      <c r="H9507" s="164"/>
    </row>
    <row r="9508" spans="1:8" ht="17.25" x14ac:dyDescent="0.25">
      <c r="A9508" s="163"/>
      <c r="B9508" s="106"/>
      <c r="C9508" s="77" t="s">
        <v>1055</v>
      </c>
      <c r="D9508" s="73"/>
      <c r="E9508" s="73"/>
      <c r="F9508" s="74" t="s">
        <v>596</v>
      </c>
      <c r="G9508" s="153">
        <f>G9507*1.1</f>
        <v>4.0480000000000004E-3</v>
      </c>
      <c r="H9508" s="164"/>
    </row>
    <row r="9509" spans="1:8" x14ac:dyDescent="0.25">
      <c r="A9509" s="163"/>
      <c r="B9509" s="106"/>
      <c r="C9509" s="73" t="s">
        <v>8</v>
      </c>
      <c r="D9509" s="73"/>
      <c r="E9509" s="73"/>
      <c r="F9509" s="74" t="s">
        <v>3</v>
      </c>
      <c r="G9509" s="427">
        <f>G9510*0.7</f>
        <v>6.5519999999999997E-3</v>
      </c>
      <c r="H9509" s="164"/>
    </row>
    <row r="9510" spans="1:8" x14ac:dyDescent="0.25">
      <c r="A9510" s="163"/>
      <c r="B9510" s="106"/>
      <c r="C9510" s="73" t="s">
        <v>4358</v>
      </c>
      <c r="D9510" s="73"/>
      <c r="E9510" s="73"/>
      <c r="F9510" s="74" t="s">
        <v>3</v>
      </c>
      <c r="G9510" s="427">
        <f>0.1*0.12*2*0.15*2*1.3</f>
        <v>9.3600000000000003E-3</v>
      </c>
      <c r="H9510" s="164"/>
    </row>
    <row r="9511" spans="1:8" x14ac:dyDescent="0.25">
      <c r="A9511" s="163"/>
      <c r="B9511" s="106"/>
      <c r="C9511" s="73" t="s">
        <v>12</v>
      </c>
      <c r="D9511" s="73"/>
      <c r="E9511" s="73"/>
      <c r="F9511" s="74" t="s">
        <v>3</v>
      </c>
      <c r="G9511" s="427">
        <f>0.3*(G9510+G9509)</f>
        <v>4.7735999999999994E-3</v>
      </c>
      <c r="H9511" s="164"/>
    </row>
    <row r="9512" spans="1:8" x14ac:dyDescent="0.25">
      <c r="A9512" s="163"/>
      <c r="B9512" s="106"/>
      <c r="C9512" s="73"/>
      <c r="D9512" s="75" t="s">
        <v>4360</v>
      </c>
      <c r="E9512" s="73"/>
      <c r="F9512" s="74"/>
      <c r="G9512" s="153"/>
      <c r="H9512" s="164"/>
    </row>
    <row r="9513" spans="1:8" x14ac:dyDescent="0.25">
      <c r="A9513" s="163"/>
      <c r="B9513" s="106"/>
      <c r="C9513" s="73"/>
      <c r="D9513" s="73" t="s">
        <v>4362</v>
      </c>
      <c r="E9513" s="73"/>
      <c r="F9513" s="74" t="s">
        <v>3</v>
      </c>
      <c r="G9513" s="153">
        <f>0.075*0.08*4*8*1.145</f>
        <v>0.21984000000000001</v>
      </c>
      <c r="H9513" s="164"/>
    </row>
    <row r="9514" spans="1:8" x14ac:dyDescent="0.25">
      <c r="A9514" s="163"/>
      <c r="B9514" s="106"/>
      <c r="C9514" s="73"/>
      <c r="D9514" s="75" t="s">
        <v>4361</v>
      </c>
      <c r="E9514" s="73"/>
      <c r="F9514" s="74"/>
      <c r="G9514" s="153"/>
      <c r="H9514" s="164"/>
    </row>
    <row r="9515" spans="1:8" x14ac:dyDescent="0.25">
      <c r="A9515" s="163"/>
      <c r="B9515" s="106"/>
      <c r="C9515" s="73"/>
      <c r="D9515" s="73" t="s">
        <v>4362</v>
      </c>
      <c r="E9515" s="73"/>
      <c r="F9515" s="74" t="s">
        <v>3</v>
      </c>
      <c r="G9515" s="153">
        <f>0.07*0.085*4*8*1.127</f>
        <v>0.21458080000000004</v>
      </c>
      <c r="H9515" s="164"/>
    </row>
    <row r="9516" spans="1:8" x14ac:dyDescent="0.25">
      <c r="A9516" s="163"/>
      <c r="B9516" s="106"/>
      <c r="C9516" s="73"/>
      <c r="D9516" s="73"/>
      <c r="E9516" s="73"/>
      <c r="F9516" s="74"/>
      <c r="G9516" s="153"/>
      <c r="H9516" s="164"/>
    </row>
    <row r="9517" spans="1:8" x14ac:dyDescent="0.25">
      <c r="A9517" s="163"/>
      <c r="B9517" s="106"/>
      <c r="C9517" s="75" t="s">
        <v>4352</v>
      </c>
      <c r="D9517" s="73"/>
      <c r="E9517" s="73"/>
      <c r="F9517" s="74"/>
      <c r="G9517" s="153"/>
      <c r="H9517" s="164"/>
    </row>
    <row r="9518" spans="1:8" x14ac:dyDescent="0.25">
      <c r="A9518" s="163"/>
      <c r="B9518" s="106"/>
      <c r="C9518" s="186" t="s">
        <v>4363</v>
      </c>
      <c r="D9518" s="75"/>
      <c r="E9518" s="73"/>
      <c r="F9518" s="74" t="s">
        <v>3</v>
      </c>
      <c r="G9518" s="153">
        <f>0.032*0.032*0.3*8.5*1.1</f>
        <v>2.8723199999999998E-3</v>
      </c>
      <c r="H9518" s="164"/>
    </row>
    <row r="9519" spans="1:8" x14ac:dyDescent="0.25">
      <c r="A9519" s="163"/>
      <c r="B9519" s="106"/>
      <c r="C9519" s="73"/>
      <c r="D9519" s="73"/>
      <c r="E9519" s="73"/>
      <c r="F9519" s="74"/>
      <c r="G9519" s="153"/>
      <c r="H9519" s="164"/>
    </row>
    <row r="9520" spans="1:8" x14ac:dyDescent="0.25">
      <c r="A9520" s="163"/>
      <c r="B9520" s="106"/>
      <c r="C9520" s="75" t="s">
        <v>4364</v>
      </c>
      <c r="D9520" s="73"/>
      <c r="E9520" s="73"/>
      <c r="F9520" s="74"/>
      <c r="G9520" s="153"/>
      <c r="H9520" s="164"/>
    </row>
    <row r="9521" spans="1:8" x14ac:dyDescent="0.25">
      <c r="A9521" s="163"/>
      <c r="B9521" s="106"/>
      <c r="C9521" s="100" t="s">
        <v>4365</v>
      </c>
      <c r="D9521" s="73"/>
      <c r="E9521" s="73"/>
      <c r="F9521" s="74" t="s">
        <v>3</v>
      </c>
      <c r="G9521" s="153">
        <f>0.165*0.955*5*2.7*1.1515</f>
        <v>2.4495427687500002</v>
      </c>
      <c r="H9521" s="164"/>
    </row>
    <row r="9522" spans="1:8" x14ac:dyDescent="0.25">
      <c r="A9522" s="163"/>
      <c r="B9522" s="106"/>
      <c r="C9522" s="73"/>
      <c r="D9522" s="73"/>
      <c r="E9522" s="73"/>
      <c r="F9522" s="74"/>
      <c r="G9522" s="153"/>
      <c r="H9522" s="164"/>
    </row>
    <row r="9523" spans="1:8" x14ac:dyDescent="0.25">
      <c r="A9523" s="163"/>
      <c r="B9523" s="106"/>
      <c r="C9523" s="75" t="s">
        <v>4366</v>
      </c>
      <c r="D9523" s="73"/>
      <c r="E9523" s="73"/>
      <c r="F9523" s="74"/>
      <c r="G9523" s="153"/>
      <c r="H9523" s="164"/>
    </row>
    <row r="9524" spans="1:8" x14ac:dyDescent="0.25">
      <c r="A9524" s="163"/>
      <c r="B9524" s="106"/>
      <c r="C9524" s="73" t="s">
        <v>4367</v>
      </c>
      <c r="D9524" s="73"/>
      <c r="E9524" s="73"/>
      <c r="F9524" s="74" t="s">
        <v>3</v>
      </c>
      <c r="G9524" s="153">
        <f>0.7*0.022*3*8*1.137</f>
        <v>0.42023519999999998</v>
      </c>
      <c r="H9524" s="164"/>
    </row>
    <row r="9525" spans="1:8" x14ac:dyDescent="0.25">
      <c r="A9525" s="163"/>
      <c r="B9525" s="106"/>
      <c r="C9525" s="77" t="s">
        <v>8</v>
      </c>
      <c r="D9525" s="73"/>
      <c r="E9525" s="73"/>
      <c r="F9525" s="74" t="s">
        <v>3</v>
      </c>
      <c r="G9525" s="153">
        <f>G9527*0.65</f>
        <v>1.2011999999999998E-2</v>
      </c>
      <c r="H9525" s="164"/>
    </row>
    <row r="9526" spans="1:8" x14ac:dyDescent="0.25">
      <c r="A9526" s="163"/>
      <c r="B9526" s="106"/>
      <c r="C9526" s="77" t="s">
        <v>12</v>
      </c>
      <c r="D9526" s="73"/>
      <c r="E9526" s="73"/>
      <c r="F9526" s="74" t="s">
        <v>3</v>
      </c>
      <c r="G9526" s="153">
        <f>0.3*G9525</f>
        <v>3.6035999999999993E-3</v>
      </c>
      <c r="H9526" s="164"/>
    </row>
    <row r="9527" spans="1:8" x14ac:dyDescent="0.25">
      <c r="A9527" s="163"/>
      <c r="B9527" s="106"/>
      <c r="C9527" s="77" t="s">
        <v>72</v>
      </c>
      <c r="D9527" s="73"/>
      <c r="E9527" s="73"/>
      <c r="F9527" s="74" t="s">
        <v>3</v>
      </c>
      <c r="G9527" s="153">
        <f>0.7*0.011*2*1.2</f>
        <v>1.8479999999999996E-2</v>
      </c>
      <c r="H9527" s="164"/>
    </row>
    <row r="9528" spans="1:8" x14ac:dyDescent="0.25">
      <c r="A9528" s="460"/>
      <c r="B9528" s="461"/>
      <c r="C9528" s="469" t="s">
        <v>11</v>
      </c>
      <c r="D9528" s="462"/>
      <c r="E9528" s="462"/>
      <c r="F9528" s="463" t="s">
        <v>3</v>
      </c>
      <c r="G9528" s="464">
        <f>0.3*G9527</f>
        <v>5.5439999999999986E-3</v>
      </c>
      <c r="H9528" s="465"/>
    </row>
    <row r="9529" spans="1:8" x14ac:dyDescent="0.25">
      <c r="A9529" s="163"/>
      <c r="B9529" s="106"/>
      <c r="C9529" s="73"/>
      <c r="D9529" s="73"/>
      <c r="E9529" s="73"/>
      <c r="F9529" s="74"/>
      <c r="G9529" s="153"/>
      <c r="H9529" s="164" t="s">
        <v>4388</v>
      </c>
    </row>
    <row r="9530" spans="1:8" x14ac:dyDescent="0.25">
      <c r="A9530" s="163"/>
      <c r="B9530" s="106"/>
      <c r="C9530" s="75" t="s">
        <v>4368</v>
      </c>
      <c r="D9530" s="73"/>
      <c r="E9530" s="73"/>
      <c r="F9530" s="74"/>
      <c r="G9530" s="153"/>
      <c r="H9530" s="164"/>
    </row>
    <row r="9531" spans="1:8" x14ac:dyDescent="0.25">
      <c r="A9531" s="163"/>
      <c r="B9531" s="106"/>
      <c r="C9531" s="73" t="s">
        <v>4367</v>
      </c>
      <c r="D9531" s="73"/>
      <c r="E9531" s="73"/>
      <c r="F9531" s="74" t="s">
        <v>3</v>
      </c>
      <c r="G9531" s="153">
        <f>0.94*0.022*3*8*1.129</f>
        <v>0.56034527999999995</v>
      </c>
      <c r="H9531" s="164"/>
    </row>
    <row r="9532" spans="1:8" x14ac:dyDescent="0.25">
      <c r="A9532" s="163"/>
      <c r="B9532" s="106"/>
      <c r="C9532" s="77" t="s">
        <v>8</v>
      </c>
      <c r="D9532" s="73"/>
      <c r="E9532" s="73"/>
      <c r="F9532" s="74" t="s">
        <v>3</v>
      </c>
      <c r="G9532" s="153">
        <f>G9534*0.65</f>
        <v>1.6473599999999998E-2</v>
      </c>
      <c r="H9532" s="164"/>
    </row>
    <row r="9533" spans="1:8" x14ac:dyDescent="0.25">
      <c r="A9533" s="163"/>
      <c r="B9533" s="106"/>
      <c r="C9533" s="77" t="s">
        <v>12</v>
      </c>
      <c r="D9533" s="73"/>
      <c r="E9533" s="73"/>
      <c r="F9533" s="74" t="s">
        <v>3</v>
      </c>
      <c r="G9533" s="153">
        <f>0.3*G9532</f>
        <v>4.9420799999999989E-3</v>
      </c>
      <c r="H9533" s="164"/>
    </row>
    <row r="9534" spans="1:8" x14ac:dyDescent="0.25">
      <c r="A9534" s="163"/>
      <c r="B9534" s="106"/>
      <c r="C9534" s="77" t="s">
        <v>72</v>
      </c>
      <c r="D9534" s="73"/>
      <c r="E9534" s="73"/>
      <c r="F9534" s="74" t="s">
        <v>3</v>
      </c>
      <c r="G9534" s="153">
        <f>0.96*0.011*2*1.2</f>
        <v>2.5343999999999995E-2</v>
      </c>
      <c r="H9534" s="164"/>
    </row>
    <row r="9535" spans="1:8" x14ac:dyDescent="0.25">
      <c r="A9535" s="163"/>
      <c r="B9535" s="106"/>
      <c r="C9535" s="77" t="s">
        <v>11</v>
      </c>
      <c r="D9535" s="73"/>
      <c r="E9535" s="73"/>
      <c r="F9535" s="74" t="s">
        <v>3</v>
      </c>
      <c r="G9535" s="153">
        <f>0.3*G9534</f>
        <v>7.6031999999999983E-3</v>
      </c>
      <c r="H9535" s="164"/>
    </row>
    <row r="9536" spans="1:8" x14ac:dyDescent="0.25">
      <c r="A9536" s="163"/>
      <c r="B9536" s="106"/>
      <c r="C9536" s="73"/>
      <c r="D9536" s="73"/>
      <c r="E9536" s="73"/>
      <c r="F9536" s="74"/>
      <c r="G9536" s="153"/>
      <c r="H9536" s="164"/>
    </row>
    <row r="9537" spans="1:8" x14ac:dyDescent="0.25">
      <c r="A9537" s="163"/>
      <c r="B9537" s="106"/>
      <c r="C9537" s="78" t="s">
        <v>4370</v>
      </c>
      <c r="D9537" s="73"/>
      <c r="E9537" s="73"/>
      <c r="F9537" s="74"/>
      <c r="G9537" s="153"/>
      <c r="H9537" s="164"/>
    </row>
    <row r="9538" spans="1:8" x14ac:dyDescent="0.25">
      <c r="A9538" s="163"/>
      <c r="B9538" s="106"/>
      <c r="C9538" s="77" t="s">
        <v>4371</v>
      </c>
      <c r="D9538" s="73"/>
      <c r="E9538" s="73"/>
      <c r="F9538" s="74" t="s">
        <v>3</v>
      </c>
      <c r="G9538" s="153">
        <f>0.13*0.085*4*8*1.13</f>
        <v>0.39956799999999998</v>
      </c>
      <c r="H9538" s="164"/>
    </row>
    <row r="9539" spans="1:8" x14ac:dyDescent="0.25">
      <c r="A9539" s="163"/>
      <c r="B9539" s="106"/>
      <c r="C9539" s="73"/>
      <c r="D9539" s="73"/>
      <c r="E9539" s="73"/>
      <c r="F9539" s="74"/>
      <c r="G9539" s="153"/>
      <c r="H9539" s="164"/>
    </row>
    <row r="9540" spans="1:8" x14ac:dyDescent="0.25">
      <c r="A9540" s="163"/>
      <c r="B9540" s="106"/>
      <c r="C9540" s="75" t="s">
        <v>4372</v>
      </c>
      <c r="D9540" s="73"/>
      <c r="E9540" s="73"/>
      <c r="F9540" s="74"/>
      <c r="G9540" s="153"/>
      <c r="H9540" s="164"/>
    </row>
    <row r="9541" spans="1:8" x14ac:dyDescent="0.25">
      <c r="A9541" s="163"/>
      <c r="B9541" s="106"/>
      <c r="C9541" s="73" t="s">
        <v>4373</v>
      </c>
      <c r="D9541" s="73"/>
      <c r="E9541" s="73"/>
      <c r="F9541" s="74" t="s">
        <v>3</v>
      </c>
      <c r="G9541" s="153">
        <f>0.175*0.19*0.5*8*1.125</f>
        <v>0.14962499999999998</v>
      </c>
      <c r="H9541" s="164"/>
    </row>
    <row r="9542" spans="1:8" x14ac:dyDescent="0.25">
      <c r="A9542" s="163"/>
      <c r="B9542" s="106"/>
      <c r="C9542" s="73" t="s">
        <v>8</v>
      </c>
      <c r="D9542" s="73"/>
      <c r="E9542" s="73"/>
      <c r="F9542" s="74" t="s">
        <v>3</v>
      </c>
      <c r="G9542" s="153">
        <f>G9544*0.65</f>
        <v>9.9450000000000007E-3</v>
      </c>
      <c r="H9542" s="164"/>
    </row>
    <row r="9543" spans="1:8" x14ac:dyDescent="0.25">
      <c r="A9543" s="163"/>
      <c r="B9543" s="106"/>
      <c r="C9543" s="73" t="s">
        <v>12</v>
      </c>
      <c r="D9543" s="73"/>
      <c r="E9543" s="73"/>
      <c r="F9543" s="74" t="s">
        <v>3</v>
      </c>
      <c r="G9543" s="153">
        <f>0.3*G9542</f>
        <v>2.9835E-3</v>
      </c>
      <c r="H9543" s="164"/>
    </row>
    <row r="9544" spans="1:8" x14ac:dyDescent="0.25">
      <c r="A9544" s="163"/>
      <c r="B9544" s="106"/>
      <c r="C9544" s="73" t="s">
        <v>72</v>
      </c>
      <c r="D9544" s="73"/>
      <c r="E9544" s="73"/>
      <c r="F9544" s="74" t="s">
        <v>3</v>
      </c>
      <c r="G9544" s="153">
        <f>0.15*0.17*2*0.15*2</f>
        <v>1.5300000000000001E-2</v>
      </c>
      <c r="H9544" s="164"/>
    </row>
    <row r="9545" spans="1:8" x14ac:dyDescent="0.25">
      <c r="A9545" s="163"/>
      <c r="B9545" s="106"/>
      <c r="C9545" s="73" t="s">
        <v>11</v>
      </c>
      <c r="D9545" s="73"/>
      <c r="E9545" s="73"/>
      <c r="F9545" s="74" t="s">
        <v>3</v>
      </c>
      <c r="G9545" s="153">
        <f>0.3*G9544</f>
        <v>4.5900000000000003E-3</v>
      </c>
      <c r="H9545" s="164"/>
    </row>
    <row r="9546" spans="1:8" x14ac:dyDescent="0.25">
      <c r="A9546" s="163"/>
      <c r="B9546" s="106"/>
      <c r="C9546" s="73"/>
      <c r="D9546" s="73"/>
      <c r="E9546" s="73"/>
      <c r="F9546" s="74"/>
      <c r="G9546" s="153"/>
      <c r="H9546" s="164"/>
    </row>
    <row r="9547" spans="1:8" x14ac:dyDescent="0.25">
      <c r="A9547" s="163"/>
      <c r="B9547" s="106"/>
      <c r="C9547" s="75" t="s">
        <v>4374</v>
      </c>
      <c r="D9547" s="73"/>
      <c r="E9547" s="73"/>
      <c r="F9547" s="74"/>
      <c r="G9547" s="153"/>
      <c r="H9547" s="164"/>
    </row>
    <row r="9548" spans="1:8" x14ac:dyDescent="0.25">
      <c r="A9548" s="163"/>
      <c r="B9548" s="106"/>
      <c r="C9548" s="73" t="s">
        <v>4375</v>
      </c>
      <c r="D9548" s="73"/>
      <c r="E9548" s="73"/>
      <c r="F9548" s="74" t="s">
        <v>3</v>
      </c>
      <c r="G9548" s="153">
        <f>0.17*0.33*1*1.15</f>
        <v>6.4515000000000003E-2</v>
      </c>
      <c r="H9548" s="164"/>
    </row>
    <row r="9549" spans="1:8" x14ac:dyDescent="0.25">
      <c r="A9549" s="163"/>
      <c r="B9549" s="106"/>
      <c r="C9549" s="73"/>
      <c r="D9549" s="73"/>
      <c r="E9549" s="73"/>
      <c r="F9549" s="74"/>
      <c r="G9549" s="153"/>
      <c r="H9549" s="164"/>
    </row>
    <row r="9550" spans="1:8" x14ac:dyDescent="0.25">
      <c r="A9550" s="163"/>
      <c r="B9550" s="106"/>
      <c r="C9550" s="75" t="s">
        <v>4376</v>
      </c>
      <c r="D9550" s="73"/>
      <c r="E9550" s="73"/>
      <c r="F9550" s="74"/>
      <c r="G9550" s="153"/>
      <c r="H9550" s="164"/>
    </row>
    <row r="9551" spans="1:8" x14ac:dyDescent="0.25">
      <c r="A9551" s="163"/>
      <c r="B9551" s="106"/>
      <c r="C9551" s="73" t="s">
        <v>4379</v>
      </c>
      <c r="D9551" s="73"/>
      <c r="E9551" s="73"/>
      <c r="F9551" s="74" t="s">
        <v>3</v>
      </c>
      <c r="G9551" s="153">
        <f>0.06*0.06*0.5*2.7</f>
        <v>4.8600000000000006E-3</v>
      </c>
      <c r="H9551" s="164"/>
    </row>
    <row r="9552" spans="1:8" x14ac:dyDescent="0.25">
      <c r="A9552" s="163"/>
      <c r="B9552" s="106"/>
      <c r="C9552" s="73"/>
      <c r="D9552" s="73"/>
      <c r="E9552" s="73"/>
      <c r="F9552" s="74"/>
      <c r="G9552" s="153"/>
      <c r="H9552" s="164"/>
    </row>
    <row r="9553" spans="1:11" x14ac:dyDescent="0.25">
      <c r="A9553" s="163"/>
      <c r="B9553" s="106"/>
      <c r="C9553" s="75" t="s">
        <v>4378</v>
      </c>
      <c r="D9553" s="73"/>
      <c r="E9553" s="73"/>
      <c r="F9553" s="74"/>
      <c r="G9553" s="153"/>
      <c r="H9553" s="164"/>
    </row>
    <row r="9554" spans="1:11" x14ac:dyDescent="0.25">
      <c r="A9554" s="163"/>
      <c r="B9554" s="106"/>
      <c r="C9554" s="73" t="s">
        <v>4380</v>
      </c>
      <c r="D9554" s="73"/>
      <c r="E9554" s="73"/>
      <c r="F9554" s="74" t="s">
        <v>3</v>
      </c>
      <c r="G9554" s="153">
        <f>0.06*0.06*0.15*9</f>
        <v>4.8599999999999997E-3</v>
      </c>
      <c r="H9554" s="164"/>
    </row>
    <row r="9555" spans="1:11" x14ac:dyDescent="0.25">
      <c r="A9555" s="163"/>
      <c r="B9555" s="106"/>
      <c r="C9555" s="73"/>
      <c r="D9555" s="73"/>
      <c r="E9555" s="73"/>
      <c r="F9555" s="74"/>
      <c r="G9555" s="153"/>
      <c r="H9555" s="164"/>
    </row>
    <row r="9556" spans="1:11" x14ac:dyDescent="0.25">
      <c r="A9556" s="163"/>
      <c r="B9556" s="106"/>
      <c r="C9556" s="75" t="s">
        <v>4377</v>
      </c>
      <c r="D9556" s="73"/>
      <c r="E9556" s="73"/>
      <c r="F9556" s="74"/>
      <c r="G9556" s="153"/>
      <c r="H9556" s="164"/>
    </row>
    <row r="9557" spans="1:11" x14ac:dyDescent="0.25">
      <c r="A9557" s="163"/>
      <c r="B9557" s="106"/>
      <c r="C9557" s="73" t="s">
        <v>4381</v>
      </c>
      <c r="D9557" s="73"/>
      <c r="E9557" s="73"/>
      <c r="F9557" s="74" t="s">
        <v>3</v>
      </c>
      <c r="G9557" s="153">
        <f>0.06*0.06*0.18*8.5</f>
        <v>5.507999999999999E-3</v>
      </c>
      <c r="H9557" s="164"/>
    </row>
    <row r="9558" spans="1:11" x14ac:dyDescent="0.25">
      <c r="A9558" s="163"/>
      <c r="B9558" s="106"/>
      <c r="C9558" s="73"/>
      <c r="D9558" s="73"/>
      <c r="E9558" s="73"/>
      <c r="F9558" s="74"/>
      <c r="G9558" s="153"/>
      <c r="H9558" s="164"/>
    </row>
    <row r="9559" spans="1:11" x14ac:dyDescent="0.25">
      <c r="A9559" s="163"/>
      <c r="B9559" s="106"/>
      <c r="C9559" s="75" t="s">
        <v>4382</v>
      </c>
      <c r="D9559" s="73"/>
      <c r="E9559" s="73"/>
      <c r="F9559" s="74"/>
      <c r="G9559" s="153"/>
      <c r="H9559" s="164"/>
    </row>
    <row r="9560" spans="1:11" x14ac:dyDescent="0.25">
      <c r="A9560" s="163"/>
      <c r="B9560" s="106"/>
      <c r="C9560" s="73" t="s">
        <v>4383</v>
      </c>
      <c r="D9560" s="73"/>
      <c r="E9560" s="73"/>
      <c r="F9560" s="74" t="s">
        <v>3</v>
      </c>
      <c r="G9560" s="153">
        <f>0.045*0.045*1*8*1.12</f>
        <v>1.8144E-2</v>
      </c>
      <c r="H9560" s="164"/>
    </row>
    <row r="9561" spans="1:11" x14ac:dyDescent="0.25">
      <c r="A9561" s="163"/>
      <c r="B9561" s="106"/>
      <c r="C9561" s="73"/>
      <c r="D9561" s="73"/>
      <c r="E9561" s="73"/>
      <c r="F9561" s="74"/>
      <c r="G9561" s="153"/>
      <c r="H9561" s="164"/>
    </row>
    <row r="9562" spans="1:11" x14ac:dyDescent="0.25">
      <c r="A9562" s="163"/>
      <c r="B9562" s="106"/>
      <c r="C9562" s="75" t="s">
        <v>4384</v>
      </c>
      <c r="D9562" s="73"/>
      <c r="E9562" s="73"/>
      <c r="F9562" s="74"/>
      <c r="G9562" s="153"/>
      <c r="H9562" s="164"/>
    </row>
    <row r="9563" spans="1:11" x14ac:dyDescent="0.25">
      <c r="A9563" s="163"/>
      <c r="B9563" s="106"/>
      <c r="C9563" s="73" t="s">
        <v>4339</v>
      </c>
      <c r="D9563" s="73"/>
      <c r="E9563" s="73"/>
      <c r="F9563" s="74" t="s">
        <v>3</v>
      </c>
      <c r="G9563" s="153">
        <f>0.425*0.28*2*2.7*1.136</f>
        <v>0.72999360000000002</v>
      </c>
      <c r="H9563" s="164"/>
    </row>
    <row r="9564" spans="1:11" x14ac:dyDescent="0.25">
      <c r="A9564" s="163"/>
      <c r="B9564" s="106"/>
      <c r="C9564" s="73" t="s">
        <v>114</v>
      </c>
      <c r="D9564" s="73"/>
      <c r="E9564" s="73"/>
      <c r="F9564" s="74" t="s">
        <v>3</v>
      </c>
      <c r="G9564" s="153">
        <f>G9567/2</f>
        <v>3.9984000000000006E-2</v>
      </c>
      <c r="H9564" s="164"/>
      <c r="K9564" s="468"/>
    </row>
    <row r="9565" spans="1:11" x14ac:dyDescent="0.25">
      <c r="A9565" s="163"/>
      <c r="B9565" s="106"/>
      <c r="C9565" s="73" t="s">
        <v>163</v>
      </c>
      <c r="D9565" s="73"/>
      <c r="E9565" s="73"/>
      <c r="F9565" s="74" t="s">
        <v>3</v>
      </c>
      <c r="G9565" s="153">
        <f>G9567/2</f>
        <v>3.9984000000000006E-2</v>
      </c>
      <c r="H9565" s="164"/>
      <c r="K9565" s="468"/>
    </row>
    <row r="9566" spans="1:11" x14ac:dyDescent="0.25">
      <c r="A9566" s="163"/>
      <c r="B9566" s="106"/>
      <c r="C9566" s="73" t="s">
        <v>164</v>
      </c>
      <c r="D9566" s="73"/>
      <c r="E9566" s="73"/>
      <c r="F9566" s="74" t="s">
        <v>3</v>
      </c>
      <c r="G9566" s="153">
        <f>0.3*(G9565+G9564)</f>
        <v>2.3990400000000002E-2</v>
      </c>
      <c r="H9566" s="164"/>
      <c r="K9566" s="468"/>
    </row>
    <row r="9567" spans="1:11" x14ac:dyDescent="0.25">
      <c r="A9567" s="163"/>
      <c r="B9567" s="106"/>
      <c r="C9567" s="73" t="s">
        <v>72</v>
      </c>
      <c r="D9567" s="73"/>
      <c r="E9567" s="73"/>
      <c r="F9567" s="74" t="s">
        <v>3</v>
      </c>
      <c r="G9567" s="153">
        <f>0.425*0.28*2*0.15*2*1.12</f>
        <v>7.9968000000000011E-2</v>
      </c>
      <c r="H9567" s="164"/>
    </row>
    <row r="9568" spans="1:11" x14ac:dyDescent="0.25">
      <c r="A9568" s="163"/>
      <c r="B9568" s="106"/>
      <c r="C9568" s="73" t="s">
        <v>11</v>
      </c>
      <c r="D9568" s="73"/>
      <c r="E9568" s="73"/>
      <c r="F9568" s="74" t="s">
        <v>3</v>
      </c>
      <c r="G9568" s="153">
        <f>0.3*G9567</f>
        <v>2.3990400000000002E-2</v>
      </c>
      <c r="H9568" s="164"/>
    </row>
    <row r="9569" spans="1:9" x14ac:dyDescent="0.25">
      <c r="A9569" s="163"/>
      <c r="B9569" s="106"/>
      <c r="C9569" s="73"/>
      <c r="D9569" s="73"/>
      <c r="E9569" s="73"/>
      <c r="F9569" s="74"/>
      <c r="G9569" s="153"/>
      <c r="H9569" s="164"/>
    </row>
    <row r="9570" spans="1:9" x14ac:dyDescent="0.25">
      <c r="A9570" s="163"/>
      <c r="B9570" s="106"/>
      <c r="C9570" s="75" t="s">
        <v>4385</v>
      </c>
      <c r="D9570" s="73"/>
      <c r="E9570" s="73"/>
      <c r="F9570" s="74"/>
      <c r="G9570" s="153"/>
      <c r="H9570" s="164"/>
    </row>
    <row r="9571" spans="1:9" x14ac:dyDescent="0.25">
      <c r="A9571" s="163"/>
      <c r="B9571" s="106"/>
      <c r="C9571" s="73" t="s">
        <v>4339</v>
      </c>
      <c r="D9571" s="73"/>
      <c r="E9571" s="73"/>
      <c r="F9571" s="74" t="s">
        <v>3</v>
      </c>
      <c r="G9571" s="153">
        <f>0.42*0.3*2*2.7*1.132</f>
        <v>0.77021279999999992</v>
      </c>
      <c r="H9571" s="164"/>
    </row>
    <row r="9572" spans="1:9" x14ac:dyDescent="0.25">
      <c r="A9572" s="163"/>
      <c r="B9572" s="106"/>
      <c r="C9572" s="73" t="s">
        <v>114</v>
      </c>
      <c r="D9572" s="73"/>
      <c r="E9572" s="73"/>
      <c r="F9572" s="74" t="s">
        <v>3</v>
      </c>
      <c r="G9572" s="153">
        <f>G9575/2</f>
        <v>3.7484999999999997E-2</v>
      </c>
      <c r="H9572" s="391"/>
    </row>
    <row r="9573" spans="1:9" x14ac:dyDescent="0.25">
      <c r="A9573" s="163"/>
      <c r="B9573" s="106"/>
      <c r="C9573" s="73" t="s">
        <v>163</v>
      </c>
      <c r="D9573" s="73"/>
      <c r="E9573" s="73"/>
      <c r="F9573" s="74" t="s">
        <v>3</v>
      </c>
      <c r="G9573" s="153">
        <f>G9575/2</f>
        <v>3.7484999999999997E-2</v>
      </c>
      <c r="H9573" s="164"/>
    </row>
    <row r="9574" spans="1:9" x14ac:dyDescent="0.25">
      <c r="A9574" s="163"/>
      <c r="B9574" s="106"/>
      <c r="C9574" s="73" t="s">
        <v>164</v>
      </c>
      <c r="D9574" s="73"/>
      <c r="E9574" s="73"/>
      <c r="F9574" s="74" t="s">
        <v>3</v>
      </c>
      <c r="G9574" s="153">
        <f>0.3*(G9573+G9572)</f>
        <v>2.2490999999999997E-2</v>
      </c>
      <c r="H9574" s="164"/>
    </row>
    <row r="9575" spans="1:9" x14ac:dyDescent="0.25">
      <c r="A9575" s="163"/>
      <c r="B9575" s="106"/>
      <c r="C9575" s="73" t="s">
        <v>72</v>
      </c>
      <c r="D9575" s="73"/>
      <c r="E9575" s="73"/>
      <c r="F9575" s="74" t="s">
        <v>3</v>
      </c>
      <c r="G9575" s="153">
        <f>0.42*0.25*2*0.15*2*1.19</f>
        <v>7.4969999999999995E-2</v>
      </c>
      <c r="H9575" s="164"/>
    </row>
    <row r="9576" spans="1:9" x14ac:dyDescent="0.25">
      <c r="A9576" s="163"/>
      <c r="B9576" s="106"/>
      <c r="C9576" s="73" t="s">
        <v>11</v>
      </c>
      <c r="D9576" s="73"/>
      <c r="E9576" s="73"/>
      <c r="F9576" s="74" t="s">
        <v>3</v>
      </c>
      <c r="G9576" s="153">
        <f>0.3*G9575</f>
        <v>2.2490999999999997E-2</v>
      </c>
      <c r="H9576" s="164"/>
    </row>
    <row r="9577" spans="1:9" x14ac:dyDescent="0.25">
      <c r="A9577" s="163"/>
      <c r="B9577" s="106"/>
      <c r="C9577" s="73"/>
      <c r="D9577" s="73"/>
      <c r="E9577" s="73"/>
      <c r="F9577" s="74"/>
      <c r="G9577" s="153"/>
      <c r="H9577" s="164"/>
    </row>
    <row r="9578" spans="1:9" x14ac:dyDescent="0.25">
      <c r="A9578" s="163"/>
      <c r="B9578" s="106"/>
      <c r="C9578" s="75" t="s">
        <v>4386</v>
      </c>
      <c r="D9578" s="73"/>
      <c r="E9578" s="73"/>
      <c r="F9578" s="74"/>
      <c r="G9578" s="153"/>
      <c r="H9578" s="164"/>
    </row>
    <row r="9579" spans="1:9" x14ac:dyDescent="0.25">
      <c r="A9579" s="163"/>
      <c r="B9579" s="106"/>
      <c r="C9579" s="73" t="s">
        <v>4387</v>
      </c>
      <c r="D9579" s="73"/>
      <c r="E9579" s="73"/>
      <c r="F9579" s="74" t="s">
        <v>3</v>
      </c>
      <c r="G9579" s="428">
        <f>0.025*0.025*0.25*8*1.15</f>
        <v>1.4375000000000002E-3</v>
      </c>
      <c r="H9579" s="164"/>
    </row>
    <row r="9580" spans="1:9" x14ac:dyDescent="0.25">
      <c r="A9580" s="460"/>
      <c r="B9580" s="461"/>
      <c r="C9580" s="462"/>
      <c r="D9580" s="462"/>
      <c r="E9580" s="462"/>
      <c r="F9580" s="463"/>
      <c r="G9580" s="464"/>
      <c r="H9580" s="465"/>
    </row>
    <row r="9581" spans="1:9" x14ac:dyDescent="0.25">
      <c r="A9581" s="163"/>
      <c r="B9581" s="106"/>
      <c r="C9581" s="73"/>
      <c r="D9581" s="73"/>
      <c r="E9581" s="73"/>
      <c r="F9581" s="74"/>
      <c r="G9581" s="153"/>
      <c r="H9581" s="164" t="s">
        <v>4431</v>
      </c>
    </row>
    <row r="9582" spans="1:9" x14ac:dyDescent="0.25">
      <c r="A9582" s="163"/>
      <c r="B9582" s="106"/>
      <c r="C9582" s="75" t="s">
        <v>4389</v>
      </c>
      <c r="D9582" s="73"/>
      <c r="E9582" s="73"/>
      <c r="F9582" s="74"/>
      <c r="G9582" s="153"/>
      <c r="H9582" s="164"/>
    </row>
    <row r="9583" spans="1:9" x14ac:dyDescent="0.25">
      <c r="A9583" s="163"/>
      <c r="B9583" s="106"/>
      <c r="C9583" s="73" t="s">
        <v>384</v>
      </c>
      <c r="D9583" s="73"/>
      <c r="E9583" s="73"/>
      <c r="F9583" s="74" t="s">
        <v>3</v>
      </c>
      <c r="G9583" s="153">
        <f>0.962*1.15+0.004</f>
        <v>1.1102999999999998</v>
      </c>
      <c r="H9583" s="164"/>
      <c r="I9583" t="s">
        <v>4390</v>
      </c>
    </row>
    <row r="9584" spans="1:9" x14ac:dyDescent="0.25">
      <c r="A9584" s="163"/>
      <c r="B9584" s="106"/>
      <c r="C9584" s="73"/>
      <c r="D9584" s="73"/>
      <c r="E9584" s="73"/>
      <c r="F9584" s="74"/>
      <c r="G9584" s="153"/>
      <c r="H9584" s="164"/>
    </row>
    <row r="9585" spans="1:9" x14ac:dyDescent="0.25">
      <c r="A9585" s="163"/>
      <c r="B9585" s="106"/>
      <c r="C9585" s="75" t="s">
        <v>4391</v>
      </c>
      <c r="D9585" s="73"/>
      <c r="E9585" s="73"/>
      <c r="F9585" s="74"/>
      <c r="G9585" s="153"/>
      <c r="H9585" s="164"/>
    </row>
    <row r="9586" spans="1:9" x14ac:dyDescent="0.25">
      <c r="A9586" s="163"/>
      <c r="B9586" s="106"/>
      <c r="C9586" s="73" t="s">
        <v>4392</v>
      </c>
      <c r="D9586" s="73"/>
      <c r="E9586" s="73"/>
      <c r="F9586" s="74" t="s">
        <v>3</v>
      </c>
      <c r="G9586" s="153">
        <f>0.085*0.035*4*8*1.1</f>
        <v>0.10472000000000004</v>
      </c>
      <c r="H9586" s="164"/>
    </row>
    <row r="9587" spans="1:9" x14ac:dyDescent="0.25">
      <c r="A9587" s="163"/>
      <c r="B9587" s="106"/>
      <c r="C9587" s="73"/>
      <c r="D9587" s="73"/>
      <c r="E9587" s="73"/>
      <c r="F9587" s="74"/>
      <c r="G9587" s="153"/>
      <c r="H9587" s="164"/>
    </row>
    <row r="9588" spans="1:9" x14ac:dyDescent="0.25">
      <c r="A9588" s="163"/>
      <c r="B9588" s="106"/>
      <c r="C9588" s="75" t="s">
        <v>4393</v>
      </c>
      <c r="D9588" s="73"/>
      <c r="E9588" s="73"/>
      <c r="F9588" s="74"/>
      <c r="G9588" s="153"/>
      <c r="H9588" s="164"/>
    </row>
    <row r="9589" spans="1:9" x14ac:dyDescent="0.25">
      <c r="A9589" s="163"/>
      <c r="B9589" s="106"/>
      <c r="C9589" s="73" t="s">
        <v>4392</v>
      </c>
      <c r="D9589" s="73"/>
      <c r="E9589" s="73"/>
      <c r="F9589" s="74" t="s">
        <v>3</v>
      </c>
      <c r="G9589" s="153">
        <f>0.085*0.025*4*8*1.1</f>
        <v>7.4800000000000005E-2</v>
      </c>
      <c r="H9589" s="164"/>
    </row>
    <row r="9590" spans="1:9" x14ac:dyDescent="0.25">
      <c r="A9590" s="163"/>
      <c r="B9590" s="106"/>
      <c r="C9590" s="73"/>
      <c r="D9590" s="73"/>
      <c r="E9590" s="73"/>
      <c r="F9590" s="74"/>
      <c r="G9590" s="153"/>
      <c r="H9590" s="164"/>
    </row>
    <row r="9591" spans="1:9" x14ac:dyDescent="0.25">
      <c r="A9591" s="163"/>
      <c r="B9591" s="106"/>
      <c r="C9591" s="75" t="s">
        <v>4394</v>
      </c>
      <c r="D9591" s="73"/>
      <c r="E9591" s="73"/>
      <c r="F9591" s="74"/>
      <c r="G9591" s="153"/>
      <c r="H9591" s="164"/>
    </row>
    <row r="9592" spans="1:9" x14ac:dyDescent="0.25">
      <c r="A9592" s="163"/>
      <c r="B9592" s="106"/>
      <c r="C9592" s="73" t="s">
        <v>384</v>
      </c>
      <c r="D9592" s="73"/>
      <c r="E9592" s="73"/>
      <c r="F9592" s="74" t="s">
        <v>3</v>
      </c>
      <c r="G9592" s="153">
        <f>0.962*1.35+0.001</f>
        <v>1.2996999999999999</v>
      </c>
      <c r="H9592" s="164"/>
      <c r="I9592" t="s">
        <v>4395</v>
      </c>
    </row>
    <row r="9593" spans="1:9" x14ac:dyDescent="0.25">
      <c r="A9593" s="163"/>
      <c r="B9593" s="106"/>
      <c r="C9593" s="73"/>
      <c r="D9593" s="73"/>
      <c r="E9593" s="73"/>
      <c r="F9593" s="74"/>
      <c r="G9593" s="153"/>
      <c r="H9593" s="164"/>
    </row>
    <row r="9594" spans="1:9" x14ac:dyDescent="0.25">
      <c r="A9594" s="163"/>
      <c r="B9594" s="106"/>
      <c r="C9594" s="75" t="s">
        <v>4396</v>
      </c>
      <c r="D9594" s="73"/>
      <c r="E9594" s="73"/>
      <c r="F9594" s="74"/>
      <c r="G9594" s="153"/>
      <c r="H9594" s="164"/>
    </row>
    <row r="9595" spans="1:9" x14ac:dyDescent="0.25">
      <c r="A9595" s="163"/>
      <c r="B9595" s="106"/>
      <c r="C9595" s="73" t="s">
        <v>384</v>
      </c>
      <c r="D9595" s="73"/>
      <c r="E9595" s="73"/>
      <c r="F9595" s="74" t="s">
        <v>3</v>
      </c>
      <c r="G9595" s="153">
        <f>0.962*0.13</f>
        <v>0.12506</v>
      </c>
      <c r="H9595" s="164"/>
      <c r="I9595" t="s">
        <v>4397</v>
      </c>
    </row>
    <row r="9596" spans="1:9" x14ac:dyDescent="0.25">
      <c r="A9596" s="163"/>
      <c r="B9596" s="106"/>
      <c r="C9596" s="73"/>
      <c r="D9596" s="73"/>
      <c r="E9596" s="73"/>
      <c r="F9596" s="74"/>
      <c r="G9596" s="153"/>
      <c r="H9596" s="164"/>
    </row>
    <row r="9597" spans="1:9" x14ac:dyDescent="0.25">
      <c r="A9597" s="163"/>
      <c r="B9597" s="106"/>
      <c r="C9597" s="75" t="s">
        <v>4398</v>
      </c>
      <c r="D9597" s="73"/>
      <c r="E9597" s="73"/>
      <c r="F9597" s="74"/>
      <c r="G9597" s="153"/>
      <c r="H9597" s="164"/>
    </row>
    <row r="9598" spans="1:9" x14ac:dyDescent="0.25">
      <c r="A9598" s="163"/>
      <c r="B9598" s="106"/>
      <c r="C9598" s="73" t="s">
        <v>384</v>
      </c>
      <c r="D9598" s="73"/>
      <c r="E9598" s="73"/>
      <c r="F9598" s="74" t="s">
        <v>3</v>
      </c>
      <c r="G9598" s="153">
        <f>0.962*0.218</f>
        <v>0.20971599999999999</v>
      </c>
      <c r="H9598" s="164"/>
      <c r="I9598" t="s">
        <v>2005</v>
      </c>
    </row>
    <row r="9599" spans="1:9" x14ac:dyDescent="0.25">
      <c r="A9599" s="163"/>
      <c r="B9599" s="106"/>
      <c r="C9599" s="73"/>
      <c r="D9599" s="73"/>
      <c r="E9599" s="73"/>
      <c r="F9599" s="74"/>
      <c r="G9599" s="153"/>
      <c r="H9599" s="164"/>
    </row>
    <row r="9600" spans="1:9" x14ac:dyDescent="0.25">
      <c r="A9600" s="163"/>
      <c r="B9600" s="106"/>
      <c r="C9600" s="75" t="s">
        <v>4399</v>
      </c>
      <c r="D9600" s="73"/>
      <c r="E9600" s="73"/>
      <c r="F9600" s="74"/>
      <c r="G9600" s="153"/>
      <c r="H9600" s="164"/>
    </row>
    <row r="9601" spans="1:9" x14ac:dyDescent="0.25">
      <c r="A9601" s="163"/>
      <c r="B9601" s="106"/>
      <c r="C9601" s="73" t="s">
        <v>4400</v>
      </c>
      <c r="D9601" s="73"/>
      <c r="E9601" s="73"/>
      <c r="F9601" s="74" t="s">
        <v>3</v>
      </c>
      <c r="G9601" s="153">
        <f>0.154*0.38+0.001</f>
        <v>5.9520000000000003E-2</v>
      </c>
      <c r="H9601" s="164"/>
      <c r="I9601" t="s">
        <v>4401</v>
      </c>
    </row>
    <row r="9602" spans="1:9" x14ac:dyDescent="0.25">
      <c r="A9602" s="163"/>
      <c r="B9602" s="106"/>
      <c r="C9602" s="73"/>
      <c r="D9602" s="73"/>
      <c r="E9602" s="73"/>
      <c r="F9602" s="74"/>
      <c r="G9602" s="153"/>
      <c r="H9602" s="164"/>
    </row>
    <row r="9603" spans="1:9" x14ac:dyDescent="0.25">
      <c r="A9603" s="163"/>
      <c r="B9603" s="106"/>
      <c r="C9603" s="75" t="s">
        <v>4402</v>
      </c>
      <c r="D9603" s="73"/>
      <c r="E9603" s="73"/>
      <c r="F9603" s="74"/>
      <c r="G9603" s="153"/>
      <c r="H9603" s="164"/>
    </row>
    <row r="9604" spans="1:9" x14ac:dyDescent="0.25">
      <c r="A9604" s="163"/>
      <c r="B9604" s="106"/>
      <c r="C9604" s="73" t="s">
        <v>4403</v>
      </c>
      <c r="D9604" s="73"/>
      <c r="E9604" s="73"/>
      <c r="F9604" s="74" t="s">
        <v>3</v>
      </c>
      <c r="G9604" s="153">
        <f>1.24*0.887</f>
        <v>1.09988</v>
      </c>
      <c r="H9604" s="164"/>
      <c r="I9604" t="s">
        <v>4404</v>
      </c>
    </row>
    <row r="9605" spans="1:9" x14ac:dyDescent="0.25">
      <c r="A9605" s="163"/>
      <c r="B9605" s="106"/>
      <c r="C9605" s="73"/>
      <c r="D9605" s="73"/>
      <c r="E9605" s="73"/>
      <c r="F9605" s="74"/>
      <c r="G9605" s="153"/>
      <c r="H9605" s="164"/>
    </row>
    <row r="9606" spans="1:9" x14ac:dyDescent="0.25">
      <c r="A9606" s="163"/>
      <c r="B9606" s="106"/>
      <c r="C9606" s="75" t="s">
        <v>4405</v>
      </c>
      <c r="D9606" s="73"/>
      <c r="E9606" s="73"/>
      <c r="F9606" s="74"/>
      <c r="G9606" s="153"/>
      <c r="H9606" s="164"/>
    </row>
    <row r="9607" spans="1:9" x14ac:dyDescent="0.25">
      <c r="A9607" s="163"/>
      <c r="B9607" s="106"/>
      <c r="C9607" s="73" t="s">
        <v>4406</v>
      </c>
      <c r="D9607" s="73"/>
      <c r="E9607" s="73"/>
      <c r="F9607" s="74" t="s">
        <v>3</v>
      </c>
      <c r="G9607" s="153">
        <f>0.869*0.978</f>
        <v>0.84988200000000003</v>
      </c>
      <c r="H9607" s="164"/>
      <c r="I9607" t="s">
        <v>4407</v>
      </c>
    </row>
    <row r="9608" spans="1:9" x14ac:dyDescent="0.25">
      <c r="A9608" s="163"/>
      <c r="B9608" s="106"/>
      <c r="C9608" s="73"/>
      <c r="D9608" s="73"/>
      <c r="E9608" s="73"/>
      <c r="F9608" s="74"/>
      <c r="G9608" s="153"/>
      <c r="H9608" s="164"/>
    </row>
    <row r="9609" spans="1:9" x14ac:dyDescent="0.25">
      <c r="A9609" s="163"/>
      <c r="B9609" s="106"/>
      <c r="C9609" s="75" t="s">
        <v>4408</v>
      </c>
      <c r="D9609" s="73"/>
      <c r="E9609" s="73"/>
      <c r="F9609" s="74"/>
      <c r="G9609" s="153"/>
      <c r="H9609" s="164"/>
    </row>
    <row r="9610" spans="1:9" x14ac:dyDescent="0.25">
      <c r="A9610" s="163"/>
      <c r="B9610" s="106"/>
      <c r="C9610" s="73" t="s">
        <v>4383</v>
      </c>
      <c r="D9610" s="73"/>
      <c r="E9610" s="73"/>
      <c r="F9610" s="74" t="s">
        <v>3</v>
      </c>
      <c r="G9610" s="153">
        <f>0.815*0.09*1.5*8*1.136</f>
        <v>0.99990719999999988</v>
      </c>
      <c r="H9610" s="164"/>
    </row>
    <row r="9611" spans="1:9" x14ac:dyDescent="0.25">
      <c r="A9611" s="163"/>
      <c r="B9611" s="106"/>
      <c r="C9611" s="73"/>
      <c r="D9611" s="73"/>
      <c r="E9611" s="73"/>
      <c r="F9611" s="74"/>
      <c r="G9611" s="153"/>
      <c r="H9611" s="164"/>
    </row>
    <row r="9612" spans="1:9" x14ac:dyDescent="0.25">
      <c r="A9612" s="163"/>
      <c r="B9612" s="106"/>
      <c r="C9612" s="75" t="s">
        <v>4409</v>
      </c>
      <c r="D9612" s="73"/>
      <c r="E9612" s="73"/>
      <c r="F9612" s="74"/>
      <c r="G9612" s="153"/>
      <c r="H9612" s="164"/>
    </row>
    <row r="9613" spans="1:9" x14ac:dyDescent="0.25">
      <c r="A9613" s="163"/>
      <c r="B9613" s="106"/>
      <c r="C9613" s="73" t="s">
        <v>4383</v>
      </c>
      <c r="D9613" s="73"/>
      <c r="E9613" s="73"/>
      <c r="F9613" s="74" t="s">
        <v>3</v>
      </c>
      <c r="G9613" s="153">
        <f>0.905*0.09*1.5*8*1.136</f>
        <v>1.1103263999999999</v>
      </c>
      <c r="H9613" s="164"/>
    </row>
    <row r="9614" spans="1:9" x14ac:dyDescent="0.25">
      <c r="A9614" s="163"/>
      <c r="B9614" s="106"/>
      <c r="C9614" s="73"/>
      <c r="D9614" s="73"/>
      <c r="E9614" s="73"/>
      <c r="F9614" s="74"/>
      <c r="G9614" s="153"/>
      <c r="H9614" s="164"/>
    </row>
    <row r="9615" spans="1:9" x14ac:dyDescent="0.25">
      <c r="A9615" s="163"/>
      <c r="B9615" s="106"/>
      <c r="C9615" s="75" t="s">
        <v>4417</v>
      </c>
      <c r="D9615" s="73"/>
      <c r="E9615" s="73"/>
      <c r="F9615" s="74"/>
      <c r="G9615" s="153"/>
      <c r="H9615" s="164"/>
    </row>
    <row r="9616" spans="1:9" x14ac:dyDescent="0.25">
      <c r="A9616" s="163"/>
      <c r="B9616" s="106"/>
      <c r="C9616" s="73" t="s">
        <v>3085</v>
      </c>
      <c r="D9616" s="73"/>
      <c r="E9616" s="73"/>
      <c r="F9616" s="74" t="s">
        <v>3</v>
      </c>
      <c r="G9616" s="153">
        <v>0.05</v>
      </c>
      <c r="H9616" s="164"/>
    </row>
    <row r="9617" spans="1:11" x14ac:dyDescent="0.25">
      <c r="A9617" s="163"/>
      <c r="B9617" s="106"/>
      <c r="C9617" s="73" t="s">
        <v>8</v>
      </c>
      <c r="D9617" s="73"/>
      <c r="E9617" s="73"/>
      <c r="F9617" s="74" t="s">
        <v>3</v>
      </c>
      <c r="G9617" s="153">
        <f>0.7*G9619</f>
        <v>2.7720000000000002E-2</v>
      </c>
      <c r="H9617" s="164"/>
    </row>
    <row r="9618" spans="1:11" x14ac:dyDescent="0.25">
      <c r="A9618" s="163"/>
      <c r="B9618" s="106"/>
      <c r="C9618" s="73" t="s">
        <v>566</v>
      </c>
      <c r="D9618" s="73"/>
      <c r="E9618" s="73"/>
      <c r="F9618" s="74" t="s">
        <v>3</v>
      </c>
      <c r="G9618" s="153">
        <f>0.3*G9617</f>
        <v>8.3160000000000005E-3</v>
      </c>
      <c r="H9618" s="164"/>
    </row>
    <row r="9619" spans="1:11" x14ac:dyDescent="0.25">
      <c r="A9619" s="163"/>
      <c r="B9619" s="106"/>
      <c r="C9619" s="73" t="s">
        <v>72</v>
      </c>
      <c r="D9619" s="73"/>
      <c r="E9619" s="73"/>
      <c r="F9619" s="74" t="s">
        <v>3</v>
      </c>
      <c r="G9619" s="153">
        <f>0.4*0.15*2*0.15*2*1.1</f>
        <v>3.9600000000000003E-2</v>
      </c>
      <c r="H9619" s="164"/>
    </row>
    <row r="9620" spans="1:11" x14ac:dyDescent="0.25">
      <c r="A9620" s="163"/>
      <c r="B9620" s="106"/>
      <c r="C9620" s="73" t="s">
        <v>11</v>
      </c>
      <c r="D9620" s="73"/>
      <c r="E9620" s="73"/>
      <c r="F9620" s="74" t="s">
        <v>3</v>
      </c>
      <c r="G9620" s="153">
        <f>0.3*G9619</f>
        <v>1.188E-2</v>
      </c>
      <c r="H9620" s="164"/>
    </row>
    <row r="9621" spans="1:11" x14ac:dyDescent="0.25">
      <c r="A9621" s="163"/>
      <c r="B9621" s="106"/>
      <c r="C9621" s="73"/>
      <c r="D9621" s="73"/>
      <c r="E9621" s="73"/>
      <c r="F9621" s="74"/>
      <c r="G9621" s="153"/>
      <c r="H9621" s="164"/>
    </row>
    <row r="9622" spans="1:11" x14ac:dyDescent="0.25">
      <c r="A9622" s="163"/>
      <c r="B9622" s="106"/>
      <c r="C9622" s="75" t="s">
        <v>4416</v>
      </c>
      <c r="D9622" s="73"/>
      <c r="E9622" s="73"/>
      <c r="F9622" s="74"/>
      <c r="G9622" s="153"/>
      <c r="H9622" s="164"/>
    </row>
    <row r="9623" spans="1:11" x14ac:dyDescent="0.25">
      <c r="A9623" s="163"/>
      <c r="B9623" s="106"/>
      <c r="C9623" s="73" t="s">
        <v>3962</v>
      </c>
      <c r="D9623" s="73"/>
      <c r="E9623" s="73"/>
      <c r="F9623" s="74" t="s">
        <v>3</v>
      </c>
      <c r="G9623" s="153">
        <f>0.12*0.012*4*8*1.12</f>
        <v>5.1609599999999999E-2</v>
      </c>
      <c r="H9623" s="164"/>
    </row>
    <row r="9624" spans="1:11" x14ac:dyDescent="0.25">
      <c r="A9624" s="163"/>
      <c r="B9624" s="106"/>
      <c r="C9624" s="73"/>
      <c r="D9624" s="73"/>
      <c r="E9624" s="73"/>
      <c r="F9624" s="74"/>
      <c r="G9624" s="153"/>
      <c r="H9624" s="164"/>
    </row>
    <row r="9625" spans="1:11" x14ac:dyDescent="0.25">
      <c r="A9625" s="163"/>
      <c r="B9625" s="106"/>
      <c r="C9625" s="75" t="s">
        <v>4418</v>
      </c>
      <c r="D9625" s="73"/>
      <c r="E9625" s="73"/>
      <c r="F9625" s="74"/>
      <c r="G9625" s="153"/>
      <c r="H9625" s="164"/>
      <c r="K9625" s="470"/>
    </row>
    <row r="9626" spans="1:11" x14ac:dyDescent="0.25">
      <c r="A9626" s="163"/>
      <c r="B9626" s="106"/>
      <c r="C9626" s="73" t="s">
        <v>3962</v>
      </c>
      <c r="D9626" s="73"/>
      <c r="E9626" s="73"/>
      <c r="F9626" s="74" t="s">
        <v>3</v>
      </c>
      <c r="G9626" s="153">
        <f>0.1*0.015*4*8*1.14</f>
        <v>5.4719999999999998E-2</v>
      </c>
      <c r="H9626" s="164"/>
      <c r="K9626" s="470"/>
    </row>
    <row r="9627" spans="1:11" x14ac:dyDescent="0.25">
      <c r="A9627" s="163"/>
      <c r="B9627" s="106"/>
      <c r="C9627" s="73"/>
      <c r="D9627" s="73"/>
      <c r="E9627" s="73"/>
      <c r="F9627" s="74"/>
      <c r="G9627" s="153"/>
      <c r="H9627" s="164"/>
      <c r="K9627" s="470"/>
    </row>
    <row r="9628" spans="1:11" x14ac:dyDescent="0.25">
      <c r="A9628" s="163"/>
      <c r="B9628" s="106"/>
      <c r="C9628" s="75" t="s">
        <v>4419</v>
      </c>
      <c r="D9628" s="73"/>
      <c r="E9628" s="73"/>
      <c r="F9628" s="74"/>
      <c r="G9628" s="153"/>
      <c r="H9628" s="164"/>
      <c r="K9628" s="470"/>
    </row>
    <row r="9629" spans="1:11" x14ac:dyDescent="0.25">
      <c r="A9629" s="163"/>
      <c r="B9629" s="106"/>
      <c r="C9629" s="73" t="s">
        <v>4420</v>
      </c>
      <c r="D9629" s="73"/>
      <c r="E9629" s="73"/>
      <c r="F9629" s="74" t="s">
        <v>3</v>
      </c>
      <c r="G9629" s="153">
        <f>0.095*0.035*4*8*1.125</f>
        <v>0.11970000000000001</v>
      </c>
      <c r="H9629" s="164"/>
      <c r="K9629" s="470"/>
    </row>
    <row r="9630" spans="1:11" x14ac:dyDescent="0.25">
      <c r="A9630" s="163"/>
      <c r="B9630" s="106"/>
      <c r="C9630" s="73"/>
      <c r="D9630" s="73"/>
      <c r="E9630" s="73"/>
      <c r="F9630" s="74"/>
      <c r="G9630" s="153"/>
      <c r="H9630" s="164"/>
      <c r="K9630" s="470"/>
    </row>
    <row r="9631" spans="1:11" x14ac:dyDescent="0.25">
      <c r="A9631" s="163"/>
      <c r="B9631" s="106"/>
      <c r="C9631" s="75" t="s">
        <v>4428</v>
      </c>
      <c r="D9631" s="73"/>
      <c r="E9631" s="73"/>
      <c r="F9631" s="74"/>
      <c r="G9631" s="153"/>
      <c r="H9631" s="164"/>
      <c r="K9631" s="470"/>
    </row>
    <row r="9632" spans="1:11" x14ac:dyDescent="0.25">
      <c r="A9632" s="163"/>
      <c r="B9632" s="106"/>
      <c r="C9632" s="73" t="s">
        <v>4429</v>
      </c>
      <c r="D9632" s="73"/>
      <c r="E9632" s="73"/>
      <c r="F9632" s="74" t="s">
        <v>3</v>
      </c>
      <c r="G9632" s="153">
        <f>0.16*1.83*5*2.7*1.1385</f>
        <v>4.5002628000000007</v>
      </c>
      <c r="H9632" s="164"/>
      <c r="K9632" s="470"/>
    </row>
    <row r="9633" spans="1:11" x14ac:dyDescent="0.25">
      <c r="A9633" s="163"/>
      <c r="B9633" s="106"/>
      <c r="C9633" s="73"/>
      <c r="D9633" s="73"/>
      <c r="E9633" s="73"/>
      <c r="F9633" s="74"/>
      <c r="G9633" s="153"/>
      <c r="H9633" s="164"/>
      <c r="K9633" s="470"/>
    </row>
    <row r="9634" spans="1:11" x14ac:dyDescent="0.25">
      <c r="A9634" s="163"/>
      <c r="B9634" s="106"/>
      <c r="C9634" s="75" t="s">
        <v>4430</v>
      </c>
      <c r="D9634" s="73"/>
      <c r="E9634" s="73"/>
      <c r="F9634" s="74"/>
      <c r="G9634" s="153"/>
      <c r="H9634" s="164"/>
      <c r="K9634" s="470"/>
    </row>
    <row r="9635" spans="1:11" x14ac:dyDescent="0.25">
      <c r="A9635" s="163"/>
      <c r="B9635" s="106"/>
      <c r="C9635" s="73" t="s">
        <v>4429</v>
      </c>
      <c r="D9635" s="73"/>
      <c r="E9635" s="73"/>
      <c r="F9635" s="74" t="s">
        <v>3</v>
      </c>
      <c r="G9635" s="153">
        <f>0.125*0.05*5*2.7*1.15</f>
        <v>9.7031249999999999E-2</v>
      </c>
      <c r="H9635" s="164"/>
      <c r="K9635" s="470"/>
    </row>
    <row r="9636" spans="1:11" ht="15.75" thickBot="1" x14ac:dyDescent="0.3">
      <c r="A9636" s="460"/>
      <c r="B9636" s="461"/>
      <c r="C9636" s="462"/>
      <c r="D9636" s="462"/>
      <c r="E9636" s="462"/>
      <c r="F9636" s="463"/>
      <c r="G9636" s="464"/>
      <c r="H9636" s="465"/>
    </row>
    <row r="9637" spans="1:11" x14ac:dyDescent="0.25">
      <c r="A9637" s="159"/>
      <c r="B9637" s="181"/>
      <c r="C9637" s="93"/>
      <c r="D9637" s="93"/>
      <c r="E9637" s="93"/>
      <c r="F9637" s="160"/>
      <c r="G9637" s="161"/>
      <c r="H9637" s="162" t="s">
        <v>4438</v>
      </c>
      <c r="K9637" s="470"/>
    </row>
    <row r="9638" spans="1:11" x14ac:dyDescent="0.25">
      <c r="A9638" s="163"/>
      <c r="B9638" s="106"/>
      <c r="C9638" s="73"/>
      <c r="D9638" s="73"/>
      <c r="E9638" s="390" t="s">
        <v>4415</v>
      </c>
      <c r="F9638" s="74"/>
      <c r="G9638" s="153"/>
      <c r="H9638" s="164"/>
    </row>
    <row r="9639" spans="1:11" x14ac:dyDescent="0.25">
      <c r="A9639" s="163"/>
      <c r="B9639" s="106"/>
      <c r="C9639" s="73"/>
      <c r="D9639" s="73"/>
      <c r="E9639" s="73"/>
      <c r="F9639" s="74"/>
      <c r="G9639" s="153"/>
      <c r="H9639" s="164"/>
    </row>
    <row r="9640" spans="1:11" x14ac:dyDescent="0.25">
      <c r="A9640" s="163"/>
      <c r="B9640" s="106"/>
      <c r="C9640" s="75" t="s">
        <v>4411</v>
      </c>
      <c r="D9640" s="73"/>
      <c r="E9640" s="73"/>
      <c r="F9640" s="74"/>
      <c r="G9640" s="153"/>
      <c r="H9640" s="164"/>
    </row>
    <row r="9641" spans="1:11" x14ac:dyDescent="0.25">
      <c r="A9641" s="163"/>
      <c r="B9641" s="106"/>
      <c r="C9641" s="73" t="s">
        <v>4421</v>
      </c>
      <c r="D9641" s="73"/>
      <c r="E9641" s="73"/>
      <c r="F9641" s="74" t="s">
        <v>1516</v>
      </c>
      <c r="G9641" s="153">
        <v>1</v>
      </c>
      <c r="H9641" s="164"/>
      <c r="K9641" s="470"/>
    </row>
    <row r="9642" spans="1:11" x14ac:dyDescent="0.25">
      <c r="A9642" s="163"/>
      <c r="B9642" s="106"/>
      <c r="C9642" s="73"/>
      <c r="D9642" s="75" t="s">
        <v>4410</v>
      </c>
      <c r="E9642" s="73"/>
      <c r="F9642" s="74"/>
      <c r="G9642" s="153"/>
      <c r="H9642" s="164"/>
    </row>
    <row r="9643" spans="1:11" x14ac:dyDescent="0.25">
      <c r="A9643" s="163"/>
      <c r="B9643" s="106"/>
      <c r="C9643" s="73"/>
      <c r="D9643" s="77" t="s">
        <v>1054</v>
      </c>
      <c r="E9643" s="73"/>
      <c r="F9643" s="152" t="s">
        <v>3</v>
      </c>
      <c r="G9643" s="153">
        <f>0.13*0.08*1.2</f>
        <v>1.2480000000000002E-2</v>
      </c>
      <c r="H9643" s="164"/>
      <c r="K9643" s="470"/>
    </row>
    <row r="9644" spans="1:11" ht="17.25" x14ac:dyDescent="0.25">
      <c r="A9644" s="163"/>
      <c r="B9644" s="106"/>
      <c r="C9644" s="73"/>
      <c r="D9644" s="77" t="s">
        <v>1055</v>
      </c>
      <c r="E9644" s="73"/>
      <c r="F9644" s="74" t="s">
        <v>596</v>
      </c>
      <c r="G9644" s="153">
        <f>G9643*1.1</f>
        <v>1.3728000000000002E-2</v>
      </c>
      <c r="H9644" s="164"/>
      <c r="K9644" s="470"/>
    </row>
    <row r="9645" spans="1:11" x14ac:dyDescent="0.25">
      <c r="A9645" s="163"/>
      <c r="B9645" s="106"/>
      <c r="C9645" s="73"/>
      <c r="D9645" s="73" t="s">
        <v>8</v>
      </c>
      <c r="E9645" s="73"/>
      <c r="F9645" s="74" t="s">
        <v>3</v>
      </c>
      <c r="G9645" s="153">
        <f>G9646*0.65</f>
        <v>1.9568640000000005E-2</v>
      </c>
      <c r="H9645" s="164"/>
      <c r="K9645" s="470"/>
    </row>
    <row r="9646" spans="1:11" x14ac:dyDescent="0.25">
      <c r="A9646" s="163"/>
      <c r="B9646" s="106"/>
      <c r="C9646" s="73"/>
      <c r="D9646" s="73" t="s">
        <v>115</v>
      </c>
      <c r="E9646" s="73"/>
      <c r="F9646" s="74" t="s">
        <v>3</v>
      </c>
      <c r="G9646" s="153">
        <f>0.28*0.16*2*0.15*2*1.12</f>
        <v>3.0105600000000007E-2</v>
      </c>
      <c r="H9646" s="164"/>
      <c r="K9646" s="470"/>
    </row>
    <row r="9647" spans="1:11" x14ac:dyDescent="0.25">
      <c r="A9647" s="163"/>
      <c r="B9647" s="106"/>
      <c r="C9647" s="73"/>
      <c r="D9647" s="73" t="s">
        <v>12</v>
      </c>
      <c r="E9647" s="73"/>
      <c r="F9647" s="74" t="s">
        <v>3</v>
      </c>
      <c r="G9647" s="153">
        <f>0.3*(G9646+G9645)+0.001</f>
        <v>1.5902272000000002E-2</v>
      </c>
      <c r="H9647" s="164"/>
      <c r="K9647" s="470"/>
    </row>
    <row r="9648" spans="1:11" x14ac:dyDescent="0.25">
      <c r="A9648" s="163"/>
      <c r="B9648" s="106"/>
      <c r="C9648" s="73"/>
      <c r="D9648" s="73"/>
      <c r="E9648" s="75" t="s">
        <v>4412</v>
      </c>
      <c r="F9648" s="74"/>
      <c r="G9648" s="153"/>
      <c r="H9648" s="164"/>
    </row>
    <row r="9649" spans="1:11" x14ac:dyDescent="0.25">
      <c r="A9649" s="163"/>
      <c r="B9649" s="106"/>
      <c r="C9649" s="73"/>
      <c r="D9649" s="73"/>
      <c r="E9649" s="100" t="s">
        <v>4425</v>
      </c>
      <c r="F9649" s="74" t="s">
        <v>3</v>
      </c>
      <c r="G9649" s="153">
        <f>0.285*0.165*3*8*1.125</f>
        <v>1.2696750000000001</v>
      </c>
      <c r="H9649" s="164"/>
      <c r="K9649" s="470"/>
    </row>
    <row r="9650" spans="1:11" x14ac:dyDescent="0.25">
      <c r="A9650" s="163"/>
      <c r="B9650" s="106"/>
      <c r="C9650" s="73"/>
      <c r="D9650" s="73"/>
      <c r="E9650" s="75" t="s">
        <v>4413</v>
      </c>
      <c r="F9650" s="74"/>
      <c r="G9650" s="153"/>
      <c r="H9650" s="164"/>
    </row>
    <row r="9651" spans="1:11" x14ac:dyDescent="0.25">
      <c r="A9651" s="163"/>
      <c r="B9651" s="106"/>
      <c r="C9651" s="73"/>
      <c r="D9651" s="73"/>
      <c r="E9651" s="100" t="s">
        <v>4425</v>
      </c>
      <c r="F9651" s="74" t="s">
        <v>3</v>
      </c>
      <c r="G9651" s="153">
        <f>0.015*0.015*3*8*1.05</f>
        <v>5.6700000000000006E-3</v>
      </c>
      <c r="H9651" s="164"/>
      <c r="K9651" s="470"/>
    </row>
    <row r="9652" spans="1:11" x14ac:dyDescent="0.25">
      <c r="A9652" s="163"/>
      <c r="B9652" s="106"/>
      <c r="C9652" s="73"/>
      <c r="D9652" s="75" t="s">
        <v>4414</v>
      </c>
      <c r="E9652" s="73"/>
      <c r="F9652" s="74"/>
      <c r="G9652" s="153"/>
      <c r="H9652" s="164"/>
    </row>
    <row r="9653" spans="1:11" x14ac:dyDescent="0.25">
      <c r="A9653" s="163"/>
      <c r="B9653" s="106"/>
      <c r="C9653" s="73"/>
      <c r="D9653" s="77" t="s">
        <v>1054</v>
      </c>
      <c r="E9653" s="73"/>
      <c r="F9653" s="152" t="s">
        <v>3</v>
      </c>
      <c r="G9653" s="153">
        <f>0.02*0.08*1.2</f>
        <v>1.92E-3</v>
      </c>
      <c r="H9653" s="164"/>
      <c r="K9653" s="470"/>
    </row>
    <row r="9654" spans="1:11" ht="17.25" x14ac:dyDescent="0.25">
      <c r="A9654" s="163"/>
      <c r="B9654" s="106"/>
      <c r="C9654" s="73"/>
      <c r="D9654" s="77" t="s">
        <v>1055</v>
      </c>
      <c r="E9654" s="73"/>
      <c r="F9654" s="74" t="s">
        <v>596</v>
      </c>
      <c r="G9654" s="153">
        <f>G9653*1.1</f>
        <v>2.1120000000000002E-3</v>
      </c>
      <c r="H9654" s="164"/>
      <c r="K9654" s="470"/>
    </row>
    <row r="9655" spans="1:11" x14ac:dyDescent="0.25">
      <c r="A9655" s="163"/>
      <c r="B9655" s="106"/>
      <c r="C9655" s="73"/>
      <c r="D9655" s="73" t="s">
        <v>8</v>
      </c>
      <c r="E9655" s="73"/>
      <c r="F9655" s="74" t="s">
        <v>3</v>
      </c>
      <c r="G9655" s="153">
        <f>G9656</f>
        <v>5.4600000000000013E-3</v>
      </c>
      <c r="H9655" s="164"/>
      <c r="K9655" s="470"/>
    </row>
    <row r="9656" spans="1:11" x14ac:dyDescent="0.25">
      <c r="A9656" s="163"/>
      <c r="B9656" s="106"/>
      <c r="C9656" s="73"/>
      <c r="D9656" s="73" t="s">
        <v>115</v>
      </c>
      <c r="E9656" s="73"/>
      <c r="F9656" s="74" t="s">
        <v>3</v>
      </c>
      <c r="G9656" s="153">
        <f>0.1*0.07*2*0.15*2*1.3</f>
        <v>5.4600000000000013E-3</v>
      </c>
      <c r="H9656" s="164"/>
      <c r="K9656" s="470"/>
    </row>
    <row r="9657" spans="1:11" x14ac:dyDescent="0.25">
      <c r="A9657" s="163"/>
      <c r="B9657" s="106"/>
      <c r="C9657" s="73"/>
      <c r="D9657" s="73" t="s">
        <v>12</v>
      </c>
      <c r="E9657" s="73"/>
      <c r="F9657" s="74" t="s">
        <v>3</v>
      </c>
      <c r="G9657" s="153">
        <f>0.3*(G9656+G9655)</f>
        <v>3.2760000000000007E-3</v>
      </c>
      <c r="H9657" s="164"/>
      <c r="K9657" s="470"/>
    </row>
    <row r="9658" spans="1:11" x14ac:dyDescent="0.25">
      <c r="A9658" s="163"/>
      <c r="B9658" s="106"/>
      <c r="C9658" s="73"/>
      <c r="D9658" s="73"/>
      <c r="E9658" s="75" t="s">
        <v>4422</v>
      </c>
      <c r="F9658" s="74"/>
      <c r="G9658" s="153"/>
      <c r="H9658" s="164"/>
      <c r="K9658" s="470"/>
    </row>
    <row r="9659" spans="1:11" x14ac:dyDescent="0.25">
      <c r="A9659" s="163"/>
      <c r="B9659" s="106"/>
      <c r="C9659" s="73"/>
      <c r="D9659" s="73"/>
      <c r="E9659" s="73" t="s">
        <v>4424</v>
      </c>
      <c r="F9659" s="74" t="s">
        <v>3</v>
      </c>
      <c r="G9659" s="153">
        <f>0.11*0.08*4*2.7*1.16</f>
        <v>0.11024640000000001</v>
      </c>
      <c r="H9659" s="164"/>
      <c r="K9659" s="470"/>
    </row>
    <row r="9660" spans="1:11" x14ac:dyDescent="0.25">
      <c r="A9660" s="163"/>
      <c r="B9660" s="106"/>
      <c r="C9660" s="73"/>
      <c r="D9660" s="73"/>
      <c r="E9660" s="75" t="s">
        <v>4423</v>
      </c>
      <c r="F9660" s="74"/>
      <c r="G9660" s="153"/>
      <c r="H9660" s="164"/>
      <c r="K9660" s="470"/>
    </row>
    <row r="9661" spans="1:11" x14ac:dyDescent="0.25">
      <c r="A9661" s="163"/>
      <c r="B9661" s="106"/>
      <c r="C9661" s="73"/>
      <c r="D9661" s="73"/>
      <c r="E9661" s="73" t="s">
        <v>4424</v>
      </c>
      <c r="F9661" s="74" t="s">
        <v>3</v>
      </c>
      <c r="G9661" s="153">
        <f>0.035*0.04*4*2.7*1.14</f>
        <v>1.7236800000000004E-2</v>
      </c>
      <c r="H9661" s="164"/>
      <c r="K9661" s="470"/>
    </row>
    <row r="9662" spans="1:11" x14ac:dyDescent="0.25">
      <c r="A9662" s="163"/>
      <c r="B9662" s="106"/>
      <c r="C9662" s="75" t="s">
        <v>4426</v>
      </c>
      <c r="D9662" s="75"/>
      <c r="E9662" s="73"/>
      <c r="F9662" s="74"/>
      <c r="G9662" s="153"/>
      <c r="H9662" s="164"/>
    </row>
    <row r="9663" spans="1:11" x14ac:dyDescent="0.25">
      <c r="A9663" s="163"/>
      <c r="B9663" s="106"/>
      <c r="C9663" s="100" t="s">
        <v>4427</v>
      </c>
      <c r="D9663" s="73"/>
      <c r="E9663" s="73"/>
      <c r="F9663" s="74" t="s">
        <v>3</v>
      </c>
      <c r="G9663" s="153">
        <f>0.21*0.09*4*8*1.125</f>
        <v>0.6804</v>
      </c>
      <c r="H9663" s="164"/>
    </row>
    <row r="9664" spans="1:11" x14ac:dyDescent="0.25">
      <c r="A9664" s="163"/>
      <c r="B9664" s="106"/>
      <c r="C9664" s="73" t="s">
        <v>8</v>
      </c>
      <c r="D9664" s="73"/>
      <c r="E9664" s="73"/>
      <c r="F9664" s="74" t="s">
        <v>3</v>
      </c>
      <c r="G9664" s="153">
        <f>G9665</f>
        <v>1.4039999999999999E-2</v>
      </c>
      <c r="H9664" s="164"/>
    </row>
    <row r="9665" spans="1:11" x14ac:dyDescent="0.25">
      <c r="A9665" s="163"/>
      <c r="B9665" s="106"/>
      <c r="C9665" s="73" t="s">
        <v>115</v>
      </c>
      <c r="D9665" s="73"/>
      <c r="E9665" s="73"/>
      <c r="F9665" s="74" t="s">
        <v>3</v>
      </c>
      <c r="G9665" s="153">
        <f>0.2*0.09*2*0.15*2*1.3</f>
        <v>1.4039999999999999E-2</v>
      </c>
      <c r="H9665" s="164"/>
    </row>
    <row r="9666" spans="1:11" x14ac:dyDescent="0.25">
      <c r="A9666" s="163"/>
      <c r="B9666" s="106"/>
      <c r="C9666" s="73" t="s">
        <v>12</v>
      </c>
      <c r="D9666" s="73"/>
      <c r="E9666" s="73"/>
      <c r="F9666" s="74" t="s">
        <v>3</v>
      </c>
      <c r="G9666" s="153">
        <f>0.3*(G9665+G9664)</f>
        <v>8.4239999999999992E-3</v>
      </c>
      <c r="H9666" s="164"/>
    </row>
    <row r="9667" spans="1:11" ht="15.75" thickBot="1" x14ac:dyDescent="0.3">
      <c r="A9667" s="67"/>
      <c r="B9667" s="86"/>
      <c r="C9667" s="68"/>
      <c r="D9667" s="68"/>
      <c r="E9667" s="68"/>
      <c r="F9667" s="82"/>
      <c r="G9667" s="89"/>
      <c r="H9667" s="165"/>
    </row>
    <row r="9668" spans="1:11" x14ac:dyDescent="0.25">
      <c r="A9668" s="159"/>
      <c r="B9668" s="181"/>
      <c r="C9668" s="93"/>
      <c r="D9668" s="93"/>
      <c r="E9668" s="93"/>
      <c r="F9668" s="160"/>
      <c r="G9668" s="161"/>
      <c r="H9668" s="162" t="s">
        <v>4512</v>
      </c>
    </row>
    <row r="9669" spans="1:11" x14ac:dyDescent="0.25">
      <c r="A9669" s="163"/>
      <c r="B9669" s="106"/>
      <c r="C9669" s="73"/>
      <c r="D9669" s="73"/>
      <c r="E9669" s="390" t="s">
        <v>4442</v>
      </c>
      <c r="F9669" s="74"/>
      <c r="G9669" s="153"/>
      <c r="H9669" s="164"/>
      <c r="K9669" s="472"/>
    </row>
    <row r="9670" spans="1:11" x14ac:dyDescent="0.25">
      <c r="A9670" s="163"/>
      <c r="B9670" s="106"/>
      <c r="C9670" s="73"/>
      <c r="D9670" s="73"/>
      <c r="E9670" s="73"/>
      <c r="F9670" s="74"/>
      <c r="G9670" s="153"/>
      <c r="H9670" s="164"/>
    </row>
    <row r="9671" spans="1:11" x14ac:dyDescent="0.25">
      <c r="A9671" s="163"/>
      <c r="B9671" s="106"/>
      <c r="C9671" s="75" t="s">
        <v>4432</v>
      </c>
      <c r="D9671" s="73"/>
      <c r="E9671" s="73"/>
      <c r="F9671" s="74"/>
      <c r="G9671" s="153"/>
      <c r="H9671" s="164"/>
      <c r="K9671" s="470"/>
    </row>
    <row r="9672" spans="1:11" x14ac:dyDescent="0.25">
      <c r="A9672" s="163"/>
      <c r="B9672" s="106"/>
      <c r="C9672" s="73" t="s">
        <v>4429</v>
      </c>
      <c r="D9672" s="73"/>
      <c r="E9672" s="73"/>
      <c r="F9672" s="74" t="s">
        <v>3</v>
      </c>
      <c r="G9672" s="153">
        <f>0.175*0.72*5*2.7*1.1465</f>
        <v>1.9501965000000001</v>
      </c>
      <c r="H9672" s="164"/>
      <c r="K9672" s="470"/>
    </row>
    <row r="9673" spans="1:11" x14ac:dyDescent="0.25">
      <c r="A9673" s="163"/>
      <c r="B9673" s="106"/>
      <c r="C9673" s="73"/>
      <c r="D9673" s="73"/>
      <c r="E9673" s="73"/>
      <c r="F9673" s="74"/>
      <c r="G9673" s="153"/>
      <c r="H9673" s="164"/>
      <c r="K9673" s="470"/>
    </row>
    <row r="9674" spans="1:11" x14ac:dyDescent="0.25">
      <c r="A9674" s="163"/>
      <c r="B9674" s="106"/>
      <c r="C9674" s="75" t="s">
        <v>4433</v>
      </c>
      <c r="D9674" s="73"/>
      <c r="E9674" s="73"/>
      <c r="F9674" s="74"/>
      <c r="G9674" s="153"/>
      <c r="H9674" s="164"/>
      <c r="K9674" s="470"/>
    </row>
    <row r="9675" spans="1:11" x14ac:dyDescent="0.25">
      <c r="A9675" s="163"/>
      <c r="B9675" s="106"/>
      <c r="C9675" s="73" t="s">
        <v>4429</v>
      </c>
      <c r="D9675" s="73"/>
      <c r="E9675" s="73"/>
      <c r="F9675" s="74" t="s">
        <v>3</v>
      </c>
      <c r="G9675" s="153">
        <f>0.162*0.161*5*2.7*1.135</f>
        <v>0.39964144499999998</v>
      </c>
      <c r="H9675" s="164"/>
      <c r="K9675" s="470"/>
    </row>
    <row r="9676" spans="1:11" x14ac:dyDescent="0.25">
      <c r="A9676" s="163"/>
      <c r="B9676" s="106"/>
      <c r="C9676" s="73"/>
      <c r="D9676" s="73"/>
      <c r="E9676" s="73"/>
      <c r="F9676" s="74"/>
      <c r="G9676" s="153"/>
      <c r="H9676" s="164"/>
      <c r="K9676" s="470"/>
    </row>
    <row r="9677" spans="1:11" x14ac:dyDescent="0.25">
      <c r="A9677" s="163"/>
      <c r="B9677" s="106"/>
      <c r="C9677" s="75" t="s">
        <v>4434</v>
      </c>
      <c r="D9677" s="73"/>
      <c r="E9677" s="73"/>
      <c r="F9677" s="74"/>
      <c r="G9677" s="153"/>
      <c r="H9677" s="164"/>
      <c r="K9677" s="470"/>
    </row>
    <row r="9678" spans="1:11" x14ac:dyDescent="0.25">
      <c r="A9678" s="163"/>
      <c r="B9678" s="106"/>
      <c r="C9678" s="73" t="s">
        <v>4435</v>
      </c>
      <c r="D9678" s="73"/>
      <c r="E9678" s="73"/>
      <c r="F9678" s="74" t="s">
        <v>3</v>
      </c>
      <c r="G9678" s="153">
        <f>0.55*0.06*5*8*1.136</f>
        <v>1.49952</v>
      </c>
      <c r="H9678" s="164"/>
      <c r="K9678" s="470"/>
    </row>
    <row r="9679" spans="1:11" x14ac:dyDescent="0.25">
      <c r="A9679" s="163"/>
      <c r="B9679" s="106"/>
      <c r="C9679" s="73"/>
      <c r="D9679" s="73"/>
      <c r="E9679" s="73"/>
      <c r="F9679" s="74"/>
      <c r="G9679" s="153"/>
      <c r="H9679" s="164"/>
      <c r="K9679" s="470"/>
    </row>
    <row r="9680" spans="1:11" x14ac:dyDescent="0.25">
      <c r="A9680" s="163"/>
      <c r="B9680" s="106"/>
      <c r="C9680" s="75" t="s">
        <v>4436</v>
      </c>
      <c r="D9680" s="73"/>
      <c r="E9680" s="73"/>
      <c r="F9680" s="74"/>
      <c r="G9680" s="153"/>
      <c r="H9680" s="164"/>
      <c r="K9680" s="470"/>
    </row>
    <row r="9681" spans="1:11" x14ac:dyDescent="0.25">
      <c r="A9681" s="163"/>
      <c r="B9681" s="106"/>
      <c r="C9681" s="73" t="s">
        <v>4437</v>
      </c>
      <c r="D9681" s="73"/>
      <c r="E9681" s="73"/>
      <c r="F9681" s="74" t="s">
        <v>3</v>
      </c>
      <c r="G9681" s="153">
        <f>0.035*0.07*4*8*1.15</f>
        <v>9.0160000000000004E-2</v>
      </c>
      <c r="H9681" s="164"/>
      <c r="K9681" s="470"/>
    </row>
    <row r="9682" spans="1:11" x14ac:dyDescent="0.25">
      <c r="A9682" s="163"/>
      <c r="B9682" s="106"/>
      <c r="C9682" s="73"/>
      <c r="D9682" s="73"/>
      <c r="E9682" s="73"/>
      <c r="F9682" s="74"/>
      <c r="G9682" s="153"/>
      <c r="H9682" s="164"/>
      <c r="K9682" s="471"/>
    </row>
    <row r="9683" spans="1:11" x14ac:dyDescent="0.25">
      <c r="A9683" s="163"/>
      <c r="B9683" s="106"/>
      <c r="C9683" s="75" t="s">
        <v>4439</v>
      </c>
      <c r="D9683" s="73"/>
      <c r="E9683" s="73"/>
      <c r="F9683" s="74"/>
      <c r="G9683" s="153"/>
      <c r="H9683" s="164"/>
      <c r="K9683" s="471"/>
    </row>
    <row r="9684" spans="1:11" x14ac:dyDescent="0.25">
      <c r="A9684" s="163"/>
      <c r="B9684" s="106"/>
      <c r="C9684" s="73" t="s">
        <v>4294</v>
      </c>
      <c r="D9684" s="73"/>
      <c r="E9684" s="73"/>
      <c r="F9684" s="74" t="s">
        <v>3</v>
      </c>
      <c r="G9684" s="153">
        <f>0.265*0.28*1.5*2.7*1.13</f>
        <v>0.33957630000000011</v>
      </c>
      <c r="H9684" s="164"/>
      <c r="K9684" s="471"/>
    </row>
    <row r="9685" spans="1:11" x14ac:dyDescent="0.25">
      <c r="A9685" s="163"/>
      <c r="B9685" s="106"/>
      <c r="C9685" s="73"/>
      <c r="D9685" s="73"/>
      <c r="E9685" s="73"/>
      <c r="F9685" s="74"/>
      <c r="G9685" s="153"/>
      <c r="H9685" s="164"/>
      <c r="K9685" s="471"/>
    </row>
    <row r="9686" spans="1:11" x14ac:dyDescent="0.25">
      <c r="A9686" s="163"/>
      <c r="B9686" s="106"/>
      <c r="C9686" s="75" t="s">
        <v>4440</v>
      </c>
      <c r="D9686" s="73"/>
      <c r="E9686" s="73"/>
      <c r="F9686" s="74"/>
      <c r="G9686" s="153"/>
      <c r="H9686" s="164"/>
      <c r="K9686" s="471"/>
    </row>
    <row r="9687" spans="1:11" x14ac:dyDescent="0.25">
      <c r="A9687" s="163"/>
      <c r="B9687" s="106"/>
      <c r="C9687" s="73" t="s">
        <v>595</v>
      </c>
      <c r="D9687" s="100"/>
      <c r="E9687" s="100"/>
      <c r="F9687" s="74" t="s">
        <v>3</v>
      </c>
      <c r="G9687" s="427">
        <f>(0.07+0.25*2+0.1*2*0.15+0.2+0.2)*0.08*1.25</f>
        <v>0.1</v>
      </c>
      <c r="H9687" s="164"/>
      <c r="K9687" s="471"/>
    </row>
    <row r="9688" spans="1:11" ht="17.25" x14ac:dyDescent="0.25">
      <c r="A9688" s="163"/>
      <c r="B9688" s="106"/>
      <c r="C9688" s="73" t="s">
        <v>168</v>
      </c>
      <c r="D9688" s="100"/>
      <c r="E9688" s="100"/>
      <c r="F9688" s="74" t="s">
        <v>596</v>
      </c>
      <c r="G9688" s="153">
        <f>1.08*G9687</f>
        <v>0.10800000000000001</v>
      </c>
      <c r="H9688" s="164"/>
      <c r="K9688" s="471"/>
    </row>
    <row r="9689" spans="1:11" x14ac:dyDescent="0.25">
      <c r="A9689" s="163"/>
      <c r="B9689" s="106"/>
      <c r="C9689" s="73"/>
      <c r="D9689" s="73"/>
      <c r="E9689" s="73"/>
      <c r="F9689" s="74"/>
      <c r="G9689" s="153"/>
      <c r="H9689" s="164"/>
      <c r="K9689" s="471"/>
    </row>
    <row r="9690" spans="1:11" x14ac:dyDescent="0.25">
      <c r="A9690" s="163"/>
      <c r="B9690" s="106"/>
      <c r="C9690" s="75" t="s">
        <v>4441</v>
      </c>
      <c r="D9690" s="73"/>
      <c r="E9690" s="73"/>
      <c r="F9690" s="74"/>
      <c r="G9690" s="427"/>
      <c r="H9690" s="164"/>
      <c r="K9690" s="470"/>
    </row>
    <row r="9691" spans="1:11" x14ac:dyDescent="0.25">
      <c r="A9691" s="163"/>
      <c r="B9691" s="106"/>
      <c r="C9691" s="73" t="s">
        <v>4443</v>
      </c>
      <c r="D9691" s="73"/>
      <c r="E9691" s="73"/>
      <c r="F9691" s="74" t="s">
        <v>3</v>
      </c>
      <c r="G9691" s="153">
        <f>1.603*1.2+0.006</f>
        <v>1.9296</v>
      </c>
      <c r="H9691" s="164"/>
      <c r="I9691" t="s">
        <v>4444</v>
      </c>
      <c r="K9691" s="470"/>
    </row>
    <row r="9692" spans="1:11" x14ac:dyDescent="0.25">
      <c r="A9692" s="163"/>
      <c r="B9692" s="106"/>
      <c r="C9692" s="73"/>
      <c r="D9692" s="73"/>
      <c r="E9692" s="73"/>
      <c r="F9692" s="74"/>
      <c r="G9692" s="153"/>
      <c r="H9692" s="164"/>
      <c r="K9692" s="470"/>
    </row>
    <row r="9693" spans="1:11" x14ac:dyDescent="0.25">
      <c r="A9693" s="163"/>
      <c r="B9693" s="106"/>
      <c r="C9693" s="75" t="s">
        <v>4446</v>
      </c>
      <c r="D9693" s="73"/>
      <c r="E9693" s="73"/>
      <c r="F9693" s="74"/>
      <c r="G9693" s="153"/>
      <c r="H9693" s="164"/>
    </row>
    <row r="9694" spans="1:11" x14ac:dyDescent="0.25">
      <c r="A9694" s="163"/>
      <c r="B9694" s="106"/>
      <c r="C9694" s="73" t="s">
        <v>384</v>
      </c>
      <c r="D9694" s="73"/>
      <c r="E9694" s="73"/>
      <c r="F9694" s="74" t="s">
        <v>3</v>
      </c>
      <c r="G9694" s="153">
        <f>0.962*2.25+0.005</f>
        <v>2.1694999999999998</v>
      </c>
      <c r="H9694" s="164"/>
      <c r="I9694" t="s">
        <v>4447</v>
      </c>
    </row>
    <row r="9695" spans="1:11" x14ac:dyDescent="0.25">
      <c r="A9695" s="163"/>
      <c r="B9695" s="106"/>
      <c r="C9695" s="73"/>
      <c r="D9695" s="73"/>
      <c r="E9695" s="73"/>
      <c r="F9695" s="74"/>
      <c r="G9695" s="153"/>
      <c r="H9695" s="164"/>
      <c r="K9695" s="472"/>
    </row>
    <row r="9696" spans="1:11" x14ac:dyDescent="0.25">
      <c r="A9696" s="163"/>
      <c r="B9696" s="106"/>
      <c r="C9696" s="75" t="s">
        <v>4448</v>
      </c>
      <c r="D9696" s="73"/>
      <c r="E9696" s="73"/>
      <c r="F9696" s="74"/>
      <c r="G9696" s="153"/>
      <c r="H9696" s="164"/>
      <c r="K9696" s="472"/>
    </row>
    <row r="9697" spans="1:11" x14ac:dyDescent="0.25">
      <c r="A9697" s="163"/>
      <c r="B9697" s="106"/>
      <c r="C9697" s="73" t="s">
        <v>915</v>
      </c>
      <c r="D9697" s="73"/>
      <c r="E9697" s="73"/>
      <c r="F9697" s="74" t="s">
        <v>3</v>
      </c>
      <c r="G9697" s="153">
        <f>1.406*0.711</f>
        <v>0.99966599999999994</v>
      </c>
      <c r="H9697" s="164"/>
      <c r="I9697" t="s">
        <v>4449</v>
      </c>
      <c r="K9697" s="472"/>
    </row>
    <row r="9698" spans="1:11" x14ac:dyDescent="0.25">
      <c r="A9698" s="163"/>
      <c r="B9698" s="106"/>
      <c r="C9698" s="73"/>
      <c r="D9698" s="73"/>
      <c r="E9698" s="73"/>
      <c r="F9698" s="74"/>
      <c r="G9698" s="153"/>
      <c r="H9698" s="164"/>
      <c r="K9698" s="472"/>
    </row>
    <row r="9699" spans="1:11" x14ac:dyDescent="0.25">
      <c r="A9699" s="163"/>
      <c r="B9699" s="106"/>
      <c r="C9699" s="75" t="s">
        <v>4450</v>
      </c>
      <c r="D9699" s="73"/>
      <c r="E9699" s="73"/>
      <c r="F9699" s="74"/>
      <c r="G9699" s="153"/>
      <c r="H9699" s="164"/>
      <c r="K9699" s="472"/>
    </row>
    <row r="9700" spans="1:11" x14ac:dyDescent="0.25">
      <c r="A9700" s="163"/>
      <c r="B9700" s="106"/>
      <c r="C9700" s="73" t="s">
        <v>384</v>
      </c>
      <c r="D9700" s="73"/>
      <c r="E9700" s="73"/>
      <c r="F9700" s="74" t="s">
        <v>3</v>
      </c>
      <c r="G9700" s="153">
        <f>0.962*0.8</f>
        <v>0.76960000000000006</v>
      </c>
      <c r="H9700" s="164"/>
      <c r="I9700" t="s">
        <v>4451</v>
      </c>
      <c r="K9700" s="472"/>
    </row>
    <row r="9701" spans="1:11" x14ac:dyDescent="0.25">
      <c r="A9701" s="163"/>
      <c r="B9701" s="106"/>
      <c r="C9701" s="73"/>
      <c r="D9701" s="73"/>
      <c r="E9701" s="73"/>
      <c r="F9701" s="74"/>
      <c r="G9701" s="153"/>
      <c r="H9701" s="164"/>
      <c r="K9701" s="472"/>
    </row>
    <row r="9702" spans="1:11" x14ac:dyDescent="0.25">
      <c r="A9702" s="163"/>
      <c r="B9702" s="106"/>
      <c r="C9702" s="75" t="s">
        <v>4452</v>
      </c>
      <c r="D9702" s="73"/>
      <c r="E9702" s="73"/>
      <c r="F9702" s="74"/>
      <c r="G9702" s="153"/>
      <c r="H9702" s="164"/>
      <c r="K9702" s="472"/>
    </row>
    <row r="9703" spans="1:11" x14ac:dyDescent="0.25">
      <c r="A9703" s="163"/>
      <c r="B9703" s="106"/>
      <c r="C9703" s="73" t="s">
        <v>384</v>
      </c>
      <c r="D9703" s="73"/>
      <c r="E9703" s="73"/>
      <c r="F9703" s="74" t="s">
        <v>3</v>
      </c>
      <c r="G9703" s="153">
        <f>0.962*0.6+0.003</f>
        <v>0.58019999999999994</v>
      </c>
      <c r="H9703" s="164"/>
      <c r="I9703" t="s">
        <v>4453</v>
      </c>
      <c r="K9703" s="472"/>
    </row>
    <row r="9704" spans="1:11" x14ac:dyDescent="0.25">
      <c r="A9704" s="163"/>
      <c r="B9704" s="106"/>
      <c r="C9704" s="73"/>
      <c r="D9704" s="73"/>
      <c r="E9704" s="73"/>
      <c r="F9704" s="74"/>
      <c r="G9704" s="153"/>
      <c r="H9704" s="164"/>
      <c r="K9704" s="472"/>
    </row>
    <row r="9705" spans="1:11" x14ac:dyDescent="0.25">
      <c r="A9705" s="163"/>
      <c r="B9705" s="106"/>
      <c r="C9705" s="75" t="s">
        <v>4454</v>
      </c>
      <c r="D9705" s="73"/>
      <c r="E9705" s="73"/>
      <c r="F9705" s="74"/>
      <c r="G9705" s="153"/>
      <c r="H9705" s="164"/>
      <c r="K9705" s="472"/>
    </row>
    <row r="9706" spans="1:11" x14ac:dyDescent="0.25">
      <c r="A9706" s="163"/>
      <c r="B9706" s="106"/>
      <c r="C9706" s="73" t="s">
        <v>915</v>
      </c>
      <c r="D9706" s="73"/>
      <c r="E9706" s="73"/>
      <c r="F9706" s="74" t="s">
        <v>3</v>
      </c>
      <c r="G9706" s="153">
        <f>1.406*2.347</f>
        <v>3.2998819999999998</v>
      </c>
      <c r="H9706" s="164"/>
      <c r="I9706" t="s">
        <v>4455</v>
      </c>
      <c r="K9706" s="472"/>
    </row>
    <row r="9707" spans="1:11" x14ac:dyDescent="0.25">
      <c r="A9707" s="163"/>
      <c r="B9707" s="106"/>
      <c r="C9707" s="73"/>
      <c r="D9707" s="73"/>
      <c r="E9707" s="73"/>
      <c r="F9707" s="74"/>
      <c r="G9707" s="153"/>
      <c r="H9707" s="164"/>
      <c r="K9707" s="472"/>
    </row>
    <row r="9708" spans="1:11" x14ac:dyDescent="0.25">
      <c r="A9708" s="163"/>
      <c r="B9708" s="106"/>
      <c r="C9708" s="75" t="s">
        <v>4456</v>
      </c>
      <c r="D9708" s="73"/>
      <c r="E9708" s="73"/>
      <c r="F9708" s="74"/>
      <c r="G9708" s="153"/>
      <c r="H9708" s="164"/>
      <c r="K9708" s="472"/>
    </row>
    <row r="9709" spans="1:11" x14ac:dyDescent="0.25">
      <c r="A9709" s="163"/>
      <c r="B9709" s="106"/>
      <c r="C9709" s="73" t="s">
        <v>915</v>
      </c>
      <c r="D9709" s="73"/>
      <c r="E9709" s="73"/>
      <c r="F9709" s="74" t="s">
        <v>3</v>
      </c>
      <c r="G9709" s="153">
        <f>1.406*2.347</f>
        <v>3.2998819999999998</v>
      </c>
      <c r="H9709" s="164"/>
      <c r="I9709" t="s">
        <v>4457</v>
      </c>
      <c r="K9709" s="472"/>
    </row>
    <row r="9710" spans="1:11" x14ac:dyDescent="0.25">
      <c r="A9710" s="163"/>
      <c r="B9710" s="106"/>
      <c r="C9710" s="73"/>
      <c r="D9710" s="73"/>
      <c r="E9710" s="73"/>
      <c r="F9710" s="74"/>
      <c r="G9710" s="153"/>
      <c r="H9710" s="164"/>
    </row>
    <row r="9711" spans="1:11" x14ac:dyDescent="0.25">
      <c r="A9711" s="163"/>
      <c r="B9711" s="106"/>
      <c r="C9711" s="75" t="s">
        <v>4458</v>
      </c>
      <c r="D9711" s="73"/>
      <c r="E9711" s="73"/>
      <c r="F9711" s="74"/>
      <c r="G9711" s="153"/>
      <c r="H9711" s="164"/>
      <c r="K9711" s="472"/>
    </row>
    <row r="9712" spans="1:11" x14ac:dyDescent="0.25">
      <c r="A9712" s="163"/>
      <c r="B9712" s="106"/>
      <c r="C9712" s="73" t="s">
        <v>384</v>
      </c>
      <c r="D9712" s="73"/>
      <c r="E9712" s="73"/>
      <c r="F9712" s="74" t="s">
        <v>3</v>
      </c>
      <c r="G9712" s="153">
        <f>0.962*1.4+0.003</f>
        <v>1.3497999999999997</v>
      </c>
      <c r="H9712" s="164"/>
      <c r="I9712" t="s">
        <v>1482</v>
      </c>
      <c r="K9712" s="472"/>
    </row>
    <row r="9713" spans="1:11" x14ac:dyDescent="0.25">
      <c r="A9713" s="163"/>
      <c r="B9713" s="106"/>
      <c r="C9713" s="73"/>
      <c r="D9713" s="73"/>
      <c r="E9713" s="73"/>
      <c r="F9713" s="74"/>
      <c r="G9713" s="153"/>
      <c r="H9713" s="164"/>
      <c r="K9713" s="472"/>
    </row>
    <row r="9714" spans="1:11" x14ac:dyDescent="0.25">
      <c r="A9714" s="163"/>
      <c r="B9714" s="106"/>
      <c r="C9714" s="75" t="s">
        <v>4459</v>
      </c>
      <c r="D9714" s="73"/>
      <c r="E9714" s="73"/>
      <c r="F9714" s="74"/>
      <c r="G9714" s="153"/>
      <c r="H9714" s="164"/>
      <c r="K9714" s="472"/>
    </row>
    <row r="9715" spans="1:11" x14ac:dyDescent="0.25">
      <c r="A9715" s="163"/>
      <c r="B9715" s="106"/>
      <c r="C9715" s="73" t="s">
        <v>4443</v>
      </c>
      <c r="D9715" s="73"/>
      <c r="E9715" s="73"/>
      <c r="F9715" s="74" t="s">
        <v>3</v>
      </c>
      <c r="G9715" s="153">
        <f>1.603*1.2+0.006</f>
        <v>1.9296</v>
      </c>
      <c r="H9715" s="164"/>
      <c r="I9715" t="s">
        <v>4460</v>
      </c>
      <c r="K9715" s="472"/>
    </row>
    <row r="9716" spans="1:11" x14ac:dyDescent="0.25">
      <c r="A9716" s="163"/>
      <c r="B9716" s="106"/>
      <c r="C9716" s="73"/>
      <c r="D9716" s="73"/>
      <c r="E9716" s="73"/>
      <c r="F9716" s="74"/>
      <c r="G9716" s="153"/>
      <c r="H9716" s="164"/>
      <c r="K9716" s="472"/>
    </row>
    <row r="9717" spans="1:11" x14ac:dyDescent="0.25">
      <c r="A9717" s="163"/>
      <c r="B9717" s="106"/>
      <c r="C9717" s="75" t="s">
        <v>4462</v>
      </c>
      <c r="D9717" s="73"/>
      <c r="E9717" s="73"/>
      <c r="F9717" s="74"/>
      <c r="G9717" s="153"/>
      <c r="H9717" s="164"/>
      <c r="K9717" s="472"/>
    </row>
    <row r="9718" spans="1:11" x14ac:dyDescent="0.25">
      <c r="A9718" s="163"/>
      <c r="B9718" s="106"/>
      <c r="C9718" s="73" t="s">
        <v>384</v>
      </c>
      <c r="D9718" s="73"/>
      <c r="E9718" s="73"/>
      <c r="F9718" s="74" t="s">
        <v>3</v>
      </c>
      <c r="G9718" s="153">
        <f>0.962*1.25-0.003</f>
        <v>1.1995</v>
      </c>
      <c r="H9718" s="164"/>
      <c r="I9718" t="s">
        <v>4463</v>
      </c>
      <c r="K9718" s="472"/>
    </row>
    <row r="9719" spans="1:11" x14ac:dyDescent="0.25">
      <c r="A9719" s="163"/>
      <c r="B9719" s="106"/>
      <c r="C9719" s="73"/>
      <c r="D9719" s="73"/>
      <c r="E9719" s="73"/>
      <c r="F9719" s="74"/>
      <c r="G9719" s="153"/>
      <c r="H9719" s="164"/>
      <c r="K9719" s="472"/>
    </row>
    <row r="9720" spans="1:11" x14ac:dyDescent="0.25">
      <c r="A9720" s="163"/>
      <c r="B9720" s="106"/>
      <c r="C9720" s="75" t="s">
        <v>4461</v>
      </c>
      <c r="D9720" s="73"/>
      <c r="E9720" s="73"/>
      <c r="F9720" s="74"/>
      <c r="G9720" s="153"/>
      <c r="H9720" s="164"/>
      <c r="K9720" s="472"/>
    </row>
    <row r="9721" spans="1:11" x14ac:dyDescent="0.25">
      <c r="A9721" s="163"/>
      <c r="B9721" s="106"/>
      <c r="C9721" s="73" t="s">
        <v>384</v>
      </c>
      <c r="D9721" s="73"/>
      <c r="E9721" s="73"/>
      <c r="F9721" s="74" t="s">
        <v>3</v>
      </c>
      <c r="G9721" s="153">
        <f>0.962*0.613</f>
        <v>0.58970599999999995</v>
      </c>
      <c r="H9721" s="164"/>
      <c r="I9721" t="s">
        <v>4492</v>
      </c>
      <c r="K9721" s="472"/>
    </row>
    <row r="9722" spans="1:11" x14ac:dyDescent="0.25">
      <c r="A9722" s="163"/>
      <c r="B9722" s="106"/>
      <c r="C9722" s="73"/>
      <c r="D9722" s="73"/>
      <c r="E9722" s="73"/>
      <c r="F9722" s="74"/>
      <c r="G9722" s="153"/>
      <c r="H9722" s="164"/>
      <c r="K9722" s="472"/>
    </row>
    <row r="9723" spans="1:11" x14ac:dyDescent="0.25">
      <c r="A9723" s="163"/>
      <c r="B9723" s="106"/>
      <c r="C9723" s="75" t="s">
        <v>4466</v>
      </c>
      <c r="D9723" s="73"/>
      <c r="E9723" s="73"/>
      <c r="F9723" s="74"/>
      <c r="G9723" s="153"/>
      <c r="H9723" s="164"/>
      <c r="K9723" s="472"/>
    </row>
    <row r="9724" spans="1:11" x14ac:dyDescent="0.25">
      <c r="A9724" s="163"/>
      <c r="B9724" s="106"/>
      <c r="C9724" s="73" t="s">
        <v>4467</v>
      </c>
      <c r="D9724" s="73"/>
      <c r="E9724" s="73"/>
      <c r="F9724" s="74" t="s">
        <v>3</v>
      </c>
      <c r="G9724" s="153">
        <f>0.275*0.23*2*8*1.126</f>
        <v>1.1395120000000001</v>
      </c>
      <c r="H9724" s="164"/>
      <c r="K9724" s="472"/>
    </row>
    <row r="9725" spans="1:11" x14ac:dyDescent="0.25">
      <c r="A9725" s="163"/>
      <c r="B9725" s="106"/>
      <c r="C9725" s="73" t="s">
        <v>4468</v>
      </c>
      <c r="D9725" s="73"/>
      <c r="E9725" s="73"/>
      <c r="F9725" s="74" t="s">
        <v>3</v>
      </c>
      <c r="G9725" s="153">
        <f>0.22*0.27*0.15*1.12</f>
        <v>9.9792000000000006E-3</v>
      </c>
      <c r="H9725" s="164"/>
      <c r="K9725" s="472"/>
    </row>
    <row r="9726" spans="1:11" x14ac:dyDescent="0.25">
      <c r="A9726" s="163"/>
      <c r="B9726" s="106"/>
      <c r="C9726" s="73" t="s">
        <v>490</v>
      </c>
      <c r="D9726" s="73"/>
      <c r="E9726" s="73"/>
      <c r="F9726" s="74" t="s">
        <v>3</v>
      </c>
      <c r="G9726" s="153">
        <f>0.3*G9725</f>
        <v>2.9937600000000003E-3</v>
      </c>
      <c r="H9726" s="164"/>
      <c r="K9726" s="472"/>
    </row>
    <row r="9727" spans="1:11" x14ac:dyDescent="0.25">
      <c r="A9727" s="163"/>
      <c r="B9727" s="106"/>
      <c r="C9727" s="73"/>
      <c r="D9727" s="73"/>
      <c r="E9727" s="73"/>
      <c r="F9727" s="74"/>
      <c r="G9727" s="153"/>
      <c r="H9727" s="164"/>
      <c r="K9727" s="472"/>
    </row>
    <row r="9728" spans="1:11" x14ac:dyDescent="0.25">
      <c r="A9728" s="163"/>
      <c r="B9728" s="106"/>
      <c r="C9728" s="75" t="s">
        <v>4469</v>
      </c>
      <c r="D9728" s="73"/>
      <c r="E9728" s="73"/>
      <c r="F9728" s="74"/>
      <c r="G9728" s="153"/>
      <c r="H9728" s="164"/>
      <c r="K9728" s="472"/>
    </row>
    <row r="9729" spans="1:9" x14ac:dyDescent="0.25">
      <c r="A9729" s="163"/>
      <c r="B9729" s="106"/>
      <c r="C9729" s="77" t="s">
        <v>1054</v>
      </c>
      <c r="D9729" s="73"/>
      <c r="E9729" s="73"/>
      <c r="F9729" s="152" t="s">
        <v>3</v>
      </c>
      <c r="G9729" s="153">
        <f>0.25*0.08*1.1</f>
        <v>2.2000000000000002E-2</v>
      </c>
      <c r="H9729" s="164"/>
    </row>
    <row r="9730" spans="1:9" ht="17.25" x14ac:dyDescent="0.25">
      <c r="A9730" s="163"/>
      <c r="B9730" s="106"/>
      <c r="C9730" s="77" t="s">
        <v>1055</v>
      </c>
      <c r="D9730" s="73"/>
      <c r="E9730" s="73"/>
      <c r="F9730" s="74" t="s">
        <v>596</v>
      </c>
      <c r="G9730" s="153">
        <f>G9729*1.1</f>
        <v>2.4200000000000003E-2</v>
      </c>
      <c r="H9730" s="164"/>
    </row>
    <row r="9731" spans="1:9" x14ac:dyDescent="0.25">
      <c r="A9731" s="163"/>
      <c r="B9731" s="106"/>
      <c r="C9731" s="77" t="s">
        <v>8</v>
      </c>
      <c r="D9731" s="73"/>
      <c r="E9731" s="73"/>
      <c r="F9731" s="74" t="s">
        <v>3</v>
      </c>
      <c r="G9731" s="153">
        <f>G9732*0.64</f>
        <v>2.5344000000000002E-2</v>
      </c>
      <c r="H9731" s="164"/>
    </row>
    <row r="9732" spans="1:9" x14ac:dyDescent="0.25">
      <c r="A9732" s="163"/>
      <c r="B9732" s="106"/>
      <c r="C9732" s="73" t="s">
        <v>879</v>
      </c>
      <c r="D9732" s="73"/>
      <c r="E9732" s="73"/>
      <c r="F9732" s="74" t="s">
        <v>3</v>
      </c>
      <c r="G9732" s="153">
        <f>1.5*0.011*2*1.2</f>
        <v>3.9600000000000003E-2</v>
      </c>
      <c r="H9732" s="164"/>
    </row>
    <row r="9733" spans="1:9" x14ac:dyDescent="0.25">
      <c r="A9733" s="163"/>
      <c r="B9733" s="106"/>
      <c r="C9733" s="73" t="s">
        <v>12</v>
      </c>
      <c r="D9733" s="73"/>
      <c r="E9733" s="73"/>
      <c r="F9733" s="74" t="s">
        <v>3</v>
      </c>
      <c r="G9733" s="153">
        <f>0.3*(G9732+G9731)</f>
        <v>1.9483199999999999E-2</v>
      </c>
      <c r="H9733" s="164"/>
    </row>
    <row r="9734" spans="1:9" x14ac:dyDescent="0.25">
      <c r="A9734" s="163"/>
      <c r="B9734" s="106"/>
      <c r="C9734" s="73"/>
      <c r="D9734" s="73"/>
      <c r="E9734" s="73"/>
      <c r="F9734" s="74"/>
      <c r="G9734" s="153"/>
      <c r="H9734" s="164"/>
    </row>
    <row r="9735" spans="1:9" x14ac:dyDescent="0.25">
      <c r="A9735" s="163"/>
      <c r="B9735" s="106"/>
      <c r="C9735" s="75" t="s">
        <v>4470</v>
      </c>
      <c r="D9735" s="73"/>
      <c r="E9735" s="73"/>
      <c r="F9735" s="74"/>
      <c r="G9735" s="153"/>
      <c r="H9735" s="164"/>
    </row>
    <row r="9736" spans="1:9" x14ac:dyDescent="0.25">
      <c r="A9736" s="163"/>
      <c r="B9736" s="106"/>
      <c r="C9736" s="77" t="s">
        <v>1054</v>
      </c>
      <c r="D9736" s="73"/>
      <c r="E9736" s="73"/>
      <c r="F9736" s="152" t="s">
        <v>3</v>
      </c>
      <c r="G9736" s="153">
        <f>0.15*0.08*1.25</f>
        <v>1.4999999999999999E-2</v>
      </c>
      <c r="H9736" s="164"/>
    </row>
    <row r="9737" spans="1:9" ht="17.25" x14ac:dyDescent="0.25">
      <c r="A9737" s="163"/>
      <c r="B9737" s="106"/>
      <c r="C9737" s="77" t="s">
        <v>1055</v>
      </c>
      <c r="D9737" s="73"/>
      <c r="E9737" s="73"/>
      <c r="F9737" s="74" t="s">
        <v>596</v>
      </c>
      <c r="G9737" s="153">
        <f>G9736*1.1</f>
        <v>1.6500000000000001E-2</v>
      </c>
      <c r="H9737" s="164"/>
    </row>
    <row r="9738" spans="1:9" x14ac:dyDescent="0.25">
      <c r="A9738" s="163"/>
      <c r="B9738" s="106"/>
      <c r="C9738" s="77" t="s">
        <v>8</v>
      </c>
      <c r="D9738" s="73"/>
      <c r="E9738" s="73"/>
      <c r="F9738" s="74" t="s">
        <v>3</v>
      </c>
      <c r="G9738" s="153">
        <f>G9739*0.64</f>
        <v>9.3280000000000012E-3</v>
      </c>
      <c r="H9738" s="164"/>
    </row>
    <row r="9739" spans="1:9" x14ac:dyDescent="0.25">
      <c r="A9739" s="163"/>
      <c r="B9739" s="106"/>
      <c r="C9739" s="73" t="s">
        <v>115</v>
      </c>
      <c r="D9739" s="73"/>
      <c r="E9739" s="73"/>
      <c r="F9739" s="74" t="s">
        <v>3</v>
      </c>
      <c r="G9739" s="153">
        <f>0.53*0.011*2*1.25</f>
        <v>1.4575000000000001E-2</v>
      </c>
      <c r="H9739" s="164"/>
    </row>
    <row r="9740" spans="1:9" x14ac:dyDescent="0.25">
      <c r="A9740" s="163"/>
      <c r="B9740" s="106"/>
      <c r="C9740" s="73" t="s">
        <v>12</v>
      </c>
      <c r="D9740" s="73"/>
      <c r="E9740" s="73"/>
      <c r="F9740" s="74" t="s">
        <v>3</v>
      </c>
      <c r="G9740" s="153">
        <f>0.3*(G9739+G9738)</f>
        <v>7.1709E-3</v>
      </c>
      <c r="H9740" s="164"/>
    </row>
    <row r="9741" spans="1:9" x14ac:dyDescent="0.25">
      <c r="A9741" s="163"/>
      <c r="B9741" s="106"/>
      <c r="C9741" s="73"/>
      <c r="D9741" s="75" t="s">
        <v>4464</v>
      </c>
      <c r="E9741" s="73"/>
      <c r="F9741" s="74"/>
      <c r="G9741" s="153"/>
      <c r="H9741" s="164"/>
    </row>
    <row r="9742" spans="1:9" x14ac:dyDescent="0.25">
      <c r="A9742" s="163"/>
      <c r="B9742" s="106"/>
      <c r="C9742" s="73"/>
      <c r="D9742" s="73" t="s">
        <v>384</v>
      </c>
      <c r="E9742" s="73"/>
      <c r="F9742" s="74" t="s">
        <v>3</v>
      </c>
      <c r="G9742" s="153">
        <f>0.962*0.5-0.001</f>
        <v>0.48</v>
      </c>
      <c r="H9742" s="164"/>
      <c r="I9742" t="s">
        <v>4465</v>
      </c>
    </row>
    <row r="9743" spans="1:9" x14ac:dyDescent="0.25">
      <c r="A9743" s="163"/>
      <c r="B9743" s="106"/>
      <c r="C9743" s="73"/>
      <c r="D9743" s="73"/>
      <c r="E9743" s="73"/>
      <c r="F9743" s="74"/>
      <c r="G9743" s="153"/>
      <c r="H9743" s="164"/>
    </row>
    <row r="9744" spans="1:9" x14ac:dyDescent="0.25">
      <c r="A9744" s="163"/>
      <c r="B9744" s="106"/>
      <c r="C9744" s="75" t="s">
        <v>4471</v>
      </c>
      <c r="D9744" s="73"/>
      <c r="E9744" s="73"/>
      <c r="F9744" s="74"/>
      <c r="G9744" s="153"/>
      <c r="H9744" s="164"/>
    </row>
    <row r="9745" spans="1:8" x14ac:dyDescent="0.25">
      <c r="A9745" s="163"/>
      <c r="B9745" s="106"/>
      <c r="C9745" s="73" t="s">
        <v>4472</v>
      </c>
      <c r="D9745" s="73"/>
      <c r="E9745" s="73"/>
      <c r="F9745" s="74" t="s">
        <v>3</v>
      </c>
      <c r="G9745" s="153">
        <f>0.03*0.03*1*8*1.12</f>
        <v>8.064E-3</v>
      </c>
      <c r="H9745" s="164"/>
    </row>
    <row r="9746" spans="1:8" x14ac:dyDescent="0.25">
      <c r="A9746" s="163"/>
      <c r="B9746" s="106"/>
      <c r="C9746" s="73"/>
      <c r="D9746" s="73"/>
      <c r="E9746" s="73"/>
      <c r="F9746" s="74"/>
      <c r="G9746" s="153"/>
      <c r="H9746" s="164"/>
    </row>
    <row r="9747" spans="1:8" x14ac:dyDescent="0.25">
      <c r="A9747" s="163"/>
      <c r="B9747" s="106"/>
      <c r="C9747" s="75" t="s">
        <v>4473</v>
      </c>
      <c r="D9747" s="73"/>
      <c r="E9747" s="73"/>
      <c r="F9747" s="74"/>
      <c r="G9747" s="153"/>
      <c r="H9747" s="164"/>
    </row>
    <row r="9748" spans="1:8" x14ac:dyDescent="0.25">
      <c r="A9748" s="163"/>
      <c r="B9748" s="106"/>
      <c r="C9748" s="73" t="s">
        <v>4474</v>
      </c>
      <c r="D9748" s="73"/>
      <c r="E9748" s="73"/>
      <c r="F9748" s="74" t="s">
        <v>3</v>
      </c>
      <c r="G9748" s="153">
        <f>0.03*0.03*1.5*8*1.12</f>
        <v>1.2096000000000003E-2</v>
      </c>
      <c r="H9748" s="164"/>
    </row>
    <row r="9749" spans="1:8" x14ac:dyDescent="0.25">
      <c r="A9749" s="163"/>
      <c r="B9749" s="106"/>
      <c r="C9749" s="73"/>
      <c r="D9749" s="73"/>
      <c r="E9749" s="73"/>
      <c r="F9749" s="74"/>
      <c r="G9749" s="153"/>
      <c r="H9749" s="164"/>
    </row>
    <row r="9750" spans="1:8" x14ac:dyDescent="0.25">
      <c r="A9750" s="163"/>
      <c r="B9750" s="106"/>
      <c r="C9750" s="75" t="s">
        <v>4445</v>
      </c>
      <c r="D9750" s="73"/>
      <c r="E9750" s="73"/>
      <c r="F9750" s="74"/>
      <c r="G9750" s="153"/>
      <c r="H9750" s="164"/>
    </row>
    <row r="9751" spans="1:8" x14ac:dyDescent="0.25">
      <c r="A9751" s="163"/>
      <c r="B9751" s="106"/>
      <c r="C9751" s="73" t="s">
        <v>55</v>
      </c>
      <c r="D9751" s="73"/>
      <c r="E9751" s="73"/>
      <c r="F9751" s="74" t="s">
        <v>3</v>
      </c>
      <c r="G9751" s="153">
        <f>0.038*3.14/3*0.022*3*8*1.1</f>
        <v>2.3100352000000001E-2</v>
      </c>
      <c r="H9751" s="164"/>
    </row>
    <row r="9752" spans="1:8" x14ac:dyDescent="0.25">
      <c r="A9752" s="163"/>
      <c r="B9752" s="106"/>
      <c r="C9752" s="73"/>
      <c r="D9752" s="73"/>
      <c r="E9752" s="73"/>
      <c r="F9752" s="74"/>
      <c r="G9752" s="153"/>
      <c r="H9752" s="164"/>
    </row>
    <row r="9753" spans="1:8" x14ac:dyDescent="0.25">
      <c r="A9753" s="163"/>
      <c r="B9753" s="106"/>
      <c r="C9753" s="75" t="s">
        <v>4475</v>
      </c>
      <c r="D9753" s="73"/>
      <c r="E9753" s="73"/>
      <c r="F9753" s="74"/>
      <c r="G9753" s="153"/>
      <c r="H9753" s="164"/>
    </row>
    <row r="9754" spans="1:8" x14ac:dyDescent="0.25">
      <c r="A9754" s="163"/>
      <c r="B9754" s="106"/>
      <c r="C9754" s="73" t="s">
        <v>4476</v>
      </c>
      <c r="D9754" s="73"/>
      <c r="E9754" s="73"/>
      <c r="F9754" s="74" t="s">
        <v>3</v>
      </c>
      <c r="G9754" s="153">
        <f>0.12*0.02*5*8*1.15</f>
        <v>0.11039999999999998</v>
      </c>
      <c r="H9754" s="164"/>
    </row>
    <row r="9755" spans="1:8" x14ac:dyDescent="0.25">
      <c r="A9755" s="163"/>
      <c r="B9755" s="106"/>
      <c r="C9755" s="73"/>
      <c r="D9755" s="73"/>
      <c r="E9755" s="73"/>
      <c r="F9755" s="74"/>
      <c r="G9755" s="153"/>
      <c r="H9755" s="164"/>
    </row>
    <row r="9756" spans="1:8" x14ac:dyDescent="0.25">
      <c r="A9756" s="163"/>
      <c r="B9756" s="106"/>
      <c r="C9756" s="75" t="s">
        <v>4477</v>
      </c>
      <c r="D9756" s="73"/>
      <c r="E9756" s="73"/>
      <c r="F9756" s="74"/>
      <c r="G9756" s="153"/>
      <c r="H9756" s="164"/>
    </row>
    <row r="9757" spans="1:8" x14ac:dyDescent="0.25">
      <c r="A9757" s="163"/>
      <c r="B9757" s="106"/>
      <c r="C9757" s="73" t="s">
        <v>4383</v>
      </c>
      <c r="D9757" s="73"/>
      <c r="E9757" s="73"/>
      <c r="F9757" s="74" t="s">
        <v>3</v>
      </c>
      <c r="G9757" s="153">
        <f>0.038*0.02*1.5*8*1.12</f>
        <v>1.02144E-2</v>
      </c>
      <c r="H9757" s="164"/>
    </row>
    <row r="9758" spans="1:8" x14ac:dyDescent="0.25">
      <c r="A9758" s="163"/>
      <c r="B9758" s="106"/>
      <c r="C9758" s="73"/>
      <c r="D9758" s="73"/>
      <c r="E9758" s="73"/>
      <c r="F9758" s="74"/>
      <c r="G9758" s="153"/>
      <c r="H9758" s="164"/>
    </row>
    <row r="9759" spans="1:8" x14ac:dyDescent="0.25">
      <c r="A9759" s="163"/>
      <c r="B9759" s="106"/>
      <c r="C9759" s="75" t="s">
        <v>4478</v>
      </c>
      <c r="D9759" s="73"/>
      <c r="E9759" s="73"/>
      <c r="F9759" s="74"/>
      <c r="G9759" s="153"/>
      <c r="H9759" s="164"/>
    </row>
    <row r="9760" spans="1:8" x14ac:dyDescent="0.25">
      <c r="A9760" s="163"/>
      <c r="B9760" s="106"/>
      <c r="C9760" s="100" t="s">
        <v>4479</v>
      </c>
      <c r="D9760" s="73"/>
      <c r="E9760" s="73"/>
      <c r="F9760" s="74" t="s">
        <v>3</v>
      </c>
      <c r="G9760" s="153">
        <f>0.12*0.075*5*8*1.11</f>
        <v>0.39960000000000001</v>
      </c>
      <c r="H9760" s="164"/>
    </row>
    <row r="9761" spans="1:9" x14ac:dyDescent="0.25">
      <c r="A9761" s="163"/>
      <c r="B9761" s="106"/>
      <c r="C9761" s="73"/>
      <c r="D9761" s="73"/>
      <c r="E9761" s="73"/>
      <c r="F9761" s="74"/>
      <c r="G9761" s="153"/>
      <c r="H9761" s="164"/>
    </row>
    <row r="9762" spans="1:9" x14ac:dyDescent="0.25">
      <c r="A9762" s="163"/>
      <c r="B9762" s="106"/>
      <c r="C9762" s="75" t="s">
        <v>4480</v>
      </c>
      <c r="D9762" s="73"/>
      <c r="E9762" s="73"/>
      <c r="F9762" s="74"/>
      <c r="G9762" s="153"/>
      <c r="H9762" s="164"/>
    </row>
    <row r="9763" spans="1:9" x14ac:dyDescent="0.25">
      <c r="A9763" s="163"/>
      <c r="B9763" s="106"/>
      <c r="C9763" s="73" t="s">
        <v>384</v>
      </c>
      <c r="D9763" s="73"/>
      <c r="E9763" s="73"/>
      <c r="F9763" s="74" t="s">
        <v>3</v>
      </c>
      <c r="G9763" s="153">
        <f>0.962*0.62+0.004</f>
        <v>0.60043999999999997</v>
      </c>
      <c r="H9763" s="164"/>
      <c r="I9763" t="s">
        <v>4481</v>
      </c>
    </row>
    <row r="9764" spans="1:9" x14ac:dyDescent="0.25">
      <c r="A9764" s="163"/>
      <c r="B9764" s="106"/>
      <c r="C9764" s="77" t="s">
        <v>8</v>
      </c>
      <c r="D9764" s="73"/>
      <c r="E9764" s="73"/>
      <c r="F9764" s="74" t="s">
        <v>3</v>
      </c>
      <c r="G9764" s="153">
        <f>G9765*0.64</f>
        <v>9.2927999999999986E-3</v>
      </c>
      <c r="H9764" s="164"/>
    </row>
    <row r="9765" spans="1:9" x14ac:dyDescent="0.25">
      <c r="A9765" s="163"/>
      <c r="B9765" s="106"/>
      <c r="C9765" s="73" t="s">
        <v>115</v>
      </c>
      <c r="D9765" s="73"/>
      <c r="E9765" s="73"/>
      <c r="F9765" s="74" t="s">
        <v>3</v>
      </c>
      <c r="G9765" s="153">
        <f>0.55*0.011*2*1.2</f>
        <v>1.4519999999999998E-2</v>
      </c>
      <c r="H9765" s="164"/>
    </row>
    <row r="9766" spans="1:9" x14ac:dyDescent="0.25">
      <c r="A9766" s="163"/>
      <c r="B9766" s="106"/>
      <c r="C9766" s="73" t="s">
        <v>12</v>
      </c>
      <c r="D9766" s="73"/>
      <c r="E9766" s="73"/>
      <c r="F9766" s="74" t="s">
        <v>3</v>
      </c>
      <c r="G9766" s="153">
        <f>0.3*(G9765+G9764)</f>
        <v>7.1438399999999985E-3</v>
      </c>
      <c r="H9766" s="164"/>
    </row>
    <row r="9767" spans="1:9" x14ac:dyDescent="0.25">
      <c r="A9767" s="163"/>
      <c r="B9767" s="106"/>
      <c r="C9767" s="73"/>
      <c r="D9767" s="73"/>
      <c r="E9767" s="73"/>
      <c r="F9767" s="74"/>
      <c r="G9767" s="153"/>
      <c r="H9767" s="164"/>
    </row>
    <row r="9768" spans="1:9" x14ac:dyDescent="0.25">
      <c r="A9768" s="163"/>
      <c r="B9768" s="106"/>
      <c r="C9768" s="75" t="s">
        <v>4482</v>
      </c>
      <c r="D9768" s="73"/>
      <c r="E9768" s="73"/>
      <c r="F9768" s="74" t="s">
        <v>2180</v>
      </c>
      <c r="G9768" s="153"/>
      <c r="H9768" s="164"/>
    </row>
    <row r="9769" spans="1:9" x14ac:dyDescent="0.25">
      <c r="A9769" s="163"/>
      <c r="B9769" s="106"/>
      <c r="C9769" s="73"/>
      <c r="D9769" s="75" t="s">
        <v>4485</v>
      </c>
      <c r="E9769" s="73"/>
      <c r="F9769" s="74"/>
      <c r="G9769" s="153"/>
      <c r="H9769" s="164"/>
    </row>
    <row r="9770" spans="1:9" x14ac:dyDescent="0.25">
      <c r="A9770" s="163"/>
      <c r="B9770" s="106"/>
      <c r="C9770" s="73"/>
      <c r="D9770" s="73" t="s">
        <v>4483</v>
      </c>
      <c r="E9770" s="73"/>
      <c r="F9770" s="74" t="s">
        <v>3</v>
      </c>
      <c r="G9770" s="153">
        <f>0.105*0.055*0.8*8*1.09</f>
        <v>4.02864E-2</v>
      </c>
      <c r="H9770" s="164"/>
    </row>
    <row r="9771" spans="1:9" x14ac:dyDescent="0.25">
      <c r="A9771" s="163"/>
      <c r="B9771" s="106"/>
      <c r="C9771" s="73"/>
      <c r="D9771" s="75" t="s">
        <v>4484</v>
      </c>
      <c r="E9771" s="73"/>
      <c r="F9771" s="74"/>
      <c r="G9771" s="153"/>
      <c r="H9771" s="164"/>
    </row>
    <row r="9772" spans="1:9" x14ac:dyDescent="0.25">
      <c r="A9772" s="163"/>
      <c r="B9772" s="106"/>
      <c r="C9772" s="73"/>
      <c r="D9772" s="73" t="s">
        <v>4486</v>
      </c>
      <c r="E9772" s="73"/>
      <c r="F9772" s="74" t="s">
        <v>3</v>
      </c>
      <c r="G9772" s="153">
        <f>0.14*0.009*0.5*8*1.12</f>
        <v>5.644800000000001E-3</v>
      </c>
      <c r="H9772" s="164"/>
    </row>
    <row r="9773" spans="1:9" x14ac:dyDescent="0.25">
      <c r="A9773" s="163"/>
      <c r="B9773" s="106"/>
      <c r="C9773" s="73"/>
      <c r="D9773" s="73"/>
      <c r="E9773" s="73"/>
      <c r="F9773" s="74"/>
      <c r="G9773" s="153"/>
      <c r="H9773" s="164"/>
    </row>
    <row r="9774" spans="1:9" x14ac:dyDescent="0.25">
      <c r="A9774" s="163"/>
      <c r="B9774" s="106"/>
      <c r="C9774" s="75" t="s">
        <v>4487</v>
      </c>
      <c r="D9774" s="73"/>
      <c r="E9774" s="73"/>
      <c r="F9774" s="74"/>
      <c r="G9774" s="153"/>
      <c r="H9774" s="164"/>
    </row>
    <row r="9775" spans="1:9" x14ac:dyDescent="0.25">
      <c r="A9775" s="163"/>
      <c r="B9775" s="106"/>
      <c r="C9775" s="100" t="s">
        <v>4488</v>
      </c>
      <c r="D9775" s="73"/>
      <c r="E9775" s="73"/>
      <c r="F9775" s="74" t="s">
        <v>3</v>
      </c>
      <c r="G9775" s="153">
        <v>1E-3</v>
      </c>
      <c r="H9775" s="164"/>
    </row>
    <row r="9776" spans="1:9" x14ac:dyDescent="0.25">
      <c r="A9776" s="163"/>
      <c r="B9776" s="106"/>
      <c r="C9776" s="73"/>
      <c r="D9776" s="73"/>
      <c r="E9776" s="73"/>
      <c r="F9776" s="74"/>
      <c r="G9776" s="153"/>
      <c r="H9776" s="164"/>
    </row>
    <row r="9777" spans="1:8" x14ac:dyDescent="0.25">
      <c r="A9777" s="163"/>
      <c r="B9777" s="106"/>
      <c r="C9777" s="75" t="s">
        <v>4489</v>
      </c>
      <c r="D9777" s="73"/>
      <c r="E9777" s="73"/>
      <c r="F9777" s="74"/>
      <c r="G9777" s="153"/>
      <c r="H9777" s="164"/>
    </row>
    <row r="9778" spans="1:8" x14ac:dyDescent="0.25">
      <c r="A9778" s="163"/>
      <c r="B9778" s="106"/>
      <c r="C9778" s="77" t="s">
        <v>1054</v>
      </c>
      <c r="D9778" s="73"/>
      <c r="E9778" s="73"/>
      <c r="F9778" s="152" t="s">
        <v>3</v>
      </c>
      <c r="G9778" s="153">
        <f>0.04*0.08*1.2</f>
        <v>3.8400000000000001E-3</v>
      </c>
      <c r="H9778" s="164"/>
    </row>
    <row r="9779" spans="1:8" ht="17.25" x14ac:dyDescent="0.25">
      <c r="A9779" s="163"/>
      <c r="B9779" s="106"/>
      <c r="C9779" s="77" t="s">
        <v>1055</v>
      </c>
      <c r="D9779" s="73"/>
      <c r="E9779" s="73"/>
      <c r="F9779" s="74" t="s">
        <v>596</v>
      </c>
      <c r="G9779" s="153">
        <f>G9778*1.1</f>
        <v>4.2240000000000003E-3</v>
      </c>
      <c r="H9779" s="164"/>
    </row>
    <row r="9780" spans="1:8" x14ac:dyDescent="0.25">
      <c r="A9780" s="163"/>
      <c r="B9780" s="106"/>
      <c r="C9780" s="73"/>
      <c r="D9780" s="73"/>
      <c r="E9780" s="73"/>
      <c r="F9780" s="74"/>
      <c r="G9780" s="153"/>
      <c r="H9780" s="164"/>
    </row>
    <row r="9781" spans="1:8" x14ac:dyDescent="0.25">
      <c r="A9781" s="163"/>
      <c r="B9781" s="106"/>
      <c r="C9781" s="75" t="s">
        <v>4490</v>
      </c>
      <c r="D9781" s="73"/>
      <c r="E9781" s="73"/>
      <c r="F9781" s="74"/>
      <c r="G9781" s="153"/>
      <c r="H9781" s="164"/>
    </row>
    <row r="9782" spans="1:8" x14ac:dyDescent="0.25">
      <c r="A9782" s="163"/>
      <c r="B9782" s="106"/>
      <c r="C9782" s="100" t="s">
        <v>140</v>
      </c>
      <c r="D9782" s="75"/>
      <c r="E9782" s="73"/>
      <c r="F9782" s="74" t="s">
        <v>3</v>
      </c>
      <c r="G9782" s="153">
        <f>0.02*3.14*0.08*1.05</f>
        <v>5.2752000000000007E-3</v>
      </c>
      <c r="H9782" s="164"/>
    </row>
    <row r="9783" spans="1:8" ht="17.25" x14ac:dyDescent="0.25">
      <c r="A9783" s="163"/>
      <c r="B9783" s="106"/>
      <c r="C9783" s="100" t="s">
        <v>23</v>
      </c>
      <c r="D9783" s="75"/>
      <c r="E9783" s="73"/>
      <c r="F9783" s="74" t="s">
        <v>596</v>
      </c>
      <c r="G9783" s="153">
        <f>G9782*2</f>
        <v>1.0550400000000001E-2</v>
      </c>
      <c r="H9783" s="164"/>
    </row>
    <row r="9784" spans="1:8" x14ac:dyDescent="0.25">
      <c r="A9784" s="163"/>
      <c r="B9784" s="106"/>
      <c r="C9784" s="100" t="s">
        <v>142</v>
      </c>
      <c r="D9784" s="75"/>
      <c r="E9784" s="73"/>
      <c r="F9784" s="74" t="s">
        <v>3</v>
      </c>
      <c r="G9784" s="153">
        <f>G9782/4+0.001</f>
        <v>2.3188000000000002E-3</v>
      </c>
      <c r="H9784" s="164"/>
    </row>
    <row r="9785" spans="1:8" x14ac:dyDescent="0.25">
      <c r="A9785" s="163"/>
      <c r="B9785" s="106"/>
      <c r="C9785" s="73"/>
      <c r="D9785" s="73"/>
      <c r="E9785" s="73"/>
      <c r="F9785" s="74"/>
      <c r="G9785" s="153"/>
      <c r="H9785" s="164"/>
    </row>
    <row r="9786" spans="1:8" x14ac:dyDescent="0.25">
      <c r="A9786" s="163"/>
      <c r="B9786" s="106"/>
      <c r="C9786" s="75" t="s">
        <v>4491</v>
      </c>
      <c r="D9786" s="73"/>
      <c r="E9786" s="73"/>
      <c r="F9786" s="74"/>
      <c r="G9786" s="153"/>
      <c r="H9786" s="164"/>
    </row>
    <row r="9787" spans="1:8" x14ac:dyDescent="0.25">
      <c r="A9787" s="163"/>
      <c r="B9787" s="106"/>
      <c r="C9787" s="77" t="s">
        <v>1054</v>
      </c>
      <c r="D9787" s="73"/>
      <c r="E9787" s="73"/>
      <c r="F9787" s="152" t="s">
        <v>3</v>
      </c>
      <c r="G9787" s="153">
        <f>0.01*3.14*2*0.08*1.2</f>
        <v>6.0288000000000008E-3</v>
      </c>
      <c r="H9787" s="164"/>
    </row>
    <row r="9788" spans="1:8" ht="17.25" x14ac:dyDescent="0.25">
      <c r="A9788" s="163"/>
      <c r="B9788" s="106"/>
      <c r="C9788" s="77" t="s">
        <v>1055</v>
      </c>
      <c r="D9788" s="73"/>
      <c r="E9788" s="73"/>
      <c r="F9788" s="74" t="s">
        <v>596</v>
      </c>
      <c r="G9788" s="153">
        <f>G9787*1.1</f>
        <v>6.6316800000000018E-3</v>
      </c>
      <c r="H9788" s="164"/>
    </row>
    <row r="9789" spans="1:8" x14ac:dyDescent="0.25">
      <c r="A9789" s="163"/>
      <c r="B9789" s="106"/>
      <c r="C9789" s="73"/>
      <c r="D9789" s="73"/>
      <c r="E9789" s="73"/>
      <c r="F9789" s="74"/>
      <c r="G9789" s="153"/>
      <c r="H9789" s="164"/>
    </row>
    <row r="9790" spans="1:8" x14ac:dyDescent="0.25">
      <c r="A9790" s="163"/>
      <c r="B9790" s="106"/>
      <c r="C9790" s="75" t="s">
        <v>4493</v>
      </c>
      <c r="D9790" s="73"/>
      <c r="E9790" s="73"/>
      <c r="F9790" s="74"/>
      <c r="G9790" s="153"/>
      <c r="H9790" s="164"/>
    </row>
    <row r="9791" spans="1:8" x14ac:dyDescent="0.25">
      <c r="A9791" s="163"/>
      <c r="B9791" s="106"/>
      <c r="C9791" s="73" t="s">
        <v>4494</v>
      </c>
      <c r="D9791" s="73"/>
      <c r="E9791" s="73"/>
      <c r="F9791" s="74" t="s">
        <v>3</v>
      </c>
      <c r="G9791" s="153">
        <f>0.085*0.035*2*8*1.12</f>
        <v>5.3312000000000019E-2</v>
      </c>
      <c r="H9791" s="164"/>
    </row>
    <row r="9792" spans="1:8" x14ac:dyDescent="0.25">
      <c r="A9792" s="163"/>
      <c r="B9792" s="106"/>
      <c r="C9792" s="73"/>
      <c r="D9792" s="73"/>
      <c r="E9792" s="73"/>
      <c r="F9792" s="74"/>
      <c r="G9792" s="153"/>
      <c r="H9792" s="164"/>
    </row>
    <row r="9793" spans="1:9" x14ac:dyDescent="0.25">
      <c r="A9793" s="163"/>
      <c r="B9793" s="106"/>
      <c r="C9793" s="75" t="s">
        <v>4495</v>
      </c>
      <c r="D9793" s="73"/>
      <c r="E9793" s="73"/>
      <c r="F9793" s="74"/>
      <c r="G9793" s="153"/>
      <c r="H9793" s="164"/>
    </row>
    <row r="9794" spans="1:9" x14ac:dyDescent="0.25">
      <c r="A9794" s="163"/>
      <c r="B9794" s="106"/>
      <c r="C9794" s="73" t="s">
        <v>4496</v>
      </c>
      <c r="D9794" s="73"/>
      <c r="E9794" s="73"/>
      <c r="F9794" s="74" t="s">
        <v>3</v>
      </c>
      <c r="G9794" s="153">
        <f>0.615*0.036*1.5*8*1.128</f>
        <v>0.29968703999999996</v>
      </c>
      <c r="H9794" s="164"/>
    </row>
    <row r="9795" spans="1:9" x14ac:dyDescent="0.25">
      <c r="A9795" s="163"/>
      <c r="B9795" s="106"/>
      <c r="C9795" s="73"/>
      <c r="D9795" s="73"/>
      <c r="E9795" s="73"/>
      <c r="F9795" s="74"/>
      <c r="G9795" s="153"/>
      <c r="H9795" s="164"/>
    </row>
    <row r="9796" spans="1:9" x14ac:dyDescent="0.25">
      <c r="A9796" s="163"/>
      <c r="B9796" s="106"/>
      <c r="C9796" s="75" t="s">
        <v>4497</v>
      </c>
      <c r="D9796" s="73"/>
      <c r="E9796" s="73"/>
      <c r="F9796" s="74"/>
      <c r="G9796" s="153"/>
      <c r="H9796" s="164"/>
    </row>
    <row r="9797" spans="1:9" x14ac:dyDescent="0.25">
      <c r="A9797" s="163"/>
      <c r="B9797" s="106"/>
      <c r="C9797" s="73" t="s">
        <v>4476</v>
      </c>
      <c r="D9797" s="73"/>
      <c r="E9797" s="73"/>
      <c r="F9797" s="74" t="s">
        <v>3</v>
      </c>
      <c r="G9797" s="153">
        <f>0.1*0.032*5*8*1.1-0.001</f>
        <v>0.13980000000000001</v>
      </c>
      <c r="H9797" s="164"/>
    </row>
    <row r="9798" spans="1:9" x14ac:dyDescent="0.25">
      <c r="A9798" s="163"/>
      <c r="B9798" s="106"/>
      <c r="C9798" s="73"/>
      <c r="D9798" s="73"/>
      <c r="E9798" s="73"/>
      <c r="F9798" s="74"/>
      <c r="G9798" s="153"/>
      <c r="H9798" s="164"/>
    </row>
    <row r="9799" spans="1:9" x14ac:dyDescent="0.25">
      <c r="A9799" s="163"/>
      <c r="B9799" s="106"/>
      <c r="C9799" s="75" t="s">
        <v>4498</v>
      </c>
      <c r="D9799" s="73"/>
      <c r="E9799" s="73"/>
      <c r="F9799" s="74"/>
      <c r="G9799" s="153"/>
      <c r="H9799" s="164"/>
    </row>
    <row r="9800" spans="1:9" x14ac:dyDescent="0.25">
      <c r="A9800" s="163"/>
      <c r="B9800" s="106"/>
      <c r="C9800" s="73" t="s">
        <v>4499</v>
      </c>
      <c r="D9800" s="73"/>
      <c r="E9800" s="73"/>
      <c r="F9800" s="74" t="s">
        <v>3</v>
      </c>
      <c r="G9800" s="153">
        <f>0.065*0.02*4*8*1.19</f>
        <v>4.9504000000000006E-2</v>
      </c>
      <c r="H9800" s="164"/>
    </row>
    <row r="9801" spans="1:9" x14ac:dyDescent="0.25">
      <c r="A9801" s="163"/>
      <c r="B9801" s="106"/>
      <c r="C9801" s="73"/>
      <c r="D9801" s="73"/>
      <c r="E9801" s="73"/>
      <c r="F9801" s="74"/>
      <c r="G9801" s="153"/>
      <c r="H9801" s="164"/>
    </row>
    <row r="9802" spans="1:9" x14ac:dyDescent="0.25">
      <c r="A9802" s="163"/>
      <c r="B9802" s="106"/>
      <c r="C9802" s="75" t="s">
        <v>3830</v>
      </c>
      <c r="D9802" s="73"/>
      <c r="E9802" s="73"/>
      <c r="F9802" s="74"/>
      <c r="G9802" s="153"/>
      <c r="H9802" s="164"/>
    </row>
    <row r="9803" spans="1:9" x14ac:dyDescent="0.25">
      <c r="A9803" s="163"/>
      <c r="B9803" s="106"/>
      <c r="C9803" s="73" t="s">
        <v>4500</v>
      </c>
      <c r="D9803" s="73"/>
      <c r="E9803" s="73"/>
      <c r="F9803" s="74" t="s">
        <v>3</v>
      </c>
      <c r="G9803" s="153">
        <f>0.592*0.76</f>
        <v>0.44991999999999999</v>
      </c>
      <c r="H9803" s="164"/>
      <c r="I9803" t="s">
        <v>4501</v>
      </c>
    </row>
    <row r="9804" spans="1:9" x14ac:dyDescent="0.25">
      <c r="A9804" s="163"/>
      <c r="B9804" s="106"/>
      <c r="C9804" s="73"/>
      <c r="D9804" s="73"/>
      <c r="E9804" s="73"/>
      <c r="F9804" s="74"/>
      <c r="G9804" s="153"/>
      <c r="H9804" s="164"/>
    </row>
    <row r="9805" spans="1:9" x14ac:dyDescent="0.25">
      <c r="A9805" s="163"/>
      <c r="B9805" s="106"/>
      <c r="C9805" s="75" t="s">
        <v>3846</v>
      </c>
      <c r="D9805" s="73"/>
      <c r="E9805" s="73"/>
      <c r="F9805" s="74"/>
      <c r="G9805" s="153"/>
      <c r="H9805" s="164"/>
    </row>
    <row r="9806" spans="1:9" x14ac:dyDescent="0.25">
      <c r="A9806" s="163"/>
      <c r="B9806" s="106"/>
      <c r="C9806" s="73" t="s">
        <v>480</v>
      </c>
      <c r="D9806" s="73"/>
      <c r="E9806" s="73"/>
      <c r="F9806" s="74" t="s">
        <v>3</v>
      </c>
      <c r="G9806" s="153">
        <f>0.173*0.075</f>
        <v>1.2974999999999999E-2</v>
      </c>
      <c r="H9806" s="164"/>
      <c r="I9806" t="s">
        <v>4058</v>
      </c>
    </row>
    <row r="9807" spans="1:9" x14ac:dyDescent="0.25">
      <c r="A9807" s="163"/>
      <c r="B9807" s="106"/>
      <c r="C9807" s="73"/>
      <c r="D9807" s="73"/>
      <c r="E9807" s="73"/>
      <c r="F9807" s="74"/>
      <c r="G9807" s="153"/>
      <c r="H9807" s="164"/>
    </row>
    <row r="9808" spans="1:9" x14ac:dyDescent="0.25">
      <c r="A9808" s="163"/>
      <c r="B9808" s="106"/>
      <c r="C9808" s="75" t="s">
        <v>4502</v>
      </c>
      <c r="D9808" s="73"/>
      <c r="E9808" s="73"/>
      <c r="F9808" s="74"/>
      <c r="G9808" s="153"/>
      <c r="H9808" s="164"/>
    </row>
    <row r="9809" spans="1:9" x14ac:dyDescent="0.25">
      <c r="A9809" s="163"/>
      <c r="B9809" s="106"/>
      <c r="C9809" s="73" t="s">
        <v>557</v>
      </c>
      <c r="D9809" s="73"/>
      <c r="E9809" s="73"/>
      <c r="F9809" s="74" t="s">
        <v>3</v>
      </c>
      <c r="G9809" s="153">
        <f>1.134*0.26</f>
        <v>0.29483999999999999</v>
      </c>
      <c r="H9809" s="164"/>
      <c r="I9809" t="s">
        <v>4503</v>
      </c>
    </row>
    <row r="9810" spans="1:9" x14ac:dyDescent="0.25">
      <c r="A9810" s="163"/>
      <c r="B9810" s="106"/>
      <c r="C9810" s="73"/>
      <c r="D9810" s="73"/>
      <c r="E9810" s="73"/>
      <c r="F9810" s="74"/>
      <c r="G9810" s="153"/>
      <c r="H9810" s="164"/>
    </row>
    <row r="9811" spans="1:9" x14ac:dyDescent="0.25">
      <c r="A9811" s="163"/>
      <c r="B9811" s="106"/>
      <c r="C9811" s="75" t="s">
        <v>4100</v>
      </c>
      <c r="D9811" s="73"/>
      <c r="E9811" s="73"/>
      <c r="F9811" s="74"/>
      <c r="G9811" s="153"/>
      <c r="H9811" s="164"/>
    </row>
    <row r="9812" spans="1:9" x14ac:dyDescent="0.25">
      <c r="A9812" s="163"/>
      <c r="B9812" s="106"/>
      <c r="C9812" s="73" t="s">
        <v>557</v>
      </c>
      <c r="D9812" s="73"/>
      <c r="E9812" s="73"/>
      <c r="F9812" s="74" t="s">
        <v>3</v>
      </c>
      <c r="G9812" s="153">
        <f>1.134*0.26</f>
        <v>0.29483999999999999</v>
      </c>
      <c r="H9812" s="164"/>
      <c r="I9812" t="s">
        <v>4504</v>
      </c>
    </row>
    <row r="9813" spans="1:9" x14ac:dyDescent="0.25">
      <c r="A9813" s="163"/>
      <c r="B9813" s="106"/>
      <c r="C9813" s="73"/>
      <c r="D9813" s="73"/>
      <c r="E9813" s="73"/>
      <c r="F9813" s="74"/>
      <c r="G9813" s="153"/>
      <c r="H9813" s="164"/>
    </row>
    <row r="9814" spans="1:9" x14ac:dyDescent="0.25">
      <c r="A9814" s="163"/>
      <c r="B9814" s="106"/>
      <c r="C9814" s="75" t="s">
        <v>4505</v>
      </c>
      <c r="D9814" s="73"/>
      <c r="E9814" s="73"/>
      <c r="F9814" s="74"/>
      <c r="G9814" s="153"/>
      <c r="H9814" s="164"/>
    </row>
    <row r="9815" spans="1:9" x14ac:dyDescent="0.25">
      <c r="A9815" s="163"/>
      <c r="B9815" s="106"/>
      <c r="C9815" s="73" t="s">
        <v>1245</v>
      </c>
      <c r="D9815" s="73"/>
      <c r="E9815" s="73"/>
      <c r="F9815" s="74" t="s">
        <v>3</v>
      </c>
      <c r="G9815" s="153">
        <f>0.228*0.13</f>
        <v>2.9640000000000003E-2</v>
      </c>
      <c r="H9815" s="164"/>
      <c r="I9815" t="s">
        <v>1459</v>
      </c>
    </row>
    <row r="9816" spans="1:9" x14ac:dyDescent="0.25">
      <c r="A9816" s="163"/>
      <c r="B9816" s="106"/>
      <c r="C9816" s="73"/>
      <c r="D9816" s="73"/>
      <c r="E9816" s="73"/>
      <c r="F9816" s="74"/>
      <c r="G9816" s="153"/>
      <c r="H9816" s="164"/>
    </row>
    <row r="9817" spans="1:9" x14ac:dyDescent="0.25">
      <c r="A9817" s="163"/>
      <c r="B9817" s="106"/>
      <c r="C9817" s="75" t="s">
        <v>4506</v>
      </c>
      <c r="D9817" s="73"/>
      <c r="E9817" s="73"/>
      <c r="F9817" s="74"/>
      <c r="G9817" s="153"/>
      <c r="H9817" s="164"/>
    </row>
    <row r="9818" spans="1:9" x14ac:dyDescent="0.25">
      <c r="A9818" s="163"/>
      <c r="B9818" s="106"/>
      <c r="C9818" s="73" t="s">
        <v>4476</v>
      </c>
      <c r="D9818" s="73"/>
      <c r="E9818" s="73"/>
      <c r="F9818" s="74" t="s">
        <v>3</v>
      </c>
      <c r="G9818" s="153">
        <f>0.07*0.022*5*8*1.13</f>
        <v>6.9607999999999989E-2</v>
      </c>
      <c r="H9818" s="164"/>
    </row>
    <row r="9819" spans="1:9" x14ac:dyDescent="0.25">
      <c r="A9819" s="163"/>
      <c r="B9819" s="106"/>
      <c r="C9819" s="73"/>
      <c r="D9819" s="73"/>
      <c r="E9819" s="73"/>
      <c r="F9819" s="74"/>
      <c r="G9819" s="153"/>
      <c r="H9819" s="164"/>
    </row>
    <row r="9820" spans="1:9" x14ac:dyDescent="0.25">
      <c r="A9820" s="163"/>
      <c r="B9820" s="106"/>
      <c r="C9820" s="75" t="s">
        <v>4507</v>
      </c>
      <c r="D9820" s="73"/>
      <c r="E9820" s="73"/>
      <c r="F9820" s="74"/>
      <c r="G9820" s="153"/>
      <c r="H9820" s="164"/>
    </row>
    <row r="9821" spans="1:9" x14ac:dyDescent="0.25">
      <c r="A9821" s="163"/>
      <c r="B9821" s="106"/>
      <c r="C9821" s="73" t="s">
        <v>426</v>
      </c>
      <c r="D9821" s="73"/>
      <c r="E9821" s="73"/>
      <c r="F9821" s="74" t="s">
        <v>3</v>
      </c>
      <c r="G9821" s="153">
        <f>0.314*0.325</f>
        <v>0.10205</v>
      </c>
      <c r="H9821" s="164"/>
      <c r="I9821" t="s">
        <v>4508</v>
      </c>
    </row>
    <row r="9822" spans="1:9" x14ac:dyDescent="0.25">
      <c r="A9822" s="163"/>
      <c r="B9822" s="106"/>
      <c r="C9822" s="73"/>
      <c r="D9822" s="73"/>
      <c r="E9822" s="73"/>
      <c r="F9822" s="74"/>
      <c r="G9822" s="153"/>
      <c r="H9822" s="164"/>
    </row>
    <row r="9823" spans="1:9" x14ac:dyDescent="0.25">
      <c r="A9823" s="163"/>
      <c r="B9823" s="106"/>
      <c r="C9823" s="75" t="s">
        <v>4509</v>
      </c>
      <c r="D9823" s="73"/>
      <c r="E9823" s="73"/>
      <c r="F9823" s="74"/>
      <c r="G9823" s="153"/>
      <c r="H9823" s="164"/>
    </row>
    <row r="9824" spans="1:9" x14ac:dyDescent="0.25">
      <c r="A9824" s="163"/>
      <c r="B9824" s="106"/>
      <c r="C9824" s="73" t="s">
        <v>4510</v>
      </c>
      <c r="D9824" s="73"/>
      <c r="E9824" s="73"/>
      <c r="F9824" s="74" t="s">
        <v>3</v>
      </c>
      <c r="G9824" s="153">
        <f>0.592*0.55+0.004</f>
        <v>0.3296</v>
      </c>
      <c r="H9824" s="164"/>
      <c r="I9824" t="s">
        <v>4511</v>
      </c>
    </row>
    <row r="9825" spans="1:8" x14ac:dyDescent="0.25">
      <c r="A9825" s="460"/>
      <c r="B9825" s="461"/>
      <c r="C9825" s="462"/>
      <c r="D9825" s="462"/>
      <c r="E9825" s="462"/>
      <c r="F9825" s="463"/>
      <c r="G9825" s="464"/>
      <c r="H9825" s="465"/>
    </row>
    <row r="9826" spans="1:8" x14ac:dyDescent="0.25">
      <c r="A9826" s="474"/>
      <c r="B9826" s="106"/>
      <c r="C9826" s="73"/>
      <c r="D9826" s="73"/>
      <c r="E9826" s="73"/>
      <c r="F9826" s="74"/>
      <c r="G9826" s="153"/>
      <c r="H9826" s="164" t="s">
        <v>4539</v>
      </c>
    </row>
    <row r="9827" spans="1:8" x14ac:dyDescent="0.25">
      <c r="A9827" s="73"/>
      <c r="B9827" s="106"/>
      <c r="C9827" s="75" t="s">
        <v>4513</v>
      </c>
      <c r="D9827" s="73"/>
      <c r="E9827" s="73"/>
      <c r="F9827" s="74"/>
      <c r="G9827" s="153"/>
      <c r="H9827" s="164"/>
    </row>
    <row r="9828" spans="1:8" x14ac:dyDescent="0.25">
      <c r="A9828" s="73"/>
      <c r="B9828" s="106"/>
      <c r="C9828" s="73" t="s">
        <v>4514</v>
      </c>
      <c r="D9828" s="73"/>
      <c r="E9828" s="73"/>
      <c r="F9828" s="74" t="s">
        <v>3</v>
      </c>
      <c r="G9828" s="153">
        <f>0.065*0.065*1.5*8*1.1</f>
        <v>5.5770000000000014E-2</v>
      </c>
      <c r="H9828" s="164"/>
    </row>
    <row r="9829" spans="1:8" x14ac:dyDescent="0.25">
      <c r="A9829" s="73"/>
      <c r="B9829" s="106"/>
      <c r="C9829" s="73"/>
      <c r="D9829" s="73"/>
      <c r="E9829" s="73"/>
      <c r="F9829" s="74"/>
      <c r="G9829" s="153"/>
      <c r="H9829" s="164"/>
    </row>
    <row r="9830" spans="1:8" x14ac:dyDescent="0.25">
      <c r="A9830" s="73"/>
      <c r="B9830" s="106"/>
      <c r="C9830" s="75" t="s">
        <v>4515</v>
      </c>
      <c r="D9830" s="73"/>
      <c r="E9830" s="73"/>
      <c r="F9830" s="74"/>
      <c r="G9830" s="153"/>
      <c r="H9830" s="164"/>
    </row>
    <row r="9831" spans="1:8" x14ac:dyDescent="0.25">
      <c r="A9831" s="73"/>
      <c r="B9831" s="106"/>
      <c r="C9831" s="73" t="s">
        <v>4516</v>
      </c>
      <c r="D9831" s="73"/>
      <c r="E9831" s="73"/>
      <c r="F9831" s="74" t="s">
        <v>3</v>
      </c>
      <c r="G9831" s="153">
        <f>0.02*0.04*2*8*1.15</f>
        <v>1.4719999999999999E-2</v>
      </c>
      <c r="H9831" s="164"/>
    </row>
    <row r="9832" spans="1:8" x14ac:dyDescent="0.25">
      <c r="A9832" s="73"/>
      <c r="B9832" s="106"/>
      <c r="C9832" s="73"/>
      <c r="D9832" s="73"/>
      <c r="E9832" s="73"/>
      <c r="F9832" s="74"/>
      <c r="G9832" s="153"/>
      <c r="H9832" s="164"/>
    </row>
    <row r="9833" spans="1:8" x14ac:dyDescent="0.25">
      <c r="A9833" s="73"/>
      <c r="B9833" s="106"/>
      <c r="C9833" s="75" t="s">
        <v>4517</v>
      </c>
      <c r="D9833" s="73"/>
      <c r="E9833" s="73"/>
      <c r="F9833" s="74"/>
      <c r="G9833" s="153"/>
      <c r="H9833" s="164"/>
    </row>
    <row r="9834" spans="1:8" x14ac:dyDescent="0.25">
      <c r="A9834" s="73"/>
      <c r="B9834" s="106"/>
      <c r="C9834" s="73" t="s">
        <v>4518</v>
      </c>
      <c r="D9834" s="73"/>
      <c r="E9834" s="73"/>
      <c r="F9834" s="74" t="s">
        <v>3</v>
      </c>
      <c r="G9834" s="153">
        <f>0.085*0.01*1*9*1.12</f>
        <v>8.568000000000001E-3</v>
      </c>
      <c r="H9834" s="164"/>
    </row>
    <row r="9835" spans="1:8" x14ac:dyDescent="0.25">
      <c r="A9835" s="73"/>
      <c r="B9835" s="106"/>
      <c r="C9835" s="73"/>
      <c r="D9835" s="73"/>
      <c r="E9835" s="73"/>
      <c r="F9835" s="74"/>
      <c r="G9835" s="153"/>
      <c r="H9835" s="164"/>
    </row>
    <row r="9836" spans="1:8" x14ac:dyDescent="0.25">
      <c r="A9836" s="73"/>
      <c r="B9836" s="106"/>
      <c r="C9836" s="75" t="s">
        <v>4519</v>
      </c>
      <c r="D9836" s="73"/>
      <c r="E9836" s="73"/>
      <c r="F9836" s="74"/>
      <c r="G9836" s="153"/>
      <c r="H9836" s="164"/>
    </row>
    <row r="9837" spans="1:8" x14ac:dyDescent="0.25">
      <c r="A9837" s="73"/>
      <c r="B9837" s="106"/>
      <c r="C9837" s="100" t="s">
        <v>140</v>
      </c>
      <c r="D9837" s="75"/>
      <c r="E9837" s="73"/>
      <c r="F9837" s="74" t="s">
        <v>3</v>
      </c>
      <c r="G9837" s="153">
        <f>0.007*3.14*0.08*1.25</f>
        <v>2.1980000000000003E-3</v>
      </c>
      <c r="H9837" s="164"/>
    </row>
    <row r="9838" spans="1:8" ht="17.25" x14ac:dyDescent="0.25">
      <c r="A9838" s="73"/>
      <c r="B9838" s="106"/>
      <c r="C9838" s="100" t="s">
        <v>23</v>
      </c>
      <c r="D9838" s="75"/>
      <c r="E9838" s="73"/>
      <c r="F9838" s="74" t="s">
        <v>596</v>
      </c>
      <c r="G9838" s="153">
        <f>G9837*2</f>
        <v>4.3960000000000006E-3</v>
      </c>
      <c r="H9838" s="164"/>
    </row>
    <row r="9839" spans="1:8" x14ac:dyDescent="0.25">
      <c r="A9839" s="73"/>
      <c r="B9839" s="106"/>
      <c r="C9839" s="100" t="s">
        <v>142</v>
      </c>
      <c r="D9839" s="75"/>
      <c r="E9839" s="73"/>
      <c r="F9839" s="74" t="s">
        <v>3</v>
      </c>
      <c r="G9839" s="153">
        <f>G9837/4</f>
        <v>5.4950000000000008E-4</v>
      </c>
      <c r="H9839" s="164"/>
    </row>
    <row r="9840" spans="1:8" x14ac:dyDescent="0.25">
      <c r="A9840" s="73"/>
      <c r="B9840" s="106"/>
      <c r="C9840" s="73"/>
      <c r="D9840" s="73"/>
      <c r="E9840" s="73"/>
      <c r="F9840" s="74"/>
      <c r="G9840" s="153"/>
      <c r="H9840" s="164"/>
    </row>
    <row r="9841" spans="1:8" x14ac:dyDescent="0.25">
      <c r="A9841" s="73"/>
      <c r="B9841" s="106"/>
      <c r="C9841" s="75" t="s">
        <v>4520</v>
      </c>
      <c r="D9841" s="73"/>
      <c r="E9841" s="73"/>
      <c r="F9841" s="74"/>
      <c r="G9841" s="153"/>
      <c r="H9841" s="164"/>
    </row>
    <row r="9842" spans="1:8" x14ac:dyDescent="0.25">
      <c r="A9842" s="73"/>
      <c r="B9842" s="106"/>
      <c r="C9842" s="100" t="s">
        <v>140</v>
      </c>
      <c r="D9842" s="75"/>
      <c r="E9842" s="73"/>
      <c r="F9842" s="74" t="s">
        <v>3</v>
      </c>
      <c r="G9842" s="153">
        <f>0.012*3.14*0.08*1.25</f>
        <v>3.7680000000000005E-3</v>
      </c>
      <c r="H9842" s="164"/>
    </row>
    <row r="9843" spans="1:8" ht="17.25" x14ac:dyDescent="0.25">
      <c r="A9843" s="73"/>
      <c r="B9843" s="106"/>
      <c r="C9843" s="100" t="s">
        <v>23</v>
      </c>
      <c r="D9843" s="75"/>
      <c r="E9843" s="73"/>
      <c r="F9843" s="74" t="s">
        <v>596</v>
      </c>
      <c r="G9843" s="153">
        <f>G9842*2</f>
        <v>7.536000000000001E-3</v>
      </c>
      <c r="H9843" s="164"/>
    </row>
    <row r="9844" spans="1:8" x14ac:dyDescent="0.25">
      <c r="A9844" s="73"/>
      <c r="B9844" s="106"/>
      <c r="C9844" s="100" t="s">
        <v>142</v>
      </c>
      <c r="D9844" s="75"/>
      <c r="E9844" s="73"/>
      <c r="F9844" s="74" t="s">
        <v>3</v>
      </c>
      <c r="G9844" s="153">
        <f>G9842/4</f>
        <v>9.4200000000000013E-4</v>
      </c>
      <c r="H9844" s="164"/>
    </row>
    <row r="9845" spans="1:8" x14ac:dyDescent="0.25">
      <c r="A9845" s="73"/>
      <c r="B9845" s="106"/>
      <c r="C9845" s="73"/>
      <c r="D9845" s="73"/>
      <c r="E9845" s="73"/>
      <c r="F9845" s="74"/>
      <c r="G9845" s="153"/>
      <c r="H9845" s="164"/>
    </row>
    <row r="9846" spans="1:8" x14ac:dyDescent="0.25">
      <c r="A9846" s="73"/>
      <c r="B9846" s="106"/>
      <c r="C9846" s="75" t="s">
        <v>4521</v>
      </c>
      <c r="D9846" s="73"/>
      <c r="E9846" s="73"/>
      <c r="F9846" s="74"/>
      <c r="G9846" s="153"/>
      <c r="H9846" s="164"/>
    </row>
    <row r="9847" spans="1:8" x14ac:dyDescent="0.25">
      <c r="A9847" s="73"/>
      <c r="B9847" s="106"/>
      <c r="C9847" s="186" t="s">
        <v>731</v>
      </c>
      <c r="D9847" s="73"/>
      <c r="E9847" s="73"/>
      <c r="F9847" s="74" t="s">
        <v>3</v>
      </c>
      <c r="G9847" s="153">
        <f>0.065*0.125*0.2*2*1.3</f>
        <v>4.2250000000000005E-3</v>
      </c>
      <c r="H9847" s="164"/>
    </row>
    <row r="9848" spans="1:8" x14ac:dyDescent="0.25">
      <c r="A9848" s="73"/>
      <c r="B9848" s="106"/>
      <c r="C9848" s="186" t="s">
        <v>4522</v>
      </c>
      <c r="D9848" s="73"/>
      <c r="E9848" s="73"/>
      <c r="F9848" s="74" t="s">
        <v>1516</v>
      </c>
      <c r="G9848" s="153">
        <v>8</v>
      </c>
      <c r="H9848" s="164"/>
    </row>
    <row r="9849" spans="1:8" x14ac:dyDescent="0.25">
      <c r="A9849" s="73"/>
      <c r="B9849" s="106"/>
      <c r="C9849" s="186" t="s">
        <v>4522</v>
      </c>
      <c r="D9849" s="73"/>
      <c r="E9849" s="73"/>
      <c r="F9849" s="74" t="s">
        <v>1516</v>
      </c>
      <c r="G9849" s="153">
        <v>16</v>
      </c>
      <c r="H9849" s="164"/>
    </row>
    <row r="9850" spans="1:8" x14ac:dyDescent="0.25">
      <c r="A9850" s="73"/>
      <c r="B9850" s="106"/>
      <c r="C9850" s="73"/>
      <c r="D9850" s="75" t="s">
        <v>4523</v>
      </c>
      <c r="E9850" s="73"/>
      <c r="F9850" s="74"/>
      <c r="G9850" s="153"/>
      <c r="H9850" s="164"/>
    </row>
    <row r="9851" spans="1:8" x14ac:dyDescent="0.25">
      <c r="A9851" s="73"/>
      <c r="B9851" s="106"/>
      <c r="C9851" s="73"/>
      <c r="D9851" s="77" t="s">
        <v>1054</v>
      </c>
      <c r="E9851" s="73"/>
      <c r="F9851" s="152" t="s">
        <v>3</v>
      </c>
      <c r="G9851" s="427">
        <f>(0.012*3.14*4+0.012*2+0.05+0.12+0.05+0.25+0.07+0.03+0.1+0.04+0.016*3.14*3+0.012*3.14*3*0.01*3.14*3)*0.08*1.19</f>
        <v>9.9587612633600012E-2</v>
      </c>
      <c r="H9851" s="164"/>
    </row>
    <row r="9852" spans="1:8" ht="17.25" x14ac:dyDescent="0.25">
      <c r="A9852" s="73"/>
      <c r="B9852" s="106"/>
      <c r="C9852" s="73"/>
      <c r="D9852" s="77" t="s">
        <v>1055</v>
      </c>
      <c r="E9852" s="73"/>
      <c r="F9852" s="74" t="s">
        <v>596</v>
      </c>
      <c r="G9852" s="427">
        <f>G9851*1.1</f>
        <v>0.10954637389696002</v>
      </c>
      <c r="H9852" s="164"/>
    </row>
    <row r="9853" spans="1:8" x14ac:dyDescent="0.25">
      <c r="A9853" s="73"/>
      <c r="B9853" s="106"/>
      <c r="C9853" s="73"/>
      <c r="D9853" s="73" t="s">
        <v>8</v>
      </c>
      <c r="E9853" s="73"/>
      <c r="F9853" s="74" t="s">
        <v>3</v>
      </c>
      <c r="G9853" s="427">
        <f>G9854*0.68</f>
        <v>7.4840799999999999E-2</v>
      </c>
      <c r="H9853" s="164"/>
    </row>
    <row r="9854" spans="1:8" x14ac:dyDescent="0.25">
      <c r="A9854" s="73"/>
      <c r="B9854" s="106"/>
      <c r="C9854" s="73"/>
      <c r="D9854" s="73" t="s">
        <v>879</v>
      </c>
      <c r="E9854" s="73"/>
      <c r="F9854" s="74" t="s">
        <v>3</v>
      </c>
      <c r="G9854" s="427">
        <f>0.5*0.21*2*0.15*2*1.3+1*0.011*2*1.28</f>
        <v>0.11005999999999999</v>
      </c>
      <c r="H9854" s="164"/>
    </row>
    <row r="9855" spans="1:8" x14ac:dyDescent="0.25">
      <c r="A9855" s="73"/>
      <c r="B9855" s="106"/>
      <c r="C9855" s="73"/>
      <c r="D9855" s="73" t="s">
        <v>12</v>
      </c>
      <c r="E9855" s="73"/>
      <c r="F9855" s="74" t="s">
        <v>3</v>
      </c>
      <c r="G9855" s="427">
        <f>0.3*(G9854+G9853)</f>
        <v>5.547023999999999E-2</v>
      </c>
      <c r="H9855" s="164"/>
    </row>
    <row r="9856" spans="1:8" x14ac:dyDescent="0.25">
      <c r="A9856" s="73"/>
      <c r="B9856" s="106"/>
      <c r="C9856" s="73"/>
      <c r="D9856" s="73"/>
      <c r="E9856" s="75" t="s">
        <v>4524</v>
      </c>
      <c r="F9856" s="74"/>
      <c r="G9856" s="153"/>
      <c r="H9856" s="164"/>
    </row>
    <row r="9857" spans="1:11" x14ac:dyDescent="0.25">
      <c r="A9857" s="73"/>
      <c r="B9857" s="106"/>
      <c r="C9857" s="73"/>
      <c r="D9857" s="73"/>
      <c r="E9857" s="73" t="s">
        <v>4525</v>
      </c>
      <c r="F9857" s="74" t="s">
        <v>3</v>
      </c>
      <c r="G9857" s="153">
        <f>0.09*0.012*1.5*8*1.12</f>
        <v>1.4515200000000001E-2</v>
      </c>
      <c r="H9857" s="164"/>
    </row>
    <row r="9858" spans="1:11" x14ac:dyDescent="0.25">
      <c r="A9858" s="73"/>
      <c r="B9858" s="106"/>
      <c r="C9858" s="73"/>
      <c r="D9858" s="73"/>
      <c r="E9858" s="75" t="s">
        <v>4526</v>
      </c>
      <c r="F9858" s="74"/>
      <c r="G9858" s="153"/>
      <c r="H9858" s="164"/>
    </row>
    <row r="9859" spans="1:11" x14ac:dyDescent="0.25">
      <c r="A9859" s="73"/>
      <c r="B9859" s="106"/>
      <c r="C9859" s="73"/>
      <c r="D9859" s="73"/>
      <c r="E9859" s="73" t="s">
        <v>4527</v>
      </c>
      <c r="F9859" s="74" t="s">
        <v>3</v>
      </c>
      <c r="G9859" s="153">
        <f>0.05*0.03*3*8*1.1</f>
        <v>3.960000000000001E-2</v>
      </c>
      <c r="H9859" s="164"/>
    </row>
    <row r="9860" spans="1:11" x14ac:dyDescent="0.25">
      <c r="A9860" s="73"/>
      <c r="B9860" s="106"/>
      <c r="C9860" s="73"/>
      <c r="D9860" s="73"/>
      <c r="E9860" s="75" t="s">
        <v>4528</v>
      </c>
      <c r="F9860" s="74"/>
      <c r="G9860" s="153"/>
      <c r="H9860" s="164"/>
    </row>
    <row r="9861" spans="1:11" x14ac:dyDescent="0.25">
      <c r="A9861" s="73"/>
      <c r="B9861" s="106"/>
      <c r="C9861" s="73"/>
      <c r="D9861" s="73"/>
      <c r="E9861" s="73" t="s">
        <v>4527</v>
      </c>
      <c r="F9861" s="74" t="s">
        <v>3</v>
      </c>
      <c r="G9861" s="153">
        <f>0.05*0.02*3*8*1.12</f>
        <v>2.6880000000000005E-2</v>
      </c>
      <c r="H9861" s="164"/>
    </row>
    <row r="9862" spans="1:11" x14ac:dyDescent="0.25">
      <c r="A9862" s="73"/>
      <c r="B9862" s="106"/>
      <c r="C9862" s="73"/>
      <c r="D9862" s="73"/>
      <c r="E9862" s="75" t="s">
        <v>4529</v>
      </c>
      <c r="F9862" s="74"/>
      <c r="G9862" s="153"/>
      <c r="H9862" s="164"/>
    </row>
    <row r="9863" spans="1:11" x14ac:dyDescent="0.25">
      <c r="A9863" s="73"/>
      <c r="B9863" s="106"/>
      <c r="C9863" s="73"/>
      <c r="D9863" s="73"/>
      <c r="E9863" s="73" t="s">
        <v>4530</v>
      </c>
      <c r="F9863" s="74" t="s">
        <v>3</v>
      </c>
      <c r="G9863" s="153">
        <f>0.495*0.215*2*8*1.116</f>
        <v>1.9003247999999999</v>
      </c>
      <c r="H9863" s="164"/>
    </row>
    <row r="9864" spans="1:11" x14ac:dyDescent="0.25">
      <c r="A9864" s="73"/>
      <c r="B9864" s="106"/>
      <c r="C9864" s="73"/>
      <c r="D9864" s="73"/>
      <c r="E9864" s="75" t="s">
        <v>4531</v>
      </c>
      <c r="F9864" s="74"/>
      <c r="G9864" s="153"/>
      <c r="H9864" s="164"/>
    </row>
    <row r="9865" spans="1:11" x14ac:dyDescent="0.25">
      <c r="A9865" s="73"/>
      <c r="B9865" s="106"/>
      <c r="C9865" s="73"/>
      <c r="D9865" s="73"/>
      <c r="E9865" s="73" t="s">
        <v>4532</v>
      </c>
      <c r="F9865" s="74" t="s">
        <v>3</v>
      </c>
      <c r="G9865" s="153">
        <f>0.155*0.026*2*8*1.12</f>
        <v>7.2217600000000007E-2</v>
      </c>
      <c r="H9865" s="164"/>
    </row>
    <row r="9866" spans="1:11" x14ac:dyDescent="0.25">
      <c r="A9866" s="73"/>
      <c r="B9866" s="106"/>
      <c r="C9866" s="73"/>
      <c r="D9866" s="73"/>
      <c r="E9866" s="75" t="s">
        <v>4533</v>
      </c>
      <c r="F9866" s="74"/>
      <c r="G9866" s="153"/>
      <c r="H9866" s="164"/>
    </row>
    <row r="9867" spans="1:11" x14ac:dyDescent="0.25">
      <c r="A9867" s="73"/>
      <c r="B9867" s="106"/>
      <c r="C9867" s="73"/>
      <c r="D9867" s="73"/>
      <c r="E9867" s="73" t="s">
        <v>4532</v>
      </c>
      <c r="F9867" s="74" t="s">
        <v>3</v>
      </c>
      <c r="G9867" s="153">
        <f>0.233*0.02*2*8*1.14</f>
        <v>8.4998399999999988E-2</v>
      </c>
      <c r="H9867" s="164"/>
    </row>
    <row r="9868" spans="1:11" x14ac:dyDescent="0.25">
      <c r="A9868" s="73"/>
      <c r="B9868" s="106"/>
      <c r="C9868" s="73"/>
      <c r="D9868" s="73"/>
      <c r="E9868" s="75" t="s">
        <v>4534</v>
      </c>
      <c r="F9868" s="74"/>
      <c r="G9868" s="153"/>
      <c r="H9868" s="164"/>
    </row>
    <row r="9869" spans="1:11" x14ac:dyDescent="0.25">
      <c r="A9869" s="73"/>
      <c r="B9869" s="106"/>
      <c r="C9869" s="73"/>
      <c r="D9869" s="73"/>
      <c r="E9869" s="73" t="s">
        <v>4371</v>
      </c>
      <c r="F9869" s="74" t="s">
        <v>3</v>
      </c>
      <c r="G9869" s="153">
        <f>(0.52*0.02*4*8+0.05*0.05*4*8)*1.139</f>
        <v>0.47017920000000007</v>
      </c>
      <c r="H9869" s="164"/>
    </row>
    <row r="9870" spans="1:11" x14ac:dyDescent="0.25">
      <c r="A9870" s="73"/>
      <c r="B9870" s="106"/>
      <c r="C9870" s="73"/>
      <c r="D9870" s="73"/>
      <c r="E9870" s="77" t="s">
        <v>1054</v>
      </c>
      <c r="F9870" s="152" t="s">
        <v>3</v>
      </c>
      <c r="G9870" s="153">
        <f>0.025*0.08*1.2</f>
        <v>2.3999999999999998E-3</v>
      </c>
      <c r="H9870" s="164"/>
      <c r="K9870" s="473"/>
    </row>
    <row r="9871" spans="1:11" ht="17.25" x14ac:dyDescent="0.25">
      <c r="A9871" s="73"/>
      <c r="B9871" s="106"/>
      <c r="C9871" s="73"/>
      <c r="D9871" s="73"/>
      <c r="E9871" s="77" t="s">
        <v>1055</v>
      </c>
      <c r="F9871" s="74" t="s">
        <v>596</v>
      </c>
      <c r="G9871" s="153">
        <f>G9870*1.1</f>
        <v>2.64E-3</v>
      </c>
      <c r="H9871" s="164"/>
      <c r="K9871" s="473"/>
    </row>
    <row r="9872" spans="1:11" x14ac:dyDescent="0.25">
      <c r="A9872" s="73"/>
      <c r="B9872" s="106"/>
      <c r="C9872" s="73"/>
      <c r="D9872" s="73"/>
      <c r="E9872" s="75" t="s">
        <v>4535</v>
      </c>
      <c r="F9872" s="74"/>
      <c r="G9872" s="153"/>
      <c r="H9872" s="164"/>
    </row>
    <row r="9873" spans="1:8" x14ac:dyDescent="0.25">
      <c r="A9873" s="73"/>
      <c r="B9873" s="106"/>
      <c r="C9873" s="73"/>
      <c r="D9873" s="73"/>
      <c r="E9873" s="73" t="s">
        <v>4371</v>
      </c>
      <c r="F9873" s="74" t="s">
        <v>3</v>
      </c>
      <c r="G9873" s="153">
        <f>0.5*0.016*4*8*1.132</f>
        <v>0.28979199999999999</v>
      </c>
      <c r="H9873" s="164"/>
    </row>
    <row r="9874" spans="1:8" x14ac:dyDescent="0.25">
      <c r="A9874" s="73"/>
      <c r="B9874" s="106"/>
      <c r="C9874" s="73"/>
      <c r="D9874" s="73"/>
      <c r="E9874" s="75" t="s">
        <v>4536</v>
      </c>
      <c r="F9874" s="74"/>
      <c r="G9874" s="153"/>
      <c r="H9874" s="164"/>
    </row>
    <row r="9875" spans="1:8" x14ac:dyDescent="0.25">
      <c r="A9875" s="73"/>
      <c r="B9875" s="106"/>
      <c r="C9875" s="73"/>
      <c r="D9875" s="73"/>
      <c r="E9875" s="73" t="s">
        <v>4371</v>
      </c>
      <c r="F9875" s="74" t="s">
        <v>3</v>
      </c>
      <c r="G9875" s="153">
        <f>0.11*0.025*4*8*1.135</f>
        <v>9.988000000000001E-2</v>
      </c>
      <c r="H9875" s="164"/>
    </row>
    <row r="9876" spans="1:8" x14ac:dyDescent="0.25">
      <c r="A9876" s="73"/>
      <c r="B9876" s="106"/>
      <c r="C9876" s="73"/>
      <c r="D9876" s="73"/>
      <c r="E9876" s="75" t="s">
        <v>4537</v>
      </c>
      <c r="F9876" s="74"/>
      <c r="G9876" s="153"/>
      <c r="H9876" s="164"/>
    </row>
    <row r="9877" spans="1:8" x14ac:dyDescent="0.25">
      <c r="A9877" s="73"/>
      <c r="B9877" s="106"/>
      <c r="C9877" s="73"/>
      <c r="D9877" s="73"/>
      <c r="E9877" s="73" t="s">
        <v>4371</v>
      </c>
      <c r="F9877" s="74" t="s">
        <v>3</v>
      </c>
      <c r="G9877" s="153">
        <f>(0.715*0.02*4*8+0.05*0.05)</f>
        <v>0.46010000000000001</v>
      </c>
      <c r="H9877" s="164"/>
    </row>
    <row r="9878" spans="1:8" x14ac:dyDescent="0.25">
      <c r="A9878" s="73"/>
      <c r="B9878" s="106"/>
      <c r="C9878" s="73"/>
      <c r="D9878" s="73"/>
      <c r="E9878" s="73"/>
      <c r="F9878" s="74"/>
      <c r="G9878" s="153"/>
      <c r="H9878" s="164"/>
    </row>
    <row r="9879" spans="1:8" x14ac:dyDescent="0.25">
      <c r="A9879" s="73"/>
      <c r="B9879" s="106"/>
      <c r="C9879" s="75" t="s">
        <v>4538</v>
      </c>
      <c r="D9879" s="73"/>
      <c r="E9879" s="73"/>
      <c r="F9879" s="74"/>
      <c r="G9879" s="153"/>
      <c r="H9879" s="164"/>
    </row>
    <row r="9880" spans="1:8" x14ac:dyDescent="0.25">
      <c r="A9880" s="73"/>
      <c r="B9880" s="106"/>
      <c r="C9880" s="77" t="s">
        <v>1054</v>
      </c>
      <c r="D9880" s="73"/>
      <c r="E9880" s="73"/>
      <c r="F9880" s="152" t="s">
        <v>3</v>
      </c>
      <c r="G9880" s="427">
        <v>5.0000000000000001E-3</v>
      </c>
      <c r="H9880" s="164"/>
    </row>
    <row r="9881" spans="1:8" ht="17.25" x14ac:dyDescent="0.25">
      <c r="A9881" s="73"/>
      <c r="B9881" s="106"/>
      <c r="C9881" s="77" t="s">
        <v>1055</v>
      </c>
      <c r="D9881" s="73"/>
      <c r="E9881" s="73"/>
      <c r="F9881" s="74" t="s">
        <v>596</v>
      </c>
      <c r="G9881" s="427">
        <f>G9880*1.1</f>
        <v>5.5000000000000005E-3</v>
      </c>
      <c r="H9881" s="164"/>
    </row>
    <row r="9882" spans="1:8" x14ac:dyDescent="0.25">
      <c r="A9882" s="462"/>
      <c r="B9882" s="461"/>
      <c r="C9882" s="462"/>
      <c r="D9882" s="462"/>
      <c r="E9882" s="462"/>
      <c r="F9882" s="463"/>
      <c r="G9882" s="464"/>
      <c r="H9882" s="465"/>
    </row>
    <row r="9883" spans="1:8" x14ac:dyDescent="0.25">
      <c r="A9883" s="163"/>
      <c r="B9883" s="106"/>
      <c r="C9883" s="73"/>
      <c r="D9883" s="73"/>
      <c r="E9883" s="73"/>
      <c r="F9883" s="74"/>
      <c r="G9883" s="153"/>
      <c r="H9883" s="164" t="s">
        <v>4583</v>
      </c>
    </row>
    <row r="9884" spans="1:8" x14ac:dyDescent="0.25">
      <c r="A9884" s="163"/>
      <c r="B9884" s="106"/>
      <c r="C9884" s="75" t="s">
        <v>4566</v>
      </c>
      <c r="D9884" s="73"/>
      <c r="E9884" s="73"/>
      <c r="F9884" s="74"/>
      <c r="G9884" s="153"/>
      <c r="H9884" s="164"/>
    </row>
    <row r="9885" spans="1:8" x14ac:dyDescent="0.25">
      <c r="A9885" s="163"/>
      <c r="B9885" s="106"/>
      <c r="C9885" s="73" t="s">
        <v>4540</v>
      </c>
      <c r="D9885" s="73"/>
      <c r="E9885" s="73"/>
      <c r="F9885" s="74" t="s">
        <v>3</v>
      </c>
      <c r="G9885" s="153">
        <f>0.052*0.038*1.5*8.5</f>
        <v>2.5193999999999998E-2</v>
      </c>
      <c r="H9885" s="164"/>
    </row>
    <row r="9886" spans="1:8" x14ac:dyDescent="0.25">
      <c r="A9886" s="163"/>
      <c r="B9886" s="106"/>
      <c r="C9886" s="73"/>
      <c r="D9886" s="73"/>
      <c r="E9886" s="73"/>
      <c r="F9886" s="74"/>
      <c r="G9886" s="153"/>
      <c r="H9886" s="164"/>
    </row>
    <row r="9887" spans="1:8" x14ac:dyDescent="0.25">
      <c r="A9887" s="163"/>
      <c r="B9887" s="106"/>
      <c r="C9887" s="75" t="s">
        <v>4351</v>
      </c>
      <c r="D9887" s="73"/>
      <c r="E9887" s="73"/>
      <c r="F9887" s="74"/>
      <c r="G9887" s="153"/>
      <c r="H9887" s="164"/>
    </row>
    <row r="9888" spans="1:8" x14ac:dyDescent="0.25">
      <c r="A9888" s="163"/>
      <c r="B9888" s="106"/>
      <c r="C9888" s="73" t="s">
        <v>4540</v>
      </c>
      <c r="D9888" s="73"/>
      <c r="E9888" s="73"/>
      <c r="F9888" s="74" t="s">
        <v>3</v>
      </c>
      <c r="G9888" s="153">
        <f>0.052*0.038*1.5*8.5</f>
        <v>2.5193999999999998E-2</v>
      </c>
      <c r="H9888" s="164"/>
    </row>
    <row r="9889" spans="1:8" x14ac:dyDescent="0.25">
      <c r="A9889" s="163"/>
      <c r="B9889" s="106"/>
      <c r="C9889" s="73"/>
      <c r="D9889" s="73"/>
      <c r="E9889" s="73"/>
      <c r="F9889" s="74"/>
      <c r="G9889" s="153"/>
      <c r="H9889" s="164"/>
    </row>
    <row r="9890" spans="1:8" x14ac:dyDescent="0.25">
      <c r="A9890" s="163"/>
      <c r="B9890" s="106"/>
      <c r="C9890" s="75" t="s">
        <v>4541</v>
      </c>
      <c r="D9890" s="73"/>
      <c r="E9890" s="73"/>
      <c r="F9890" s="74"/>
      <c r="G9890" s="153"/>
      <c r="H9890" s="164"/>
    </row>
    <row r="9891" spans="1:8" x14ac:dyDescent="0.25">
      <c r="A9891" s="163"/>
      <c r="B9891" s="106"/>
      <c r="C9891" s="73" t="s">
        <v>4542</v>
      </c>
      <c r="D9891" s="73"/>
      <c r="E9891" s="73"/>
      <c r="F9891" s="74" t="s">
        <v>3</v>
      </c>
      <c r="G9891" s="153">
        <f>0.235*0.055*0.5*8*1.1</f>
        <v>5.6869999999999997E-2</v>
      </c>
      <c r="H9891" s="164"/>
    </row>
    <row r="9892" spans="1:8" x14ac:dyDescent="0.25">
      <c r="A9892" s="163"/>
      <c r="B9892" s="106"/>
      <c r="C9892" s="73" t="s">
        <v>4543</v>
      </c>
      <c r="D9892" s="73"/>
      <c r="E9892" s="73"/>
      <c r="F9892" s="74" t="s">
        <v>3</v>
      </c>
      <c r="G9892" s="153">
        <f>0.235*0.055*1*8*1.1+0.001</f>
        <v>0.11473999999999999</v>
      </c>
      <c r="H9892" s="164"/>
    </row>
    <row r="9893" spans="1:8" x14ac:dyDescent="0.25">
      <c r="A9893" s="163"/>
      <c r="B9893" s="106"/>
      <c r="C9893" s="73" t="s">
        <v>4544</v>
      </c>
      <c r="D9893" s="73"/>
      <c r="E9893" s="73"/>
      <c r="F9893" s="74" t="s">
        <v>3</v>
      </c>
      <c r="G9893" s="153">
        <f>0.235*0.055*1.5*8*1.1-0.001</f>
        <v>0.16961000000000001</v>
      </c>
      <c r="H9893" s="164"/>
    </row>
    <row r="9894" spans="1:8" x14ac:dyDescent="0.25">
      <c r="A9894" s="163"/>
      <c r="B9894" s="106"/>
      <c r="C9894" s="73" t="s">
        <v>4545</v>
      </c>
      <c r="D9894" s="73"/>
      <c r="E9894" s="73"/>
      <c r="F9894" s="74" t="s">
        <v>3</v>
      </c>
      <c r="G9894" s="153">
        <f>0.235*0.055*2*8*1.1-0.002</f>
        <v>0.22547999999999999</v>
      </c>
      <c r="H9894" s="164"/>
    </row>
    <row r="9895" spans="1:8" x14ac:dyDescent="0.25">
      <c r="A9895" s="163"/>
      <c r="B9895" s="106"/>
      <c r="C9895" s="73"/>
      <c r="D9895" s="73"/>
      <c r="E9895" s="73"/>
      <c r="F9895" s="74"/>
      <c r="G9895" s="153"/>
      <c r="H9895" s="164"/>
    </row>
    <row r="9896" spans="1:8" x14ac:dyDescent="0.25">
      <c r="A9896" s="163"/>
      <c r="B9896" s="106"/>
      <c r="C9896" s="75" t="s">
        <v>4546</v>
      </c>
      <c r="D9896" s="73"/>
      <c r="E9896" s="73"/>
      <c r="F9896" s="74"/>
      <c r="G9896" s="153"/>
      <c r="H9896" s="164"/>
    </row>
    <row r="9897" spans="1:8" x14ac:dyDescent="0.25">
      <c r="A9897" s="163"/>
      <c r="B9897" s="106"/>
      <c r="C9897" s="73" t="s">
        <v>4547</v>
      </c>
      <c r="D9897" s="73"/>
      <c r="E9897" s="73"/>
      <c r="F9897" s="74" t="s">
        <v>3</v>
      </c>
      <c r="G9897" s="153">
        <f>0.1*0.1*2*8</f>
        <v>0.16000000000000003</v>
      </c>
      <c r="H9897" s="164"/>
    </row>
    <row r="9898" spans="1:8" x14ac:dyDescent="0.25">
      <c r="A9898" s="163"/>
      <c r="B9898" s="106"/>
      <c r="C9898" s="73"/>
      <c r="D9898" s="73"/>
      <c r="E9898" s="73"/>
      <c r="F9898" s="74"/>
      <c r="G9898" s="153"/>
      <c r="H9898" s="164"/>
    </row>
    <row r="9899" spans="1:8" x14ac:dyDescent="0.25">
      <c r="A9899" s="163"/>
      <c r="B9899" s="106"/>
      <c r="C9899" s="75" t="s">
        <v>4548</v>
      </c>
      <c r="D9899" s="73"/>
      <c r="E9899" s="73"/>
      <c r="F9899" s="74"/>
      <c r="G9899" s="153"/>
      <c r="H9899" s="164"/>
    </row>
    <row r="9900" spans="1:8" x14ac:dyDescent="0.25">
      <c r="A9900" s="163"/>
      <c r="B9900" s="106"/>
      <c r="C9900" s="73" t="s">
        <v>4549</v>
      </c>
      <c r="D9900" s="73"/>
      <c r="E9900" s="73"/>
      <c r="F9900" s="74" t="s">
        <v>3</v>
      </c>
      <c r="G9900" s="153">
        <f>0.325*0.022*0.2*9*24+0.001</f>
        <v>0.30988000000000004</v>
      </c>
      <c r="H9900" s="164"/>
    </row>
    <row r="9901" spans="1:8" x14ac:dyDescent="0.25">
      <c r="A9901" s="163"/>
      <c r="B9901" s="106"/>
      <c r="C9901" s="73" t="s">
        <v>4550</v>
      </c>
      <c r="D9901" s="73"/>
      <c r="E9901" s="73"/>
      <c r="F9901" s="74" t="s">
        <v>3</v>
      </c>
      <c r="G9901" s="153">
        <v>5.0000000000000001E-3</v>
      </c>
      <c r="H9901" s="164"/>
    </row>
    <row r="9902" spans="1:8" x14ac:dyDescent="0.25">
      <c r="A9902" s="163"/>
      <c r="B9902" s="106"/>
      <c r="C9902" s="73" t="s">
        <v>672</v>
      </c>
      <c r="D9902" s="73"/>
      <c r="E9902" s="73"/>
      <c r="F9902" s="74" t="s">
        <v>3</v>
      </c>
      <c r="G9902" s="153">
        <f>G9901*2</f>
        <v>0.01</v>
      </c>
      <c r="H9902" s="164"/>
    </row>
    <row r="9903" spans="1:8" x14ac:dyDescent="0.25">
      <c r="A9903" s="163"/>
      <c r="B9903" s="106"/>
      <c r="C9903" s="73"/>
      <c r="D9903" s="73"/>
      <c r="E9903" s="73"/>
      <c r="F9903" s="74"/>
      <c r="G9903" s="153"/>
      <c r="H9903" s="164"/>
    </row>
    <row r="9904" spans="1:8" x14ac:dyDescent="0.25">
      <c r="A9904" s="163"/>
      <c r="B9904" s="106"/>
      <c r="C9904" s="75" t="s">
        <v>4551</v>
      </c>
      <c r="D9904" s="73"/>
      <c r="E9904" s="73"/>
      <c r="F9904" s="74"/>
      <c r="G9904" s="153"/>
      <c r="H9904" s="164"/>
    </row>
    <row r="9905" spans="1:8" x14ac:dyDescent="0.25">
      <c r="A9905" s="163"/>
      <c r="B9905" s="106"/>
      <c r="C9905" s="73" t="s">
        <v>4552</v>
      </c>
      <c r="D9905" s="73"/>
      <c r="E9905" s="73"/>
      <c r="F9905" s="74" t="s">
        <v>3</v>
      </c>
      <c r="G9905" s="153">
        <f>0.05*0.025*2*8*1.125</f>
        <v>2.2500000000000006E-2</v>
      </c>
      <c r="H9905" s="164"/>
    </row>
    <row r="9906" spans="1:8" x14ac:dyDescent="0.25">
      <c r="A9906" s="163"/>
      <c r="B9906" s="106"/>
      <c r="C9906" s="73"/>
      <c r="D9906" s="73"/>
      <c r="E9906" s="73"/>
      <c r="F9906" s="74"/>
      <c r="G9906" s="153"/>
      <c r="H9906" s="164"/>
    </row>
    <row r="9907" spans="1:8" x14ac:dyDescent="0.25">
      <c r="A9907" s="163"/>
      <c r="B9907" s="106"/>
      <c r="C9907" s="75" t="s">
        <v>4554</v>
      </c>
      <c r="D9907" s="73"/>
      <c r="E9907" s="73"/>
      <c r="F9907" s="74"/>
      <c r="G9907" s="153"/>
      <c r="H9907" s="164"/>
    </row>
    <row r="9908" spans="1:8" x14ac:dyDescent="0.25">
      <c r="A9908" s="163"/>
      <c r="B9908" s="106"/>
      <c r="C9908" s="77" t="s">
        <v>1054</v>
      </c>
      <c r="D9908" s="73"/>
      <c r="E9908" s="73"/>
      <c r="F9908" s="152" t="s">
        <v>3</v>
      </c>
      <c r="G9908" s="427">
        <f>0.015*0.1*1.2</f>
        <v>1.8E-3</v>
      </c>
      <c r="H9908" s="164"/>
    </row>
    <row r="9909" spans="1:8" ht="17.25" x14ac:dyDescent="0.25">
      <c r="A9909" s="163"/>
      <c r="B9909" s="106"/>
      <c r="C9909" s="77" t="s">
        <v>1055</v>
      </c>
      <c r="D9909" s="73"/>
      <c r="E9909" s="73"/>
      <c r="F9909" s="74" t="s">
        <v>596</v>
      </c>
      <c r="G9909" s="427">
        <f>G9908*1.1</f>
        <v>1.98E-3</v>
      </c>
      <c r="H9909" s="164"/>
    </row>
    <row r="9910" spans="1:8" x14ac:dyDescent="0.25">
      <c r="A9910" s="163"/>
      <c r="B9910" s="106"/>
      <c r="C9910" s="73"/>
      <c r="D9910" s="75" t="s">
        <v>4553</v>
      </c>
      <c r="E9910" s="73"/>
      <c r="F9910" s="74"/>
      <c r="G9910" s="153"/>
      <c r="H9910" s="164"/>
    </row>
    <row r="9911" spans="1:8" x14ac:dyDescent="0.25">
      <c r="A9911" s="163"/>
      <c r="B9911" s="106"/>
      <c r="C9911" s="73"/>
      <c r="D9911" s="73" t="s">
        <v>4367</v>
      </c>
      <c r="E9911" s="73"/>
      <c r="F9911" s="74" t="s">
        <v>3</v>
      </c>
      <c r="G9911" s="153">
        <f>0.015*0.015*3*8*1.12</f>
        <v>6.0480000000000013E-3</v>
      </c>
      <c r="H9911" s="164"/>
    </row>
    <row r="9912" spans="1:8" x14ac:dyDescent="0.25">
      <c r="A9912" s="163"/>
      <c r="B9912" s="106"/>
      <c r="C9912" s="73"/>
      <c r="D9912" s="73"/>
      <c r="E9912" s="73"/>
      <c r="F9912" s="74"/>
      <c r="G9912" s="153"/>
      <c r="H9912" s="164"/>
    </row>
    <row r="9913" spans="1:8" x14ac:dyDescent="0.25">
      <c r="A9913" s="163"/>
      <c r="B9913" s="106"/>
      <c r="C9913" s="75" t="s">
        <v>4555</v>
      </c>
      <c r="D9913" s="73"/>
      <c r="E9913" s="73"/>
      <c r="F9913" s="74"/>
      <c r="G9913" s="153"/>
      <c r="H9913" s="164"/>
    </row>
    <row r="9914" spans="1:8" x14ac:dyDescent="0.25">
      <c r="A9914" s="163"/>
      <c r="B9914" s="106"/>
      <c r="C9914" s="73" t="s">
        <v>4556</v>
      </c>
      <c r="D9914" s="73"/>
      <c r="E9914" s="73"/>
      <c r="F9914" s="74" t="s">
        <v>3</v>
      </c>
      <c r="G9914" s="153">
        <f>0.105*0.07*3*8*1.135</f>
        <v>0.200214</v>
      </c>
      <c r="H9914" s="164"/>
    </row>
    <row r="9915" spans="1:8" x14ac:dyDescent="0.25">
      <c r="A9915" s="163"/>
      <c r="B9915" s="106"/>
      <c r="C9915" s="73"/>
      <c r="D9915" s="73"/>
      <c r="E9915" s="73"/>
      <c r="F9915" s="74"/>
      <c r="G9915" s="153"/>
      <c r="H9915" s="164"/>
    </row>
    <row r="9916" spans="1:8" x14ac:dyDescent="0.25">
      <c r="A9916" s="163"/>
      <c r="B9916" s="106"/>
      <c r="C9916" s="75" t="s">
        <v>4557</v>
      </c>
      <c r="D9916" s="73"/>
      <c r="E9916" s="73"/>
      <c r="F9916" s="74"/>
      <c r="G9916" s="153"/>
      <c r="H9916" s="164"/>
    </row>
    <row r="9917" spans="1:8" x14ac:dyDescent="0.25">
      <c r="A9917" s="163"/>
      <c r="B9917" s="106"/>
      <c r="C9917" s="73" t="s">
        <v>4558</v>
      </c>
      <c r="D9917" s="73"/>
      <c r="E9917" s="73"/>
      <c r="F9917" s="74" t="s">
        <v>3</v>
      </c>
      <c r="G9917" s="153">
        <f>0.13*0.035*3*8*1.1</f>
        <v>0.12012000000000002</v>
      </c>
      <c r="H9917" s="164"/>
    </row>
    <row r="9918" spans="1:8" x14ac:dyDescent="0.25">
      <c r="A9918" s="163"/>
      <c r="B9918" s="106"/>
      <c r="C9918" s="73"/>
      <c r="D9918" s="73"/>
      <c r="E9918" s="73"/>
      <c r="F9918" s="74"/>
      <c r="G9918" s="153"/>
      <c r="H9918" s="164"/>
    </row>
    <row r="9919" spans="1:8" x14ac:dyDescent="0.25">
      <c r="A9919" s="163"/>
      <c r="B9919" s="106"/>
      <c r="C9919" s="75" t="s">
        <v>4560</v>
      </c>
      <c r="D9919" s="73"/>
      <c r="E9919" s="73"/>
      <c r="F9919" s="74"/>
      <c r="G9919" s="153"/>
      <c r="H9919" s="164"/>
    </row>
    <row r="9920" spans="1:8" x14ac:dyDescent="0.25">
      <c r="A9920" s="163"/>
      <c r="B9920" s="106"/>
      <c r="C9920" s="73" t="s">
        <v>4561</v>
      </c>
      <c r="D9920" s="73"/>
      <c r="E9920" s="73"/>
      <c r="F9920" s="74" t="s">
        <v>195</v>
      </c>
      <c r="G9920" s="153">
        <v>6.5000000000000002E-2</v>
      </c>
      <c r="H9920" s="164"/>
    </row>
    <row r="9921" spans="1:8" x14ac:dyDescent="0.25">
      <c r="A9921" s="163"/>
      <c r="B9921" s="106"/>
      <c r="C9921" s="73"/>
      <c r="D9921" s="73"/>
      <c r="E9921" s="73"/>
      <c r="F9921" s="74"/>
      <c r="G9921" s="153"/>
      <c r="H9921" s="164"/>
    </row>
    <row r="9922" spans="1:8" x14ac:dyDescent="0.25">
      <c r="A9922" s="163"/>
      <c r="B9922" s="106"/>
      <c r="C9922" s="75" t="s">
        <v>4562</v>
      </c>
      <c r="D9922" s="73"/>
      <c r="E9922" s="73"/>
      <c r="F9922" s="74" t="s">
        <v>2180</v>
      </c>
      <c r="G9922" s="153"/>
      <c r="H9922" s="164"/>
    </row>
    <row r="9923" spans="1:8" x14ac:dyDescent="0.25">
      <c r="A9923" s="163"/>
      <c r="B9923" s="106"/>
      <c r="C9923" s="73" t="s">
        <v>4563</v>
      </c>
      <c r="D9923" s="73"/>
      <c r="E9923" s="73"/>
      <c r="F9923" s="74" t="s">
        <v>3</v>
      </c>
      <c r="G9923" s="153">
        <v>16</v>
      </c>
      <c r="H9923" s="164"/>
    </row>
    <row r="9924" spans="1:8" x14ac:dyDescent="0.25">
      <c r="A9924" s="163"/>
      <c r="B9924" s="106"/>
      <c r="C9924" s="73"/>
      <c r="D9924" s="75" t="s">
        <v>4564</v>
      </c>
      <c r="E9924" s="73"/>
      <c r="F9924" s="74"/>
      <c r="G9924" s="153"/>
      <c r="H9924" s="164"/>
    </row>
    <row r="9925" spans="1:8" x14ac:dyDescent="0.25">
      <c r="A9925" s="163"/>
      <c r="B9925" s="106"/>
      <c r="C9925" s="73"/>
      <c r="D9925" s="73" t="s">
        <v>4565</v>
      </c>
      <c r="E9925" s="73"/>
      <c r="F9925" s="74" t="s">
        <v>3</v>
      </c>
      <c r="G9925" s="153">
        <f>0.21*0.25*4*2.7*1.111</f>
        <v>0.62993700000000008</v>
      </c>
      <c r="H9925" s="164"/>
    </row>
    <row r="9926" spans="1:8" x14ac:dyDescent="0.25">
      <c r="A9926" s="163"/>
      <c r="B9926" s="106"/>
      <c r="C9926" s="73"/>
      <c r="D9926" s="77" t="s">
        <v>163</v>
      </c>
      <c r="E9926" s="77"/>
      <c r="F9926" s="152" t="s">
        <v>3</v>
      </c>
      <c r="G9926" s="427">
        <f>G9928*0.7</f>
        <v>2.4696000000000003E-2</v>
      </c>
      <c r="H9926" s="164"/>
    </row>
    <row r="9927" spans="1:8" x14ac:dyDescent="0.25">
      <c r="A9927" s="163"/>
      <c r="B9927" s="106"/>
      <c r="C9927" s="73"/>
      <c r="D9927" s="73" t="s">
        <v>164</v>
      </c>
      <c r="E9927" s="73"/>
      <c r="F9927" s="74" t="s">
        <v>3</v>
      </c>
      <c r="G9927" s="153">
        <f>0.3*G9926</f>
        <v>7.4088000000000001E-3</v>
      </c>
      <c r="H9927" s="164"/>
    </row>
    <row r="9928" spans="1:8" x14ac:dyDescent="0.25">
      <c r="A9928" s="163"/>
      <c r="B9928" s="106"/>
      <c r="C9928" s="73"/>
      <c r="D9928" s="73" t="s">
        <v>612</v>
      </c>
      <c r="E9928" s="73"/>
      <c r="F9928" s="74" t="s">
        <v>3</v>
      </c>
      <c r="G9928" s="153">
        <f>0.21*0.25*2*0.15*2*1.12</f>
        <v>3.5280000000000006E-2</v>
      </c>
      <c r="H9928" s="164"/>
    </row>
    <row r="9929" spans="1:8" x14ac:dyDescent="0.25">
      <c r="A9929" s="163"/>
      <c r="B9929" s="106"/>
      <c r="C9929" s="73"/>
      <c r="D9929" s="73" t="s">
        <v>12</v>
      </c>
      <c r="E9929" s="73"/>
      <c r="F9929" s="74" t="s">
        <v>3</v>
      </c>
      <c r="G9929" s="153">
        <f>0.3*G9928</f>
        <v>1.0584000000000001E-2</v>
      </c>
      <c r="H9929" s="164"/>
    </row>
    <row r="9930" spans="1:8" x14ac:dyDescent="0.25">
      <c r="A9930" s="163"/>
      <c r="B9930" s="106"/>
      <c r="C9930" s="73"/>
      <c r="D9930" s="73"/>
      <c r="E9930" s="73"/>
      <c r="F9930" s="74"/>
      <c r="G9930" s="153"/>
      <c r="H9930" s="164"/>
    </row>
    <row r="9931" spans="1:8" x14ac:dyDescent="0.25">
      <c r="A9931" s="163"/>
      <c r="B9931" s="106"/>
      <c r="C9931" s="75" t="s">
        <v>4567</v>
      </c>
      <c r="D9931" s="73"/>
      <c r="E9931" s="73"/>
      <c r="F9931" s="74" t="s">
        <v>2180</v>
      </c>
      <c r="G9931" s="153"/>
      <c r="H9931" s="164"/>
    </row>
    <row r="9932" spans="1:8" x14ac:dyDescent="0.25">
      <c r="A9932" s="163"/>
      <c r="B9932" s="106"/>
      <c r="C9932" s="73" t="s">
        <v>4568</v>
      </c>
      <c r="D9932" s="73"/>
      <c r="E9932" s="73"/>
      <c r="F9932" s="74" t="s">
        <v>1516</v>
      </c>
      <c r="G9932" s="153">
        <v>16</v>
      </c>
      <c r="H9932" s="164"/>
    </row>
    <row r="9933" spans="1:8" x14ac:dyDescent="0.25">
      <c r="A9933" s="163"/>
      <c r="B9933" s="106"/>
      <c r="C9933" s="73"/>
      <c r="D9933" s="73" t="s">
        <v>4569</v>
      </c>
      <c r="E9933" s="73"/>
      <c r="F9933" s="74"/>
      <c r="G9933" s="153"/>
      <c r="H9933" s="164"/>
    </row>
    <row r="9934" spans="1:8" x14ac:dyDescent="0.25">
      <c r="A9934" s="163"/>
      <c r="B9934" s="106"/>
      <c r="C9934" s="73"/>
      <c r="D9934" s="77" t="s">
        <v>1054</v>
      </c>
      <c r="E9934" s="73"/>
      <c r="F9934" s="152" t="s">
        <v>3</v>
      </c>
      <c r="G9934" s="427">
        <f>0.3*0.08*1.05</f>
        <v>2.52E-2</v>
      </c>
      <c r="H9934" s="164"/>
    </row>
    <row r="9935" spans="1:8" ht="17.25" x14ac:dyDescent="0.25">
      <c r="A9935" s="163"/>
      <c r="B9935" s="106"/>
      <c r="C9935" s="73"/>
      <c r="D9935" s="77" t="s">
        <v>1055</v>
      </c>
      <c r="E9935" s="73"/>
      <c r="F9935" s="74" t="s">
        <v>596</v>
      </c>
      <c r="G9935" s="427">
        <f>G9934*1.1</f>
        <v>2.7720000000000002E-2</v>
      </c>
      <c r="H9935" s="164"/>
    </row>
    <row r="9936" spans="1:8" x14ac:dyDescent="0.25">
      <c r="A9936" s="163"/>
      <c r="B9936" s="106"/>
      <c r="C9936" s="73"/>
      <c r="D9936" s="73" t="s">
        <v>8</v>
      </c>
      <c r="E9936" s="73"/>
      <c r="F9936" s="74" t="s">
        <v>3</v>
      </c>
      <c r="G9936" s="153">
        <f>G9937*0.75</f>
        <v>1.4628600000000005E-2</v>
      </c>
      <c r="H9936" s="164"/>
    </row>
    <row r="9937" spans="1:9" x14ac:dyDescent="0.25">
      <c r="A9937" s="163"/>
      <c r="B9937" s="106"/>
      <c r="C9937" s="73"/>
      <c r="D9937" s="73" t="s">
        <v>115</v>
      </c>
      <c r="E9937" s="73"/>
      <c r="F9937" s="74" t="s">
        <v>3</v>
      </c>
      <c r="G9937" s="153">
        <f>(0.142*0.14+0.14*0.03)*2*0.15*2*1.35</f>
        <v>1.9504800000000006E-2</v>
      </c>
      <c r="H9937" s="164"/>
    </row>
    <row r="9938" spans="1:9" x14ac:dyDescent="0.25">
      <c r="A9938" s="163"/>
      <c r="B9938" s="106"/>
      <c r="C9938" s="73"/>
      <c r="D9938" s="73" t="s">
        <v>12</v>
      </c>
      <c r="E9938" s="73"/>
      <c r="F9938" s="74" t="s">
        <v>3</v>
      </c>
      <c r="G9938" s="153">
        <f>0.3*(G9937+G9936)</f>
        <v>1.0240020000000002E-2</v>
      </c>
      <c r="H9938" s="164"/>
    </row>
    <row r="9939" spans="1:9" x14ac:dyDescent="0.25">
      <c r="A9939" s="163"/>
      <c r="B9939" s="106"/>
      <c r="C9939" s="73"/>
      <c r="D9939" s="73"/>
      <c r="E9939" s="75" t="s">
        <v>4570</v>
      </c>
      <c r="F9939" s="74"/>
      <c r="G9939" s="153"/>
      <c r="H9939" s="164"/>
    </row>
    <row r="9940" spans="1:9" x14ac:dyDescent="0.25">
      <c r="A9940" s="163"/>
      <c r="B9940" s="106"/>
      <c r="C9940" s="73"/>
      <c r="D9940" s="73"/>
      <c r="E9940" s="73" t="s">
        <v>4371</v>
      </c>
      <c r="F9940" s="74" t="s">
        <v>3</v>
      </c>
      <c r="G9940" s="153">
        <f>0.145*0.08*4*8*1.118</f>
        <v>0.41500160000000003</v>
      </c>
      <c r="H9940" s="164"/>
    </row>
    <row r="9941" spans="1:9" x14ac:dyDescent="0.25">
      <c r="A9941" s="163"/>
      <c r="B9941" s="106"/>
      <c r="C9941" s="73"/>
      <c r="D9941" s="73"/>
      <c r="E9941" s="75" t="s">
        <v>4571</v>
      </c>
      <c r="F9941" s="74"/>
      <c r="G9941" s="153"/>
      <c r="H9941" s="164"/>
    </row>
    <row r="9942" spans="1:9" x14ac:dyDescent="0.25">
      <c r="A9942" s="163"/>
      <c r="B9942" s="106"/>
      <c r="C9942" s="73"/>
      <c r="D9942" s="73"/>
      <c r="E9942" s="73" t="s">
        <v>4572</v>
      </c>
      <c r="F9942" s="74" t="s">
        <v>3</v>
      </c>
      <c r="G9942" s="153">
        <f>0.045*0.05*3*8*1.12</f>
        <v>6.0479999999999999E-2</v>
      </c>
      <c r="H9942" s="164"/>
    </row>
    <row r="9943" spans="1:9" x14ac:dyDescent="0.25">
      <c r="A9943" s="163"/>
      <c r="B9943" s="106"/>
      <c r="C9943" s="73"/>
      <c r="D9943" s="73"/>
      <c r="E9943" s="73"/>
      <c r="F9943" s="74"/>
      <c r="G9943" s="153"/>
      <c r="H9943" s="164"/>
    </row>
    <row r="9944" spans="1:9" x14ac:dyDescent="0.25">
      <c r="A9944" s="163"/>
      <c r="B9944" s="106"/>
      <c r="C9944" s="78" t="s">
        <v>4573</v>
      </c>
      <c r="D9944" s="73"/>
      <c r="E9944" s="73"/>
      <c r="F9944" s="74"/>
      <c r="G9944" s="153"/>
      <c r="H9944" s="164"/>
    </row>
    <row r="9945" spans="1:9" x14ac:dyDescent="0.25">
      <c r="A9945" s="163"/>
      <c r="B9945" s="106"/>
      <c r="C9945" s="100" t="s">
        <v>2169</v>
      </c>
      <c r="D9945" s="73"/>
      <c r="E9945" s="73"/>
      <c r="F9945" s="74" t="s">
        <v>3</v>
      </c>
      <c r="G9945" s="153">
        <v>0.66</v>
      </c>
      <c r="H9945" s="164"/>
      <c r="I9945" t="s">
        <v>4577</v>
      </c>
    </row>
    <row r="9946" spans="1:9" x14ac:dyDescent="0.25">
      <c r="A9946" s="163"/>
      <c r="B9946" s="106"/>
      <c r="C9946" s="73"/>
      <c r="D9946" s="73"/>
      <c r="E9946" s="73"/>
      <c r="F9946" s="74"/>
      <c r="G9946" s="153"/>
      <c r="H9946" s="164"/>
    </row>
    <row r="9947" spans="1:9" x14ac:dyDescent="0.25">
      <c r="A9947" s="163"/>
      <c r="B9947" s="106"/>
      <c r="C9947" s="78" t="s">
        <v>4574</v>
      </c>
      <c r="D9947" s="73"/>
      <c r="E9947" s="73"/>
      <c r="F9947" s="74"/>
      <c r="G9947" s="153"/>
      <c r="H9947" s="164"/>
    </row>
    <row r="9948" spans="1:9" x14ac:dyDescent="0.25">
      <c r="A9948" s="163"/>
      <c r="B9948" s="106"/>
      <c r="C9948" s="100" t="s">
        <v>2169</v>
      </c>
      <c r="D9948" s="73"/>
      <c r="E9948" s="73"/>
      <c r="F9948" s="74" t="s">
        <v>3</v>
      </c>
      <c r="G9948" s="153">
        <v>0.66</v>
      </c>
      <c r="H9948" s="164"/>
      <c r="I9948" t="s">
        <v>4577</v>
      </c>
    </row>
    <row r="9949" spans="1:9" x14ac:dyDescent="0.25">
      <c r="A9949" s="163"/>
      <c r="B9949" s="106"/>
      <c r="C9949" s="73"/>
      <c r="D9949" s="73"/>
      <c r="E9949" s="73"/>
      <c r="F9949" s="74"/>
      <c r="G9949" s="153"/>
      <c r="H9949" s="164"/>
    </row>
    <row r="9950" spans="1:9" x14ac:dyDescent="0.25">
      <c r="A9950" s="163"/>
      <c r="B9950" s="106"/>
      <c r="C9950" s="78" t="s">
        <v>4575</v>
      </c>
      <c r="D9950" s="73"/>
      <c r="E9950" s="73"/>
      <c r="F9950" s="74"/>
      <c r="G9950" s="153"/>
      <c r="H9950" s="164"/>
    </row>
    <row r="9951" spans="1:9" x14ac:dyDescent="0.25">
      <c r="A9951" s="163"/>
      <c r="B9951" s="106"/>
      <c r="C9951" s="100" t="s">
        <v>2169</v>
      </c>
      <c r="D9951" s="73"/>
      <c r="E9951" s="73"/>
      <c r="F9951" s="74" t="s">
        <v>3</v>
      </c>
      <c r="G9951" s="153">
        <v>0.66</v>
      </c>
      <c r="H9951" s="164"/>
      <c r="I9951" t="s">
        <v>4577</v>
      </c>
    </row>
    <row r="9952" spans="1:9" x14ac:dyDescent="0.25">
      <c r="A9952" s="163"/>
      <c r="B9952" s="106"/>
      <c r="C9952" s="73"/>
      <c r="D9952" s="73"/>
      <c r="E9952" s="73"/>
      <c r="F9952" s="74"/>
      <c r="G9952" s="153"/>
      <c r="H9952" s="164"/>
    </row>
    <row r="9953" spans="1:11" x14ac:dyDescent="0.25">
      <c r="A9953" s="163"/>
      <c r="B9953" s="106"/>
      <c r="C9953" s="78" t="s">
        <v>4576</v>
      </c>
      <c r="D9953" s="73"/>
      <c r="E9953" s="73"/>
      <c r="F9953" s="74"/>
      <c r="G9953" s="153"/>
      <c r="H9953" s="164"/>
    </row>
    <row r="9954" spans="1:11" x14ac:dyDescent="0.25">
      <c r="A9954" s="163"/>
      <c r="B9954" s="106"/>
      <c r="C9954" s="100" t="s">
        <v>2169</v>
      </c>
      <c r="D9954" s="73"/>
      <c r="E9954" s="73"/>
      <c r="F9954" s="74" t="s">
        <v>3</v>
      </c>
      <c r="G9954" s="153">
        <v>0.66</v>
      </c>
      <c r="H9954" s="164"/>
      <c r="I9954" t="s">
        <v>4577</v>
      </c>
    </row>
    <row r="9955" spans="1:11" x14ac:dyDescent="0.25">
      <c r="A9955" s="163"/>
      <c r="B9955" s="106"/>
      <c r="C9955" s="73"/>
      <c r="D9955" s="73"/>
      <c r="E9955" s="73"/>
      <c r="F9955" s="74"/>
      <c r="G9955" s="153"/>
      <c r="H9955" s="164"/>
    </row>
    <row r="9956" spans="1:11" x14ac:dyDescent="0.25">
      <c r="A9956" s="163"/>
      <c r="B9956" s="106"/>
      <c r="C9956" s="75" t="s">
        <v>4578</v>
      </c>
      <c r="D9956" s="73"/>
      <c r="E9956" s="73"/>
      <c r="F9956" s="74"/>
      <c r="G9956" s="153"/>
      <c r="H9956" s="164"/>
    </row>
    <row r="9957" spans="1:11" x14ac:dyDescent="0.25">
      <c r="A9957" s="163"/>
      <c r="B9957" s="106"/>
      <c r="C9957" s="100" t="s">
        <v>2169</v>
      </c>
      <c r="D9957" s="73"/>
      <c r="E9957" s="73"/>
      <c r="F9957" s="74" t="s">
        <v>3</v>
      </c>
      <c r="G9957" s="153">
        <v>0.66</v>
      </c>
      <c r="H9957" s="164"/>
      <c r="I9957" t="s">
        <v>4577</v>
      </c>
    </row>
    <row r="9958" spans="1:11" x14ac:dyDescent="0.25">
      <c r="A9958" s="163"/>
      <c r="B9958" s="106"/>
      <c r="C9958" s="73"/>
      <c r="D9958" s="73"/>
      <c r="E9958" s="73"/>
      <c r="F9958" s="74"/>
      <c r="G9958" s="153"/>
      <c r="H9958" s="164"/>
    </row>
    <row r="9959" spans="1:11" x14ac:dyDescent="0.25">
      <c r="A9959" s="163"/>
      <c r="B9959" s="106"/>
      <c r="C9959" s="75" t="s">
        <v>4579</v>
      </c>
      <c r="D9959" s="73"/>
      <c r="E9959" s="73"/>
      <c r="F9959" s="74"/>
      <c r="G9959" s="153"/>
      <c r="H9959" s="164"/>
    </row>
    <row r="9960" spans="1:11" x14ac:dyDescent="0.25">
      <c r="A9960" s="163"/>
      <c r="B9960" s="106"/>
      <c r="C9960" s="73" t="s">
        <v>4580</v>
      </c>
      <c r="D9960" s="73"/>
      <c r="E9960" s="73"/>
      <c r="F9960" s="74" t="s">
        <v>3</v>
      </c>
      <c r="G9960" s="153">
        <f>0.31*0.12*3*8*1.154</f>
        <v>1.0302911999999997</v>
      </c>
      <c r="H9960" s="164"/>
    </row>
    <row r="9961" spans="1:11" x14ac:dyDescent="0.25">
      <c r="A9961" s="163"/>
      <c r="B9961" s="106"/>
      <c r="C9961" s="73"/>
      <c r="D9961" s="73"/>
      <c r="E9961" s="73"/>
      <c r="F9961" s="74"/>
      <c r="G9961" s="153"/>
      <c r="H9961" s="164"/>
    </row>
    <row r="9962" spans="1:11" x14ac:dyDescent="0.25">
      <c r="A9962" s="163"/>
      <c r="B9962" s="106"/>
      <c r="C9962" s="75" t="s">
        <v>3654</v>
      </c>
      <c r="D9962" s="73"/>
      <c r="E9962" s="73"/>
      <c r="F9962" s="74"/>
      <c r="G9962" s="153"/>
      <c r="H9962" s="164"/>
    </row>
    <row r="9963" spans="1:11" x14ac:dyDescent="0.25">
      <c r="A9963" s="163"/>
      <c r="B9963" s="106"/>
      <c r="C9963" s="73" t="s">
        <v>4581</v>
      </c>
      <c r="D9963" s="73"/>
      <c r="E9963" s="73"/>
      <c r="F9963" s="74" t="s">
        <v>3</v>
      </c>
      <c r="G9963" s="153">
        <f>0.196*0.155</f>
        <v>3.0380000000000001E-2</v>
      </c>
      <c r="H9963" s="164"/>
      <c r="I9963" t="s">
        <v>4582</v>
      </c>
    </row>
    <row r="9964" spans="1:11" x14ac:dyDescent="0.25">
      <c r="A9964" s="460"/>
      <c r="B9964" s="461"/>
      <c r="C9964" s="462"/>
      <c r="D9964" s="462"/>
      <c r="E9964" s="462"/>
      <c r="F9964" s="463"/>
      <c r="G9964" s="464"/>
      <c r="H9964" s="465"/>
    </row>
    <row r="9965" spans="1:11" x14ac:dyDescent="0.25">
      <c r="A9965" s="163"/>
      <c r="B9965" s="106"/>
      <c r="C9965" s="73"/>
      <c r="D9965" s="73"/>
      <c r="E9965" s="73"/>
      <c r="F9965" s="74"/>
      <c r="G9965" s="153"/>
      <c r="H9965" s="164" t="s">
        <v>4583</v>
      </c>
    </row>
    <row r="9966" spans="1:11" x14ac:dyDescent="0.25">
      <c r="A9966" s="163"/>
      <c r="B9966" s="106"/>
      <c r="C9966" s="75" t="s">
        <v>4619</v>
      </c>
      <c r="D9966" s="73"/>
      <c r="E9966" s="73"/>
      <c r="F9966" s="74"/>
      <c r="G9966" s="153"/>
      <c r="H9966" s="391"/>
      <c r="K9966" s="476"/>
    </row>
    <row r="9967" spans="1:11" x14ac:dyDescent="0.25">
      <c r="A9967" s="163"/>
      <c r="B9967" s="106"/>
      <c r="C9967" s="73" t="s">
        <v>4580</v>
      </c>
      <c r="D9967" s="73"/>
      <c r="E9967" s="73"/>
      <c r="F9967" s="74" t="s">
        <v>3</v>
      </c>
      <c r="G9967" s="153">
        <f>0.125*0.009*3*8*1.12</f>
        <v>3.024E-2</v>
      </c>
      <c r="H9967" s="164"/>
      <c r="K9967" s="476"/>
    </row>
    <row r="9968" spans="1:11" x14ac:dyDescent="0.25">
      <c r="A9968" s="163"/>
      <c r="B9968" s="106"/>
      <c r="C9968" s="73"/>
      <c r="D9968" s="73"/>
      <c r="E9968" s="73"/>
      <c r="F9968" s="74"/>
      <c r="G9968" s="153"/>
      <c r="H9968" s="164"/>
      <c r="K9968" s="477"/>
    </row>
    <row r="9969" spans="1:11" x14ac:dyDescent="0.25">
      <c r="A9969" s="163"/>
      <c r="B9969" s="106"/>
      <c r="C9969" s="75" t="s">
        <v>4584</v>
      </c>
      <c r="D9969" s="73"/>
      <c r="E9969" s="73"/>
      <c r="F9969" s="74"/>
      <c r="G9969" s="153"/>
      <c r="H9969" s="164"/>
    </row>
    <row r="9970" spans="1:11" x14ac:dyDescent="0.25">
      <c r="A9970" s="163"/>
      <c r="B9970" s="106"/>
      <c r="C9970" s="100" t="s">
        <v>140</v>
      </c>
      <c r="D9970" s="75"/>
      <c r="E9970" s="73"/>
      <c r="F9970" s="74" t="s">
        <v>3</v>
      </c>
      <c r="G9970" s="153">
        <f>0.006*3.14*2*0.08*1.2</f>
        <v>3.6172800000000005E-3</v>
      </c>
      <c r="H9970" s="164"/>
    </row>
    <row r="9971" spans="1:11" ht="17.25" x14ac:dyDescent="0.25">
      <c r="A9971" s="163"/>
      <c r="B9971" s="106"/>
      <c r="C9971" s="100" t="s">
        <v>23</v>
      </c>
      <c r="D9971" s="75"/>
      <c r="E9971" s="73"/>
      <c r="F9971" s="74" t="s">
        <v>596</v>
      </c>
      <c r="G9971" s="153">
        <f>G9970*2</f>
        <v>7.234560000000001E-3</v>
      </c>
      <c r="H9971" s="164"/>
    </row>
    <row r="9972" spans="1:11" x14ac:dyDescent="0.25">
      <c r="A9972" s="163"/>
      <c r="B9972" s="106"/>
      <c r="C9972" s="100" t="s">
        <v>142</v>
      </c>
      <c r="D9972" s="75"/>
      <c r="E9972" s="73"/>
      <c r="F9972" s="74" t="s">
        <v>3</v>
      </c>
      <c r="G9972" s="153">
        <f>G9970/4</f>
        <v>9.0432000000000012E-4</v>
      </c>
      <c r="H9972" s="164"/>
    </row>
    <row r="9973" spans="1:11" x14ac:dyDescent="0.25">
      <c r="A9973" s="163"/>
      <c r="B9973" s="106"/>
      <c r="C9973" s="186" t="s">
        <v>671</v>
      </c>
      <c r="D9973" s="75"/>
      <c r="E9973" s="73"/>
      <c r="F9973" s="74" t="s">
        <v>3</v>
      </c>
      <c r="G9973" s="153">
        <v>7.0000000000000001E-3</v>
      </c>
      <c r="H9973" s="164"/>
    </row>
    <row r="9974" spans="1:11" x14ac:dyDescent="0.25">
      <c r="A9974" s="163"/>
      <c r="B9974" s="106"/>
      <c r="C9974" s="186" t="s">
        <v>672</v>
      </c>
      <c r="D9974" s="75"/>
      <c r="E9974" s="73"/>
      <c r="F9974" s="74" t="s">
        <v>3</v>
      </c>
      <c r="G9974" s="153">
        <v>1.4999999999999999E-2</v>
      </c>
      <c r="H9974" s="164"/>
    </row>
    <row r="9975" spans="1:11" x14ac:dyDescent="0.25">
      <c r="A9975" s="163"/>
      <c r="B9975" s="106"/>
      <c r="C9975" s="186" t="s">
        <v>8</v>
      </c>
      <c r="D9975" s="73"/>
      <c r="E9975" s="73"/>
      <c r="F9975" s="74" t="s">
        <v>3</v>
      </c>
      <c r="G9975" s="153">
        <f>G9976*0.6</f>
        <v>1.6829999999999998E-2</v>
      </c>
      <c r="H9975" s="164"/>
    </row>
    <row r="9976" spans="1:11" x14ac:dyDescent="0.25">
      <c r="A9976" s="163"/>
      <c r="B9976" s="106"/>
      <c r="C9976" s="186" t="s">
        <v>152</v>
      </c>
      <c r="D9976" s="73"/>
      <c r="E9976" s="73"/>
      <c r="F9976" s="74" t="s">
        <v>3</v>
      </c>
      <c r="G9976" s="153">
        <f>1.02*0.011*2*1.25</f>
        <v>2.8049999999999999E-2</v>
      </c>
      <c r="H9976" s="164"/>
    </row>
    <row r="9977" spans="1:11" x14ac:dyDescent="0.25">
      <c r="A9977" s="163"/>
      <c r="B9977" s="106"/>
      <c r="C9977" s="186" t="s">
        <v>143</v>
      </c>
      <c r="D9977" s="73"/>
      <c r="E9977" s="73"/>
      <c r="F9977" s="74" t="s">
        <v>3</v>
      </c>
      <c r="G9977" s="153">
        <f>G9975</f>
        <v>1.6829999999999998E-2</v>
      </c>
      <c r="H9977" s="164"/>
    </row>
    <row r="9978" spans="1:11" x14ac:dyDescent="0.25">
      <c r="A9978" s="163"/>
      <c r="B9978" s="106"/>
      <c r="C9978" s="186" t="s">
        <v>12</v>
      </c>
      <c r="D9978" s="73"/>
      <c r="E9978" s="73"/>
      <c r="F9978" s="74" t="s">
        <v>3</v>
      </c>
      <c r="G9978" s="153">
        <f>0.3*(G9977+G9976+G9975)</f>
        <v>1.8512999999999998E-2</v>
      </c>
      <c r="H9978" s="164"/>
    </row>
    <row r="9979" spans="1:11" x14ac:dyDescent="0.25">
      <c r="A9979" s="163"/>
      <c r="B9979" s="106"/>
      <c r="C9979" s="186" t="s">
        <v>4586</v>
      </c>
      <c r="D9979" s="73"/>
      <c r="E9979" s="73"/>
      <c r="F9979" s="74" t="s">
        <v>195</v>
      </c>
      <c r="G9979" s="153">
        <v>0.22</v>
      </c>
      <c r="H9979" s="164"/>
      <c r="K9979" s="475"/>
    </row>
    <row r="9980" spans="1:11" x14ac:dyDescent="0.25">
      <c r="A9980" s="163"/>
      <c r="B9980" s="106"/>
      <c r="C9980" s="186" t="s">
        <v>1658</v>
      </c>
      <c r="D9980" s="73"/>
      <c r="E9980" s="73"/>
      <c r="F9980" s="74" t="s">
        <v>3</v>
      </c>
      <c r="G9980" s="153">
        <v>1E-3</v>
      </c>
      <c r="H9980" s="164"/>
      <c r="K9980" s="475"/>
    </row>
    <row r="9981" spans="1:11" x14ac:dyDescent="0.25">
      <c r="A9981" s="163"/>
      <c r="B9981" s="106"/>
      <c r="C9981" s="73"/>
      <c r="D9981" s="75" t="s">
        <v>4585</v>
      </c>
      <c r="E9981" s="73"/>
      <c r="F9981" s="74"/>
      <c r="G9981" s="153"/>
      <c r="H9981" s="164"/>
    </row>
    <row r="9982" spans="1:11" x14ac:dyDescent="0.25">
      <c r="A9982" s="163"/>
      <c r="B9982" s="106"/>
      <c r="C9982" s="73"/>
      <c r="D9982" s="73" t="s">
        <v>3656</v>
      </c>
      <c r="E9982" s="73"/>
      <c r="F9982" s="74" t="s">
        <v>3</v>
      </c>
      <c r="G9982" s="153">
        <f>0.123*1.05+0.001</f>
        <v>0.13015000000000002</v>
      </c>
      <c r="H9982" s="164"/>
    </row>
    <row r="9983" spans="1:11" x14ac:dyDescent="0.25">
      <c r="A9983" s="163"/>
      <c r="B9983" s="106"/>
      <c r="C9983" s="73"/>
      <c r="D9983" s="73"/>
      <c r="E9983" s="73"/>
      <c r="F9983" s="74"/>
      <c r="G9983" s="153"/>
      <c r="H9983" s="164"/>
    </row>
    <row r="9984" spans="1:11" x14ac:dyDescent="0.25">
      <c r="A9984" s="163"/>
      <c r="B9984" s="106"/>
      <c r="C9984" s="75" t="s">
        <v>4587</v>
      </c>
      <c r="D9984" s="73"/>
      <c r="E9984" s="73"/>
      <c r="F9984" s="74"/>
      <c r="G9984" s="153"/>
      <c r="H9984" s="164"/>
    </row>
    <row r="9985" spans="1:11" x14ac:dyDescent="0.25">
      <c r="A9985" s="163"/>
      <c r="B9985" s="106"/>
      <c r="C9985" s="73" t="s">
        <v>3731</v>
      </c>
      <c r="D9985" s="73"/>
      <c r="E9985" s="73"/>
      <c r="F9985" s="74" t="s">
        <v>3</v>
      </c>
      <c r="G9985" s="153">
        <f>0.419*0.31</f>
        <v>0.12989000000000001</v>
      </c>
      <c r="H9985" s="164"/>
      <c r="I9985" t="s">
        <v>3359</v>
      </c>
    </row>
    <row r="9986" spans="1:11" x14ac:dyDescent="0.25">
      <c r="A9986" s="163"/>
      <c r="B9986" s="106"/>
      <c r="C9986" s="73"/>
      <c r="D9986" s="73"/>
      <c r="E9986" s="73"/>
      <c r="F9986" s="74"/>
      <c r="G9986" s="153"/>
      <c r="H9986" s="164"/>
    </row>
    <row r="9987" spans="1:11" x14ac:dyDescent="0.25">
      <c r="A9987" s="163"/>
      <c r="B9987" s="106"/>
      <c r="C9987" s="75" t="s">
        <v>4589</v>
      </c>
      <c r="D9987" s="73"/>
      <c r="E9987" s="73"/>
      <c r="F9987" s="74"/>
      <c r="G9987" s="153"/>
      <c r="H9987" s="164"/>
    </row>
    <row r="9988" spans="1:11" x14ac:dyDescent="0.25">
      <c r="A9988" s="163"/>
      <c r="B9988" s="106"/>
      <c r="C9988" s="73" t="s">
        <v>595</v>
      </c>
      <c r="D9988" s="100"/>
      <c r="E9988" s="100"/>
      <c r="F9988" s="74" t="s">
        <v>3</v>
      </c>
      <c r="G9988" s="427">
        <f>0.06*6*0.05*1.2</f>
        <v>2.1599999999999998E-2</v>
      </c>
      <c r="H9988" s="164"/>
    </row>
    <row r="9989" spans="1:11" ht="17.25" x14ac:dyDescent="0.25">
      <c r="A9989" s="163"/>
      <c r="B9989" s="106"/>
      <c r="C9989" s="73" t="s">
        <v>168</v>
      </c>
      <c r="D9989" s="100"/>
      <c r="E9989" s="100"/>
      <c r="F9989" s="74" t="s">
        <v>596</v>
      </c>
      <c r="G9989" s="153">
        <f>1.08*G9988</f>
        <v>2.3327999999999998E-2</v>
      </c>
      <c r="H9989" s="164"/>
    </row>
    <row r="9990" spans="1:11" x14ac:dyDescent="0.25">
      <c r="A9990" s="163"/>
      <c r="B9990" s="106"/>
      <c r="C9990" s="73"/>
      <c r="D9990" s="75" t="s">
        <v>4590</v>
      </c>
      <c r="E9990" s="73"/>
      <c r="F9990" s="74"/>
      <c r="G9990" s="153"/>
      <c r="H9990" s="164"/>
    </row>
    <row r="9991" spans="1:11" x14ac:dyDescent="0.25">
      <c r="A9991" s="163"/>
      <c r="B9991" s="106"/>
      <c r="C9991" s="73"/>
      <c r="D9991" s="73" t="s">
        <v>4346</v>
      </c>
      <c r="E9991" s="73"/>
      <c r="F9991" s="74" t="s">
        <v>3</v>
      </c>
      <c r="G9991" s="153">
        <f>0.91*0.68*3*2.7*1.1272</f>
        <v>5.6498420160000009</v>
      </c>
      <c r="H9991" s="164"/>
    </row>
    <row r="9992" spans="1:11" x14ac:dyDescent="0.25">
      <c r="A9992" s="163"/>
      <c r="B9992" s="106"/>
      <c r="C9992" s="73"/>
      <c r="D9992" s="73" t="s">
        <v>4591</v>
      </c>
      <c r="E9992" s="73"/>
      <c r="F9992" s="74"/>
      <c r="G9992" s="153"/>
      <c r="H9992" s="164"/>
    </row>
    <row r="9993" spans="1:11" x14ac:dyDescent="0.25">
      <c r="A9993" s="163"/>
      <c r="B9993" s="106"/>
      <c r="C9993" s="73"/>
      <c r="D9993" s="73" t="s">
        <v>4346</v>
      </c>
      <c r="E9993" s="73"/>
      <c r="F9993" s="74" t="s">
        <v>3</v>
      </c>
      <c r="G9993" s="153">
        <f>0.06*0.072*3*2.7*1.13</f>
        <v>3.9540959999999993E-2</v>
      </c>
      <c r="H9993" s="164"/>
    </row>
    <row r="9994" spans="1:11" x14ac:dyDescent="0.25">
      <c r="A9994" s="163"/>
      <c r="B9994" s="106"/>
      <c r="C9994" s="73"/>
      <c r="D9994" s="73"/>
      <c r="E9994" s="73"/>
      <c r="F9994" s="74"/>
      <c r="G9994" s="153"/>
      <c r="H9994" s="164"/>
    </row>
    <row r="9995" spans="1:11" x14ac:dyDescent="0.25">
      <c r="A9995" s="163"/>
      <c r="B9995" s="106"/>
      <c r="C9995" s="75" t="s">
        <v>4592</v>
      </c>
      <c r="D9995" s="73"/>
      <c r="E9995" s="73"/>
      <c r="F9995" s="74"/>
      <c r="G9995" s="153"/>
      <c r="H9995" s="164"/>
    </row>
    <row r="9996" spans="1:11" x14ac:dyDescent="0.25">
      <c r="A9996" s="163"/>
      <c r="B9996" s="106"/>
      <c r="C9996" s="100" t="s">
        <v>140</v>
      </c>
      <c r="D9996" s="75"/>
      <c r="E9996" s="73"/>
      <c r="F9996" s="74" t="s">
        <v>3</v>
      </c>
      <c r="G9996" s="153">
        <v>0.1</v>
      </c>
      <c r="H9996" s="164"/>
      <c r="I9996" s="2">
        <v>1.7999999999999999E-2</v>
      </c>
    </row>
    <row r="9997" spans="1:11" ht="17.25" x14ac:dyDescent="0.25">
      <c r="A9997" s="163"/>
      <c r="B9997" s="106"/>
      <c r="C9997" s="100" t="s">
        <v>23</v>
      </c>
      <c r="D9997" s="75"/>
      <c r="E9997" s="73"/>
      <c r="F9997" s="74" t="s">
        <v>596</v>
      </c>
      <c r="G9997" s="153">
        <f>G9996*2</f>
        <v>0.2</v>
      </c>
      <c r="H9997" s="164"/>
      <c r="I9997">
        <v>1.2E-2</v>
      </c>
      <c r="K9997" s="476"/>
    </row>
    <row r="9998" spans="1:11" x14ac:dyDescent="0.25">
      <c r="A9998" s="163"/>
      <c r="B9998" s="106"/>
      <c r="C9998" s="100" t="s">
        <v>142</v>
      </c>
      <c r="D9998" s="75"/>
      <c r="E9998" s="73"/>
      <c r="F9998" s="74" t="s">
        <v>3</v>
      </c>
      <c r="G9998" s="153">
        <f>G9996/4</f>
        <v>2.5000000000000001E-2</v>
      </c>
      <c r="H9998" s="164"/>
      <c r="I9998">
        <v>2.1999999999999999E-2</v>
      </c>
      <c r="K9998" s="476"/>
    </row>
    <row r="9999" spans="1:11" x14ac:dyDescent="0.25">
      <c r="A9999" s="163"/>
      <c r="B9999" s="106"/>
      <c r="C9999" s="73"/>
      <c r="D9999" s="75" t="s">
        <v>4593</v>
      </c>
      <c r="E9999" s="73"/>
      <c r="F9999" s="74"/>
      <c r="G9999" s="153"/>
      <c r="H9999" s="164"/>
      <c r="I9999" s="2">
        <f>SUM(I9996:I9998)</f>
        <v>5.1999999999999998E-2</v>
      </c>
      <c r="K9999" s="476"/>
    </row>
    <row r="10000" spans="1:11" x14ac:dyDescent="0.25">
      <c r="A10000" s="163"/>
      <c r="B10000" s="106"/>
      <c r="C10000" s="73"/>
      <c r="D10000" s="77" t="s">
        <v>1054</v>
      </c>
      <c r="E10000" s="73"/>
      <c r="F10000" s="152" t="s">
        <v>3</v>
      </c>
      <c r="G10000" s="427">
        <f>0.27*0.08*1.15</f>
        <v>2.4840000000000001E-2</v>
      </c>
      <c r="H10000" s="164"/>
      <c r="K10000" s="476"/>
    </row>
    <row r="10001" spans="1:11" ht="17.25" x14ac:dyDescent="0.25">
      <c r="A10001" s="163"/>
      <c r="B10001" s="106"/>
      <c r="C10001" s="73"/>
      <c r="D10001" s="77" t="s">
        <v>1055</v>
      </c>
      <c r="E10001" s="73"/>
      <c r="F10001" s="74" t="s">
        <v>596</v>
      </c>
      <c r="G10001" s="427">
        <f>G10000*1.1</f>
        <v>2.7324000000000005E-2</v>
      </c>
      <c r="H10001" s="164"/>
      <c r="K10001" s="476"/>
    </row>
    <row r="10002" spans="1:11" x14ac:dyDescent="0.25">
      <c r="A10002" s="163"/>
      <c r="B10002" s="106"/>
      <c r="C10002" s="73"/>
      <c r="D10002" s="73"/>
      <c r="E10002" s="75" t="s">
        <v>4594</v>
      </c>
      <c r="F10002" s="74"/>
      <c r="G10002" s="153"/>
      <c r="H10002" s="164"/>
      <c r="K10002" s="476"/>
    </row>
    <row r="10003" spans="1:11" x14ac:dyDescent="0.25">
      <c r="A10003" s="163"/>
      <c r="B10003" s="106"/>
      <c r="C10003" s="73"/>
      <c r="D10003" s="73"/>
      <c r="E10003" s="73" t="s">
        <v>4596</v>
      </c>
      <c r="F10003" s="74" t="s">
        <v>3</v>
      </c>
      <c r="G10003" s="153">
        <f>0.39*0.06*2*8*1.122</f>
        <v>0.42007680000000003</v>
      </c>
      <c r="H10003" s="164"/>
      <c r="K10003" s="476"/>
    </row>
    <row r="10004" spans="1:11" x14ac:dyDescent="0.25">
      <c r="A10004" s="163"/>
      <c r="B10004" s="106"/>
      <c r="C10004" s="73"/>
      <c r="D10004" s="73"/>
      <c r="E10004" s="75" t="s">
        <v>4595</v>
      </c>
      <c r="F10004" s="74"/>
      <c r="G10004" s="153"/>
      <c r="H10004" s="164"/>
      <c r="K10004" s="476"/>
    </row>
    <row r="10005" spans="1:11" x14ac:dyDescent="0.25">
      <c r="A10005" s="163"/>
      <c r="B10005" s="106"/>
      <c r="C10005" s="73"/>
      <c r="D10005" s="73"/>
      <c r="E10005" s="73" t="s">
        <v>4596</v>
      </c>
      <c r="F10005" s="74" t="s">
        <v>3</v>
      </c>
      <c r="G10005" s="153">
        <f>0.14*0.055*2*8*1.135</f>
        <v>0.13983200000000001</v>
      </c>
      <c r="H10005" s="164"/>
      <c r="K10005" s="476"/>
    </row>
    <row r="10006" spans="1:11" x14ac:dyDescent="0.25">
      <c r="A10006" s="163"/>
      <c r="B10006" s="106"/>
      <c r="C10006" s="73"/>
      <c r="D10006" s="75" t="s">
        <v>4597</v>
      </c>
      <c r="E10006" s="73"/>
      <c r="F10006" s="74"/>
      <c r="G10006" s="153"/>
      <c r="H10006" s="164"/>
      <c r="K10006" s="476"/>
    </row>
    <row r="10007" spans="1:11" x14ac:dyDescent="0.25">
      <c r="A10007" s="163"/>
      <c r="B10007" s="106"/>
      <c r="C10007" s="73"/>
      <c r="D10007" s="100" t="s">
        <v>140</v>
      </c>
      <c r="E10007" s="73"/>
      <c r="F10007" s="74" t="s">
        <v>3</v>
      </c>
      <c r="G10007" s="153">
        <f>(0.042*3.14+0.018*3.14)*0.08*1.2</f>
        <v>1.8086400000000002E-2</v>
      </c>
      <c r="H10007" s="164"/>
      <c r="K10007" s="476"/>
    </row>
    <row r="10008" spans="1:11" ht="17.25" x14ac:dyDescent="0.25">
      <c r="A10008" s="163"/>
      <c r="B10008" s="106"/>
      <c r="C10008" s="73"/>
      <c r="D10008" s="100" t="s">
        <v>23</v>
      </c>
      <c r="E10008" s="73"/>
      <c r="F10008" s="74" t="s">
        <v>596</v>
      </c>
      <c r="G10008" s="153">
        <f>G10007*2</f>
        <v>3.6172800000000005E-2</v>
      </c>
      <c r="H10008" s="164"/>
      <c r="K10008" s="476"/>
    </row>
    <row r="10009" spans="1:11" x14ac:dyDescent="0.25">
      <c r="A10009" s="163"/>
      <c r="B10009" s="106"/>
      <c r="C10009" s="73"/>
      <c r="D10009" s="100" t="s">
        <v>142</v>
      </c>
      <c r="E10009" s="73"/>
      <c r="F10009" s="74" t="s">
        <v>3</v>
      </c>
      <c r="G10009" s="153">
        <f>G10007/4</f>
        <v>4.5216000000000006E-3</v>
      </c>
      <c r="H10009" s="164"/>
      <c r="K10009" s="476"/>
    </row>
    <row r="10010" spans="1:11" x14ac:dyDescent="0.25">
      <c r="A10010" s="163"/>
      <c r="B10010" s="106"/>
      <c r="C10010" s="73"/>
      <c r="D10010" s="73"/>
      <c r="E10010" s="75" t="s">
        <v>4598</v>
      </c>
      <c r="F10010" s="74"/>
      <c r="G10010" s="153"/>
      <c r="H10010" s="164"/>
      <c r="K10010" s="476"/>
    </row>
    <row r="10011" spans="1:11" x14ac:dyDescent="0.25">
      <c r="A10011" s="163"/>
      <c r="B10011" s="106"/>
      <c r="C10011" s="73"/>
      <c r="D10011" s="73"/>
      <c r="E10011" s="77" t="s">
        <v>1054</v>
      </c>
      <c r="F10011" s="152" t="s">
        <v>3</v>
      </c>
      <c r="G10011" s="427">
        <f>0.016*3.14*0.08*1.1</f>
        <v>4.4211199999999997E-3</v>
      </c>
      <c r="H10011" s="80"/>
      <c r="K10011" s="476"/>
    </row>
    <row r="10012" spans="1:11" ht="17.25" x14ac:dyDescent="0.25">
      <c r="A10012" s="163"/>
      <c r="B10012" s="106"/>
      <c r="C10012" s="73"/>
      <c r="D10012" s="73"/>
      <c r="E10012" s="77" t="s">
        <v>1055</v>
      </c>
      <c r="F10012" s="74" t="s">
        <v>596</v>
      </c>
      <c r="G10012" s="427">
        <f>G10011*1.1</f>
        <v>4.8632320000000003E-3</v>
      </c>
      <c r="H10012" s="80"/>
      <c r="K10012" s="476"/>
    </row>
    <row r="10013" spans="1:11" x14ac:dyDescent="0.25">
      <c r="A10013" s="163"/>
      <c r="B10013" s="106"/>
      <c r="C10013" s="73"/>
      <c r="D10013" s="73"/>
      <c r="E10013" s="78" t="s">
        <v>4599</v>
      </c>
      <c r="F10013" s="74"/>
      <c r="G10013" s="153"/>
      <c r="H10013" s="164"/>
      <c r="K10013" s="476"/>
    </row>
    <row r="10014" spans="1:11" x14ac:dyDescent="0.25">
      <c r="A10014" s="163"/>
      <c r="B10014" s="106"/>
      <c r="C10014" s="73"/>
      <c r="D10014" s="73"/>
      <c r="E10014" s="77" t="s">
        <v>4600</v>
      </c>
      <c r="F10014" s="74" t="s">
        <v>3</v>
      </c>
      <c r="G10014" s="153">
        <f>0.37*0.075</f>
        <v>2.775E-2</v>
      </c>
      <c r="H10014" s="164"/>
      <c r="I10014" t="s">
        <v>4602</v>
      </c>
      <c r="K10014" s="476"/>
    </row>
    <row r="10015" spans="1:11" x14ac:dyDescent="0.25">
      <c r="A10015" s="163"/>
      <c r="B10015" s="106"/>
      <c r="C10015" s="73"/>
      <c r="D10015" s="73"/>
      <c r="E10015" s="78" t="s">
        <v>4601</v>
      </c>
      <c r="F10015" s="74"/>
      <c r="G10015" s="153"/>
      <c r="H10015" s="164"/>
      <c r="K10015" s="476"/>
    </row>
    <row r="10016" spans="1:11" x14ac:dyDescent="0.25">
      <c r="A10016" s="163"/>
      <c r="B10016" s="106"/>
      <c r="C10016" s="73"/>
      <c r="D10016" s="73"/>
      <c r="E10016" s="77" t="s">
        <v>4600</v>
      </c>
      <c r="F10016" s="74" t="s">
        <v>3</v>
      </c>
      <c r="G10016" s="153">
        <f>0.37*0.06</f>
        <v>2.2199999999999998E-2</v>
      </c>
      <c r="H10016" s="164"/>
      <c r="I10016" t="s">
        <v>1313</v>
      </c>
      <c r="K10016" s="476"/>
    </row>
    <row r="10017" spans="1:11" x14ac:dyDescent="0.25">
      <c r="A10017" s="163"/>
      <c r="B10017" s="106"/>
      <c r="C10017" s="73"/>
      <c r="D10017" s="73"/>
      <c r="E10017" s="75" t="s">
        <v>4603</v>
      </c>
      <c r="F10017" s="74"/>
      <c r="G10017" s="153"/>
      <c r="H10017" s="164"/>
      <c r="K10017" s="476"/>
    </row>
    <row r="10018" spans="1:11" x14ac:dyDescent="0.25">
      <c r="A10018" s="163"/>
      <c r="B10018" s="106"/>
      <c r="C10018" s="73"/>
      <c r="D10018" s="73"/>
      <c r="E10018" s="77" t="s">
        <v>4604</v>
      </c>
      <c r="F10018" s="74" t="s">
        <v>3</v>
      </c>
      <c r="G10018" s="153">
        <f>1.01*0.1-0.001</f>
        <v>0.1</v>
      </c>
      <c r="H10018" s="164"/>
      <c r="I10018" t="s">
        <v>4605</v>
      </c>
      <c r="K10018" s="476"/>
    </row>
    <row r="10019" spans="1:11" x14ac:dyDescent="0.25">
      <c r="A10019" s="163"/>
      <c r="B10019" s="106"/>
      <c r="C10019" s="73"/>
      <c r="D10019" s="75" t="s">
        <v>4606</v>
      </c>
      <c r="E10019" s="73"/>
      <c r="F10019" s="74"/>
      <c r="G10019" s="153"/>
      <c r="H10019" s="164"/>
      <c r="K10019" s="476"/>
    </row>
    <row r="10020" spans="1:11" x14ac:dyDescent="0.25">
      <c r="A10020" s="163"/>
      <c r="B10020" s="106"/>
      <c r="C10020" s="73"/>
      <c r="D10020" s="100" t="s">
        <v>140</v>
      </c>
      <c r="E10020" s="73"/>
      <c r="F10020" s="74" t="s">
        <v>3</v>
      </c>
      <c r="G10020" s="153">
        <f>(0.025*3.14+0.03*3.14/2)*0.08*1.15</f>
        <v>1.15552E-2</v>
      </c>
      <c r="H10020" s="164"/>
      <c r="K10020" s="476"/>
    </row>
    <row r="10021" spans="1:11" ht="17.25" x14ac:dyDescent="0.25">
      <c r="A10021" s="163"/>
      <c r="B10021" s="106"/>
      <c r="C10021" s="73"/>
      <c r="D10021" s="100" t="s">
        <v>23</v>
      </c>
      <c r="E10021" s="73"/>
      <c r="F10021" s="74" t="s">
        <v>596</v>
      </c>
      <c r="G10021" s="153">
        <f>G10020*2</f>
        <v>2.31104E-2</v>
      </c>
      <c r="H10021" s="164"/>
      <c r="K10021" s="476"/>
    </row>
    <row r="10022" spans="1:11" x14ac:dyDescent="0.25">
      <c r="A10022" s="163"/>
      <c r="B10022" s="106"/>
      <c r="C10022" s="73"/>
      <c r="D10022" s="100" t="s">
        <v>142</v>
      </c>
      <c r="E10022" s="73"/>
      <c r="F10022" s="74" t="s">
        <v>3</v>
      </c>
      <c r="G10022" s="153">
        <f>G10020/4</f>
        <v>2.8888E-3</v>
      </c>
      <c r="H10022" s="164"/>
      <c r="K10022" s="476"/>
    </row>
    <row r="10023" spans="1:11" x14ac:dyDescent="0.25">
      <c r="A10023" s="163"/>
      <c r="B10023" s="106"/>
      <c r="C10023" s="73"/>
      <c r="D10023" s="73"/>
      <c r="E10023" s="75" t="s">
        <v>4607</v>
      </c>
      <c r="F10023" s="74"/>
      <c r="G10023" s="153"/>
      <c r="H10023" s="164"/>
      <c r="K10023" s="476"/>
    </row>
    <row r="10024" spans="1:11" x14ac:dyDescent="0.25">
      <c r="A10024" s="163"/>
      <c r="B10024" s="106"/>
      <c r="C10024" s="73"/>
      <c r="D10024" s="73"/>
      <c r="E10024" s="73" t="s">
        <v>4608</v>
      </c>
      <c r="F10024" s="74" t="s">
        <v>3</v>
      </c>
      <c r="G10024" s="153">
        <f>1.198*0.11-0.002</f>
        <v>0.12978000000000001</v>
      </c>
      <c r="H10024" s="164"/>
      <c r="I10024" t="s">
        <v>4609</v>
      </c>
      <c r="K10024" s="476"/>
    </row>
    <row r="10025" spans="1:11" x14ac:dyDescent="0.25">
      <c r="A10025" s="163"/>
      <c r="B10025" s="106"/>
      <c r="C10025" s="73"/>
      <c r="D10025" s="73"/>
      <c r="E10025" s="75" t="s">
        <v>4610</v>
      </c>
      <c r="F10025" s="74"/>
      <c r="G10025" s="153"/>
      <c r="H10025" s="164"/>
      <c r="K10025" s="476"/>
    </row>
    <row r="10026" spans="1:11" x14ac:dyDescent="0.25">
      <c r="A10026" s="163"/>
      <c r="B10026" s="106"/>
      <c r="C10026" s="73"/>
      <c r="D10026" s="73"/>
      <c r="E10026" s="73" t="s">
        <v>4611</v>
      </c>
      <c r="F10026" s="74" t="s">
        <v>3</v>
      </c>
      <c r="G10026" s="153">
        <f>0.065*0.125*1*9*1.1</f>
        <v>8.0437499999999995E-2</v>
      </c>
      <c r="H10026" s="164"/>
      <c r="K10026" s="476"/>
    </row>
    <row r="10027" spans="1:11" x14ac:dyDescent="0.25">
      <c r="A10027" s="163"/>
      <c r="B10027" s="106"/>
      <c r="C10027" s="73"/>
      <c r="D10027" s="73"/>
      <c r="E10027" s="75" t="s">
        <v>4612</v>
      </c>
      <c r="F10027" s="74"/>
      <c r="G10027" s="153"/>
      <c r="H10027" s="164"/>
      <c r="K10027" s="476"/>
    </row>
    <row r="10028" spans="1:11" x14ac:dyDescent="0.25">
      <c r="A10028" s="163"/>
      <c r="B10028" s="106"/>
      <c r="C10028" s="73"/>
      <c r="D10028" s="73"/>
      <c r="E10028" s="73" t="s">
        <v>4613</v>
      </c>
      <c r="F10028" s="74" t="s">
        <v>3</v>
      </c>
      <c r="G10028" s="153">
        <f>0.03*0.03*2*9*1.1</f>
        <v>1.7819999999999999E-2</v>
      </c>
      <c r="H10028" s="164"/>
      <c r="K10028" s="476"/>
    </row>
    <row r="10029" spans="1:11" x14ac:dyDescent="0.25">
      <c r="A10029" s="163"/>
      <c r="B10029" s="106"/>
      <c r="C10029" s="73"/>
      <c r="D10029" s="75" t="s">
        <v>4614</v>
      </c>
      <c r="E10029" s="73"/>
      <c r="F10029" s="74"/>
      <c r="G10029" s="153"/>
      <c r="H10029" s="164"/>
      <c r="K10029" s="476"/>
    </row>
    <row r="10030" spans="1:11" x14ac:dyDescent="0.25">
      <c r="A10030" s="163"/>
      <c r="B10030" s="106"/>
      <c r="C10030" s="73"/>
      <c r="D10030" s="73" t="s">
        <v>4615</v>
      </c>
      <c r="E10030" s="73"/>
      <c r="F10030" s="74" t="s">
        <v>3</v>
      </c>
      <c r="G10030" s="153">
        <f>0.06*0.02*2*8*1.15</f>
        <v>2.2079999999999995E-2</v>
      </c>
      <c r="H10030" s="164"/>
      <c r="K10030" s="476"/>
    </row>
    <row r="10031" spans="1:11" x14ac:dyDescent="0.25">
      <c r="A10031" s="163"/>
      <c r="B10031" s="106"/>
      <c r="C10031" s="73"/>
      <c r="D10031" s="75" t="s">
        <v>4616</v>
      </c>
      <c r="E10031" s="73"/>
      <c r="F10031" s="74"/>
      <c r="G10031" s="153"/>
      <c r="H10031" s="164"/>
      <c r="K10031" s="476"/>
    </row>
    <row r="10032" spans="1:11" x14ac:dyDescent="0.25">
      <c r="A10032" s="163"/>
      <c r="B10032" s="106"/>
      <c r="C10032" s="73"/>
      <c r="D10032" s="73" t="s">
        <v>4613</v>
      </c>
      <c r="E10032" s="73"/>
      <c r="F10032" s="74" t="s">
        <v>3</v>
      </c>
      <c r="G10032" s="153">
        <f>0.03*3.14/2*0.06*2*9*1.18</f>
        <v>6.0024239999999993E-2</v>
      </c>
      <c r="H10032" s="164"/>
      <c r="K10032" s="476"/>
    </row>
    <row r="10033" spans="1:11" x14ac:dyDescent="0.25">
      <c r="A10033" s="163"/>
      <c r="B10033" s="106"/>
      <c r="C10033" s="73"/>
      <c r="D10033" s="75" t="s">
        <v>4617</v>
      </c>
      <c r="E10033" s="73"/>
      <c r="F10033" s="74"/>
      <c r="G10033" s="153"/>
      <c r="H10033" s="164"/>
      <c r="K10033" s="476"/>
    </row>
    <row r="10034" spans="1:11" x14ac:dyDescent="0.25">
      <c r="A10034" s="163"/>
      <c r="B10034" s="106"/>
      <c r="C10034" s="73"/>
      <c r="D10034" s="73" t="s">
        <v>4613</v>
      </c>
      <c r="E10034" s="73"/>
      <c r="F10034" s="74" t="s">
        <v>3</v>
      </c>
      <c r="G10034" s="153">
        <f>0.03*3.14/2*0.045*2*9*1.18</f>
        <v>4.5018179999999998E-2</v>
      </c>
      <c r="H10034" s="164"/>
      <c r="K10034" s="476"/>
    </row>
    <row r="10035" spans="1:11" x14ac:dyDescent="0.25">
      <c r="A10035" s="163"/>
      <c r="B10035" s="106"/>
      <c r="C10035" s="73"/>
      <c r="D10035" s="75" t="s">
        <v>4618</v>
      </c>
      <c r="E10035" s="73"/>
      <c r="F10035" s="74"/>
      <c r="G10035" s="153"/>
      <c r="H10035" s="164"/>
      <c r="K10035" s="476"/>
    </row>
    <row r="10036" spans="1:11" x14ac:dyDescent="0.25">
      <c r="A10036" s="163"/>
      <c r="B10036" s="106"/>
      <c r="C10036" s="73"/>
      <c r="D10036" s="73" t="s">
        <v>4615</v>
      </c>
      <c r="E10036" s="73"/>
      <c r="F10036" s="74" t="s">
        <v>3</v>
      </c>
      <c r="G10036" s="153">
        <f>0.055*0.02*2*8*1.12</f>
        <v>1.9712000000000004E-2</v>
      </c>
      <c r="H10036" s="164"/>
      <c r="K10036" s="476"/>
    </row>
    <row r="10037" spans="1:11" x14ac:dyDescent="0.25">
      <c r="A10037" s="163"/>
      <c r="B10037" s="106"/>
      <c r="C10037" s="73"/>
      <c r="D10037" s="75" t="s">
        <v>4620</v>
      </c>
      <c r="E10037" s="73"/>
      <c r="F10037" s="74"/>
      <c r="G10037" s="153"/>
      <c r="H10037" s="164"/>
      <c r="K10037" s="477"/>
    </row>
    <row r="10038" spans="1:11" x14ac:dyDescent="0.25">
      <c r="A10038" s="163"/>
      <c r="B10038" s="106"/>
      <c r="C10038" s="73"/>
      <c r="D10038" s="73" t="s">
        <v>4638</v>
      </c>
      <c r="E10038" s="73"/>
      <c r="F10038" s="74" t="s">
        <v>3</v>
      </c>
      <c r="G10038" s="153">
        <f>0.699*6.1+0.006</f>
        <v>4.2698999999999998</v>
      </c>
      <c r="H10038" s="164"/>
      <c r="I10038" t="s">
        <v>4639</v>
      </c>
      <c r="K10038" s="477"/>
    </row>
    <row r="10039" spans="1:11" x14ac:dyDescent="0.25">
      <c r="A10039" s="163"/>
      <c r="B10039" s="106"/>
      <c r="C10039" s="73"/>
      <c r="D10039" s="73" t="s">
        <v>4621</v>
      </c>
      <c r="E10039" s="73"/>
      <c r="F10039" s="74" t="s">
        <v>3</v>
      </c>
      <c r="G10039" s="153">
        <f>0.81*0.049</f>
        <v>3.9690000000000003E-2</v>
      </c>
      <c r="H10039" s="164"/>
      <c r="I10039" t="s">
        <v>4622</v>
      </c>
      <c r="K10039" s="477"/>
    </row>
    <row r="10040" spans="1:11" x14ac:dyDescent="0.25">
      <c r="A10040" s="163"/>
      <c r="B10040" s="106"/>
      <c r="C10040" s="73"/>
      <c r="D10040" s="100" t="s">
        <v>140</v>
      </c>
      <c r="E10040" s="73"/>
      <c r="F10040" s="74" t="s">
        <v>3</v>
      </c>
      <c r="G10040" s="153">
        <f>0.026*3.14*3*0.08</f>
        <v>1.9593600000000003E-2</v>
      </c>
      <c r="H10040" s="164"/>
      <c r="K10040" s="477"/>
    </row>
    <row r="10041" spans="1:11" ht="17.25" x14ac:dyDescent="0.25">
      <c r="A10041" s="163"/>
      <c r="B10041" s="106"/>
      <c r="C10041" s="73"/>
      <c r="D10041" s="100" t="s">
        <v>23</v>
      </c>
      <c r="E10041" s="73"/>
      <c r="F10041" s="74" t="s">
        <v>596</v>
      </c>
      <c r="G10041" s="153">
        <f>G10040*2</f>
        <v>3.9187200000000005E-2</v>
      </c>
      <c r="H10041" s="164"/>
      <c r="K10041" s="477"/>
    </row>
    <row r="10042" spans="1:11" x14ac:dyDescent="0.25">
      <c r="A10042" s="163"/>
      <c r="B10042" s="106"/>
      <c r="C10042" s="73"/>
      <c r="D10042" s="100" t="s">
        <v>142</v>
      </c>
      <c r="E10042" s="73"/>
      <c r="F10042" s="74" t="s">
        <v>3</v>
      </c>
      <c r="G10042" s="153">
        <f>G10040/4</f>
        <v>4.8984000000000007E-3</v>
      </c>
      <c r="H10042" s="164"/>
      <c r="K10042" s="477"/>
    </row>
    <row r="10043" spans="1:11" x14ac:dyDescent="0.25">
      <c r="A10043" s="163"/>
      <c r="B10043" s="106"/>
      <c r="C10043" s="73"/>
      <c r="D10043" s="78" t="s">
        <v>4623</v>
      </c>
      <c r="E10043" s="73"/>
      <c r="F10043" s="74"/>
      <c r="G10043" s="153"/>
      <c r="H10043" s="164"/>
      <c r="K10043" s="476"/>
    </row>
    <row r="10044" spans="1:11" x14ac:dyDescent="0.25">
      <c r="A10044" s="163"/>
      <c r="B10044" s="106"/>
      <c r="C10044" s="73"/>
      <c r="D10044" s="186" t="s">
        <v>4624</v>
      </c>
      <c r="E10044" s="73"/>
      <c r="F10044" s="74" t="s">
        <v>3</v>
      </c>
      <c r="G10044" s="153">
        <f>0.03*3.14/2*0.06*2*9*1.18</f>
        <v>6.0024239999999993E-2</v>
      </c>
      <c r="H10044" s="164"/>
      <c r="K10044" s="476"/>
    </row>
    <row r="10045" spans="1:11" x14ac:dyDescent="0.25">
      <c r="A10045" s="163"/>
      <c r="B10045" s="106"/>
      <c r="C10045" s="73"/>
      <c r="D10045" s="78" t="s">
        <v>4625</v>
      </c>
      <c r="E10045" s="73"/>
      <c r="F10045" s="74"/>
      <c r="G10045" s="153"/>
      <c r="H10045" s="164"/>
      <c r="K10045" s="476"/>
    </row>
    <row r="10046" spans="1:11" x14ac:dyDescent="0.25">
      <c r="A10046" s="163"/>
      <c r="B10046" s="106"/>
      <c r="C10046" s="73"/>
      <c r="D10046" s="186" t="s">
        <v>4383</v>
      </c>
      <c r="E10046" s="73"/>
      <c r="F10046" s="74" t="s">
        <v>3</v>
      </c>
      <c r="G10046" s="153">
        <f>0.102*3.14*0.075*1.5*8*1.127</f>
        <v>0.32486000400000004</v>
      </c>
      <c r="H10046" s="164"/>
      <c r="K10046" s="476"/>
    </row>
    <row r="10047" spans="1:11" x14ac:dyDescent="0.25">
      <c r="A10047" s="163"/>
      <c r="B10047" s="106"/>
      <c r="C10047" s="73"/>
      <c r="D10047" s="77" t="s">
        <v>1054</v>
      </c>
      <c r="E10047" s="73"/>
      <c r="F10047" s="152" t="s">
        <v>3</v>
      </c>
      <c r="G10047" s="427">
        <f>0.075*0.08*1.15</f>
        <v>6.8999999999999999E-3</v>
      </c>
      <c r="H10047" s="164"/>
      <c r="K10047" s="476"/>
    </row>
    <row r="10048" spans="1:11" ht="17.25" x14ac:dyDescent="0.25">
      <c r="A10048" s="163"/>
      <c r="B10048" s="106"/>
      <c r="C10048" s="73"/>
      <c r="D10048" s="77" t="s">
        <v>1055</v>
      </c>
      <c r="E10048" s="73"/>
      <c r="F10048" s="74" t="s">
        <v>596</v>
      </c>
      <c r="G10048" s="427">
        <f>G10047*1.1</f>
        <v>7.5900000000000004E-3</v>
      </c>
      <c r="H10048" s="164"/>
      <c r="K10048" s="476"/>
    </row>
    <row r="10049" spans="1:11" x14ac:dyDescent="0.25">
      <c r="A10049" s="163"/>
      <c r="B10049" s="106"/>
      <c r="C10049" s="73"/>
      <c r="D10049" s="75" t="s">
        <v>4626</v>
      </c>
      <c r="E10049" s="73"/>
      <c r="F10049" s="74"/>
      <c r="G10049" s="153"/>
      <c r="H10049" s="164"/>
      <c r="K10049" s="476"/>
    </row>
    <row r="10050" spans="1:11" x14ac:dyDescent="0.25">
      <c r="A10050" s="163"/>
      <c r="B10050" s="106"/>
      <c r="C10050" s="73"/>
      <c r="D10050" s="100" t="s">
        <v>4611</v>
      </c>
      <c r="E10050" s="73"/>
      <c r="F10050" s="74" t="s">
        <v>3</v>
      </c>
      <c r="G10050" s="153">
        <f>0.09*0.018*1*9*1.12</f>
        <v>1.63296E-2</v>
      </c>
      <c r="H10050" s="164"/>
      <c r="K10050" s="477"/>
    </row>
    <row r="10051" spans="1:11" x14ac:dyDescent="0.25">
      <c r="A10051" s="163"/>
      <c r="B10051" s="106"/>
      <c r="C10051" s="73"/>
      <c r="D10051" s="75" t="s">
        <v>4627</v>
      </c>
      <c r="E10051" s="73"/>
      <c r="F10051" s="74"/>
      <c r="G10051" s="153"/>
      <c r="H10051" s="164"/>
      <c r="K10051" s="477"/>
    </row>
    <row r="10052" spans="1:11" x14ac:dyDescent="0.25">
      <c r="A10052" s="163"/>
      <c r="B10052" s="106"/>
      <c r="C10052" s="73"/>
      <c r="D10052" s="100" t="s">
        <v>4611</v>
      </c>
      <c r="E10052" s="73"/>
      <c r="F10052" s="74" t="s">
        <v>3</v>
      </c>
      <c r="G10052" s="153">
        <f>0.145*0.018*1*9*1.12</f>
        <v>2.63088E-2</v>
      </c>
      <c r="H10052" s="164"/>
      <c r="K10052" s="477"/>
    </row>
    <row r="10053" spans="1:11" x14ac:dyDescent="0.25">
      <c r="A10053" s="163"/>
      <c r="B10053" s="106"/>
      <c r="C10053" s="73"/>
      <c r="D10053" s="75" t="s">
        <v>4628</v>
      </c>
      <c r="E10053" s="73"/>
      <c r="F10053" s="74"/>
      <c r="G10053" s="153"/>
      <c r="H10053" s="164"/>
      <c r="K10053" s="477"/>
    </row>
    <row r="10054" spans="1:11" x14ac:dyDescent="0.25">
      <c r="A10054" s="163"/>
      <c r="B10054" s="106"/>
      <c r="C10054" s="73"/>
      <c r="D10054" s="100" t="s">
        <v>4629</v>
      </c>
      <c r="E10054" s="73"/>
      <c r="F10054" s="74" t="s">
        <v>3</v>
      </c>
      <c r="G10054" s="153">
        <f>0.173*1.155</f>
        <v>0.19981499999999999</v>
      </c>
      <c r="H10054" s="164"/>
      <c r="K10054" s="477"/>
    </row>
    <row r="10055" spans="1:11" x14ac:dyDescent="0.25">
      <c r="A10055" s="163"/>
      <c r="B10055" s="106"/>
      <c r="C10055" s="73"/>
      <c r="D10055" s="75" t="s">
        <v>4630</v>
      </c>
      <c r="E10055" s="73"/>
      <c r="F10055" s="74"/>
      <c r="G10055" s="153"/>
      <c r="H10055" s="164"/>
      <c r="K10055" s="477"/>
    </row>
    <row r="10056" spans="1:11" x14ac:dyDescent="0.25">
      <c r="A10056" s="163"/>
      <c r="B10056" s="106"/>
      <c r="C10056" s="73"/>
      <c r="D10056" s="100" t="s">
        <v>4611</v>
      </c>
      <c r="E10056" s="73"/>
      <c r="F10056" s="74" t="s">
        <v>3</v>
      </c>
      <c r="G10056" s="153">
        <f>0.09*0.065*1*9*1.135</f>
        <v>5.9757750000000005E-2</v>
      </c>
      <c r="H10056" s="164"/>
      <c r="K10056" s="477"/>
    </row>
    <row r="10057" spans="1:11" x14ac:dyDescent="0.25">
      <c r="A10057" s="163"/>
      <c r="B10057" s="106"/>
      <c r="C10057" s="73"/>
      <c r="D10057" s="75" t="s">
        <v>4632</v>
      </c>
      <c r="E10057" s="73"/>
      <c r="F10057" s="74"/>
      <c r="G10057" s="153"/>
      <c r="H10057" s="164"/>
      <c r="K10057" s="477"/>
    </row>
    <row r="10058" spans="1:11" x14ac:dyDescent="0.25">
      <c r="A10058" s="163"/>
      <c r="B10058" s="106"/>
      <c r="C10058" s="73"/>
      <c r="D10058" s="100" t="s">
        <v>4611</v>
      </c>
      <c r="E10058" s="73"/>
      <c r="F10058" s="74" t="s">
        <v>3</v>
      </c>
      <c r="G10058" s="153">
        <f>0.125*0.018*1*9*1.12</f>
        <v>2.2679999999999999E-2</v>
      </c>
      <c r="H10058" s="164"/>
      <c r="K10058" s="477"/>
    </row>
    <row r="10059" spans="1:11" x14ac:dyDescent="0.25">
      <c r="A10059" s="163"/>
      <c r="B10059" s="106"/>
      <c r="C10059" s="73"/>
      <c r="D10059" s="75" t="s">
        <v>4631</v>
      </c>
      <c r="E10059" s="73"/>
      <c r="F10059" s="74"/>
      <c r="G10059" s="153"/>
      <c r="H10059" s="164"/>
      <c r="K10059" s="477"/>
    </row>
    <row r="10060" spans="1:11" x14ac:dyDescent="0.25">
      <c r="A10060" s="163"/>
      <c r="B10060" s="106"/>
      <c r="C10060" s="73"/>
      <c r="D10060" s="186" t="s">
        <v>4615</v>
      </c>
      <c r="E10060" s="73"/>
      <c r="F10060" s="74" t="s">
        <v>3</v>
      </c>
      <c r="G10060" s="153">
        <f>0.065*0.02*2*8*1.18</f>
        <v>2.4544000000000003E-2</v>
      </c>
      <c r="H10060" s="164"/>
      <c r="K10060" s="477"/>
    </row>
    <row r="10061" spans="1:11" x14ac:dyDescent="0.25">
      <c r="A10061" s="163"/>
      <c r="B10061" s="106"/>
      <c r="C10061" s="73"/>
      <c r="D10061" s="75" t="s">
        <v>4633</v>
      </c>
      <c r="E10061" s="73"/>
      <c r="F10061" s="74"/>
      <c r="G10061" s="153"/>
      <c r="H10061" s="164"/>
      <c r="K10061" s="477"/>
    </row>
    <row r="10062" spans="1:11" x14ac:dyDescent="0.25">
      <c r="A10062" s="163"/>
      <c r="B10062" s="106"/>
      <c r="C10062" s="73"/>
      <c r="D10062" s="186" t="s">
        <v>4615</v>
      </c>
      <c r="E10062" s="73"/>
      <c r="F10062" s="74" t="s">
        <v>3</v>
      </c>
      <c r="G10062" s="153">
        <f>0.095*0.02*2*8*1.18</f>
        <v>3.5872000000000001E-2</v>
      </c>
      <c r="H10062" s="164"/>
      <c r="K10062" s="477"/>
    </row>
    <row r="10063" spans="1:11" x14ac:dyDescent="0.25">
      <c r="A10063" s="163"/>
      <c r="B10063" s="106"/>
      <c r="C10063" s="73"/>
      <c r="D10063" s="75" t="s">
        <v>4634</v>
      </c>
      <c r="E10063" s="73"/>
      <c r="F10063" s="74"/>
      <c r="G10063" s="153"/>
      <c r="H10063" s="164"/>
      <c r="K10063" s="477"/>
    </row>
    <row r="10064" spans="1:11" x14ac:dyDescent="0.25">
      <c r="A10064" s="163"/>
      <c r="B10064" s="106"/>
      <c r="C10064" s="73"/>
      <c r="D10064" s="100" t="s">
        <v>4611</v>
      </c>
      <c r="E10064" s="73"/>
      <c r="F10064" s="74" t="s">
        <v>3</v>
      </c>
      <c r="G10064" s="153">
        <f>0.07*0.195*1*9*1.14</f>
        <v>0.14004900000000001</v>
      </c>
      <c r="H10064" s="164"/>
      <c r="K10064" s="477"/>
    </row>
    <row r="10065" spans="1:11" x14ac:dyDescent="0.25">
      <c r="A10065" s="163"/>
      <c r="B10065" s="106"/>
      <c r="C10065" s="73"/>
      <c r="D10065" s="75" t="s">
        <v>4635</v>
      </c>
      <c r="E10065" s="73"/>
      <c r="F10065" s="74"/>
      <c r="G10065" s="153"/>
      <c r="H10065" s="164"/>
      <c r="K10065" s="477"/>
    </row>
    <row r="10066" spans="1:11" x14ac:dyDescent="0.25">
      <c r="A10066" s="163"/>
      <c r="B10066" s="106"/>
      <c r="C10066" s="73"/>
      <c r="D10066" s="100" t="s">
        <v>4613</v>
      </c>
      <c r="E10066" s="73"/>
      <c r="F10066" s="74" t="s">
        <v>3</v>
      </c>
      <c r="G10066" s="153">
        <f>0.17*0.04*2*9*1.1</f>
        <v>0.13464000000000001</v>
      </c>
      <c r="H10066" s="164"/>
      <c r="K10066" s="477"/>
    </row>
    <row r="10067" spans="1:11" x14ac:dyDescent="0.25">
      <c r="A10067" s="163"/>
      <c r="B10067" s="106"/>
      <c r="C10067" s="73"/>
      <c r="D10067" s="75" t="s">
        <v>4636</v>
      </c>
      <c r="E10067" s="73"/>
      <c r="F10067" s="74"/>
      <c r="G10067" s="153"/>
      <c r="H10067" s="164"/>
      <c r="K10067" s="477"/>
    </row>
    <row r="10068" spans="1:11" x14ac:dyDescent="0.25">
      <c r="A10068" s="163"/>
      <c r="B10068" s="106"/>
      <c r="C10068" s="73"/>
      <c r="D10068" s="100" t="s">
        <v>4611</v>
      </c>
      <c r="E10068" s="73"/>
      <c r="F10068" s="74" t="s">
        <v>3</v>
      </c>
      <c r="G10068" s="153">
        <f>0.072*0.07*1*9*1.1</f>
        <v>4.989600000000001E-2</v>
      </c>
      <c r="H10068" s="164"/>
      <c r="K10068" s="477"/>
    </row>
    <row r="10069" spans="1:11" x14ac:dyDescent="0.25">
      <c r="A10069" s="163"/>
      <c r="B10069" s="106"/>
      <c r="C10069" s="73"/>
      <c r="D10069" s="75" t="s">
        <v>4640</v>
      </c>
      <c r="E10069" s="73"/>
      <c r="F10069" s="74"/>
      <c r="G10069" s="153"/>
      <c r="H10069" s="164"/>
      <c r="K10069" s="477"/>
    </row>
    <row r="10070" spans="1:11" x14ac:dyDescent="0.25">
      <c r="A10070" s="163"/>
      <c r="B10070" s="106"/>
      <c r="C10070" s="73"/>
      <c r="D10070" s="100" t="s">
        <v>4611</v>
      </c>
      <c r="E10070" s="73"/>
      <c r="F10070" s="74" t="s">
        <v>3</v>
      </c>
      <c r="G10070" s="153">
        <f>0.145*0.07*1*9*1.1</f>
        <v>0.10048500000000002</v>
      </c>
      <c r="H10070" s="164"/>
      <c r="K10070" s="477"/>
    </row>
    <row r="10071" spans="1:11" x14ac:dyDescent="0.25">
      <c r="A10071" s="163"/>
      <c r="B10071" s="106"/>
      <c r="C10071" s="73"/>
      <c r="D10071" s="75" t="s">
        <v>4637</v>
      </c>
      <c r="E10071" s="73"/>
      <c r="F10071" s="74"/>
      <c r="G10071" s="153"/>
      <c r="H10071" s="164"/>
      <c r="K10071" s="476"/>
    </row>
    <row r="10072" spans="1:11" x14ac:dyDescent="0.25">
      <c r="A10072" s="163"/>
      <c r="B10072" s="106"/>
      <c r="C10072" s="73"/>
      <c r="D10072" s="73" t="s">
        <v>4638</v>
      </c>
      <c r="E10072" s="73"/>
      <c r="F10072" s="74" t="s">
        <v>3</v>
      </c>
      <c r="G10072" s="153">
        <f>0.699*0.215</f>
        <v>0.15028499999999997</v>
      </c>
      <c r="H10072" s="391"/>
      <c r="I10072" t="s">
        <v>1223</v>
      </c>
      <c r="K10072" s="477"/>
    </row>
    <row r="10073" spans="1:11" ht="15.75" thickBot="1" x14ac:dyDescent="0.3">
      <c r="A10073" s="67"/>
      <c r="B10073" s="86"/>
      <c r="C10073" s="68"/>
      <c r="D10073" s="235"/>
      <c r="E10073" s="68"/>
      <c r="F10073" s="82"/>
      <c r="G10073" s="89"/>
      <c r="H10073" s="165"/>
      <c r="K10073" s="477"/>
    </row>
    <row r="10074" spans="1:11" x14ac:dyDescent="0.25">
      <c r="A10074" s="159"/>
      <c r="B10074" s="181"/>
      <c r="C10074" s="93"/>
      <c r="D10074" s="93"/>
      <c r="E10074" s="93"/>
      <c r="F10074" s="160"/>
      <c r="G10074" s="161"/>
      <c r="H10074" s="262" t="s">
        <v>4683</v>
      </c>
      <c r="K10074" s="476"/>
    </row>
    <row r="10075" spans="1:11" x14ac:dyDescent="0.25">
      <c r="A10075" s="163"/>
      <c r="B10075" s="106"/>
      <c r="C10075" s="73"/>
      <c r="D10075" s="73"/>
      <c r="E10075" s="390" t="s">
        <v>4652</v>
      </c>
      <c r="F10075" s="74"/>
      <c r="G10075" s="153"/>
      <c r="H10075" s="164"/>
      <c r="K10075" s="478"/>
    </row>
    <row r="10076" spans="1:11" x14ac:dyDescent="0.25">
      <c r="A10076" s="163"/>
      <c r="B10076" s="106"/>
      <c r="C10076" s="73"/>
      <c r="D10076" s="73"/>
      <c r="E10076" s="73"/>
      <c r="F10076" s="74"/>
      <c r="G10076" s="153"/>
      <c r="H10076" s="164"/>
      <c r="K10076" s="478"/>
    </row>
    <row r="10077" spans="1:11" x14ac:dyDescent="0.25">
      <c r="A10077" s="163"/>
      <c r="B10077" s="106"/>
      <c r="C10077" s="75" t="s">
        <v>4650</v>
      </c>
      <c r="D10077" s="73"/>
      <c r="E10077" s="73"/>
      <c r="F10077" s="74"/>
      <c r="G10077" s="153"/>
      <c r="H10077" s="164"/>
      <c r="K10077" s="478"/>
    </row>
    <row r="10078" spans="1:11" ht="15.75" thickBot="1" x14ac:dyDescent="0.3">
      <c r="A10078" s="67"/>
      <c r="B10078" s="86"/>
      <c r="C10078" s="68" t="s">
        <v>4651</v>
      </c>
      <c r="D10078" s="68"/>
      <c r="E10078" s="68"/>
      <c r="F10078" s="82" t="s">
        <v>3</v>
      </c>
      <c r="G10078" s="89">
        <f>0.035*0.015*0.8*8*1.15</f>
        <v>3.8640000000000002E-3</v>
      </c>
      <c r="H10078" s="165" t="s">
        <v>4653</v>
      </c>
      <c r="K10078" s="478"/>
    </row>
    <row r="10079" spans="1:11" x14ac:dyDescent="0.25">
      <c r="A10079" s="159"/>
      <c r="B10079" s="181"/>
      <c r="C10079" s="93"/>
      <c r="D10079" s="93"/>
      <c r="E10079" s="93"/>
      <c r="F10079" s="160"/>
      <c r="G10079" s="161"/>
      <c r="H10079" s="262" t="s">
        <v>4684</v>
      </c>
      <c r="K10079" s="478"/>
    </row>
    <row r="10080" spans="1:11" x14ac:dyDescent="0.25">
      <c r="A10080" s="163"/>
      <c r="B10080" s="106"/>
      <c r="C10080" s="73"/>
      <c r="D10080" s="73"/>
      <c r="E10080" s="390" t="s">
        <v>4655</v>
      </c>
      <c r="F10080" s="74"/>
      <c r="G10080" s="153"/>
      <c r="H10080" s="164"/>
      <c r="K10080" s="479"/>
    </row>
    <row r="10081" spans="1:11" x14ac:dyDescent="0.25">
      <c r="A10081" s="163"/>
      <c r="B10081" s="106"/>
      <c r="C10081" s="73"/>
      <c r="D10081" s="73"/>
      <c r="E10081" s="73"/>
      <c r="F10081" s="74"/>
      <c r="G10081" s="153"/>
      <c r="H10081" s="164"/>
      <c r="K10081" s="479"/>
    </row>
    <row r="10082" spans="1:11" x14ac:dyDescent="0.25">
      <c r="A10082" s="163"/>
      <c r="B10082" s="106"/>
      <c r="C10082" s="75" t="s">
        <v>4654</v>
      </c>
      <c r="D10082" s="73"/>
      <c r="E10082" s="73"/>
      <c r="F10082" s="74"/>
      <c r="G10082" s="153"/>
      <c r="H10082" s="164"/>
      <c r="K10082" s="479"/>
    </row>
    <row r="10083" spans="1:11" x14ac:dyDescent="0.25">
      <c r="A10083" s="163"/>
      <c r="B10083" s="106"/>
      <c r="C10083" s="73" t="s">
        <v>4296</v>
      </c>
      <c r="D10083" s="73"/>
      <c r="E10083" s="73"/>
      <c r="F10083" s="74" t="s">
        <v>3</v>
      </c>
      <c r="G10083" s="153">
        <f>0.015*0.01*3*8*1.15</f>
        <v>4.1399999999999996E-3</v>
      </c>
      <c r="H10083" s="164"/>
      <c r="K10083" s="479"/>
    </row>
    <row r="10084" spans="1:11" ht="15.75" thickBot="1" x14ac:dyDescent="0.3">
      <c r="A10084" s="163"/>
      <c r="B10084" s="106"/>
      <c r="C10084" s="73"/>
      <c r="D10084" s="73"/>
      <c r="E10084" s="73"/>
      <c r="F10084" s="74"/>
      <c r="G10084" s="153"/>
      <c r="H10084" s="164"/>
      <c r="K10084" s="479"/>
    </row>
    <row r="10085" spans="1:11" x14ac:dyDescent="0.25">
      <c r="A10085" s="159"/>
      <c r="B10085" s="181"/>
      <c r="C10085" s="93"/>
      <c r="D10085" s="93"/>
      <c r="E10085" s="481" t="s">
        <v>4664</v>
      </c>
      <c r="F10085" s="160"/>
      <c r="G10085" s="161"/>
      <c r="H10085" s="262" t="s">
        <v>4684</v>
      </c>
      <c r="K10085" s="479"/>
    </row>
    <row r="10086" spans="1:11" x14ac:dyDescent="0.25">
      <c r="A10086" s="163"/>
      <c r="B10086" s="106"/>
      <c r="C10086" s="73"/>
      <c r="D10086" s="73"/>
      <c r="E10086" s="73"/>
      <c r="F10086" s="74"/>
      <c r="G10086" s="153"/>
      <c r="H10086" s="164"/>
      <c r="K10086" s="479"/>
    </row>
    <row r="10087" spans="1:11" x14ac:dyDescent="0.25">
      <c r="A10087" s="163"/>
      <c r="B10087" s="106"/>
      <c r="C10087" s="75" t="s">
        <v>4641</v>
      </c>
      <c r="D10087" s="73"/>
      <c r="E10087" s="73"/>
      <c r="F10087" s="74"/>
      <c r="G10087" s="153"/>
      <c r="H10087" s="164"/>
      <c r="K10087" s="476"/>
    </row>
    <row r="10088" spans="1:11" x14ac:dyDescent="0.25">
      <c r="A10088" s="163"/>
      <c r="B10088" s="106"/>
      <c r="C10088" s="73" t="s">
        <v>595</v>
      </c>
      <c r="D10088" s="100"/>
      <c r="E10088" s="100"/>
      <c r="F10088" s="74" t="s">
        <v>3</v>
      </c>
      <c r="G10088" s="427">
        <f>(0.2*3.14+0.22+0.35+0.03*3.14)*0.05*1.24</f>
        <v>8.0116400000000004E-2</v>
      </c>
      <c r="H10088" s="164"/>
      <c r="K10088" s="476"/>
    </row>
    <row r="10089" spans="1:11" ht="17.25" x14ac:dyDescent="0.25">
      <c r="A10089" s="163"/>
      <c r="B10089" s="106"/>
      <c r="C10089" s="73" t="s">
        <v>168</v>
      </c>
      <c r="D10089" s="100"/>
      <c r="E10089" s="100"/>
      <c r="F10089" s="74" t="s">
        <v>596</v>
      </c>
      <c r="G10089" s="153">
        <f>1.08*G10088</f>
        <v>8.6525712000000005E-2</v>
      </c>
      <c r="H10089" s="164"/>
      <c r="K10089" s="476"/>
    </row>
    <row r="10090" spans="1:11" x14ac:dyDescent="0.25">
      <c r="A10090" s="163"/>
      <c r="B10090" s="106"/>
      <c r="C10090" s="77" t="s">
        <v>163</v>
      </c>
      <c r="D10090" s="73"/>
      <c r="E10090" s="73"/>
      <c r="F10090" s="74" t="s">
        <v>3</v>
      </c>
      <c r="G10090" s="153">
        <f>G10092*0.67</f>
        <v>4.0291977600000008E-2</v>
      </c>
      <c r="H10090" s="164"/>
      <c r="K10090" s="476"/>
    </row>
    <row r="10091" spans="1:11" x14ac:dyDescent="0.25">
      <c r="A10091" s="163"/>
      <c r="B10091" s="106"/>
      <c r="C10091" s="77" t="s">
        <v>164</v>
      </c>
      <c r="D10091" s="73"/>
      <c r="E10091" s="73"/>
      <c r="F10091" s="74" t="s">
        <v>3</v>
      </c>
      <c r="G10091" s="153">
        <f>0.3*G10090</f>
        <v>1.2087593280000001E-2</v>
      </c>
      <c r="H10091" s="164"/>
      <c r="K10091" s="476"/>
    </row>
    <row r="10092" spans="1:11" x14ac:dyDescent="0.25">
      <c r="A10092" s="163"/>
      <c r="B10092" s="106"/>
      <c r="C10092" s="77" t="s">
        <v>36</v>
      </c>
      <c r="D10092" s="73"/>
      <c r="E10092" s="73"/>
      <c r="F10092" s="74" t="s">
        <v>3</v>
      </c>
      <c r="G10092" s="153">
        <f>0.2*3.14*0.28*0.15*2*1.14</f>
        <v>6.0137280000000008E-2</v>
      </c>
      <c r="H10092" s="164"/>
      <c r="K10092" s="476"/>
    </row>
    <row r="10093" spans="1:11" x14ac:dyDescent="0.25">
      <c r="A10093" s="163"/>
      <c r="B10093" s="106"/>
      <c r="C10093" s="77" t="s">
        <v>12</v>
      </c>
      <c r="D10093" s="73"/>
      <c r="E10093" s="73"/>
      <c r="F10093" s="74" t="s">
        <v>3</v>
      </c>
      <c r="G10093" s="153">
        <f>0.3*G10092</f>
        <v>1.8041184000000002E-2</v>
      </c>
      <c r="H10093" s="164"/>
      <c r="K10093" s="476"/>
    </row>
    <row r="10094" spans="1:11" x14ac:dyDescent="0.25">
      <c r="A10094" s="163"/>
      <c r="B10094" s="106"/>
      <c r="C10094" s="77" t="s">
        <v>1021</v>
      </c>
      <c r="D10094" s="73"/>
      <c r="E10094" s="73"/>
      <c r="F10094" s="74" t="s">
        <v>3</v>
      </c>
      <c r="G10094" s="153">
        <f>G10090</f>
        <v>4.0291977600000008E-2</v>
      </c>
      <c r="H10094" s="164"/>
      <c r="K10094" s="476"/>
    </row>
    <row r="10095" spans="1:11" x14ac:dyDescent="0.25">
      <c r="A10095" s="163"/>
      <c r="B10095" s="106"/>
      <c r="C10095" s="77" t="s">
        <v>164</v>
      </c>
      <c r="D10095" s="73"/>
      <c r="E10095" s="73"/>
      <c r="F10095" s="74" t="s">
        <v>3</v>
      </c>
      <c r="G10095" s="153">
        <f>0.4*G10094*0.6</f>
        <v>9.6700746240000034E-3</v>
      </c>
      <c r="H10095" s="164"/>
      <c r="K10095" s="476"/>
    </row>
    <row r="10096" spans="1:11" x14ac:dyDescent="0.25">
      <c r="A10096" s="163"/>
      <c r="B10096" s="106"/>
      <c r="C10096" s="77" t="s">
        <v>1993</v>
      </c>
      <c r="D10096" s="73"/>
      <c r="E10096" s="73"/>
      <c r="F10096" s="74" t="s">
        <v>3</v>
      </c>
      <c r="G10096" s="153">
        <f>G10095*0.6</f>
        <v>5.8020447744000017E-3</v>
      </c>
      <c r="H10096" s="164"/>
      <c r="K10096" s="480"/>
    </row>
    <row r="10097" spans="1:11" x14ac:dyDescent="0.25">
      <c r="A10097" s="163"/>
      <c r="B10097" s="106"/>
      <c r="C10097" s="73"/>
      <c r="D10097" s="75" t="s">
        <v>4642</v>
      </c>
      <c r="E10097" s="73"/>
      <c r="F10097" s="74"/>
      <c r="G10097" s="153"/>
      <c r="H10097" s="164"/>
      <c r="K10097" s="476"/>
    </row>
    <row r="10098" spans="1:11" x14ac:dyDescent="0.25">
      <c r="A10098" s="163"/>
      <c r="B10098" s="106"/>
      <c r="C10098" s="73"/>
      <c r="D10098" s="73" t="s">
        <v>4339</v>
      </c>
      <c r="E10098" s="73"/>
      <c r="F10098" s="74" t="s">
        <v>3</v>
      </c>
      <c r="G10098" s="427">
        <f>(0.47*0.26+0.09*3.14*0.042)*2*2.7*1.16/2</f>
        <v>0.41990473440000003</v>
      </c>
      <c r="H10098" s="164"/>
      <c r="K10098" s="476"/>
    </row>
    <row r="10099" spans="1:11" x14ac:dyDescent="0.25">
      <c r="A10099" s="163"/>
      <c r="B10099" s="106"/>
      <c r="C10099" s="73"/>
      <c r="D10099" s="75" t="s">
        <v>4643</v>
      </c>
      <c r="E10099" s="73"/>
      <c r="F10099" s="74"/>
      <c r="G10099" s="427"/>
      <c r="H10099" s="164"/>
      <c r="K10099" s="476"/>
    </row>
    <row r="10100" spans="1:11" x14ac:dyDescent="0.25">
      <c r="A10100" s="163"/>
      <c r="B10100" s="106"/>
      <c r="C10100" s="73"/>
      <c r="D10100" s="73" t="s">
        <v>4339</v>
      </c>
      <c r="E10100" s="73"/>
      <c r="F10100" s="74" t="s">
        <v>3</v>
      </c>
      <c r="G10100" s="427">
        <f>(0.47*0.26+0.09*3.14*0.042)*2*2.7*1.16/2</f>
        <v>0.41990473440000003</v>
      </c>
      <c r="H10100" s="164"/>
      <c r="K10100" s="476"/>
    </row>
    <row r="10101" spans="1:11" x14ac:dyDescent="0.25">
      <c r="A10101" s="163"/>
      <c r="B10101" s="106"/>
      <c r="C10101" s="73"/>
      <c r="D10101" s="73"/>
      <c r="E10101" s="73"/>
      <c r="F10101" s="74"/>
      <c r="G10101" s="153"/>
      <c r="H10101" s="164"/>
      <c r="K10101" s="476"/>
    </row>
    <row r="10102" spans="1:11" x14ac:dyDescent="0.25">
      <c r="A10102" s="163"/>
      <c r="B10102" s="106"/>
      <c r="C10102" s="75" t="s">
        <v>4644</v>
      </c>
      <c r="D10102" s="73"/>
      <c r="E10102" s="73"/>
      <c r="F10102" s="74"/>
      <c r="G10102" s="153"/>
      <c r="H10102" s="164"/>
      <c r="K10102" s="476"/>
    </row>
    <row r="10103" spans="1:11" x14ac:dyDescent="0.25">
      <c r="A10103" s="163"/>
      <c r="B10103" s="106"/>
      <c r="C10103" s="73" t="s">
        <v>4645</v>
      </c>
      <c r="D10103" s="73"/>
      <c r="E10103" s="73"/>
      <c r="F10103" s="74" t="s">
        <v>3</v>
      </c>
      <c r="G10103" s="153">
        <v>5.0000000000000001E-3</v>
      </c>
      <c r="H10103" s="164"/>
      <c r="K10103" s="476"/>
    </row>
    <row r="10104" spans="1:11" x14ac:dyDescent="0.25">
      <c r="A10104" s="163"/>
      <c r="B10104" s="106"/>
      <c r="C10104" s="73"/>
      <c r="D10104" s="75" t="s">
        <v>4646</v>
      </c>
      <c r="E10104" s="73"/>
      <c r="F10104" s="74"/>
      <c r="G10104" s="153"/>
      <c r="H10104" s="164"/>
      <c r="K10104" s="476"/>
    </row>
    <row r="10105" spans="1:11" x14ac:dyDescent="0.25">
      <c r="A10105" s="163"/>
      <c r="B10105" s="106"/>
      <c r="C10105" s="73"/>
      <c r="D10105" s="73" t="s">
        <v>3012</v>
      </c>
      <c r="E10105" s="73"/>
      <c r="F10105" s="74" t="s">
        <v>3</v>
      </c>
      <c r="G10105" s="153">
        <f>0.12*3.14*0.056*0.2*2*1.2</f>
        <v>1.0128384000000001E-2</v>
      </c>
      <c r="H10105" s="164"/>
      <c r="K10105" s="476"/>
    </row>
    <row r="10106" spans="1:11" x14ac:dyDescent="0.25">
      <c r="A10106" s="163"/>
      <c r="B10106" s="106"/>
      <c r="C10106" s="73"/>
      <c r="D10106" s="73" t="s">
        <v>8</v>
      </c>
      <c r="E10106" s="73"/>
      <c r="F10106" s="74" t="s">
        <v>3</v>
      </c>
      <c r="G10106" s="153">
        <f>G10107*0.7-0.002</f>
        <v>5.0224479999999995E-2</v>
      </c>
      <c r="H10106" s="164"/>
      <c r="K10106" s="476"/>
    </row>
    <row r="10107" spans="1:11" x14ac:dyDescent="0.25">
      <c r="A10107" s="163"/>
      <c r="B10107" s="106"/>
      <c r="C10107" s="73"/>
      <c r="D10107" s="73" t="s">
        <v>36</v>
      </c>
      <c r="E10107" s="73"/>
      <c r="F10107" s="74" t="s">
        <v>3</v>
      </c>
      <c r="G10107" s="153">
        <f>(0.15*3.14*2)*0.1*2*0.15*2*1.32</f>
        <v>7.4606400000000003E-2</v>
      </c>
      <c r="H10107" s="164"/>
      <c r="K10107" s="476"/>
    </row>
    <row r="10108" spans="1:11" x14ac:dyDescent="0.25">
      <c r="A10108" s="163"/>
      <c r="B10108" s="106"/>
      <c r="C10108" s="73"/>
      <c r="D10108" s="73" t="s">
        <v>12</v>
      </c>
      <c r="E10108" s="73"/>
      <c r="F10108" s="74" t="s">
        <v>3</v>
      </c>
      <c r="G10108" s="153">
        <f>0.3*(G10107+G10106)+0.003</f>
        <v>4.0449264000000006E-2</v>
      </c>
      <c r="H10108" s="164"/>
      <c r="K10108" s="476"/>
    </row>
    <row r="10109" spans="1:11" x14ac:dyDescent="0.25">
      <c r="A10109" s="163"/>
      <c r="B10109" s="106"/>
      <c r="C10109" s="73"/>
      <c r="D10109" s="78" t="s">
        <v>4647</v>
      </c>
      <c r="E10109" s="73"/>
      <c r="F10109" s="74"/>
      <c r="G10109" s="153"/>
      <c r="H10109" s="164"/>
      <c r="K10109" s="476"/>
    </row>
    <row r="10110" spans="1:11" x14ac:dyDescent="0.25">
      <c r="A10110" s="163"/>
      <c r="B10110" s="106"/>
      <c r="C10110" s="73"/>
      <c r="D10110" s="73" t="s">
        <v>8</v>
      </c>
      <c r="E10110" s="73"/>
      <c r="F10110" s="74" t="s">
        <v>3</v>
      </c>
      <c r="G10110" s="153">
        <f>G10111*0.7+0.001</f>
        <v>1.4860000000000002E-2</v>
      </c>
      <c r="H10110" s="164"/>
      <c r="K10110" s="476"/>
    </row>
    <row r="10111" spans="1:11" x14ac:dyDescent="0.25">
      <c r="A10111" s="163"/>
      <c r="B10111" s="106"/>
      <c r="C10111" s="73"/>
      <c r="D10111" s="73" t="s">
        <v>36</v>
      </c>
      <c r="E10111" s="73"/>
      <c r="F10111" s="74" t="s">
        <v>3</v>
      </c>
      <c r="G10111" s="153">
        <f>0.15*0.2*2*0.15*2*1.1</f>
        <v>1.9800000000000002E-2</v>
      </c>
      <c r="H10111" s="164"/>
      <c r="K10111" s="476"/>
    </row>
    <row r="10112" spans="1:11" x14ac:dyDescent="0.25">
      <c r="A10112" s="163"/>
      <c r="B10112" s="106"/>
      <c r="C10112" s="73"/>
      <c r="D10112" s="73" t="s">
        <v>12</v>
      </c>
      <c r="E10112" s="73"/>
      <c r="F10112" s="74" t="s">
        <v>3</v>
      </c>
      <c r="G10112" s="153">
        <f>0.3*(G10111+G10110)</f>
        <v>1.0398000000000001E-2</v>
      </c>
      <c r="H10112" s="164"/>
      <c r="K10112" s="476"/>
    </row>
    <row r="10113" spans="1:11" x14ac:dyDescent="0.25">
      <c r="A10113" s="163"/>
      <c r="B10113" s="106"/>
      <c r="C10113" s="73"/>
      <c r="D10113" s="73"/>
      <c r="E10113" s="73"/>
      <c r="F10113" s="74"/>
      <c r="G10113" s="153"/>
      <c r="H10113" s="164"/>
      <c r="K10113" s="476"/>
    </row>
    <row r="10114" spans="1:11" x14ac:dyDescent="0.25">
      <c r="A10114" s="163"/>
      <c r="B10114" s="106"/>
      <c r="C10114" s="75" t="s">
        <v>4648</v>
      </c>
      <c r="D10114" s="73"/>
      <c r="E10114" s="73"/>
      <c r="F10114" s="74" t="s">
        <v>2180</v>
      </c>
      <c r="G10114" s="153"/>
      <c r="H10114" s="164"/>
      <c r="K10114" s="476"/>
    </row>
    <row r="10115" spans="1:11" x14ac:dyDescent="0.25">
      <c r="A10115" s="163"/>
      <c r="B10115" s="106"/>
      <c r="C10115" s="73" t="s">
        <v>4649</v>
      </c>
      <c r="D10115" s="73"/>
      <c r="E10115" s="73"/>
      <c r="F10115" s="74" t="s">
        <v>1516</v>
      </c>
      <c r="G10115" s="153">
        <f>9</f>
        <v>9</v>
      </c>
      <c r="H10115" s="164"/>
      <c r="K10115" s="476"/>
    </row>
    <row r="10116" spans="1:11" x14ac:dyDescent="0.25">
      <c r="A10116" s="163"/>
      <c r="B10116" s="106"/>
      <c r="C10116" s="73"/>
      <c r="D10116" s="73"/>
      <c r="E10116" s="73"/>
      <c r="F10116" s="74"/>
      <c r="G10116" s="153"/>
      <c r="H10116" s="164"/>
      <c r="K10116" s="476"/>
    </row>
    <row r="10117" spans="1:11" x14ac:dyDescent="0.25">
      <c r="A10117" s="163"/>
      <c r="B10117" s="106"/>
      <c r="C10117" s="75" t="s">
        <v>4656</v>
      </c>
      <c r="D10117" s="73"/>
      <c r="E10117" s="73"/>
      <c r="F10117" s="74"/>
      <c r="G10117" s="153"/>
      <c r="H10117" s="164"/>
      <c r="K10117" s="476"/>
    </row>
    <row r="10118" spans="1:11" x14ac:dyDescent="0.25">
      <c r="A10118" s="163"/>
      <c r="B10118" s="106"/>
      <c r="C10118" s="100" t="s">
        <v>140</v>
      </c>
      <c r="D10118" s="73"/>
      <c r="E10118" s="73"/>
      <c r="F10118" s="74" t="s">
        <v>3</v>
      </c>
      <c r="G10118" s="153">
        <f>(0.4+0.028*3.14*2+0.42)*0.08*1.13</f>
        <v>9.0023935999999999E-2</v>
      </c>
      <c r="H10118" s="164"/>
      <c r="K10118" s="476"/>
    </row>
    <row r="10119" spans="1:11" ht="17.25" x14ac:dyDescent="0.25">
      <c r="A10119" s="163"/>
      <c r="B10119" s="106"/>
      <c r="C10119" s="100" t="s">
        <v>23</v>
      </c>
      <c r="D10119" s="73"/>
      <c r="E10119" s="73"/>
      <c r="F10119" s="74" t="s">
        <v>596</v>
      </c>
      <c r="G10119" s="153">
        <f>G10118*2</f>
        <v>0.180047872</v>
      </c>
      <c r="H10119" s="164"/>
      <c r="K10119" s="476"/>
    </row>
    <row r="10120" spans="1:11" x14ac:dyDescent="0.25">
      <c r="A10120" s="163"/>
      <c r="B10120" s="106"/>
      <c r="C10120" s="100" t="s">
        <v>142</v>
      </c>
      <c r="D10120" s="73"/>
      <c r="E10120" s="73"/>
      <c r="F10120" s="74" t="s">
        <v>3</v>
      </c>
      <c r="G10120" s="153">
        <f>G10118/4</f>
        <v>2.2505984E-2</v>
      </c>
      <c r="H10120" s="164"/>
      <c r="K10120" s="476"/>
    </row>
    <row r="10121" spans="1:11" x14ac:dyDescent="0.25">
      <c r="A10121" s="163"/>
      <c r="B10121" s="106"/>
      <c r="C10121" s="186" t="s">
        <v>1021</v>
      </c>
      <c r="D10121" s="73"/>
      <c r="E10121" s="73"/>
      <c r="F10121" s="74" t="s">
        <v>3</v>
      </c>
      <c r="G10121" s="153">
        <f>(0.18*0.2*2*2)*0.12*2*1.3</f>
        <v>4.4927999999999996E-2</v>
      </c>
      <c r="H10121" s="164"/>
      <c r="K10121" s="476"/>
    </row>
    <row r="10122" spans="1:11" x14ac:dyDescent="0.25">
      <c r="A10122" s="163"/>
      <c r="B10122" s="106"/>
      <c r="C10122" s="186" t="s">
        <v>661</v>
      </c>
      <c r="D10122" s="73"/>
      <c r="E10122" s="73"/>
      <c r="F10122" s="74" t="s">
        <v>3</v>
      </c>
      <c r="G10122" s="153">
        <f>G10121*0.45*0.6</f>
        <v>1.2130559999999999E-2</v>
      </c>
      <c r="H10122" s="164"/>
      <c r="K10122" s="476"/>
    </row>
    <row r="10123" spans="1:11" x14ac:dyDescent="0.25">
      <c r="A10123" s="163"/>
      <c r="B10123" s="106"/>
      <c r="C10123" s="186" t="s">
        <v>1993</v>
      </c>
      <c r="D10123" s="73"/>
      <c r="E10123" s="73"/>
      <c r="F10123" s="74" t="s">
        <v>3</v>
      </c>
      <c r="G10123" s="153">
        <f>G10122*0.65</f>
        <v>7.8848640000000001E-3</v>
      </c>
      <c r="H10123" s="164"/>
      <c r="K10123" s="476"/>
    </row>
    <row r="10124" spans="1:11" x14ac:dyDescent="0.25">
      <c r="A10124" s="163"/>
      <c r="B10124" s="106"/>
      <c r="C10124" s="73"/>
      <c r="D10124" s="75" t="s">
        <v>4657</v>
      </c>
      <c r="E10124" s="73"/>
      <c r="F10124" s="74"/>
      <c r="G10124" s="153"/>
      <c r="H10124" s="164"/>
      <c r="K10124" s="476"/>
    </row>
    <row r="10125" spans="1:11" x14ac:dyDescent="0.25">
      <c r="A10125" s="163"/>
      <c r="B10125" s="106"/>
      <c r="C10125" s="73"/>
      <c r="D10125" s="73" t="s">
        <v>4659</v>
      </c>
      <c r="E10125" s="73"/>
      <c r="F10125" s="74" t="s">
        <v>3</v>
      </c>
      <c r="G10125" s="153">
        <f>0.18*0.2*1*8*1.11</f>
        <v>0.31968000000000002</v>
      </c>
      <c r="H10125" s="164"/>
      <c r="K10125" s="476"/>
    </row>
    <row r="10126" spans="1:11" x14ac:dyDescent="0.25">
      <c r="A10126" s="163"/>
      <c r="B10126" s="106"/>
      <c r="C10126" s="73"/>
      <c r="D10126" s="100" t="s">
        <v>4660</v>
      </c>
      <c r="E10126" s="100"/>
      <c r="F10126" s="74" t="s">
        <v>3</v>
      </c>
      <c r="G10126" s="153">
        <f>0.1*0.08*1.2</f>
        <v>9.5999999999999992E-3</v>
      </c>
      <c r="H10126" s="164"/>
      <c r="K10126" s="480"/>
    </row>
    <row r="10127" spans="1:11" ht="17.25" x14ac:dyDescent="0.25">
      <c r="A10127" s="163"/>
      <c r="B10127" s="106"/>
      <c r="C10127" s="73"/>
      <c r="D10127" s="100" t="s">
        <v>168</v>
      </c>
      <c r="E10127" s="100"/>
      <c r="F10127" s="74" t="s">
        <v>596</v>
      </c>
      <c r="G10127" s="153">
        <f>G10126</f>
        <v>9.5999999999999992E-3</v>
      </c>
      <c r="H10127" s="164"/>
      <c r="K10127" s="480"/>
    </row>
    <row r="10128" spans="1:11" x14ac:dyDescent="0.25">
      <c r="A10128" s="163"/>
      <c r="B10128" s="106"/>
      <c r="C10128" s="73"/>
      <c r="D10128" s="75" t="s">
        <v>4658</v>
      </c>
      <c r="E10128" s="73"/>
      <c r="F10128" s="74"/>
      <c r="G10128" s="153"/>
      <c r="H10128" s="164"/>
      <c r="K10128" s="476"/>
    </row>
    <row r="10129" spans="1:11" x14ac:dyDescent="0.25">
      <c r="A10129" s="163"/>
      <c r="B10129" s="106"/>
      <c r="C10129" s="73"/>
      <c r="D10129" s="73" t="s">
        <v>4659</v>
      </c>
      <c r="E10129" s="73"/>
      <c r="F10129" s="74" t="s">
        <v>3</v>
      </c>
      <c r="G10129" s="153">
        <f>0.18*0.2*1*8*1.11</f>
        <v>0.31968000000000002</v>
      </c>
      <c r="H10129" s="164"/>
      <c r="K10129" s="476"/>
    </row>
    <row r="10130" spans="1:11" x14ac:dyDescent="0.25">
      <c r="A10130" s="163"/>
      <c r="B10130" s="106"/>
      <c r="C10130" s="73"/>
      <c r="D10130" s="100" t="s">
        <v>4660</v>
      </c>
      <c r="E10130" s="100"/>
      <c r="F10130" s="74" t="s">
        <v>3</v>
      </c>
      <c r="G10130" s="153">
        <f>0.1*0.08*1.2</f>
        <v>9.5999999999999992E-3</v>
      </c>
      <c r="H10130" s="164"/>
      <c r="K10130" s="476"/>
    </row>
    <row r="10131" spans="1:11" ht="17.25" x14ac:dyDescent="0.25">
      <c r="A10131" s="163"/>
      <c r="B10131" s="106"/>
      <c r="C10131" s="73"/>
      <c r="D10131" s="100" t="s">
        <v>168</v>
      </c>
      <c r="E10131" s="100"/>
      <c r="F10131" s="74" t="s">
        <v>596</v>
      </c>
      <c r="G10131" s="153">
        <f>G10130</f>
        <v>9.5999999999999992E-3</v>
      </c>
      <c r="H10131" s="164"/>
      <c r="K10131" s="476"/>
    </row>
    <row r="10132" spans="1:11" x14ac:dyDescent="0.25">
      <c r="A10132" s="163"/>
      <c r="B10132" s="106"/>
      <c r="C10132" s="73"/>
      <c r="D10132" s="75" t="s">
        <v>4661</v>
      </c>
      <c r="E10132" s="73"/>
      <c r="F10132" s="74"/>
      <c r="G10132" s="153"/>
      <c r="H10132" s="164"/>
      <c r="K10132" s="476"/>
    </row>
    <row r="10133" spans="1:11" x14ac:dyDescent="0.25">
      <c r="A10133" s="163"/>
      <c r="B10133" s="106"/>
      <c r="C10133" s="73"/>
      <c r="D10133" s="73" t="s">
        <v>4662</v>
      </c>
      <c r="E10133" s="73"/>
      <c r="F10133" s="74" t="s">
        <v>3</v>
      </c>
      <c r="G10133" s="153">
        <f>0.592*0.025</f>
        <v>1.4800000000000001E-2</v>
      </c>
      <c r="H10133" s="164">
        <v>0.59</v>
      </c>
      <c r="I10133" t="s">
        <v>4663</v>
      </c>
      <c r="K10133" s="476"/>
    </row>
    <row r="10134" spans="1:11" ht="15.75" thickBot="1" x14ac:dyDescent="0.3">
      <c r="A10134" s="67"/>
      <c r="B10134" s="86"/>
      <c r="C10134" s="68"/>
      <c r="D10134" s="68"/>
      <c r="E10134" s="68"/>
      <c r="F10134" s="82"/>
      <c r="G10134" s="89"/>
      <c r="H10134" s="165"/>
      <c r="K10134" s="476"/>
    </row>
    <row r="10135" spans="1:11" x14ac:dyDescent="0.25">
      <c r="A10135" s="159"/>
      <c r="B10135" s="181"/>
      <c r="C10135" s="93"/>
      <c r="D10135" s="93"/>
      <c r="E10135" s="93"/>
      <c r="F10135" s="160"/>
      <c r="G10135" s="161"/>
      <c r="H10135" s="164" t="s">
        <v>4682</v>
      </c>
      <c r="K10135" s="476"/>
    </row>
    <row r="10136" spans="1:11" x14ac:dyDescent="0.25">
      <c r="A10136" s="163"/>
      <c r="B10136" s="106"/>
      <c r="C10136" s="75" t="s">
        <v>4665</v>
      </c>
      <c r="D10136" s="73"/>
      <c r="E10136" s="73"/>
      <c r="F10136" s="74"/>
      <c r="G10136" s="153"/>
      <c r="H10136" s="164"/>
      <c r="K10136" s="476"/>
    </row>
    <row r="10137" spans="1:11" x14ac:dyDescent="0.25">
      <c r="A10137" s="163"/>
      <c r="B10137" s="106"/>
      <c r="C10137" s="73" t="s">
        <v>4666</v>
      </c>
      <c r="D10137" s="73"/>
      <c r="E10137" s="73"/>
      <c r="F10137" s="74" t="s">
        <v>3</v>
      </c>
      <c r="G10137" s="428">
        <v>5.0000000000000001E-4</v>
      </c>
      <c r="H10137" s="164"/>
      <c r="I10137" t="s">
        <v>4667</v>
      </c>
      <c r="K10137" s="476"/>
    </row>
    <row r="10138" spans="1:11" x14ac:dyDescent="0.25">
      <c r="A10138" s="163"/>
      <c r="B10138" s="106"/>
      <c r="C10138" s="73" t="s">
        <v>8</v>
      </c>
      <c r="D10138" s="73"/>
      <c r="E10138" s="73"/>
      <c r="F10138" s="74" t="s">
        <v>3</v>
      </c>
      <c r="G10138" s="153">
        <f>G10139*0.68</f>
        <v>2.0323160000000003E-2</v>
      </c>
      <c r="H10138" s="164"/>
      <c r="K10138" s="476"/>
    </row>
    <row r="10139" spans="1:11" x14ac:dyDescent="0.25">
      <c r="A10139" s="163"/>
      <c r="B10139" s="106"/>
      <c r="C10139" s="73" t="s">
        <v>115</v>
      </c>
      <c r="D10139" s="73"/>
      <c r="E10139" s="73"/>
      <c r="F10139" s="74" t="s">
        <v>3</v>
      </c>
      <c r="G10139" s="153">
        <f>1.235*0.011*2*1.1</f>
        <v>2.9887E-2</v>
      </c>
      <c r="H10139" s="164"/>
      <c r="K10139" s="476"/>
    </row>
    <row r="10140" spans="1:11" x14ac:dyDescent="0.25">
      <c r="A10140" s="163"/>
      <c r="B10140" s="106"/>
      <c r="C10140" s="73" t="s">
        <v>12</v>
      </c>
      <c r="D10140" s="73"/>
      <c r="E10140" s="73"/>
      <c r="F10140" s="74" t="s">
        <v>3</v>
      </c>
      <c r="G10140" s="153">
        <f>0.3*(G10139+G10138)</f>
        <v>1.5063048000000001E-2</v>
      </c>
      <c r="H10140" s="164"/>
      <c r="K10140" s="476"/>
    </row>
    <row r="10141" spans="1:11" x14ac:dyDescent="0.25">
      <c r="A10141" s="163"/>
      <c r="B10141" s="106"/>
      <c r="C10141" s="73"/>
      <c r="D10141" s="75" t="s">
        <v>4668</v>
      </c>
      <c r="E10141" s="73"/>
      <c r="F10141" s="74"/>
      <c r="G10141" s="153"/>
      <c r="H10141" s="164"/>
      <c r="K10141" s="476"/>
    </row>
    <row r="10142" spans="1:11" x14ac:dyDescent="0.25">
      <c r="A10142" s="163"/>
      <c r="B10142" s="106"/>
      <c r="C10142" s="73"/>
      <c r="D10142" s="77" t="s">
        <v>39</v>
      </c>
      <c r="E10142" s="73"/>
      <c r="F10142" s="74" t="s">
        <v>3</v>
      </c>
      <c r="G10142" s="153">
        <f>0.012*3.14*2*0.08*1.2</f>
        <v>7.234560000000001E-3</v>
      </c>
      <c r="H10142" s="164"/>
      <c r="K10142" s="476"/>
    </row>
    <row r="10143" spans="1:11" x14ac:dyDescent="0.25">
      <c r="A10143" s="163"/>
      <c r="B10143" s="106"/>
      <c r="C10143" s="73"/>
      <c r="D10143" s="77" t="s">
        <v>1055</v>
      </c>
      <c r="E10143" s="73"/>
      <c r="F10143" s="74" t="s">
        <v>3</v>
      </c>
      <c r="G10143" s="153">
        <f>1.5*G10142</f>
        <v>1.0851840000000001E-2</v>
      </c>
      <c r="H10143" s="164"/>
      <c r="K10143" s="476"/>
    </row>
    <row r="10144" spans="1:11" x14ac:dyDescent="0.25">
      <c r="A10144" s="163"/>
      <c r="B10144" s="106"/>
      <c r="C10144" s="73"/>
      <c r="D10144" s="77" t="s">
        <v>4669</v>
      </c>
      <c r="E10144" s="73"/>
      <c r="F10144" s="74" t="s">
        <v>3</v>
      </c>
      <c r="G10144" s="153">
        <f>0.012*3.14*0.6*0.2*2*1.3</f>
        <v>1.1756160000000002E-2</v>
      </c>
      <c r="H10144" s="164"/>
      <c r="K10144" s="476"/>
    </row>
    <row r="10145" spans="1:11" x14ac:dyDescent="0.25">
      <c r="A10145" s="163"/>
      <c r="B10145" s="106"/>
      <c r="C10145" s="73"/>
      <c r="D10145" s="73"/>
      <c r="E10145" s="75" t="s">
        <v>4670</v>
      </c>
      <c r="F10145" s="74"/>
      <c r="G10145" s="153"/>
      <c r="H10145" s="164"/>
      <c r="K10145" s="476"/>
    </row>
    <row r="10146" spans="1:11" x14ac:dyDescent="0.25">
      <c r="A10146" s="163"/>
      <c r="B10146" s="106"/>
      <c r="C10146" s="73"/>
      <c r="D10146" s="73"/>
      <c r="E10146" s="73" t="s">
        <v>404</v>
      </c>
      <c r="F10146" s="74" t="s">
        <v>3</v>
      </c>
      <c r="G10146" s="153">
        <f>0.666*1.306</f>
        <v>0.86979600000000012</v>
      </c>
      <c r="H10146" s="164"/>
      <c r="I10146" t="s">
        <v>4671</v>
      </c>
      <c r="K10146" s="476"/>
    </row>
    <row r="10147" spans="1:11" x14ac:dyDescent="0.25">
      <c r="A10147" s="163"/>
      <c r="B10147" s="106"/>
      <c r="C10147" s="73"/>
      <c r="D10147" s="73"/>
      <c r="E10147" s="73"/>
      <c r="F10147" s="74"/>
      <c r="G10147" s="153"/>
      <c r="H10147" s="164"/>
      <c r="K10147" s="476"/>
    </row>
    <row r="10148" spans="1:11" x14ac:dyDescent="0.25">
      <c r="A10148" s="163"/>
      <c r="B10148" s="106"/>
      <c r="C10148" s="75" t="s">
        <v>4672</v>
      </c>
      <c r="D10148" s="73"/>
      <c r="E10148" s="73"/>
      <c r="F10148" s="74"/>
      <c r="G10148" s="153"/>
      <c r="H10148" s="164"/>
      <c r="K10148" s="476"/>
    </row>
    <row r="10149" spans="1:11" x14ac:dyDescent="0.25">
      <c r="A10149" s="163"/>
      <c r="B10149" s="106"/>
      <c r="C10149" s="73"/>
      <c r="D10149" s="75" t="s">
        <v>4673</v>
      </c>
      <c r="E10149" s="73"/>
      <c r="F10149" s="74"/>
      <c r="G10149" s="153"/>
      <c r="H10149" s="164"/>
      <c r="K10149" s="476"/>
    </row>
    <row r="10150" spans="1:11" x14ac:dyDescent="0.25">
      <c r="A10150" s="163"/>
      <c r="B10150" s="106"/>
      <c r="C10150" s="73"/>
      <c r="D10150" s="77" t="s">
        <v>39</v>
      </c>
      <c r="E10150" s="73"/>
      <c r="F10150" s="74" t="s">
        <v>3</v>
      </c>
      <c r="G10150" s="153">
        <f>0.12*0.08*1.2</f>
        <v>1.1519999999999999E-2</v>
      </c>
      <c r="H10150" s="164"/>
      <c r="K10150" s="476"/>
    </row>
    <row r="10151" spans="1:11" x14ac:dyDescent="0.25">
      <c r="A10151" s="163"/>
      <c r="B10151" s="106"/>
      <c r="C10151" s="73"/>
      <c r="D10151" s="77" t="s">
        <v>1055</v>
      </c>
      <c r="E10151" s="73"/>
      <c r="F10151" s="74" t="s">
        <v>3</v>
      </c>
      <c r="G10151" s="153">
        <f>1.5*G10150</f>
        <v>1.7279999999999997E-2</v>
      </c>
      <c r="H10151" s="164"/>
      <c r="K10151" s="476"/>
    </row>
    <row r="10152" spans="1:11" x14ac:dyDescent="0.25">
      <c r="A10152" s="163"/>
      <c r="B10152" s="106"/>
      <c r="C10152" s="73"/>
      <c r="D10152" s="77" t="s">
        <v>8</v>
      </c>
      <c r="E10152" s="73"/>
      <c r="F10152" s="74" t="s">
        <v>3</v>
      </c>
      <c r="G10152" s="153">
        <f>G10154*0.8</f>
        <v>1.7600000000000001E-2</v>
      </c>
      <c r="H10152" s="164"/>
      <c r="K10152" s="476"/>
    </row>
    <row r="10153" spans="1:11" x14ac:dyDescent="0.25">
      <c r="A10153" s="163"/>
      <c r="B10153" s="106"/>
      <c r="C10153" s="73"/>
      <c r="D10153" s="77" t="s">
        <v>12</v>
      </c>
      <c r="E10153" s="73"/>
      <c r="F10153" s="74" t="s">
        <v>3</v>
      </c>
      <c r="G10153" s="153">
        <f>0.3*G10152</f>
        <v>5.28E-3</v>
      </c>
      <c r="H10153" s="164"/>
      <c r="K10153" s="476"/>
    </row>
    <row r="10154" spans="1:11" x14ac:dyDescent="0.25">
      <c r="A10154" s="163"/>
      <c r="B10154" s="106"/>
      <c r="C10154" s="73"/>
      <c r="D10154" s="77" t="s">
        <v>72</v>
      </c>
      <c r="E10154" s="73"/>
      <c r="F10154" s="74" t="s">
        <v>3</v>
      </c>
      <c r="G10154" s="153">
        <f>0.5*0.02*2*1.1</f>
        <v>2.2000000000000002E-2</v>
      </c>
      <c r="H10154" s="164"/>
      <c r="K10154" s="476"/>
    </row>
    <row r="10155" spans="1:11" x14ac:dyDescent="0.25">
      <c r="A10155" s="163"/>
      <c r="B10155" s="106"/>
      <c r="C10155" s="73"/>
      <c r="D10155" s="77" t="s">
        <v>11</v>
      </c>
      <c r="E10155" s="73"/>
      <c r="F10155" s="74" t="s">
        <v>3</v>
      </c>
      <c r="G10155" s="153">
        <f>0.3*G10154</f>
        <v>6.6000000000000008E-3</v>
      </c>
      <c r="H10155" s="164"/>
      <c r="K10155" s="476"/>
    </row>
    <row r="10156" spans="1:11" x14ac:dyDescent="0.25">
      <c r="A10156" s="163"/>
      <c r="B10156" s="106"/>
      <c r="C10156" s="73"/>
      <c r="D10156" s="77" t="s">
        <v>4674</v>
      </c>
      <c r="E10156" s="73"/>
      <c r="F10156" s="74" t="s">
        <v>3</v>
      </c>
      <c r="G10156" s="153">
        <v>0.05</v>
      </c>
      <c r="H10156" s="164"/>
      <c r="K10156" s="476"/>
    </row>
    <row r="10157" spans="1:11" x14ac:dyDescent="0.25">
      <c r="A10157" s="163"/>
      <c r="B10157" s="106"/>
      <c r="C10157" s="73"/>
      <c r="D10157" s="73"/>
      <c r="E10157" s="75" t="s">
        <v>4679</v>
      </c>
      <c r="F10157" s="74"/>
      <c r="G10157" s="153"/>
      <c r="H10157" s="164"/>
    </row>
    <row r="10158" spans="1:11" x14ac:dyDescent="0.25">
      <c r="A10158" s="163"/>
      <c r="B10158" s="106"/>
      <c r="C10158" s="73"/>
      <c r="D10158" s="73"/>
      <c r="E10158" s="73" t="s">
        <v>4678</v>
      </c>
      <c r="F10158" s="74" t="s">
        <v>3</v>
      </c>
      <c r="G10158" s="153">
        <f>0.32*0.11*2*8*1.1</f>
        <v>0.61952000000000007</v>
      </c>
      <c r="H10158" s="164"/>
      <c r="K10158" s="482"/>
    </row>
    <row r="10159" spans="1:11" x14ac:dyDescent="0.25">
      <c r="A10159" s="163"/>
      <c r="B10159" s="106"/>
      <c r="C10159" s="73"/>
      <c r="D10159" s="73"/>
      <c r="E10159" s="75" t="s">
        <v>4680</v>
      </c>
      <c r="F10159" s="74"/>
      <c r="G10159" s="153"/>
      <c r="H10159" s="164"/>
      <c r="K10159" s="482"/>
    </row>
    <row r="10160" spans="1:11" x14ac:dyDescent="0.25">
      <c r="A10160" s="163"/>
      <c r="B10160" s="106"/>
      <c r="C10160" s="73"/>
      <c r="D10160" s="73"/>
      <c r="E10160" s="100" t="s">
        <v>4435</v>
      </c>
      <c r="F10160" s="74" t="s">
        <v>3</v>
      </c>
      <c r="G10160" s="153">
        <f>0.02*0.035*5*8*1.15</f>
        <v>3.2199999999999999E-2</v>
      </c>
      <c r="H10160" s="164"/>
      <c r="K10160" s="482"/>
    </row>
    <row r="10161" spans="1:11" x14ac:dyDescent="0.25">
      <c r="A10161" s="163"/>
      <c r="B10161" s="106"/>
      <c r="C10161" s="73"/>
      <c r="D10161" s="73"/>
      <c r="E10161" s="78" t="s">
        <v>4681</v>
      </c>
      <c r="F10161" s="74"/>
      <c r="G10161" s="153"/>
      <c r="H10161" s="164"/>
      <c r="K10161" s="482"/>
    </row>
    <row r="10162" spans="1:11" x14ac:dyDescent="0.25">
      <c r="A10162" s="163"/>
      <c r="B10162" s="106"/>
      <c r="C10162" s="73"/>
      <c r="D10162" s="73"/>
      <c r="E10162" s="73" t="s">
        <v>4678</v>
      </c>
      <c r="F10162" s="74" t="s">
        <v>3</v>
      </c>
      <c r="G10162" s="153">
        <f>0.03*0.2*2*8*1.15</f>
        <v>0.1104</v>
      </c>
      <c r="H10162" s="164"/>
      <c r="K10162" s="482"/>
    </row>
    <row r="10163" spans="1:11" x14ac:dyDescent="0.25">
      <c r="A10163" s="163"/>
      <c r="B10163" s="106"/>
      <c r="C10163" s="73"/>
      <c r="D10163" s="75" t="s">
        <v>4675</v>
      </c>
      <c r="E10163" s="73"/>
      <c r="F10163" s="74"/>
      <c r="G10163" s="153"/>
      <c r="H10163" s="164"/>
      <c r="K10163" s="482"/>
    </row>
    <row r="10164" spans="1:11" x14ac:dyDescent="0.25">
      <c r="A10164" s="163"/>
      <c r="B10164" s="106"/>
      <c r="C10164" s="73"/>
      <c r="D10164" s="77" t="s">
        <v>39</v>
      </c>
      <c r="E10164" s="73"/>
      <c r="F10164" s="74" t="s">
        <v>3</v>
      </c>
      <c r="G10164" s="153">
        <f>0.04*0.08*1.2</f>
        <v>3.8400000000000001E-3</v>
      </c>
      <c r="H10164" s="164"/>
      <c r="K10164" s="482"/>
    </row>
    <row r="10165" spans="1:11" x14ac:dyDescent="0.25">
      <c r="A10165" s="163"/>
      <c r="B10165" s="106"/>
      <c r="C10165" s="73"/>
      <c r="D10165" s="77" t="s">
        <v>1055</v>
      </c>
      <c r="E10165" s="73"/>
      <c r="F10165" s="74" t="s">
        <v>3</v>
      </c>
      <c r="G10165" s="153">
        <f>1.5*G10164</f>
        <v>5.7600000000000004E-3</v>
      </c>
      <c r="H10165" s="164"/>
      <c r="K10165" s="482"/>
    </row>
    <row r="10166" spans="1:11" x14ac:dyDescent="0.25">
      <c r="A10166" s="163"/>
      <c r="B10166" s="106"/>
      <c r="C10166" s="73"/>
      <c r="D10166" s="77" t="s">
        <v>8</v>
      </c>
      <c r="E10166" s="73"/>
      <c r="F10166" s="74" t="s">
        <v>3</v>
      </c>
      <c r="G10166" s="153">
        <f>G10168*0.7</f>
        <v>5.4600000000000004E-3</v>
      </c>
      <c r="H10166" s="164"/>
      <c r="K10166" s="482"/>
    </row>
    <row r="10167" spans="1:11" x14ac:dyDescent="0.25">
      <c r="A10167" s="163"/>
      <c r="B10167" s="106"/>
      <c r="C10167" s="73"/>
      <c r="D10167" s="77" t="s">
        <v>12</v>
      </c>
      <c r="E10167" s="73"/>
      <c r="F10167" s="74" t="s">
        <v>3</v>
      </c>
      <c r="G10167" s="153">
        <f>0.3*G10166</f>
        <v>1.6380000000000001E-3</v>
      </c>
      <c r="H10167" s="164"/>
      <c r="K10167" s="482"/>
    </row>
    <row r="10168" spans="1:11" x14ac:dyDescent="0.25">
      <c r="A10168" s="163"/>
      <c r="B10168" s="106"/>
      <c r="C10168" s="73"/>
      <c r="D10168" s="77" t="s">
        <v>72</v>
      </c>
      <c r="E10168" s="73"/>
      <c r="F10168" s="74" t="s">
        <v>3</v>
      </c>
      <c r="G10168" s="153">
        <f>0.2*0.05*2*0.15*2*1.3</f>
        <v>7.8000000000000014E-3</v>
      </c>
      <c r="H10168" s="164"/>
      <c r="K10168" s="482"/>
    </row>
    <row r="10169" spans="1:11" x14ac:dyDescent="0.25">
      <c r="A10169" s="163"/>
      <c r="B10169" s="106"/>
      <c r="C10169" s="73"/>
      <c r="D10169" s="77" t="s">
        <v>11</v>
      </c>
      <c r="E10169" s="73"/>
      <c r="F10169" s="74" t="s">
        <v>3</v>
      </c>
      <c r="G10169" s="153">
        <f>0.3*G10168</f>
        <v>2.3400000000000005E-3</v>
      </c>
      <c r="H10169" s="164"/>
      <c r="K10169" s="482"/>
    </row>
    <row r="10170" spans="1:11" x14ac:dyDescent="0.25">
      <c r="A10170" s="163"/>
      <c r="B10170" s="106"/>
      <c r="C10170" s="73"/>
      <c r="D10170" s="77" t="s">
        <v>4674</v>
      </c>
      <c r="E10170" s="73"/>
      <c r="F10170" s="74" t="s">
        <v>3</v>
      </c>
      <c r="G10170" s="153">
        <v>0.05</v>
      </c>
      <c r="H10170" s="164"/>
      <c r="K10170" s="482"/>
    </row>
    <row r="10171" spans="1:11" x14ac:dyDescent="0.25">
      <c r="A10171" s="163"/>
      <c r="B10171" s="106"/>
      <c r="C10171" s="73"/>
      <c r="D10171" s="73"/>
      <c r="E10171" s="75" t="s">
        <v>4676</v>
      </c>
      <c r="F10171" s="74"/>
      <c r="G10171" s="153"/>
      <c r="H10171" s="164"/>
      <c r="K10171" s="482"/>
    </row>
    <row r="10172" spans="1:11" x14ac:dyDescent="0.25">
      <c r="A10172" s="163"/>
      <c r="B10172" s="106"/>
      <c r="C10172" s="73"/>
      <c r="D10172" s="73"/>
      <c r="E10172" s="73" t="s">
        <v>4678</v>
      </c>
      <c r="F10172" s="74" t="s">
        <v>3</v>
      </c>
      <c r="G10172" s="153">
        <f>0.225*0.045*2*8*1.11</f>
        <v>0.17982000000000004</v>
      </c>
      <c r="H10172" s="164"/>
      <c r="K10172" s="482"/>
    </row>
    <row r="10173" spans="1:11" x14ac:dyDescent="0.25">
      <c r="A10173" s="163"/>
      <c r="B10173" s="106"/>
      <c r="C10173" s="73"/>
      <c r="D10173" s="73"/>
      <c r="E10173" s="75" t="s">
        <v>4677</v>
      </c>
      <c r="F10173" s="74"/>
      <c r="G10173" s="153"/>
      <c r="H10173" s="164"/>
      <c r="K10173" s="482"/>
    </row>
    <row r="10174" spans="1:11" x14ac:dyDescent="0.25">
      <c r="A10174" s="163"/>
      <c r="B10174" s="106"/>
      <c r="C10174" s="73"/>
      <c r="D10174" s="73"/>
      <c r="E10174" s="73" t="s">
        <v>4678</v>
      </c>
      <c r="F10174" s="74" t="s">
        <v>3</v>
      </c>
      <c r="G10174" s="153">
        <f>0.02*0.01*2*8*1.15</f>
        <v>3.6799999999999997E-3</v>
      </c>
      <c r="H10174" s="164"/>
      <c r="K10174" s="482"/>
    </row>
    <row r="10175" spans="1:11" ht="15.75" thickBot="1" x14ac:dyDescent="0.3">
      <c r="A10175" s="67"/>
      <c r="B10175" s="86"/>
      <c r="C10175" s="68"/>
      <c r="D10175" s="68"/>
      <c r="E10175" s="68"/>
      <c r="F10175" s="82"/>
      <c r="G10175" s="89"/>
      <c r="H10175" s="165"/>
      <c r="K10175" s="482"/>
    </row>
    <row r="10176" spans="1:11" x14ac:dyDescent="0.25">
      <c r="A10176" s="159"/>
      <c r="B10176" s="181"/>
      <c r="C10176" s="93"/>
      <c r="D10176" s="93"/>
      <c r="E10176" s="93"/>
      <c r="F10176" s="160"/>
      <c r="G10176" s="161"/>
      <c r="H10176" s="522" t="s">
        <v>4727</v>
      </c>
      <c r="K10176" s="482"/>
    </row>
    <row r="10177" spans="1:11" ht="15.75" x14ac:dyDescent="0.25">
      <c r="A10177" s="163"/>
      <c r="B10177" s="106"/>
      <c r="C10177" s="73"/>
      <c r="D10177" s="73"/>
      <c r="E10177" s="187" t="s">
        <v>4724</v>
      </c>
      <c r="F10177" s="74"/>
      <c r="G10177" s="153"/>
      <c r="H10177" s="164"/>
    </row>
    <row r="10178" spans="1:11" x14ac:dyDescent="0.25">
      <c r="A10178" s="163"/>
      <c r="B10178" s="106"/>
      <c r="C10178" s="73"/>
      <c r="D10178" s="73"/>
      <c r="E10178" s="390"/>
      <c r="F10178" s="74"/>
      <c r="G10178" s="153"/>
      <c r="H10178" s="164"/>
      <c r="K10178" s="500"/>
    </row>
    <row r="10179" spans="1:11" x14ac:dyDescent="0.25">
      <c r="A10179" s="163"/>
      <c r="B10179" s="106"/>
      <c r="C10179" s="73"/>
      <c r="D10179" s="73"/>
      <c r="E10179" s="73"/>
      <c r="F10179" s="74"/>
      <c r="G10179" s="153"/>
      <c r="H10179" s="164"/>
    </row>
    <row r="10180" spans="1:11" x14ac:dyDescent="0.25">
      <c r="A10180" s="163"/>
      <c r="B10180" s="106"/>
      <c r="C10180" s="73" t="s">
        <v>4725</v>
      </c>
      <c r="D10180" s="73"/>
      <c r="E10180" s="73"/>
      <c r="F10180" s="74" t="s">
        <v>3</v>
      </c>
      <c r="G10180" s="153">
        <f>2.7+0.544</f>
        <v>3.2440000000000002</v>
      </c>
      <c r="H10180" s="72">
        <v>4.8159999999999998</v>
      </c>
      <c r="I10180">
        <v>0.8</v>
      </c>
    </row>
    <row r="10181" spans="1:11" x14ac:dyDescent="0.25">
      <c r="A10181" s="163"/>
      <c r="B10181" s="106"/>
      <c r="C10181" s="73"/>
      <c r="D10181" s="73"/>
      <c r="E10181" s="73"/>
      <c r="F10181" s="74"/>
      <c r="G10181" s="153"/>
      <c r="H10181" s="72"/>
    </row>
    <row r="10182" spans="1:11" x14ac:dyDescent="0.25">
      <c r="A10182" s="163"/>
      <c r="B10182" s="106"/>
      <c r="C10182" s="73" t="s">
        <v>4726</v>
      </c>
      <c r="D10182" s="73"/>
      <c r="E10182" s="73"/>
      <c r="F10182" s="74" t="s">
        <v>3</v>
      </c>
      <c r="G10182" s="153">
        <f>G10180*I10182/I10180</f>
        <v>2.2302500000000003</v>
      </c>
      <c r="H10182" s="72">
        <f>H10180*I10182/I10180</f>
        <v>3.3109999999999999</v>
      </c>
      <c r="I10182">
        <v>0.55000000000000004</v>
      </c>
    </row>
    <row r="10183" spans="1:11" ht="15.75" thickBot="1" x14ac:dyDescent="0.3">
      <c r="A10183" s="67"/>
      <c r="B10183" s="86"/>
      <c r="C10183" s="68"/>
      <c r="D10183" s="68"/>
      <c r="E10183" s="68"/>
      <c r="F10183" s="82"/>
      <c r="G10183" s="89"/>
      <c r="H10183" s="165"/>
      <c r="K10183" s="500"/>
    </row>
    <row r="10184" spans="1:11" x14ac:dyDescent="0.25">
      <c r="A10184" s="159"/>
      <c r="B10184" s="181"/>
      <c r="C10184" s="93"/>
      <c r="D10184" s="93"/>
      <c r="E10184" s="93"/>
      <c r="F10184" s="160"/>
      <c r="G10184" s="161"/>
      <c r="H10184" s="162"/>
      <c r="K10184" s="482"/>
    </row>
    <row r="10185" spans="1:11" x14ac:dyDescent="0.25">
      <c r="A10185" s="163"/>
      <c r="B10185" s="106"/>
      <c r="C10185" s="75" t="s">
        <v>4713</v>
      </c>
      <c r="D10185" s="73"/>
      <c r="E10185" s="73"/>
      <c r="F10185" s="74"/>
      <c r="G10185" s="153"/>
      <c r="H10185" s="164"/>
      <c r="K10185" s="482"/>
    </row>
    <row r="10186" spans="1:11" x14ac:dyDescent="0.25">
      <c r="A10186" s="163"/>
      <c r="B10186" s="106"/>
      <c r="C10186" s="73" t="s">
        <v>4714</v>
      </c>
      <c r="D10186" s="73"/>
      <c r="E10186" s="73"/>
      <c r="F10186" s="74" t="s">
        <v>3</v>
      </c>
      <c r="G10186" s="153">
        <f>0.14*0.14*3.5*8+0.001</f>
        <v>0.54980000000000007</v>
      </c>
      <c r="H10186" s="164"/>
      <c r="K10186" s="482"/>
    </row>
    <row r="10187" spans="1:11" x14ac:dyDescent="0.25">
      <c r="A10187" s="163"/>
      <c r="B10187" s="106"/>
      <c r="C10187" s="73"/>
      <c r="D10187" s="73"/>
      <c r="E10187" s="73"/>
      <c r="F10187" s="74"/>
      <c r="G10187" s="153"/>
      <c r="H10187" s="164"/>
      <c r="K10187" s="482"/>
    </row>
    <row r="10188" spans="1:11" x14ac:dyDescent="0.25">
      <c r="A10188" s="163"/>
      <c r="B10188" s="106"/>
      <c r="C10188" s="75" t="s">
        <v>4715</v>
      </c>
      <c r="D10188" s="73"/>
      <c r="E10188" s="73"/>
      <c r="F10188" s="74"/>
      <c r="G10188" s="153"/>
      <c r="H10188" s="164"/>
      <c r="K10188" s="484"/>
    </row>
    <row r="10189" spans="1:11" x14ac:dyDescent="0.25">
      <c r="A10189" s="163"/>
      <c r="B10189" s="106"/>
      <c r="C10189" s="77" t="s">
        <v>4716</v>
      </c>
      <c r="D10189" s="73"/>
      <c r="E10189" s="73"/>
      <c r="F10189" s="74" t="s">
        <v>3</v>
      </c>
      <c r="G10189" s="153">
        <f>0.045*0.045*0.8*8.5</f>
        <v>1.3769999999999999E-2</v>
      </c>
      <c r="H10189" s="164"/>
      <c r="K10189" s="484"/>
    </row>
    <row r="10190" spans="1:11" x14ac:dyDescent="0.25">
      <c r="A10190" s="163"/>
      <c r="B10190" s="106"/>
      <c r="C10190" s="73"/>
      <c r="D10190" s="73"/>
      <c r="E10190" s="73"/>
      <c r="F10190" s="74"/>
      <c r="G10190" s="153"/>
      <c r="H10190" s="164"/>
      <c r="K10190" s="484"/>
    </row>
    <row r="10191" spans="1:11" x14ac:dyDescent="0.25">
      <c r="A10191" s="163"/>
      <c r="B10191" s="106"/>
      <c r="C10191" s="78" t="s">
        <v>4728</v>
      </c>
      <c r="D10191" s="73"/>
      <c r="E10191" s="73"/>
      <c r="F10191" s="74"/>
      <c r="G10191" s="153"/>
      <c r="H10191" s="164"/>
      <c r="K10191" s="484"/>
    </row>
    <row r="10192" spans="1:11" x14ac:dyDescent="0.25">
      <c r="A10192" s="163"/>
      <c r="B10192" s="106"/>
      <c r="C10192" s="77" t="s">
        <v>8</v>
      </c>
      <c r="D10192" s="73"/>
      <c r="E10192" s="73"/>
      <c r="F10192" s="74" t="s">
        <v>3</v>
      </c>
      <c r="G10192" s="153">
        <f>G10193*0.65</f>
        <v>1.5912000000000003E-2</v>
      </c>
      <c r="H10192" s="164"/>
    </row>
    <row r="10193" spans="1:8" x14ac:dyDescent="0.25">
      <c r="A10193" s="163"/>
      <c r="B10193" s="106"/>
      <c r="C10193" s="77" t="s">
        <v>36</v>
      </c>
      <c r="D10193" s="73"/>
      <c r="E10193" s="73"/>
      <c r="F10193" s="74" t="s">
        <v>3</v>
      </c>
      <c r="G10193" s="153">
        <f>0.2*0.17*2*0.15*2*1.2</f>
        <v>2.4480000000000002E-2</v>
      </c>
      <c r="H10193" s="164"/>
    </row>
    <row r="10194" spans="1:8" x14ac:dyDescent="0.25">
      <c r="A10194" s="163"/>
      <c r="B10194" s="106"/>
      <c r="C10194" s="77" t="s">
        <v>12</v>
      </c>
      <c r="D10194" s="73"/>
      <c r="E10194" s="73"/>
      <c r="F10194" s="74" t="s">
        <v>3</v>
      </c>
      <c r="G10194" s="153">
        <f>0.3*(G10193+G10192)</f>
        <v>1.2117600000000001E-2</v>
      </c>
      <c r="H10194" s="164"/>
    </row>
    <row r="10195" spans="1:8" x14ac:dyDescent="0.25">
      <c r="A10195" s="163"/>
      <c r="B10195" s="106"/>
      <c r="C10195" s="73"/>
      <c r="D10195" s="75" t="s">
        <v>4729</v>
      </c>
      <c r="E10195" s="73"/>
      <c r="F10195" s="74"/>
      <c r="G10195" s="153"/>
      <c r="H10195" s="164"/>
    </row>
    <row r="10196" spans="1:8" x14ac:dyDescent="0.25">
      <c r="A10196" s="163"/>
      <c r="B10196" s="106"/>
      <c r="C10196" s="73"/>
      <c r="D10196" s="73" t="s">
        <v>4580</v>
      </c>
      <c r="E10196" s="73"/>
      <c r="F10196" s="74" t="s">
        <v>3</v>
      </c>
      <c r="G10196" s="153">
        <f>0.19*0.17*3*8*1.11</f>
        <v>0.86047200000000024</v>
      </c>
      <c r="H10196" s="164"/>
    </row>
    <row r="10197" spans="1:8" x14ac:dyDescent="0.25">
      <c r="A10197" s="163"/>
      <c r="B10197" s="106"/>
      <c r="C10197" s="73"/>
      <c r="D10197" s="73"/>
      <c r="E10197" s="73"/>
      <c r="F10197" s="74"/>
      <c r="G10197" s="153"/>
      <c r="H10197" s="164"/>
    </row>
    <row r="10198" spans="1:8" x14ac:dyDescent="0.25">
      <c r="A10198" s="163"/>
      <c r="B10198" s="106"/>
      <c r="C10198" s="75" t="s">
        <v>4730</v>
      </c>
      <c r="D10198" s="73"/>
      <c r="E10198" s="73"/>
      <c r="F10198" s="74"/>
      <c r="G10198" s="153"/>
      <c r="H10198" s="164"/>
    </row>
    <row r="10199" spans="1:8" x14ac:dyDescent="0.25">
      <c r="A10199" s="163"/>
      <c r="B10199" s="106"/>
      <c r="C10199" s="77" t="s">
        <v>8</v>
      </c>
      <c r="D10199" s="73"/>
      <c r="E10199" s="73"/>
      <c r="F10199" s="74" t="s">
        <v>3</v>
      </c>
      <c r="G10199" s="153">
        <f>G10200*0.65</f>
        <v>5.5223999999999995E-2</v>
      </c>
      <c r="H10199" s="164"/>
    </row>
    <row r="10200" spans="1:8" x14ac:dyDescent="0.25">
      <c r="A10200" s="163"/>
      <c r="B10200" s="106"/>
      <c r="C10200" s="77" t="s">
        <v>36</v>
      </c>
      <c r="D10200" s="73"/>
      <c r="E10200" s="73"/>
      <c r="F10200" s="74" t="s">
        <v>3</v>
      </c>
      <c r="G10200" s="427">
        <f>1.5*0.08*2*0.15*2*1.18</f>
        <v>8.4959999999999994E-2</v>
      </c>
      <c r="H10200" s="164"/>
    </row>
    <row r="10201" spans="1:8" x14ac:dyDescent="0.25">
      <c r="A10201" s="163"/>
      <c r="B10201" s="106"/>
      <c r="C10201" s="77" t="s">
        <v>12</v>
      </c>
      <c r="D10201" s="73"/>
      <c r="E10201" s="73"/>
      <c r="F10201" s="74" t="s">
        <v>3</v>
      </c>
      <c r="G10201" s="153">
        <f>0.3*(G10200+G10199)</f>
        <v>4.2055199999999994E-2</v>
      </c>
      <c r="H10201" s="164"/>
    </row>
    <row r="10202" spans="1:8" x14ac:dyDescent="0.25">
      <c r="A10202" s="163"/>
      <c r="B10202" s="106"/>
      <c r="C10202" s="73"/>
      <c r="D10202" s="75" t="s">
        <v>4731</v>
      </c>
      <c r="E10202" s="73"/>
      <c r="F10202" s="74"/>
      <c r="G10202" s="153"/>
      <c r="H10202" s="164"/>
    </row>
    <row r="10203" spans="1:8" x14ac:dyDescent="0.25">
      <c r="A10203" s="163"/>
      <c r="B10203" s="106"/>
      <c r="C10203" s="73"/>
      <c r="D10203" s="77" t="s">
        <v>39</v>
      </c>
      <c r="E10203" s="73"/>
      <c r="F10203" s="74" t="s">
        <v>3</v>
      </c>
      <c r="G10203" s="427">
        <f>0.8*0.08*1.25</f>
        <v>0.08</v>
      </c>
      <c r="H10203" s="164"/>
    </row>
    <row r="10204" spans="1:8" ht="17.25" x14ac:dyDescent="0.25">
      <c r="A10204" s="163"/>
      <c r="B10204" s="106"/>
      <c r="C10204" s="73"/>
      <c r="D10204" s="77" t="s">
        <v>1055</v>
      </c>
      <c r="E10204" s="73"/>
      <c r="F10204" s="74" t="s">
        <v>596</v>
      </c>
      <c r="G10204" s="153">
        <f>1.5*G10203</f>
        <v>0.12</v>
      </c>
      <c r="H10204" s="164"/>
    </row>
    <row r="10205" spans="1:8" x14ac:dyDescent="0.25">
      <c r="A10205" s="163"/>
      <c r="B10205" s="106"/>
      <c r="C10205" s="73"/>
      <c r="D10205" s="73"/>
      <c r="E10205" s="75" t="s">
        <v>4732</v>
      </c>
      <c r="F10205" s="74"/>
      <c r="G10205" s="153"/>
      <c r="H10205" s="164"/>
    </row>
    <row r="10206" spans="1:8" x14ac:dyDescent="0.25">
      <c r="A10206" s="163"/>
      <c r="B10206" s="106"/>
      <c r="C10206" s="73"/>
      <c r="D10206" s="73"/>
      <c r="E10206" s="100" t="s">
        <v>140</v>
      </c>
      <c r="F10206" s="74" t="s">
        <v>3</v>
      </c>
      <c r="G10206" s="153">
        <f>0.035*0.08*1.2</f>
        <v>3.3600000000000006E-3</v>
      </c>
      <c r="H10206" s="164"/>
    </row>
    <row r="10207" spans="1:8" ht="17.25" x14ac:dyDescent="0.25">
      <c r="A10207" s="163"/>
      <c r="B10207" s="106"/>
      <c r="C10207" s="73"/>
      <c r="D10207" s="73"/>
      <c r="E10207" s="100" t="s">
        <v>23</v>
      </c>
      <c r="F10207" s="74" t="s">
        <v>596</v>
      </c>
      <c r="G10207" s="153">
        <f>G10206*2</f>
        <v>6.7200000000000011E-3</v>
      </c>
      <c r="H10207" s="164"/>
    </row>
    <row r="10208" spans="1:8" x14ac:dyDescent="0.25">
      <c r="A10208" s="163"/>
      <c r="B10208" s="106"/>
      <c r="C10208" s="73"/>
      <c r="D10208" s="73"/>
      <c r="E10208" s="100" t="s">
        <v>142</v>
      </c>
      <c r="F10208" s="74" t="s">
        <v>3</v>
      </c>
      <c r="G10208" s="153">
        <f>G10206/4</f>
        <v>8.4000000000000014E-4</v>
      </c>
      <c r="H10208" s="164"/>
    </row>
    <row r="10209" spans="1:11" x14ac:dyDescent="0.25">
      <c r="A10209" s="163"/>
      <c r="B10209" s="106"/>
      <c r="C10209" s="73"/>
      <c r="D10209" s="73"/>
      <c r="E10209" s="78" t="s">
        <v>4733</v>
      </c>
      <c r="F10209" s="74"/>
      <c r="G10209" s="153"/>
      <c r="H10209" s="164"/>
    </row>
    <row r="10210" spans="1:11" x14ac:dyDescent="0.25">
      <c r="A10210" s="163"/>
      <c r="B10210" s="106"/>
      <c r="C10210" s="73"/>
      <c r="D10210" s="73"/>
      <c r="E10210" s="186" t="s">
        <v>4580</v>
      </c>
      <c r="F10210" s="74" t="s">
        <v>3</v>
      </c>
      <c r="G10210" s="153">
        <f>0.2*0.075*3*8*1.11</f>
        <v>0.39960000000000001</v>
      </c>
      <c r="H10210" s="164"/>
      <c r="K10210" s="504"/>
    </row>
    <row r="10211" spans="1:11" x14ac:dyDescent="0.25">
      <c r="A10211" s="163"/>
      <c r="B10211" s="106"/>
      <c r="C10211" s="73"/>
      <c r="D10211" s="73"/>
      <c r="E10211" s="78" t="s">
        <v>4735</v>
      </c>
      <c r="F10211" s="74"/>
      <c r="G10211" s="153"/>
      <c r="H10211" s="164"/>
    </row>
    <row r="10212" spans="1:11" x14ac:dyDescent="0.25">
      <c r="A10212" s="163"/>
      <c r="B10212" s="106"/>
      <c r="C10212" s="73"/>
      <c r="D10212" s="73"/>
      <c r="E10212" s="186" t="s">
        <v>4580</v>
      </c>
      <c r="F10212" s="74" t="s">
        <v>3</v>
      </c>
      <c r="G10212" s="153">
        <f>0.2*0.075*3*8*1.11</f>
        <v>0.39960000000000001</v>
      </c>
      <c r="H10212" s="164"/>
      <c r="K10212" s="504"/>
    </row>
    <row r="10213" spans="1:11" x14ac:dyDescent="0.25">
      <c r="A10213" s="163"/>
      <c r="B10213" s="106"/>
      <c r="C10213" s="73"/>
      <c r="D10213" s="73"/>
      <c r="E10213" s="78" t="s">
        <v>4736</v>
      </c>
      <c r="F10213" s="74"/>
      <c r="G10213" s="153"/>
      <c r="H10213" s="164"/>
    </row>
    <row r="10214" spans="1:11" x14ac:dyDescent="0.25">
      <c r="A10214" s="163"/>
      <c r="B10214" s="106"/>
      <c r="C10214" s="73"/>
      <c r="D10214" s="73"/>
      <c r="E10214" s="186" t="s">
        <v>4580</v>
      </c>
      <c r="F10214" s="74" t="s">
        <v>3</v>
      </c>
      <c r="G10214" s="153">
        <f>0.175*0.045*3*8*1.14</f>
        <v>0.21545999999999998</v>
      </c>
      <c r="H10214" s="164"/>
      <c r="K10214" s="504"/>
    </row>
    <row r="10215" spans="1:11" x14ac:dyDescent="0.25">
      <c r="A10215" s="163"/>
      <c r="B10215" s="106"/>
      <c r="C10215" s="73"/>
      <c r="D10215" s="73"/>
      <c r="E10215" s="78" t="s">
        <v>4737</v>
      </c>
      <c r="F10215" s="74"/>
      <c r="G10215" s="153"/>
      <c r="H10215" s="164"/>
    </row>
    <row r="10216" spans="1:11" x14ac:dyDescent="0.25">
      <c r="A10216" s="163"/>
      <c r="B10216" s="106"/>
      <c r="C10216" s="73"/>
      <c r="D10216" s="73"/>
      <c r="E10216" s="186" t="s">
        <v>4580</v>
      </c>
      <c r="F10216" s="74" t="s">
        <v>3</v>
      </c>
      <c r="G10216" s="153">
        <f>0.29*0.05*3*8*1.15</f>
        <v>0.40019999999999994</v>
      </c>
      <c r="H10216" s="164"/>
      <c r="K10216" s="504"/>
    </row>
    <row r="10217" spans="1:11" x14ac:dyDescent="0.25">
      <c r="A10217" s="163"/>
      <c r="B10217" s="106"/>
      <c r="C10217" s="73"/>
      <c r="D10217" s="73"/>
      <c r="E10217" s="78" t="s">
        <v>4738</v>
      </c>
      <c r="F10217" s="74"/>
      <c r="G10217" s="153"/>
      <c r="H10217" s="164"/>
    </row>
    <row r="10218" spans="1:11" x14ac:dyDescent="0.25">
      <c r="A10218" s="163"/>
      <c r="B10218" s="106"/>
      <c r="C10218" s="73"/>
      <c r="D10218" s="73"/>
      <c r="E10218" s="186" t="s">
        <v>4580</v>
      </c>
      <c r="F10218" s="74" t="s">
        <v>3</v>
      </c>
      <c r="G10218" s="153">
        <f>0.17*0.07*3*8*1.12</f>
        <v>0.3198720000000001</v>
      </c>
      <c r="H10218" s="164"/>
      <c r="K10218" s="504"/>
    </row>
    <row r="10219" spans="1:11" x14ac:dyDescent="0.25">
      <c r="A10219" s="163"/>
      <c r="B10219" s="106"/>
      <c r="C10219" s="73"/>
      <c r="D10219" s="73"/>
      <c r="E10219" s="78" t="s">
        <v>4739</v>
      </c>
      <c r="F10219" s="74"/>
      <c r="G10219" s="153"/>
      <c r="H10219" s="164"/>
    </row>
    <row r="10220" spans="1:11" x14ac:dyDescent="0.25">
      <c r="A10220" s="163"/>
      <c r="B10220" s="106"/>
      <c r="C10220" s="73"/>
      <c r="D10220" s="73"/>
      <c r="E10220" s="186" t="s">
        <v>4580</v>
      </c>
      <c r="F10220" s="74" t="s">
        <v>3</v>
      </c>
      <c r="G10220" s="153">
        <f>0.185*0.075*3*8*1.125</f>
        <v>0.37462500000000004</v>
      </c>
      <c r="H10220" s="164"/>
      <c r="K10220" s="504"/>
    </row>
    <row r="10221" spans="1:11" x14ac:dyDescent="0.25">
      <c r="A10221" s="163"/>
      <c r="B10221" s="106"/>
      <c r="C10221" s="73"/>
      <c r="D10221" s="73"/>
      <c r="E10221" s="78" t="s">
        <v>4740</v>
      </c>
      <c r="F10221" s="74"/>
      <c r="G10221" s="153"/>
      <c r="H10221" s="164"/>
    </row>
    <row r="10222" spans="1:11" x14ac:dyDescent="0.25">
      <c r="A10222" s="163"/>
      <c r="B10222" s="106"/>
      <c r="C10222" s="73"/>
      <c r="D10222" s="73"/>
      <c r="E10222" s="186" t="s">
        <v>4580</v>
      </c>
      <c r="F10222" s="74" t="s">
        <v>3</v>
      </c>
      <c r="G10222" s="153">
        <f>0.16*0.05*3*8*1.12</f>
        <v>0.21504000000000004</v>
      </c>
      <c r="H10222" s="164"/>
      <c r="K10222" s="504"/>
    </row>
    <row r="10223" spans="1:11" x14ac:dyDescent="0.25">
      <c r="A10223" s="163"/>
      <c r="B10223" s="106"/>
      <c r="C10223" s="73"/>
      <c r="D10223" s="73"/>
      <c r="E10223" s="78" t="s">
        <v>4741</v>
      </c>
      <c r="F10223" s="74"/>
      <c r="G10223" s="153"/>
      <c r="H10223" s="164"/>
    </row>
    <row r="10224" spans="1:11" x14ac:dyDescent="0.25">
      <c r="A10224" s="163"/>
      <c r="B10224" s="106"/>
      <c r="C10224" s="73"/>
      <c r="D10224" s="73"/>
      <c r="E10224" s="186" t="s">
        <v>4615</v>
      </c>
      <c r="F10224" s="74" t="s">
        <v>3</v>
      </c>
      <c r="G10224" s="153">
        <f>0.062*0.018*2*8*1.12</f>
        <v>1.9998719999999998E-2</v>
      </c>
      <c r="H10224" s="164"/>
      <c r="K10224" s="504"/>
    </row>
    <row r="10225" spans="1:11" x14ac:dyDescent="0.25">
      <c r="A10225" s="163"/>
      <c r="B10225" s="106"/>
      <c r="C10225" s="73"/>
      <c r="D10225" s="73"/>
      <c r="E10225" s="78" t="s">
        <v>4742</v>
      </c>
      <c r="F10225" s="74"/>
      <c r="G10225" s="153"/>
      <c r="H10225" s="164"/>
    </row>
    <row r="10226" spans="1:11" x14ac:dyDescent="0.25">
      <c r="A10226" s="163"/>
      <c r="B10226" s="106"/>
      <c r="C10226" s="73"/>
      <c r="D10226" s="73"/>
      <c r="E10226" s="186" t="s">
        <v>4615</v>
      </c>
      <c r="F10226" s="74" t="s">
        <v>3</v>
      </c>
      <c r="G10226" s="153">
        <f>0.02*0.01*2*8*1.12</f>
        <v>3.5840000000000004E-3</v>
      </c>
      <c r="H10226" s="164"/>
      <c r="K10226" s="504"/>
    </row>
    <row r="10227" spans="1:11" x14ac:dyDescent="0.25">
      <c r="A10227" s="163"/>
      <c r="B10227" s="106"/>
      <c r="C10227" s="73"/>
      <c r="D10227" s="73"/>
      <c r="E10227" s="78" t="s">
        <v>4743</v>
      </c>
      <c r="F10227" s="74"/>
      <c r="G10227" s="153"/>
      <c r="H10227" s="164"/>
    </row>
    <row r="10228" spans="1:11" x14ac:dyDescent="0.25">
      <c r="A10228" s="163"/>
      <c r="B10228" s="106"/>
      <c r="C10228" s="73"/>
      <c r="D10228" s="73"/>
      <c r="E10228" s="186" t="s">
        <v>4476</v>
      </c>
      <c r="F10228" s="74" t="s">
        <v>3</v>
      </c>
      <c r="G10228" s="153">
        <f>0.515*0.035*5*8*1.11</f>
        <v>0.80031000000000019</v>
      </c>
      <c r="H10228" s="164"/>
      <c r="K10228" s="504"/>
    </row>
    <row r="10229" spans="1:11" x14ac:dyDescent="0.25">
      <c r="A10229" s="163"/>
      <c r="B10229" s="106"/>
      <c r="C10229" s="73"/>
      <c r="D10229" s="73"/>
      <c r="E10229" s="78" t="s">
        <v>4744</v>
      </c>
      <c r="F10229" s="74"/>
      <c r="G10229" s="153"/>
      <c r="H10229" s="164"/>
    </row>
    <row r="10230" spans="1:11" x14ac:dyDescent="0.25">
      <c r="A10230" s="163"/>
      <c r="B10230" s="106"/>
      <c r="C10230" s="73"/>
      <c r="D10230" s="73"/>
      <c r="E10230" s="186" t="s">
        <v>4476</v>
      </c>
      <c r="F10230" s="74" t="s">
        <v>3</v>
      </c>
      <c r="G10230" s="153">
        <f>0.11*0.125*5*8*1.127</f>
        <v>0.61985000000000001</v>
      </c>
      <c r="H10230" s="164"/>
      <c r="K10230" s="504"/>
    </row>
    <row r="10231" spans="1:11" x14ac:dyDescent="0.25">
      <c r="A10231" s="163"/>
      <c r="B10231" s="106"/>
      <c r="C10231" s="73"/>
      <c r="D10231" s="73"/>
      <c r="E10231" s="78" t="s">
        <v>4734</v>
      </c>
      <c r="F10231" s="74"/>
      <c r="G10231" s="153"/>
      <c r="H10231" s="164"/>
    </row>
    <row r="10232" spans="1:11" x14ac:dyDescent="0.25">
      <c r="A10232" s="163"/>
      <c r="B10232" s="106"/>
      <c r="C10232" s="73"/>
      <c r="D10232" s="73"/>
      <c r="E10232" s="186" t="s">
        <v>4580</v>
      </c>
      <c r="F10232" s="74" t="s">
        <v>3</v>
      </c>
      <c r="G10232" s="153">
        <f>0.18*0.05*3*8*1.158</f>
        <v>0.25012799999999996</v>
      </c>
      <c r="H10232" s="164"/>
    </row>
    <row r="10233" spans="1:11" ht="15.75" thickBot="1" x14ac:dyDescent="0.3">
      <c r="A10233" s="67"/>
      <c r="B10233" s="86"/>
      <c r="C10233" s="68"/>
      <c r="D10233" s="68"/>
      <c r="E10233" s="68"/>
      <c r="F10233" s="82"/>
      <c r="G10233" s="89"/>
      <c r="H10233" s="165"/>
    </row>
    <row r="10234" spans="1:11" x14ac:dyDescent="0.25">
      <c r="A10234" s="159"/>
      <c r="B10234" s="181"/>
      <c r="C10234" s="93"/>
      <c r="D10234" s="93"/>
      <c r="E10234" s="93"/>
      <c r="F10234" s="160"/>
      <c r="G10234" s="161"/>
      <c r="H10234" s="522" t="s">
        <v>4765</v>
      </c>
    </row>
    <row r="10235" spans="1:11" x14ac:dyDescent="0.25">
      <c r="A10235" s="163"/>
      <c r="B10235" s="106"/>
      <c r="C10235" s="75" t="s">
        <v>4759</v>
      </c>
      <c r="D10235" s="75"/>
      <c r="E10235" s="73"/>
      <c r="F10235" s="74"/>
      <c r="G10235" s="153"/>
      <c r="H10235" s="164"/>
    </row>
    <row r="10236" spans="1:11" x14ac:dyDescent="0.25">
      <c r="A10236" s="163"/>
      <c r="B10236" s="106"/>
      <c r="C10236" s="73" t="s">
        <v>671</v>
      </c>
      <c r="D10236" s="73"/>
      <c r="E10236" s="73"/>
      <c r="F10236" s="74" t="s">
        <v>3</v>
      </c>
      <c r="G10236" s="153">
        <v>5.0000000000000001E-3</v>
      </c>
      <c r="H10236" s="164"/>
    </row>
    <row r="10237" spans="1:11" x14ac:dyDescent="0.25">
      <c r="A10237" s="163"/>
      <c r="B10237" s="106"/>
      <c r="C10237" s="73" t="s">
        <v>672</v>
      </c>
      <c r="D10237" s="73"/>
      <c r="E10237" s="73"/>
      <c r="F10237" s="74" t="s">
        <v>3</v>
      </c>
      <c r="G10237" s="153">
        <f>G10236*3</f>
        <v>1.4999999999999999E-2</v>
      </c>
      <c r="H10237" s="164"/>
    </row>
    <row r="10238" spans="1:11" x14ac:dyDescent="0.25">
      <c r="A10238" s="163"/>
      <c r="B10238" s="106"/>
      <c r="C10238" s="73" t="s">
        <v>1785</v>
      </c>
      <c r="D10238" s="73"/>
      <c r="E10238" s="73"/>
      <c r="F10238" s="74" t="s">
        <v>3</v>
      </c>
      <c r="G10238" s="153">
        <v>1E-3</v>
      </c>
      <c r="H10238" s="164"/>
    </row>
    <row r="10239" spans="1:11" x14ac:dyDescent="0.25">
      <c r="A10239" s="163"/>
      <c r="B10239" s="106"/>
      <c r="C10239" s="73" t="s">
        <v>379</v>
      </c>
      <c r="D10239" s="73"/>
      <c r="E10239" s="73"/>
      <c r="F10239" s="74" t="s">
        <v>195</v>
      </c>
      <c r="G10239" s="153">
        <v>0.15</v>
      </c>
      <c r="H10239" s="164"/>
      <c r="I10239" t="s">
        <v>4760</v>
      </c>
    </row>
    <row r="10240" spans="1:11" x14ac:dyDescent="0.25">
      <c r="A10240" s="163"/>
      <c r="B10240" s="106"/>
      <c r="C10240" s="73"/>
      <c r="D10240" s="75" t="s">
        <v>4761</v>
      </c>
      <c r="E10240" s="73"/>
      <c r="F10240" s="74"/>
      <c r="G10240" s="153"/>
      <c r="H10240" s="164"/>
    </row>
    <row r="10241" spans="1:11" x14ac:dyDescent="0.25">
      <c r="A10241" s="163"/>
      <c r="B10241" s="106"/>
      <c r="C10241" s="73"/>
      <c r="D10241" s="73" t="s">
        <v>4762</v>
      </c>
      <c r="E10241" s="73"/>
      <c r="F10241" s="74" t="s">
        <v>3</v>
      </c>
      <c r="G10241" s="428">
        <f>0.007*0.007*0.5*8.5*1.15</f>
        <v>2.3948750000000001E-4</v>
      </c>
      <c r="H10241" s="164"/>
    </row>
    <row r="10242" spans="1:11" x14ac:dyDescent="0.25">
      <c r="A10242" s="163"/>
      <c r="B10242" s="106"/>
      <c r="C10242" s="73"/>
      <c r="D10242" s="75" t="s">
        <v>4763</v>
      </c>
      <c r="E10242" s="73"/>
      <c r="F10242" s="74"/>
      <c r="G10242" s="428"/>
      <c r="H10242" s="164"/>
    </row>
    <row r="10243" spans="1:11" x14ac:dyDescent="0.25">
      <c r="A10243" s="163"/>
      <c r="B10243" s="106"/>
      <c r="C10243" s="73"/>
      <c r="D10243" s="73" t="s">
        <v>4764</v>
      </c>
      <c r="E10243" s="73"/>
      <c r="F10243" s="74" t="s">
        <v>3</v>
      </c>
      <c r="G10243" s="153">
        <f>0.045*0.005*0.5*8*1.12</f>
        <v>1.008E-3</v>
      </c>
      <c r="H10243" s="164"/>
      <c r="I10243" t="s">
        <v>4775</v>
      </c>
    </row>
    <row r="10244" spans="1:11" ht="15.75" thickBot="1" x14ac:dyDescent="0.3">
      <c r="A10244" s="67"/>
      <c r="B10244" s="86"/>
      <c r="C10244" s="68"/>
      <c r="D10244" s="68"/>
      <c r="E10244" s="68"/>
      <c r="F10244" s="82"/>
      <c r="G10244" s="89"/>
      <c r="H10244" s="165"/>
    </row>
    <row r="10245" spans="1:11" x14ac:dyDescent="0.25">
      <c r="A10245" s="159"/>
      <c r="B10245" s="181"/>
      <c r="C10245" s="93"/>
      <c r="D10245" s="93"/>
      <c r="E10245" s="93"/>
      <c r="F10245" s="160"/>
      <c r="G10245" s="161"/>
      <c r="H10245" s="522" t="s">
        <v>4773</v>
      </c>
      <c r="K10245" s="505"/>
    </row>
    <row r="10246" spans="1:11" x14ac:dyDescent="0.25">
      <c r="A10246" s="163"/>
      <c r="B10246" s="106"/>
      <c r="C10246" s="75" t="s">
        <v>4766</v>
      </c>
      <c r="D10246" s="73"/>
      <c r="E10246" s="73"/>
      <c r="F10246" s="74"/>
      <c r="G10246" s="153"/>
      <c r="H10246" s="164"/>
    </row>
    <row r="10247" spans="1:11" x14ac:dyDescent="0.25">
      <c r="A10247" s="163"/>
      <c r="B10247" s="106"/>
      <c r="C10247" s="73" t="s">
        <v>3534</v>
      </c>
      <c r="D10247" s="73"/>
      <c r="E10247" s="73"/>
      <c r="F10247" s="74" t="s">
        <v>195</v>
      </c>
      <c r="G10247" s="153">
        <v>0.65</v>
      </c>
      <c r="H10247" s="164"/>
      <c r="I10247" t="s">
        <v>4767</v>
      </c>
    </row>
    <row r="10248" spans="1:11" x14ac:dyDescent="0.25">
      <c r="A10248" s="163"/>
      <c r="B10248" s="106"/>
      <c r="C10248" s="73" t="s">
        <v>1658</v>
      </c>
      <c r="D10248" s="73"/>
      <c r="E10248" s="73"/>
      <c r="F10248" s="74" t="s">
        <v>3</v>
      </c>
      <c r="G10248" s="153">
        <v>4.0000000000000001E-3</v>
      </c>
      <c r="H10248" s="164"/>
      <c r="I10248" t="s">
        <v>4768</v>
      </c>
    </row>
    <row r="10249" spans="1:11" x14ac:dyDescent="0.25">
      <c r="A10249" s="163"/>
      <c r="B10249" s="106"/>
      <c r="C10249" s="73" t="s">
        <v>671</v>
      </c>
      <c r="D10249" s="73"/>
      <c r="E10249" s="73"/>
      <c r="F10249" s="74" t="s">
        <v>3</v>
      </c>
      <c r="G10249" s="153">
        <v>1.4999999999999999E-2</v>
      </c>
      <c r="H10249" s="164"/>
    </row>
    <row r="10250" spans="1:11" x14ac:dyDescent="0.25">
      <c r="A10250" s="163"/>
      <c r="B10250" s="106"/>
      <c r="C10250" s="73" t="s">
        <v>672</v>
      </c>
      <c r="D10250" s="73"/>
      <c r="E10250" s="73"/>
      <c r="F10250" s="74" t="s">
        <v>3</v>
      </c>
      <c r="G10250" s="153">
        <f>G10249*2</f>
        <v>0.03</v>
      </c>
      <c r="H10250" s="164"/>
    </row>
    <row r="10251" spans="1:11" x14ac:dyDescent="0.25">
      <c r="A10251" s="163"/>
      <c r="B10251" s="106"/>
      <c r="C10251" s="73"/>
      <c r="D10251" s="73"/>
      <c r="E10251" s="73"/>
      <c r="F10251" s="74"/>
      <c r="G10251" s="153"/>
      <c r="H10251" s="164"/>
    </row>
    <row r="10252" spans="1:11" x14ac:dyDescent="0.25">
      <c r="A10252" s="163"/>
      <c r="B10252" s="106"/>
      <c r="C10252" s="75" t="s">
        <v>4769</v>
      </c>
      <c r="D10252" s="73"/>
      <c r="E10252" s="73"/>
      <c r="F10252" s="74"/>
      <c r="G10252" s="153"/>
      <c r="H10252" s="164"/>
    </row>
    <row r="10253" spans="1:11" x14ac:dyDescent="0.25">
      <c r="A10253" s="163"/>
      <c r="B10253" s="106"/>
      <c r="C10253" s="73" t="s">
        <v>4770</v>
      </c>
      <c r="D10253" s="73"/>
      <c r="E10253" s="73"/>
      <c r="F10253" s="74" t="s">
        <v>195</v>
      </c>
      <c r="G10253" s="153">
        <v>3.1</v>
      </c>
      <c r="H10253" s="164"/>
      <c r="I10253" t="s">
        <v>4771</v>
      </c>
    </row>
    <row r="10254" spans="1:11" x14ac:dyDescent="0.25">
      <c r="A10254" s="163"/>
      <c r="B10254" s="106"/>
      <c r="C10254" s="73" t="s">
        <v>1658</v>
      </c>
      <c r="D10254" s="73"/>
      <c r="E10254" s="73"/>
      <c r="F10254" s="74" t="s">
        <v>3</v>
      </c>
      <c r="G10254" s="153">
        <v>4.0000000000000001E-3</v>
      </c>
      <c r="H10254" s="164"/>
      <c r="I10254" t="s">
        <v>4772</v>
      </c>
    </row>
    <row r="10255" spans="1:11" x14ac:dyDescent="0.25">
      <c r="A10255" s="163"/>
      <c r="B10255" s="106"/>
      <c r="C10255" s="73" t="s">
        <v>671</v>
      </c>
      <c r="D10255" s="73"/>
      <c r="E10255" s="73"/>
      <c r="F10255" s="74" t="s">
        <v>3</v>
      </c>
      <c r="G10255" s="153">
        <v>1.4999999999999999E-2</v>
      </c>
      <c r="H10255" s="164"/>
    </row>
    <row r="10256" spans="1:11" x14ac:dyDescent="0.25">
      <c r="A10256" s="163"/>
      <c r="B10256" s="106"/>
      <c r="C10256" s="73" t="s">
        <v>672</v>
      </c>
      <c r="D10256" s="73"/>
      <c r="E10256" s="73"/>
      <c r="F10256" s="74" t="s">
        <v>3</v>
      </c>
      <c r="G10256" s="153">
        <f>G10255*2</f>
        <v>0.03</v>
      </c>
      <c r="H10256" s="164"/>
    </row>
    <row r="10257" spans="1:11" x14ac:dyDescent="0.25">
      <c r="A10257" s="163"/>
      <c r="B10257" s="106"/>
      <c r="C10257" s="73"/>
      <c r="D10257" s="73"/>
      <c r="E10257" s="73"/>
      <c r="F10257" s="74"/>
      <c r="G10257" s="153"/>
      <c r="H10257" s="164"/>
      <c r="K10257" s="506"/>
    </row>
    <row r="10258" spans="1:11" x14ac:dyDescent="0.25">
      <c r="A10258" s="163"/>
      <c r="B10258" s="106"/>
      <c r="C10258" s="401" t="s">
        <v>2916</v>
      </c>
      <c r="D10258" s="73"/>
      <c r="E10258" s="73"/>
      <c r="F10258" s="74"/>
      <c r="G10258" s="153"/>
      <c r="H10258" s="164"/>
    </row>
    <row r="10259" spans="1:11" x14ac:dyDescent="0.25">
      <c r="A10259" s="163"/>
      <c r="B10259" s="106"/>
      <c r="C10259" s="100" t="s">
        <v>140</v>
      </c>
      <c r="D10259" s="73"/>
      <c r="E10259" s="73"/>
      <c r="F10259" s="74" t="s">
        <v>3</v>
      </c>
      <c r="G10259" s="153">
        <f>0.01*3.14*0.08*1.1</f>
        <v>2.7632000000000008E-3</v>
      </c>
      <c r="H10259" s="164"/>
    </row>
    <row r="10260" spans="1:11" ht="17.25" x14ac:dyDescent="0.25">
      <c r="A10260" s="163"/>
      <c r="B10260" s="106"/>
      <c r="C10260" s="100" t="s">
        <v>23</v>
      </c>
      <c r="D10260" s="73"/>
      <c r="E10260" s="73"/>
      <c r="F10260" s="74" t="s">
        <v>596</v>
      </c>
      <c r="G10260" s="153">
        <f>G10259*2</f>
        <v>5.5264000000000016E-3</v>
      </c>
      <c r="H10260" s="164"/>
    </row>
    <row r="10261" spans="1:11" x14ac:dyDescent="0.25">
      <c r="A10261" s="163"/>
      <c r="B10261" s="106"/>
      <c r="C10261" s="100" t="s">
        <v>142</v>
      </c>
      <c r="D10261" s="73"/>
      <c r="E10261" s="73"/>
      <c r="F10261" s="74" t="s">
        <v>3</v>
      </c>
      <c r="G10261" s="153">
        <f>G10259/4</f>
        <v>6.908000000000002E-4</v>
      </c>
      <c r="H10261" s="164"/>
    </row>
    <row r="10262" spans="1:11" x14ac:dyDescent="0.25">
      <c r="A10262" s="163"/>
      <c r="B10262" s="106"/>
      <c r="C10262" s="186" t="s">
        <v>114</v>
      </c>
      <c r="D10262" s="73"/>
      <c r="E10262" s="73"/>
      <c r="F10262" s="74" t="s">
        <v>3</v>
      </c>
      <c r="G10262" s="153">
        <f>G10264*0.7</f>
        <v>1.2396999999999997E-2</v>
      </c>
      <c r="H10262" s="164"/>
    </row>
    <row r="10263" spans="1:11" x14ac:dyDescent="0.25">
      <c r="A10263" s="163"/>
      <c r="B10263" s="106"/>
      <c r="C10263" s="186" t="s">
        <v>164</v>
      </c>
      <c r="D10263" s="73"/>
      <c r="E10263" s="73"/>
      <c r="F10263" s="74" t="s">
        <v>3</v>
      </c>
      <c r="G10263" s="153">
        <f>0.3*G10262</f>
        <v>3.7190999999999986E-3</v>
      </c>
      <c r="H10263" s="164"/>
    </row>
    <row r="10264" spans="1:11" x14ac:dyDescent="0.25">
      <c r="A10264" s="163"/>
      <c r="B10264" s="106"/>
      <c r="C10264" s="186" t="s">
        <v>4745</v>
      </c>
      <c r="D10264" s="73"/>
      <c r="E10264" s="73"/>
      <c r="F10264" s="74" t="s">
        <v>3</v>
      </c>
      <c r="G10264" s="153">
        <f>0.7*0.011*2*1.15</f>
        <v>1.7709999999999997E-2</v>
      </c>
      <c r="H10264" s="164"/>
    </row>
    <row r="10265" spans="1:11" x14ac:dyDescent="0.25">
      <c r="A10265" s="163"/>
      <c r="B10265" s="106"/>
      <c r="C10265" s="186" t="s">
        <v>12</v>
      </c>
      <c r="D10265" s="73"/>
      <c r="E10265" s="73"/>
      <c r="F10265" s="74" t="s">
        <v>3</v>
      </c>
      <c r="G10265" s="153">
        <f>0.3*G10264</f>
        <v>5.3129999999999991E-3</v>
      </c>
      <c r="H10265" s="164"/>
    </row>
    <row r="10266" spans="1:11" x14ac:dyDescent="0.25">
      <c r="A10266" s="163"/>
      <c r="B10266" s="106"/>
      <c r="C10266" s="73"/>
      <c r="D10266" s="75" t="s">
        <v>4746</v>
      </c>
      <c r="E10266" s="73"/>
      <c r="F10266" s="74"/>
      <c r="G10266" s="153"/>
      <c r="H10266" s="164"/>
    </row>
    <row r="10267" spans="1:11" x14ac:dyDescent="0.25">
      <c r="A10267" s="163"/>
      <c r="B10267" s="106"/>
      <c r="C10267" s="73"/>
      <c r="D10267" s="73" t="s">
        <v>1777</v>
      </c>
      <c r="E10267" s="73"/>
      <c r="F10267" s="74" t="s">
        <v>3</v>
      </c>
      <c r="G10267" s="153">
        <f>0.75*0.252+0.001</f>
        <v>0.19</v>
      </c>
      <c r="H10267" s="164"/>
      <c r="I10267" t="s">
        <v>1287</v>
      </c>
    </row>
    <row r="10268" spans="1:11" x14ac:dyDescent="0.25">
      <c r="A10268" s="163"/>
      <c r="B10268" s="106"/>
      <c r="C10268" s="73"/>
      <c r="D10268" s="73"/>
      <c r="E10268" s="73"/>
      <c r="F10268" s="74"/>
      <c r="G10268" s="153"/>
      <c r="H10268" s="164"/>
    </row>
    <row r="10269" spans="1:11" x14ac:dyDescent="0.25">
      <c r="A10269" s="163"/>
      <c r="B10269" s="106"/>
      <c r="C10269" s="75" t="s">
        <v>4747</v>
      </c>
      <c r="D10269" s="73"/>
      <c r="E10269" s="73"/>
      <c r="F10269" s="74"/>
      <c r="G10269" s="153"/>
      <c r="H10269" s="164"/>
    </row>
    <row r="10270" spans="1:11" ht="17.25" x14ac:dyDescent="0.25">
      <c r="A10270" s="163"/>
      <c r="B10270" s="106"/>
      <c r="C10270" s="73" t="s">
        <v>4748</v>
      </c>
      <c r="D10270" s="73"/>
      <c r="E10270" s="73"/>
      <c r="F10270" s="74" t="s">
        <v>677</v>
      </c>
      <c r="G10270" s="153">
        <f>0.561*0.04*1.15</f>
        <v>2.5805999999999999E-2</v>
      </c>
      <c r="H10270" s="164"/>
    </row>
    <row r="10271" spans="1:11" x14ac:dyDescent="0.25">
      <c r="A10271" s="163"/>
      <c r="B10271" s="106"/>
      <c r="C10271" s="73"/>
      <c r="D10271" s="73"/>
      <c r="E10271" s="73"/>
      <c r="F10271" s="74"/>
      <c r="G10271" s="153"/>
      <c r="H10271" s="164"/>
    </row>
    <row r="10272" spans="1:11" x14ac:dyDescent="0.25">
      <c r="A10272" s="163"/>
      <c r="B10272" s="106"/>
      <c r="C10272" s="75" t="s">
        <v>4749</v>
      </c>
      <c r="D10272" s="73"/>
      <c r="E10272" s="73"/>
      <c r="F10272" s="74"/>
      <c r="G10272" s="153"/>
      <c r="H10272" s="164"/>
    </row>
    <row r="10273" spans="1:9" x14ac:dyDescent="0.25">
      <c r="A10273" s="163"/>
      <c r="B10273" s="106"/>
      <c r="C10273" s="73" t="s">
        <v>4750</v>
      </c>
      <c r="D10273" s="73"/>
      <c r="E10273" s="73"/>
      <c r="F10273" s="74" t="s">
        <v>1516</v>
      </c>
      <c r="G10273" s="153">
        <v>1</v>
      </c>
      <c r="H10273" s="164"/>
    </row>
    <row r="10274" spans="1:9" x14ac:dyDescent="0.25">
      <c r="A10274" s="163"/>
      <c r="B10274" s="106"/>
      <c r="C10274" s="73" t="s">
        <v>4751</v>
      </c>
      <c r="D10274" s="73"/>
      <c r="E10274" s="73"/>
      <c r="F10274" s="74" t="s">
        <v>2897</v>
      </c>
      <c r="G10274" s="153">
        <v>0.03</v>
      </c>
      <c r="H10274" s="164"/>
    </row>
    <row r="10275" spans="1:9" x14ac:dyDescent="0.25">
      <c r="A10275" s="163"/>
      <c r="B10275" s="106"/>
      <c r="C10275" s="73"/>
      <c r="D10275" s="73"/>
      <c r="E10275" s="73"/>
      <c r="F10275" s="74"/>
      <c r="G10275" s="153"/>
      <c r="H10275" s="164"/>
    </row>
    <row r="10276" spans="1:9" x14ac:dyDescent="0.25">
      <c r="A10276" s="163"/>
      <c r="B10276" s="106"/>
      <c r="C10276" s="75" t="s">
        <v>4752</v>
      </c>
      <c r="D10276" s="73"/>
      <c r="E10276" s="73"/>
      <c r="F10276" s="74"/>
      <c r="G10276" s="153"/>
      <c r="H10276" s="164"/>
    </row>
    <row r="10277" spans="1:9" x14ac:dyDescent="0.25">
      <c r="A10277" s="163"/>
      <c r="B10277" s="106"/>
      <c r="C10277" s="73" t="s">
        <v>723</v>
      </c>
      <c r="D10277" s="73"/>
      <c r="E10277" s="73"/>
      <c r="F10277" s="74" t="s">
        <v>3</v>
      </c>
      <c r="G10277" s="153">
        <v>2E-3</v>
      </c>
      <c r="H10277" s="164"/>
      <c r="I10277" t="s">
        <v>2005</v>
      </c>
    </row>
    <row r="10278" spans="1:9" x14ac:dyDescent="0.25">
      <c r="A10278" s="163"/>
      <c r="B10278" s="106"/>
      <c r="C10278" s="73"/>
      <c r="D10278" s="75" t="s">
        <v>4758</v>
      </c>
      <c r="E10278" s="73"/>
      <c r="F10278" s="74"/>
      <c r="G10278" s="153"/>
      <c r="H10278" s="164"/>
    </row>
    <row r="10279" spans="1:9" x14ac:dyDescent="0.25">
      <c r="A10279" s="163"/>
      <c r="B10279" s="106"/>
      <c r="C10279" s="73"/>
      <c r="D10279" s="100" t="s">
        <v>140</v>
      </c>
      <c r="E10279" s="73"/>
      <c r="F10279" s="74" t="s">
        <v>3</v>
      </c>
      <c r="G10279" s="153">
        <f>0.03*3.14*0.08*1.1</f>
        <v>8.2896000000000011E-3</v>
      </c>
      <c r="H10279" s="164"/>
    </row>
    <row r="10280" spans="1:9" ht="17.25" x14ac:dyDescent="0.25">
      <c r="A10280" s="163"/>
      <c r="B10280" s="106"/>
      <c r="C10280" s="73"/>
      <c r="D10280" s="100" t="s">
        <v>23</v>
      </c>
      <c r="E10280" s="73"/>
      <c r="F10280" s="74" t="s">
        <v>596</v>
      </c>
      <c r="G10280" s="153">
        <f>G10279*2</f>
        <v>1.6579200000000002E-2</v>
      </c>
      <c r="H10280" s="164"/>
    </row>
    <row r="10281" spans="1:9" x14ac:dyDescent="0.25">
      <c r="A10281" s="163"/>
      <c r="B10281" s="106"/>
      <c r="C10281" s="73"/>
      <c r="D10281" s="100" t="s">
        <v>142</v>
      </c>
      <c r="E10281" s="73"/>
      <c r="F10281" s="74" t="s">
        <v>3</v>
      </c>
      <c r="G10281" s="153">
        <f>G10279/4</f>
        <v>2.0724000000000003E-3</v>
      </c>
      <c r="H10281" s="164"/>
    </row>
    <row r="10282" spans="1:9" x14ac:dyDescent="0.25">
      <c r="A10282" s="163"/>
      <c r="B10282" s="106"/>
      <c r="C10282" s="73"/>
      <c r="D10282" s="73"/>
      <c r="E10282" s="75" t="s">
        <v>4753</v>
      </c>
      <c r="F10282" s="74"/>
      <c r="G10282" s="153"/>
      <c r="H10282" s="164"/>
    </row>
    <row r="10283" spans="1:9" x14ac:dyDescent="0.25">
      <c r="A10283" s="163"/>
      <c r="B10283" s="106"/>
      <c r="C10283" s="73"/>
      <c r="D10283" s="73"/>
      <c r="E10283" s="73" t="s">
        <v>4754</v>
      </c>
      <c r="F10283" s="74" t="s">
        <v>3</v>
      </c>
      <c r="G10283" s="153">
        <f>0.715*0.025</f>
        <v>1.7874999999999999E-2</v>
      </c>
      <c r="H10283" s="164"/>
      <c r="I10283" t="s">
        <v>4755</v>
      </c>
    </row>
    <row r="10284" spans="1:9" x14ac:dyDescent="0.25">
      <c r="A10284" s="163"/>
      <c r="B10284" s="106"/>
      <c r="C10284" s="73"/>
      <c r="D10284" s="73"/>
      <c r="E10284" s="75" t="s">
        <v>4756</v>
      </c>
      <c r="F10284" s="74"/>
      <c r="G10284" s="153"/>
      <c r="H10284" s="164"/>
    </row>
    <row r="10285" spans="1:9" x14ac:dyDescent="0.25">
      <c r="A10285" s="163"/>
      <c r="B10285" s="106"/>
      <c r="C10285" s="73"/>
      <c r="D10285" s="73"/>
      <c r="E10285" s="73" t="s">
        <v>4757</v>
      </c>
      <c r="F10285" s="74" t="s">
        <v>3</v>
      </c>
      <c r="G10285" s="153">
        <f>0.04*0.04*1*8*1.15</f>
        <v>1.4719999999999999E-2</v>
      </c>
      <c r="H10285" s="164"/>
    </row>
    <row r="10286" spans="1:9" ht="15.75" thickBot="1" x14ac:dyDescent="0.3">
      <c r="A10286" s="67"/>
      <c r="B10286" s="86"/>
      <c r="C10286" s="68"/>
      <c r="D10286" s="68"/>
      <c r="E10286" s="68"/>
      <c r="F10286" s="82"/>
      <c r="G10286" s="89"/>
      <c r="H10286" s="165"/>
    </row>
    <row r="10287" spans="1:9" x14ac:dyDescent="0.25">
      <c r="A10287" s="159"/>
      <c r="B10287" s="181"/>
      <c r="C10287" s="93"/>
      <c r="D10287" s="93"/>
      <c r="E10287" s="93"/>
      <c r="F10287" s="160"/>
      <c r="G10287" s="161"/>
      <c r="H10287" s="522" t="s">
        <v>4773</v>
      </c>
    </row>
    <row r="10288" spans="1:9" x14ac:dyDescent="0.25">
      <c r="A10288" s="163"/>
      <c r="B10288" s="106"/>
      <c r="C10288" s="73"/>
      <c r="D10288" s="73"/>
      <c r="E10288" s="73"/>
      <c r="F10288" s="74"/>
      <c r="G10288" s="153"/>
      <c r="H10288" s="164"/>
    </row>
    <row r="10289" spans="1:11" x14ac:dyDescent="0.25">
      <c r="A10289" s="163"/>
      <c r="B10289" s="106"/>
      <c r="C10289" s="75" t="s">
        <v>4780</v>
      </c>
      <c r="D10289" s="73"/>
      <c r="E10289" s="73"/>
      <c r="F10289" s="74"/>
      <c r="G10289" s="153"/>
      <c r="H10289" s="164"/>
    </row>
    <row r="10290" spans="1:11" ht="15.75" thickBot="1" x14ac:dyDescent="0.3">
      <c r="A10290" s="67"/>
      <c r="B10290" s="86"/>
      <c r="C10290" s="68" t="s">
        <v>4565</v>
      </c>
      <c r="D10290" s="68"/>
      <c r="E10290" s="68"/>
      <c r="F10290" s="82" t="s">
        <v>3</v>
      </c>
      <c r="G10290" s="89">
        <f>0.11*0.11*4*2.7*1.15</f>
        <v>0.150282</v>
      </c>
      <c r="H10290" s="165"/>
    </row>
    <row r="10291" spans="1:11" x14ac:dyDescent="0.25">
      <c r="A10291" s="159"/>
      <c r="B10291" s="181"/>
      <c r="C10291" s="93"/>
      <c r="D10291" s="93"/>
      <c r="E10291" s="93"/>
      <c r="F10291" s="160"/>
      <c r="G10291" s="161"/>
      <c r="H10291" s="522" t="s">
        <v>4805</v>
      </c>
      <c r="K10291" s="507"/>
    </row>
    <row r="10292" spans="1:11" x14ac:dyDescent="0.25">
      <c r="A10292" s="163"/>
      <c r="B10292" s="106"/>
      <c r="C10292" s="75" t="s">
        <v>4774</v>
      </c>
      <c r="D10292" s="73"/>
      <c r="E10292" s="73"/>
      <c r="F10292" s="74"/>
      <c r="G10292" s="153"/>
      <c r="H10292" s="164"/>
    </row>
    <row r="10293" spans="1:11" x14ac:dyDescent="0.25">
      <c r="A10293" s="163"/>
      <c r="B10293" s="106"/>
      <c r="C10293" s="73" t="s">
        <v>4371</v>
      </c>
      <c r="D10293" s="73"/>
      <c r="E10293" s="73"/>
      <c r="F10293" s="74" t="s">
        <v>3</v>
      </c>
      <c r="G10293" s="153">
        <f>(0.06+0.035-0.032+0.028*3.14/2)*0.1*4*8*1.125</f>
        <v>0.38505600000000001</v>
      </c>
      <c r="H10293" s="164"/>
    </row>
    <row r="10294" spans="1:11" x14ac:dyDescent="0.25">
      <c r="A10294" s="163"/>
      <c r="B10294" s="106"/>
      <c r="C10294" s="73"/>
      <c r="D10294" s="73"/>
      <c r="E10294" s="73"/>
      <c r="F10294" s="74"/>
      <c r="G10294" s="153"/>
      <c r="H10294" s="164"/>
    </row>
    <row r="10295" spans="1:11" x14ac:dyDescent="0.25">
      <c r="A10295" s="163"/>
      <c r="B10295" s="106"/>
      <c r="C10295" s="75" t="s">
        <v>4776</v>
      </c>
      <c r="D10295" s="73"/>
      <c r="E10295" s="73"/>
      <c r="F10295" s="74"/>
      <c r="G10295" s="153"/>
      <c r="H10295" s="164"/>
    </row>
    <row r="10296" spans="1:11" x14ac:dyDescent="0.25">
      <c r="A10296" s="163"/>
      <c r="B10296" s="106"/>
      <c r="C10296" s="73" t="s">
        <v>4777</v>
      </c>
      <c r="D10296" s="73"/>
      <c r="E10296" s="73"/>
      <c r="F10296" s="74" t="s">
        <v>3</v>
      </c>
      <c r="G10296" s="153">
        <f>0.04*0.012*1*9*1.12</f>
        <v>4.8384000000000005E-3</v>
      </c>
      <c r="H10296" s="164"/>
    </row>
    <row r="10297" spans="1:11" x14ac:dyDescent="0.25">
      <c r="A10297" s="163"/>
      <c r="B10297" s="106"/>
      <c r="C10297" s="73"/>
      <c r="D10297" s="73"/>
      <c r="E10297" s="73"/>
      <c r="F10297" s="74"/>
      <c r="G10297" s="153"/>
      <c r="H10297" s="164"/>
    </row>
    <row r="10298" spans="1:11" x14ac:dyDescent="0.25">
      <c r="A10298" s="163"/>
      <c r="B10298" s="106"/>
      <c r="C10298" s="75" t="s">
        <v>4778</v>
      </c>
      <c r="D10298" s="73"/>
      <c r="E10298" s="73"/>
      <c r="F10298" s="74"/>
      <c r="G10298" s="153"/>
      <c r="H10298" s="164"/>
    </row>
    <row r="10299" spans="1:11" x14ac:dyDescent="0.25">
      <c r="A10299" s="163"/>
      <c r="B10299" s="106"/>
      <c r="C10299" s="73" t="s">
        <v>4779</v>
      </c>
      <c r="D10299" s="73"/>
      <c r="E10299" s="73"/>
      <c r="F10299" s="74" t="s">
        <v>3</v>
      </c>
      <c r="G10299" s="153">
        <f>0.085*0.012*1*9*1.29</f>
        <v>1.1842200000000001E-2</v>
      </c>
      <c r="H10299" s="164"/>
    </row>
    <row r="10300" spans="1:11" x14ac:dyDescent="0.25">
      <c r="A10300" s="163"/>
      <c r="B10300" s="106"/>
      <c r="C10300" s="73"/>
      <c r="D10300" s="73"/>
      <c r="E10300" s="73"/>
      <c r="F10300" s="74"/>
      <c r="G10300" s="153"/>
      <c r="H10300" s="164"/>
    </row>
    <row r="10301" spans="1:11" x14ac:dyDescent="0.25">
      <c r="A10301" s="163"/>
      <c r="B10301" s="106"/>
      <c r="C10301" s="75" t="s">
        <v>4781</v>
      </c>
      <c r="D10301" s="73"/>
      <c r="E10301" s="73"/>
      <c r="F10301" s="74" t="s">
        <v>2180</v>
      </c>
      <c r="G10301" s="153"/>
      <c r="H10301" s="164"/>
    </row>
    <row r="10302" spans="1:11" x14ac:dyDescent="0.25">
      <c r="A10302" s="163"/>
      <c r="B10302" s="106"/>
      <c r="C10302" s="73" t="s">
        <v>4782</v>
      </c>
      <c r="D10302" s="73"/>
      <c r="E10302" s="73"/>
      <c r="F10302" s="74" t="s">
        <v>1516</v>
      </c>
      <c r="G10302" s="153">
        <v>2</v>
      </c>
      <c r="H10302" s="164"/>
    </row>
    <row r="10303" spans="1:11" x14ac:dyDescent="0.25">
      <c r="A10303" s="163"/>
      <c r="B10303" s="106"/>
      <c r="C10303" s="73" t="s">
        <v>4783</v>
      </c>
      <c r="D10303" s="73"/>
      <c r="E10303" s="73"/>
      <c r="F10303" s="74" t="s">
        <v>1516</v>
      </c>
      <c r="G10303" s="153">
        <v>2</v>
      </c>
      <c r="H10303" s="164"/>
    </row>
    <row r="10304" spans="1:11" x14ac:dyDescent="0.25">
      <c r="A10304" s="163"/>
      <c r="B10304" s="106"/>
      <c r="C10304" s="73"/>
      <c r="D10304" s="75" t="s">
        <v>4784</v>
      </c>
      <c r="E10304" s="73"/>
      <c r="F10304" s="74"/>
      <c r="G10304" s="153"/>
      <c r="H10304" s="164"/>
    </row>
    <row r="10305" spans="1:11" x14ac:dyDescent="0.25">
      <c r="A10305" s="163"/>
      <c r="B10305" s="106"/>
      <c r="C10305" s="73"/>
      <c r="D10305" s="73" t="s">
        <v>4346</v>
      </c>
      <c r="E10305" s="73"/>
      <c r="F10305" s="74" t="s">
        <v>3</v>
      </c>
      <c r="G10305" s="153">
        <f>0.055*0.81*3*2.7*1.165</f>
        <v>0.42039607500000015</v>
      </c>
      <c r="H10305" s="164"/>
    </row>
    <row r="10306" spans="1:11" x14ac:dyDescent="0.25">
      <c r="A10306" s="163"/>
      <c r="B10306" s="106"/>
      <c r="C10306" s="73"/>
      <c r="D10306" s="73" t="s">
        <v>114</v>
      </c>
      <c r="E10306" s="73"/>
      <c r="F10306" s="74" t="s">
        <v>3</v>
      </c>
      <c r="G10306" s="153">
        <f>G10309/2</f>
        <v>2.9889000000000006E-2</v>
      </c>
      <c r="H10306" s="164"/>
      <c r="K10306" s="508"/>
    </row>
    <row r="10307" spans="1:11" x14ac:dyDescent="0.25">
      <c r="A10307" s="163"/>
      <c r="B10307" s="106"/>
      <c r="C10307" s="73"/>
      <c r="D10307" s="73" t="s">
        <v>163</v>
      </c>
      <c r="E10307" s="73"/>
      <c r="F10307" s="74" t="s">
        <v>3</v>
      </c>
      <c r="G10307" s="153">
        <f>G10309/2</f>
        <v>2.9889000000000006E-2</v>
      </c>
      <c r="H10307" s="164"/>
      <c r="K10307" s="508"/>
    </row>
    <row r="10308" spans="1:11" x14ac:dyDescent="0.25">
      <c r="A10308" s="163"/>
      <c r="B10308" s="106"/>
      <c r="C10308" s="73"/>
      <c r="D10308" s="73" t="s">
        <v>164</v>
      </c>
      <c r="E10308" s="73"/>
      <c r="F10308" s="74" t="s">
        <v>3</v>
      </c>
      <c r="G10308" s="153">
        <f>0.3*(G10307+G10306)</f>
        <v>1.7933400000000002E-2</v>
      </c>
      <c r="H10308" s="164"/>
      <c r="K10308" s="508"/>
    </row>
    <row r="10309" spans="1:11" x14ac:dyDescent="0.25">
      <c r="A10309" s="163"/>
      <c r="B10309" s="106"/>
      <c r="C10309" s="73"/>
      <c r="D10309" s="73" t="s">
        <v>72</v>
      </c>
      <c r="E10309" s="73"/>
      <c r="F10309" s="74" t="s">
        <v>3</v>
      </c>
      <c r="G10309" s="153">
        <f>0.1*0.81*2*0.15*2*1.23</f>
        <v>5.9778000000000012E-2</v>
      </c>
      <c r="H10309" s="164"/>
      <c r="K10309" s="508"/>
    </row>
    <row r="10310" spans="1:11" x14ac:dyDescent="0.25">
      <c r="A10310" s="163"/>
      <c r="B10310" s="106"/>
      <c r="C10310" s="73"/>
      <c r="D10310" s="73" t="s">
        <v>11</v>
      </c>
      <c r="E10310" s="73"/>
      <c r="F10310" s="74" t="s">
        <v>3</v>
      </c>
      <c r="G10310" s="153">
        <f>0.3*G10309</f>
        <v>1.7933400000000002E-2</v>
      </c>
      <c r="H10310" s="164"/>
      <c r="K10310" s="508"/>
    </row>
    <row r="10311" spans="1:11" x14ac:dyDescent="0.25">
      <c r="A10311" s="163"/>
      <c r="B10311" s="106"/>
      <c r="C10311" s="73"/>
      <c r="D10311" s="75" t="s">
        <v>4785</v>
      </c>
      <c r="E10311" s="73"/>
      <c r="F10311" s="74"/>
      <c r="G10311" s="153"/>
      <c r="H10311" s="164"/>
    </row>
    <row r="10312" spans="1:11" x14ac:dyDescent="0.25">
      <c r="A10312" s="163"/>
      <c r="B10312" s="106"/>
      <c r="C10312" s="73"/>
      <c r="D10312" s="73" t="s">
        <v>4580</v>
      </c>
      <c r="E10312" s="73"/>
      <c r="F10312" s="74" t="s">
        <v>3</v>
      </c>
      <c r="G10312" s="153">
        <f>0.8*0.02*3*8*1.145</f>
        <v>0.43968000000000002</v>
      </c>
      <c r="H10312" s="164"/>
    </row>
    <row r="10313" spans="1:11" x14ac:dyDescent="0.25">
      <c r="A10313" s="163"/>
      <c r="B10313" s="106"/>
      <c r="C10313" s="73"/>
      <c r="D10313" s="100" t="s">
        <v>8</v>
      </c>
      <c r="E10313" s="73"/>
      <c r="F10313" s="74" t="s">
        <v>3</v>
      </c>
      <c r="G10313" s="153">
        <f>G10315*0.62</f>
        <v>2.4799999999999999E-2</v>
      </c>
      <c r="H10313" s="164"/>
    </row>
    <row r="10314" spans="1:11" x14ac:dyDescent="0.25">
      <c r="A10314" s="163"/>
      <c r="B10314" s="106"/>
      <c r="C10314" s="73"/>
      <c r="D10314" s="100" t="s">
        <v>12</v>
      </c>
      <c r="E10314" s="73"/>
      <c r="F10314" s="74" t="s">
        <v>3</v>
      </c>
      <c r="G10314" s="153">
        <f>0.3*G10313</f>
        <v>7.4399999999999996E-3</v>
      </c>
      <c r="H10314" s="164"/>
    </row>
    <row r="10315" spans="1:11" x14ac:dyDescent="0.25">
      <c r="A10315" s="163"/>
      <c r="B10315" s="106"/>
      <c r="C10315" s="73"/>
      <c r="D10315" s="73" t="s">
        <v>72</v>
      </c>
      <c r="E10315" s="73"/>
      <c r="F10315" s="74" t="s">
        <v>3</v>
      </c>
      <c r="G10315" s="153">
        <f>0.8*0.02*2*1.25</f>
        <v>0.04</v>
      </c>
      <c r="H10315" s="164"/>
    </row>
    <row r="10316" spans="1:11" x14ac:dyDescent="0.25">
      <c r="A10316" s="163"/>
      <c r="B10316" s="106"/>
      <c r="C10316" s="73"/>
      <c r="D10316" s="73" t="s">
        <v>11</v>
      </c>
      <c r="E10316" s="73"/>
      <c r="F10316" s="74" t="s">
        <v>3</v>
      </c>
      <c r="G10316" s="153">
        <f>0.3*G10315</f>
        <v>1.2E-2</v>
      </c>
      <c r="H10316" s="164"/>
    </row>
    <row r="10317" spans="1:11" x14ac:dyDescent="0.25">
      <c r="A10317" s="163"/>
      <c r="B10317" s="106"/>
      <c r="C10317" s="73"/>
      <c r="D10317" s="73"/>
      <c r="E10317" s="73"/>
      <c r="F10317" s="74"/>
      <c r="G10317" s="153"/>
      <c r="H10317" s="164"/>
    </row>
    <row r="10318" spans="1:11" x14ac:dyDescent="0.25">
      <c r="A10318" s="163"/>
      <c r="B10318" s="106"/>
      <c r="C10318" s="75" t="s">
        <v>4786</v>
      </c>
      <c r="D10318" s="73"/>
      <c r="E10318" s="73"/>
      <c r="F10318" s="74"/>
      <c r="G10318" s="153"/>
      <c r="H10318" s="164"/>
    </row>
    <row r="10319" spans="1:11" x14ac:dyDescent="0.25">
      <c r="A10319" s="163"/>
      <c r="B10319" s="106"/>
      <c r="C10319" s="73" t="s">
        <v>4787</v>
      </c>
      <c r="D10319" s="73"/>
      <c r="E10319" s="73"/>
      <c r="F10319" s="74" t="s">
        <v>3</v>
      </c>
      <c r="G10319" s="153">
        <f>0.075*0.015*0.5*8*1.18</f>
        <v>5.3099999999999996E-3</v>
      </c>
      <c r="H10319" s="164"/>
    </row>
    <row r="10320" spans="1:11" ht="15.75" thickBot="1" x14ac:dyDescent="0.3">
      <c r="A10320" s="67"/>
      <c r="B10320" s="86"/>
      <c r="C10320" s="68"/>
      <c r="D10320" s="68"/>
      <c r="E10320" s="68"/>
      <c r="F10320" s="82"/>
      <c r="G10320" s="510"/>
      <c r="H10320" s="165"/>
    </row>
    <row r="10321" spans="1:11" x14ac:dyDescent="0.25">
      <c r="A10321" s="159"/>
      <c r="B10321" s="181"/>
      <c r="C10321" s="93"/>
      <c r="D10321" s="93"/>
      <c r="E10321" s="93"/>
      <c r="F10321" s="160"/>
      <c r="G10321" s="511"/>
      <c r="H10321" s="522" t="s">
        <v>4805</v>
      </c>
      <c r="K10321" s="509"/>
    </row>
    <row r="10322" spans="1:11" x14ac:dyDescent="0.25">
      <c r="A10322" s="163"/>
      <c r="B10322" s="106"/>
      <c r="C10322" s="73"/>
      <c r="D10322" s="73"/>
      <c r="E10322" s="73"/>
      <c r="F10322" s="74"/>
      <c r="G10322" s="428"/>
      <c r="H10322" s="164"/>
      <c r="K10322" s="509"/>
    </row>
    <row r="10323" spans="1:11" ht="18.75" x14ac:dyDescent="0.3">
      <c r="A10323" s="163"/>
      <c r="B10323" s="106"/>
      <c r="C10323" s="73"/>
      <c r="D10323" s="73"/>
      <c r="E10323" s="188" t="s">
        <v>4803</v>
      </c>
      <c r="F10323" s="74"/>
      <c r="G10323" s="428"/>
      <c r="H10323" s="164"/>
      <c r="K10323" s="509"/>
    </row>
    <row r="10324" spans="1:11" x14ac:dyDescent="0.25">
      <c r="A10324" s="163"/>
      <c r="B10324" s="106"/>
      <c r="C10324" s="73"/>
      <c r="D10324" s="73"/>
      <c r="E10324" s="73"/>
      <c r="F10324" s="74"/>
      <c r="G10324" s="428"/>
      <c r="H10324" s="164"/>
      <c r="K10324" s="509"/>
    </row>
    <row r="10325" spans="1:11" x14ac:dyDescent="0.25">
      <c r="A10325" s="163"/>
      <c r="B10325" s="106"/>
      <c r="C10325" s="75" t="s">
        <v>4788</v>
      </c>
      <c r="D10325" s="73"/>
      <c r="E10325" s="73"/>
      <c r="F10325" s="74"/>
      <c r="G10325" s="74"/>
      <c r="H10325" s="164"/>
    </row>
    <row r="10326" spans="1:11" x14ac:dyDescent="0.25">
      <c r="A10326" s="163"/>
      <c r="B10326" s="106"/>
      <c r="C10326" s="73" t="s">
        <v>4789</v>
      </c>
      <c r="D10326" s="73"/>
      <c r="E10326" s="73"/>
      <c r="F10326" s="74" t="s">
        <v>1516</v>
      </c>
      <c r="G10326" s="153">
        <v>1</v>
      </c>
      <c r="H10326" s="164"/>
    </row>
    <row r="10327" spans="1:11" x14ac:dyDescent="0.25">
      <c r="A10327" s="163"/>
      <c r="B10327" s="106"/>
      <c r="C10327" s="73"/>
      <c r="D10327" s="75" t="s">
        <v>4790</v>
      </c>
      <c r="E10327" s="73"/>
      <c r="F10327" s="74"/>
      <c r="G10327" s="153"/>
      <c r="H10327" s="164"/>
    </row>
    <row r="10328" spans="1:11" x14ac:dyDescent="0.25">
      <c r="A10328" s="163"/>
      <c r="B10328" s="106"/>
      <c r="C10328" s="73"/>
      <c r="D10328" s="77" t="s">
        <v>39</v>
      </c>
      <c r="E10328" s="73"/>
      <c r="F10328" s="74" t="s">
        <v>3</v>
      </c>
      <c r="G10328" s="427">
        <f>0.2*0.08*1.25</f>
        <v>0.02</v>
      </c>
      <c r="H10328" s="164"/>
      <c r="K10328" s="509"/>
    </row>
    <row r="10329" spans="1:11" ht="17.25" x14ac:dyDescent="0.25">
      <c r="A10329" s="163"/>
      <c r="B10329" s="106"/>
      <c r="C10329" s="73"/>
      <c r="D10329" s="77" t="s">
        <v>1055</v>
      </c>
      <c r="E10329" s="73"/>
      <c r="F10329" s="74" t="s">
        <v>596</v>
      </c>
      <c r="G10329" s="153">
        <f>1.5*G10328</f>
        <v>0.03</v>
      </c>
      <c r="H10329" s="164"/>
      <c r="K10329" s="509"/>
    </row>
    <row r="10330" spans="1:11" x14ac:dyDescent="0.25">
      <c r="A10330" s="163"/>
      <c r="B10330" s="106"/>
      <c r="C10330" s="73"/>
      <c r="D10330" s="73" t="s">
        <v>8</v>
      </c>
      <c r="E10330" s="73"/>
      <c r="F10330" s="74" t="s">
        <v>3</v>
      </c>
      <c r="G10330" s="153">
        <f>G10331*0.72</f>
        <v>2.5393499999999996E-2</v>
      </c>
      <c r="H10330" s="164"/>
      <c r="K10330" s="509"/>
    </row>
    <row r="10331" spans="1:11" x14ac:dyDescent="0.25">
      <c r="A10331" s="163"/>
      <c r="B10331" s="106"/>
      <c r="C10331" s="73"/>
      <c r="D10331" s="73" t="s">
        <v>36</v>
      </c>
      <c r="E10331" s="73"/>
      <c r="F10331" s="74" t="s">
        <v>3</v>
      </c>
      <c r="G10331" s="153">
        <f>0.285*0.165*2*0.15*2*1.25</f>
        <v>3.5268749999999995E-2</v>
      </c>
      <c r="H10331" s="164"/>
      <c r="K10331" s="509"/>
    </row>
    <row r="10332" spans="1:11" x14ac:dyDescent="0.25">
      <c r="A10332" s="163"/>
      <c r="B10332" s="106"/>
      <c r="C10332" s="73"/>
      <c r="D10332" s="73" t="s">
        <v>12</v>
      </c>
      <c r="E10332" s="73"/>
      <c r="F10332" s="74" t="s">
        <v>3</v>
      </c>
      <c r="G10332" s="153">
        <f>0.3*G10330</f>
        <v>7.6180499999999986E-3</v>
      </c>
      <c r="H10332" s="164"/>
      <c r="K10332" s="509"/>
    </row>
    <row r="10333" spans="1:11" x14ac:dyDescent="0.25">
      <c r="A10333" s="163"/>
      <c r="B10333" s="106"/>
      <c r="C10333" s="73"/>
      <c r="D10333" s="73"/>
      <c r="E10333" s="75" t="s">
        <v>4792</v>
      </c>
      <c r="F10333" s="74"/>
      <c r="G10333" s="153"/>
      <c r="H10333" s="164"/>
    </row>
    <row r="10334" spans="1:11" x14ac:dyDescent="0.25">
      <c r="A10334" s="163"/>
      <c r="B10334" s="106"/>
      <c r="C10334" s="73"/>
      <c r="D10334" s="73"/>
      <c r="E10334" s="73" t="s">
        <v>4796</v>
      </c>
      <c r="F10334" s="74" t="s">
        <v>3</v>
      </c>
      <c r="G10334" s="153">
        <f>0.285*0.165*3*8*1.125</f>
        <v>1.2696750000000001</v>
      </c>
      <c r="H10334" s="164"/>
    </row>
    <row r="10335" spans="1:11" x14ac:dyDescent="0.25">
      <c r="A10335" s="163"/>
      <c r="B10335" s="106"/>
      <c r="C10335" s="73"/>
      <c r="D10335" s="73"/>
      <c r="E10335" s="75" t="s">
        <v>4793</v>
      </c>
      <c r="F10335" s="74"/>
      <c r="G10335" s="153"/>
      <c r="H10335" s="164"/>
    </row>
    <row r="10336" spans="1:11" x14ac:dyDescent="0.25">
      <c r="A10336" s="163"/>
      <c r="B10336" s="106"/>
      <c r="C10336" s="73"/>
      <c r="D10336" s="73"/>
      <c r="E10336" s="73" t="s">
        <v>4797</v>
      </c>
      <c r="F10336" s="74" t="s">
        <v>3</v>
      </c>
      <c r="G10336" s="153">
        <f>0.015*0.015*3*8*1.15</f>
        <v>6.2100000000000002E-3</v>
      </c>
      <c r="H10336" s="164"/>
    </row>
    <row r="10337" spans="1:11" x14ac:dyDescent="0.25">
      <c r="A10337" s="163"/>
      <c r="B10337" s="106"/>
      <c r="C10337" s="73"/>
      <c r="D10337" s="73"/>
      <c r="E10337" s="73"/>
      <c r="F10337" s="74"/>
      <c r="G10337" s="153"/>
      <c r="H10337" s="164"/>
    </row>
    <row r="10338" spans="1:11" x14ac:dyDescent="0.25">
      <c r="A10338" s="163"/>
      <c r="B10338" s="106"/>
      <c r="C10338" s="75" t="s">
        <v>4791</v>
      </c>
      <c r="D10338" s="73"/>
      <c r="E10338" s="73"/>
      <c r="F10338" s="74"/>
      <c r="G10338" s="153"/>
      <c r="H10338" s="164"/>
    </row>
    <row r="10339" spans="1:11" x14ac:dyDescent="0.25">
      <c r="A10339" s="163"/>
      <c r="B10339" s="106"/>
      <c r="C10339" s="77" t="s">
        <v>39</v>
      </c>
      <c r="D10339" s="73"/>
      <c r="E10339" s="73"/>
      <c r="F10339" s="74" t="s">
        <v>3</v>
      </c>
      <c r="G10339" s="427">
        <f>(0.06*3.14*2+0.012*3.14)*0.08*1.2</f>
        <v>3.9790080000000005E-2</v>
      </c>
      <c r="H10339" s="164"/>
    </row>
    <row r="10340" spans="1:11" ht="17.25" x14ac:dyDescent="0.25">
      <c r="A10340" s="163"/>
      <c r="B10340" s="106"/>
      <c r="C10340" s="77" t="s">
        <v>1055</v>
      </c>
      <c r="D10340" s="73"/>
      <c r="E10340" s="73"/>
      <c r="F10340" s="74" t="s">
        <v>596</v>
      </c>
      <c r="G10340" s="153">
        <f>1.5*G10339</f>
        <v>5.9685120000000008E-2</v>
      </c>
      <c r="H10340" s="164"/>
      <c r="K10340" s="509"/>
    </row>
    <row r="10341" spans="1:11" x14ac:dyDescent="0.25">
      <c r="A10341" s="163"/>
      <c r="B10341" s="106"/>
      <c r="C10341" s="73" t="s">
        <v>8</v>
      </c>
      <c r="D10341" s="73"/>
      <c r="E10341" s="73"/>
      <c r="F10341" s="74" t="s">
        <v>3</v>
      </c>
      <c r="G10341" s="153">
        <f>G10343*0.72</f>
        <v>2.5166246399999998E-2</v>
      </c>
      <c r="H10341" s="164"/>
      <c r="K10341" s="509"/>
    </row>
    <row r="10342" spans="1:11" x14ac:dyDescent="0.25">
      <c r="A10342" s="163"/>
      <c r="B10342" s="106"/>
      <c r="C10342" s="73" t="s">
        <v>12</v>
      </c>
      <c r="D10342" s="73"/>
      <c r="E10342" s="73"/>
      <c r="F10342" s="74" t="s">
        <v>3</v>
      </c>
      <c r="G10342" s="153">
        <f>0.3*G10341</f>
        <v>7.5498739199999993E-3</v>
      </c>
      <c r="H10342" s="164"/>
      <c r="K10342" s="509"/>
    </row>
    <row r="10343" spans="1:11" x14ac:dyDescent="0.25">
      <c r="A10343" s="163"/>
      <c r="B10343" s="106"/>
      <c r="C10343" s="73" t="s">
        <v>4801</v>
      </c>
      <c r="D10343" s="73"/>
      <c r="E10343" s="73"/>
      <c r="F10343" s="74" t="s">
        <v>3</v>
      </c>
      <c r="G10343" s="153">
        <f>(0.25*0.15*2+0.06*3.14*0.06)*0.15*2*1.35</f>
        <v>3.4953119999999997E-2</v>
      </c>
      <c r="H10343" s="164"/>
    </row>
    <row r="10344" spans="1:11" x14ac:dyDescent="0.25">
      <c r="A10344" s="163"/>
      <c r="B10344" s="106"/>
      <c r="C10344" s="73" t="s">
        <v>11</v>
      </c>
      <c r="D10344" s="73"/>
      <c r="E10344" s="73"/>
      <c r="F10344" s="74" t="s">
        <v>3</v>
      </c>
      <c r="G10344" s="153">
        <f>0.3*G10343</f>
        <v>1.0485936E-2</v>
      </c>
      <c r="H10344" s="164"/>
      <c r="K10344" s="509"/>
    </row>
    <row r="10345" spans="1:11" x14ac:dyDescent="0.25">
      <c r="A10345" s="163"/>
      <c r="B10345" s="106"/>
      <c r="C10345" s="73" t="s">
        <v>4802</v>
      </c>
      <c r="D10345" s="73"/>
      <c r="E10345" s="73"/>
      <c r="F10345" s="74" t="s">
        <v>3</v>
      </c>
      <c r="G10345" s="153">
        <f>0.05</f>
        <v>0.05</v>
      </c>
      <c r="H10345" s="164"/>
      <c r="K10345" s="509"/>
    </row>
    <row r="10346" spans="1:11" x14ac:dyDescent="0.25">
      <c r="A10346" s="163"/>
      <c r="B10346" s="106"/>
      <c r="C10346" s="73"/>
      <c r="D10346" s="75" t="s">
        <v>4794</v>
      </c>
      <c r="E10346" s="73"/>
      <c r="F10346" s="74"/>
      <c r="G10346" s="153"/>
      <c r="H10346" s="164"/>
    </row>
    <row r="10347" spans="1:11" x14ac:dyDescent="0.25">
      <c r="A10347" s="163"/>
      <c r="B10347" s="106"/>
      <c r="C10347" s="73"/>
      <c r="D10347" s="73" t="s">
        <v>4798</v>
      </c>
      <c r="E10347" s="73"/>
      <c r="F10347" s="74" t="s">
        <v>3</v>
      </c>
      <c r="G10347" s="153">
        <f>0.148*0.271</f>
        <v>4.0107999999999998E-2</v>
      </c>
      <c r="H10347" s="164"/>
    </row>
    <row r="10348" spans="1:11" x14ac:dyDescent="0.25">
      <c r="A10348" s="163"/>
      <c r="B10348" s="106"/>
      <c r="C10348" s="73"/>
      <c r="D10348" s="75" t="s">
        <v>4799</v>
      </c>
      <c r="E10348" s="73"/>
      <c r="F10348" s="74"/>
      <c r="G10348" s="153"/>
      <c r="H10348" s="164"/>
    </row>
    <row r="10349" spans="1:11" x14ac:dyDescent="0.25">
      <c r="A10349" s="163"/>
      <c r="B10349" s="106"/>
      <c r="C10349" s="73"/>
      <c r="D10349" s="73" t="s">
        <v>4800</v>
      </c>
      <c r="E10349" s="73"/>
      <c r="F10349" s="74" t="s">
        <v>3</v>
      </c>
      <c r="G10349" s="153">
        <f>0.13*0.13*5*8*1.15</f>
        <v>0.77739999999999998</v>
      </c>
      <c r="H10349" s="164"/>
    </row>
    <row r="10350" spans="1:11" x14ac:dyDescent="0.25">
      <c r="A10350" s="163"/>
      <c r="B10350" s="106"/>
      <c r="C10350" s="73"/>
      <c r="D10350" s="73"/>
      <c r="E10350" s="73"/>
      <c r="F10350" s="74"/>
      <c r="G10350" s="153"/>
      <c r="H10350" s="164"/>
    </row>
    <row r="10351" spans="1:11" x14ac:dyDescent="0.25">
      <c r="A10351" s="163"/>
      <c r="B10351" s="106"/>
      <c r="C10351" s="75" t="s">
        <v>4795</v>
      </c>
      <c r="D10351" s="73"/>
      <c r="E10351" s="73"/>
      <c r="F10351" s="74"/>
      <c r="G10351" s="153"/>
      <c r="H10351" s="164"/>
    </row>
    <row r="10352" spans="1:11" x14ac:dyDescent="0.25">
      <c r="A10352" s="163"/>
      <c r="B10352" s="106"/>
      <c r="C10352" s="73" t="s">
        <v>4804</v>
      </c>
      <c r="D10352" s="73"/>
      <c r="E10352" s="73"/>
      <c r="F10352" s="74" t="s">
        <v>3</v>
      </c>
      <c r="G10352" s="153">
        <f>0.09*0.02*0.35*8*1.15</f>
        <v>5.7959999999999991E-3</v>
      </c>
      <c r="H10352" s="164"/>
    </row>
    <row r="10353" spans="1:9" ht="15.75" thickBot="1" x14ac:dyDescent="0.3">
      <c r="A10353" s="67"/>
      <c r="B10353" s="86"/>
      <c r="C10353" s="68"/>
      <c r="D10353" s="68"/>
      <c r="E10353" s="68"/>
      <c r="F10353" s="82"/>
      <c r="G10353" s="89"/>
      <c r="H10353" s="165"/>
    </row>
    <row r="10354" spans="1:9" x14ac:dyDescent="0.25">
      <c r="A10354" s="159"/>
      <c r="B10354" s="181"/>
      <c r="C10354" s="93"/>
      <c r="D10354" s="93"/>
      <c r="E10354" s="93"/>
      <c r="F10354" s="160"/>
      <c r="G10354" s="161"/>
      <c r="H10354" s="522" t="s">
        <v>4816</v>
      </c>
    </row>
    <row r="10355" spans="1:9" x14ac:dyDescent="0.25">
      <c r="A10355" s="163"/>
      <c r="B10355" s="106"/>
      <c r="C10355" s="73"/>
      <c r="D10355" s="73"/>
      <c r="E10355" s="73"/>
      <c r="F10355" s="74"/>
      <c r="G10355" s="153"/>
      <c r="H10355" s="164"/>
    </row>
    <row r="10356" spans="1:9" x14ac:dyDescent="0.25">
      <c r="A10356" s="163"/>
      <c r="B10356" s="106"/>
      <c r="C10356" s="75" t="s">
        <v>4806</v>
      </c>
      <c r="D10356" s="73"/>
      <c r="E10356" s="73"/>
      <c r="F10356" s="74"/>
      <c r="G10356" s="153"/>
      <c r="H10356" s="164"/>
    </row>
    <row r="10357" spans="1:9" x14ac:dyDescent="0.25">
      <c r="A10357" s="163"/>
      <c r="B10357" s="106"/>
      <c r="C10357" s="100" t="s">
        <v>140</v>
      </c>
      <c r="D10357" s="73"/>
      <c r="E10357" s="73"/>
      <c r="F10357" s="74" t="s">
        <v>3</v>
      </c>
      <c r="G10357" s="153">
        <f>0.012*3.14*0.08*1.1</f>
        <v>3.3158400000000009E-3</v>
      </c>
      <c r="H10357" s="164"/>
    </row>
    <row r="10358" spans="1:9" ht="17.25" x14ac:dyDescent="0.25">
      <c r="A10358" s="163"/>
      <c r="B10358" s="106"/>
      <c r="C10358" s="100" t="s">
        <v>23</v>
      </c>
      <c r="D10358" s="73"/>
      <c r="E10358" s="73"/>
      <c r="F10358" s="74" t="s">
        <v>596</v>
      </c>
      <c r="G10358" s="153">
        <f>G10357*2</f>
        <v>6.6316800000000018E-3</v>
      </c>
      <c r="H10358" s="164"/>
    </row>
    <row r="10359" spans="1:9" x14ac:dyDescent="0.25">
      <c r="A10359" s="163"/>
      <c r="B10359" s="106"/>
      <c r="C10359" s="100" t="s">
        <v>142</v>
      </c>
      <c r="D10359" s="73"/>
      <c r="E10359" s="73"/>
      <c r="F10359" s="74" t="s">
        <v>3</v>
      </c>
      <c r="G10359" s="153">
        <f>G10357/4</f>
        <v>8.2896000000000022E-4</v>
      </c>
      <c r="H10359" s="164"/>
    </row>
    <row r="10360" spans="1:9" x14ac:dyDescent="0.25">
      <c r="A10360" s="163"/>
      <c r="B10360" s="106"/>
      <c r="C10360" s="73"/>
      <c r="D10360" s="75" t="s">
        <v>4807</v>
      </c>
      <c r="E10360" s="73"/>
      <c r="F10360" s="74"/>
      <c r="G10360" s="153"/>
      <c r="H10360" s="164"/>
    </row>
    <row r="10361" spans="1:9" x14ac:dyDescent="0.25">
      <c r="A10361" s="163"/>
      <c r="B10361" s="106"/>
      <c r="C10361" s="73"/>
      <c r="D10361" s="73" t="s">
        <v>404</v>
      </c>
      <c r="E10361" s="73"/>
      <c r="F10361" s="74" t="s">
        <v>3</v>
      </c>
      <c r="G10361" s="153">
        <v>0.1</v>
      </c>
      <c r="H10361" s="164"/>
      <c r="I10361" t="s">
        <v>4582</v>
      </c>
    </row>
    <row r="10362" spans="1:9" x14ac:dyDescent="0.25">
      <c r="A10362" s="163"/>
      <c r="B10362" s="106"/>
      <c r="C10362" s="73"/>
      <c r="D10362" s="73"/>
      <c r="E10362" s="73"/>
      <c r="F10362" s="74"/>
      <c r="G10362" s="153"/>
      <c r="H10362" s="164"/>
    </row>
    <row r="10363" spans="1:9" x14ac:dyDescent="0.25">
      <c r="A10363" s="163"/>
      <c r="B10363" s="106"/>
      <c r="C10363" s="75" t="s">
        <v>4808</v>
      </c>
      <c r="D10363" s="73"/>
      <c r="E10363" s="73"/>
      <c r="F10363" s="74"/>
      <c r="G10363" s="153"/>
      <c r="H10363" s="164"/>
    </row>
    <row r="10364" spans="1:9" x14ac:dyDescent="0.25">
      <c r="A10364" s="163"/>
      <c r="B10364" s="106"/>
      <c r="C10364" s="73" t="s">
        <v>4809</v>
      </c>
      <c r="D10364" s="73"/>
      <c r="E10364" s="73"/>
      <c r="F10364" s="74" t="s">
        <v>1516</v>
      </c>
      <c r="G10364" s="153">
        <v>2</v>
      </c>
      <c r="H10364" s="164"/>
    </row>
    <row r="10365" spans="1:9" x14ac:dyDescent="0.25">
      <c r="A10365" s="163"/>
      <c r="B10365" s="106"/>
      <c r="C10365" s="73" t="s">
        <v>8</v>
      </c>
      <c r="D10365" s="73"/>
      <c r="E10365" s="73"/>
      <c r="F10365" s="74" t="s">
        <v>3</v>
      </c>
      <c r="G10365" s="153">
        <f>G10366*0.69</f>
        <v>8.0730000000000003E-3</v>
      </c>
      <c r="H10365" s="164"/>
    </row>
    <row r="10366" spans="1:9" x14ac:dyDescent="0.25">
      <c r="A10366" s="163"/>
      <c r="B10366" s="106"/>
      <c r="C10366" s="73" t="s">
        <v>36</v>
      </c>
      <c r="D10366" s="73"/>
      <c r="E10366" s="73"/>
      <c r="F10366" s="74" t="s">
        <v>3</v>
      </c>
      <c r="G10366" s="153">
        <f>0.15*0.1*2*0.15*2*1.3</f>
        <v>1.17E-2</v>
      </c>
      <c r="H10366" s="164"/>
    </row>
    <row r="10367" spans="1:9" x14ac:dyDescent="0.25">
      <c r="A10367" s="163"/>
      <c r="B10367" s="106"/>
      <c r="C10367" s="73" t="s">
        <v>12</v>
      </c>
      <c r="D10367" s="73"/>
      <c r="E10367" s="73"/>
      <c r="F10367" s="74" t="s">
        <v>3</v>
      </c>
      <c r="G10367" s="153">
        <f>0.3*(G10366+G10365)</f>
        <v>5.9318999999999995E-3</v>
      </c>
      <c r="H10367" s="164"/>
    </row>
    <row r="10368" spans="1:9" x14ac:dyDescent="0.25">
      <c r="A10368" s="163"/>
      <c r="B10368" s="106"/>
      <c r="C10368" s="73"/>
      <c r="D10368" s="75" t="s">
        <v>4810</v>
      </c>
      <c r="E10368" s="73"/>
      <c r="F10368" s="74"/>
      <c r="G10368" s="153"/>
      <c r="H10368" s="164"/>
    </row>
    <row r="10369" spans="1:8" x14ac:dyDescent="0.25">
      <c r="A10369" s="163"/>
      <c r="B10369" s="106"/>
      <c r="C10369" s="73"/>
      <c r="D10369" s="73" t="s">
        <v>4811</v>
      </c>
      <c r="E10369" s="73"/>
      <c r="F10369" s="74" t="s">
        <v>3</v>
      </c>
      <c r="G10369" s="153">
        <f>0.15*0.07*1*8*1.185</f>
        <v>9.9540000000000017E-2</v>
      </c>
      <c r="H10369" s="164"/>
    </row>
    <row r="10370" spans="1:8" x14ac:dyDescent="0.25">
      <c r="A10370" s="163"/>
      <c r="B10370" s="106"/>
      <c r="C10370" s="73"/>
      <c r="D10370" s="75" t="s">
        <v>4812</v>
      </c>
      <c r="E10370" s="73"/>
      <c r="F10370" s="74"/>
      <c r="G10370" s="153"/>
      <c r="H10370" s="164"/>
    </row>
    <row r="10371" spans="1:8" x14ac:dyDescent="0.25">
      <c r="A10371" s="163"/>
      <c r="B10371" s="106"/>
      <c r="C10371" s="73"/>
      <c r="D10371" s="73" t="s">
        <v>4813</v>
      </c>
      <c r="E10371" s="73"/>
      <c r="F10371" s="74" t="s">
        <v>3</v>
      </c>
      <c r="G10371" s="153">
        <f>0.03*0.05*0.5*8*1.15</f>
        <v>6.8999999999999999E-3</v>
      </c>
      <c r="H10371" s="164"/>
    </row>
    <row r="10372" spans="1:8" x14ac:dyDescent="0.25">
      <c r="A10372" s="163"/>
      <c r="B10372" s="106"/>
      <c r="C10372" s="73"/>
      <c r="D10372" s="73"/>
      <c r="E10372" s="73"/>
      <c r="F10372" s="74"/>
      <c r="G10372" s="153"/>
      <c r="H10372" s="164"/>
    </row>
    <row r="10373" spans="1:8" x14ac:dyDescent="0.25">
      <c r="A10373" s="163"/>
      <c r="B10373" s="106"/>
      <c r="C10373" s="75" t="s">
        <v>4814</v>
      </c>
      <c r="D10373" s="73"/>
      <c r="E10373" s="73"/>
      <c r="F10373" s="74"/>
      <c r="G10373" s="153"/>
      <c r="H10373" s="164"/>
    </row>
    <row r="10374" spans="1:8" x14ac:dyDescent="0.25">
      <c r="A10374" s="163"/>
      <c r="B10374" s="106"/>
      <c r="C10374" s="73" t="s">
        <v>1902</v>
      </c>
      <c r="D10374" s="73"/>
      <c r="E10374" s="73"/>
      <c r="F10374" s="74" t="s">
        <v>3</v>
      </c>
      <c r="G10374" s="153">
        <v>2E-3</v>
      </c>
      <c r="H10374" s="164"/>
    </row>
    <row r="10375" spans="1:8" x14ac:dyDescent="0.25">
      <c r="A10375" s="163"/>
      <c r="B10375" s="106"/>
      <c r="C10375" s="73" t="s">
        <v>14</v>
      </c>
      <c r="D10375" s="73"/>
      <c r="E10375" s="73"/>
      <c r="F10375" s="74" t="s">
        <v>3</v>
      </c>
      <c r="G10375" s="153">
        <f>0.65*G10376</f>
        <v>1.17E-2</v>
      </c>
      <c r="H10375" s="164"/>
    </row>
    <row r="10376" spans="1:8" x14ac:dyDescent="0.25">
      <c r="A10376" s="163"/>
      <c r="B10376" s="106"/>
      <c r="C10376" s="73" t="s">
        <v>4116</v>
      </c>
      <c r="D10376" s="73"/>
      <c r="E10376" s="73"/>
      <c r="F10376" s="74" t="s">
        <v>3</v>
      </c>
      <c r="G10376" s="153">
        <f>0.12*0.2*2*0.15*2*1.25</f>
        <v>1.7999999999999999E-2</v>
      </c>
      <c r="H10376" s="164"/>
    </row>
    <row r="10377" spans="1:8" x14ac:dyDescent="0.25">
      <c r="A10377" s="163"/>
      <c r="B10377" s="106"/>
      <c r="C10377" s="73" t="s">
        <v>12</v>
      </c>
      <c r="D10377" s="73"/>
      <c r="E10377" s="73"/>
      <c r="F10377" s="74" t="s">
        <v>3</v>
      </c>
      <c r="G10377" s="153">
        <f>0.3*(G10376+G10375)</f>
        <v>8.9099999999999995E-3</v>
      </c>
      <c r="H10377" s="164"/>
    </row>
    <row r="10378" spans="1:8" x14ac:dyDescent="0.25">
      <c r="A10378" s="163"/>
      <c r="B10378" s="106"/>
      <c r="C10378" s="73" t="s">
        <v>4815</v>
      </c>
      <c r="D10378" s="73"/>
      <c r="E10378" s="73"/>
      <c r="F10378" s="74" t="s">
        <v>3</v>
      </c>
      <c r="G10378" s="153">
        <v>5.0000000000000001E-3</v>
      </c>
      <c r="H10378" s="164"/>
    </row>
    <row r="10379" spans="1:8" ht="15.75" thickBot="1" x14ac:dyDescent="0.3">
      <c r="A10379" s="67"/>
      <c r="B10379" s="86"/>
      <c r="C10379" s="68"/>
      <c r="D10379" s="68"/>
      <c r="E10379" s="68"/>
      <c r="F10379" s="82"/>
      <c r="G10379" s="89"/>
      <c r="H10379" s="165"/>
    </row>
    <row r="10380" spans="1:8" x14ac:dyDescent="0.25">
      <c r="A10380" s="159"/>
      <c r="B10380" s="181"/>
      <c r="C10380" s="93"/>
      <c r="D10380" s="93"/>
      <c r="E10380" s="93"/>
      <c r="F10380" s="160"/>
      <c r="G10380" s="161"/>
      <c r="H10380" s="522" t="s">
        <v>4833</v>
      </c>
    </row>
    <row r="10381" spans="1:8" x14ac:dyDescent="0.25">
      <c r="A10381" s="163"/>
      <c r="B10381" s="106"/>
      <c r="C10381" s="73"/>
      <c r="D10381" s="73"/>
      <c r="E10381" s="73"/>
      <c r="F10381" s="74"/>
      <c r="G10381" s="153"/>
      <c r="H10381" s="164"/>
    </row>
    <row r="10382" spans="1:8" x14ac:dyDescent="0.25">
      <c r="A10382" s="163"/>
      <c r="B10382" s="106"/>
      <c r="C10382" s="75" t="s">
        <v>4817</v>
      </c>
      <c r="D10382" s="73"/>
      <c r="E10382" s="73"/>
      <c r="F10382" s="74"/>
      <c r="G10382" s="153"/>
      <c r="H10382" s="164"/>
    </row>
    <row r="10383" spans="1:8" x14ac:dyDescent="0.25">
      <c r="A10383" s="163"/>
      <c r="B10383" s="106"/>
      <c r="C10383" s="77" t="s">
        <v>39</v>
      </c>
      <c r="D10383" s="73"/>
      <c r="E10383" s="73"/>
      <c r="F10383" s="74" t="s">
        <v>3</v>
      </c>
      <c r="G10383" s="427">
        <f>(0.31+0.016*3.14*4)*0.08*1.22</f>
        <v>4.9869695999999998E-2</v>
      </c>
      <c r="H10383" s="164"/>
    </row>
    <row r="10384" spans="1:8" ht="17.25" x14ac:dyDescent="0.25">
      <c r="A10384" s="163"/>
      <c r="B10384" s="106"/>
      <c r="C10384" s="77" t="s">
        <v>1055</v>
      </c>
      <c r="D10384" s="73"/>
      <c r="E10384" s="73"/>
      <c r="F10384" s="74" t="s">
        <v>596</v>
      </c>
      <c r="G10384" s="153">
        <f>1.5*G10383</f>
        <v>7.4804544000000001E-2</v>
      </c>
      <c r="H10384" s="164"/>
    </row>
    <row r="10385" spans="1:9" x14ac:dyDescent="0.25">
      <c r="A10385" s="163"/>
      <c r="B10385" s="106"/>
      <c r="C10385" s="73" t="s">
        <v>8</v>
      </c>
      <c r="D10385" s="73"/>
      <c r="E10385" s="73"/>
      <c r="F10385" s="74" t="s">
        <v>3</v>
      </c>
      <c r="G10385" s="153">
        <f>G10386*0.67</f>
        <v>4.0019904000000009E-2</v>
      </c>
      <c r="H10385" s="164"/>
    </row>
    <row r="10386" spans="1:9" x14ac:dyDescent="0.25">
      <c r="A10386" s="163"/>
      <c r="B10386" s="106"/>
      <c r="C10386" s="73" t="s">
        <v>36</v>
      </c>
      <c r="D10386" s="73"/>
      <c r="E10386" s="73"/>
      <c r="F10386" s="74" t="s">
        <v>3</v>
      </c>
      <c r="G10386" s="153">
        <f>0.34*0.24*2*0.15*2*1.22</f>
        <v>5.9731200000000005E-2</v>
      </c>
      <c r="H10386" s="164"/>
    </row>
    <row r="10387" spans="1:9" x14ac:dyDescent="0.25">
      <c r="A10387" s="163"/>
      <c r="B10387" s="106"/>
      <c r="C10387" s="73" t="s">
        <v>12</v>
      </c>
      <c r="D10387" s="73"/>
      <c r="E10387" s="73"/>
      <c r="F10387" s="74" t="s">
        <v>3</v>
      </c>
      <c r="G10387" s="153">
        <f>0.3*(G10386+G10385)</f>
        <v>2.9925331200000002E-2</v>
      </c>
      <c r="H10387" s="164"/>
    </row>
    <row r="10388" spans="1:9" x14ac:dyDescent="0.25">
      <c r="A10388" s="163"/>
      <c r="B10388" s="106"/>
      <c r="C10388" s="73"/>
      <c r="D10388" s="75" t="s">
        <v>4818</v>
      </c>
      <c r="E10388" s="73"/>
      <c r="F10388" s="74"/>
      <c r="G10388" s="153"/>
      <c r="H10388" s="164"/>
    </row>
    <row r="10389" spans="1:9" x14ac:dyDescent="0.25">
      <c r="A10389" s="163"/>
      <c r="B10389" s="106"/>
      <c r="C10389" s="73"/>
      <c r="D10389" s="73" t="s">
        <v>4820</v>
      </c>
      <c r="E10389" s="73"/>
      <c r="F10389" s="74" t="s">
        <v>3</v>
      </c>
      <c r="G10389" s="153">
        <f>0.11*0.02*3*8*1.13</f>
        <v>5.9663999999999995E-2</v>
      </c>
      <c r="H10389" s="164"/>
    </row>
    <row r="10390" spans="1:9" x14ac:dyDescent="0.25">
      <c r="A10390" s="163"/>
      <c r="B10390" s="106"/>
      <c r="C10390" s="73"/>
      <c r="D10390" s="75" t="s">
        <v>4819</v>
      </c>
      <c r="E10390" s="73"/>
      <c r="F10390" s="74"/>
      <c r="G10390" s="153"/>
      <c r="H10390" s="513"/>
    </row>
    <row r="10391" spans="1:9" x14ac:dyDescent="0.25">
      <c r="A10391" s="163"/>
      <c r="B10391" s="106"/>
      <c r="C10391" s="73"/>
      <c r="D10391" s="73" t="s">
        <v>4821</v>
      </c>
      <c r="E10391" s="73"/>
      <c r="F10391" s="74" t="s">
        <v>3</v>
      </c>
      <c r="G10391" s="153">
        <f>0.34*0.24*3*8*1.149</f>
        <v>2.2502016</v>
      </c>
      <c r="H10391" s="164"/>
    </row>
    <row r="10392" spans="1:9" x14ac:dyDescent="0.25">
      <c r="A10392" s="163"/>
      <c r="B10392" s="106"/>
      <c r="C10392" s="73"/>
      <c r="D10392" s="73"/>
      <c r="E10392" s="73"/>
      <c r="F10392" s="74"/>
      <c r="G10392" s="153"/>
      <c r="H10392" s="164"/>
    </row>
    <row r="10393" spans="1:9" x14ac:dyDescent="0.25">
      <c r="A10393" s="163"/>
      <c r="B10393" s="106"/>
      <c r="C10393" s="75" t="s">
        <v>4822</v>
      </c>
      <c r="D10393" s="73"/>
      <c r="E10393" s="73"/>
      <c r="F10393" s="74"/>
      <c r="G10393" s="153"/>
      <c r="H10393" s="164"/>
    </row>
    <row r="10394" spans="1:9" x14ac:dyDescent="0.25">
      <c r="A10394" s="163"/>
      <c r="B10394" s="106"/>
      <c r="C10394" s="73" t="s">
        <v>4294</v>
      </c>
      <c r="D10394" s="73"/>
      <c r="E10394" s="73"/>
      <c r="F10394" s="74" t="s">
        <v>3</v>
      </c>
      <c r="G10394" s="153">
        <f>(0.055*3.14+0.037)*0.075*1.5*2.7*1.125</f>
        <v>7.1658421875000017E-2</v>
      </c>
      <c r="H10394" s="164"/>
    </row>
    <row r="10395" spans="1:9" x14ac:dyDescent="0.25">
      <c r="A10395" s="163"/>
      <c r="B10395" s="106"/>
      <c r="C10395" s="73"/>
      <c r="D10395" s="73"/>
      <c r="E10395" s="73"/>
      <c r="F10395" s="74"/>
      <c r="G10395" s="153"/>
      <c r="H10395" s="164"/>
    </row>
    <row r="10396" spans="1:9" x14ac:dyDescent="0.25">
      <c r="A10396" s="163"/>
      <c r="B10396" s="106"/>
      <c r="C10396" s="75" t="s">
        <v>4823</v>
      </c>
      <c r="D10396" s="73"/>
      <c r="E10396" s="73"/>
      <c r="F10396" s="74"/>
      <c r="G10396" s="153"/>
      <c r="H10396" s="164"/>
    </row>
    <row r="10397" spans="1:9" x14ac:dyDescent="0.25">
      <c r="A10397" s="163"/>
      <c r="B10397" s="106"/>
      <c r="C10397" s="73" t="s">
        <v>4371</v>
      </c>
      <c r="D10397" s="73"/>
      <c r="E10397" s="73"/>
      <c r="F10397" s="74" t="s">
        <v>3</v>
      </c>
      <c r="G10397" s="153">
        <f>0.077*0.03*4*8*1.15</f>
        <v>8.5007999999999986E-2</v>
      </c>
      <c r="H10397" s="164"/>
    </row>
    <row r="10398" spans="1:9" x14ac:dyDescent="0.25">
      <c r="A10398" s="163"/>
      <c r="B10398" s="106"/>
      <c r="C10398" s="73"/>
      <c r="D10398" s="73"/>
      <c r="E10398" s="73"/>
      <c r="F10398" s="74"/>
      <c r="G10398" s="153"/>
      <c r="H10398" s="164"/>
    </row>
    <row r="10399" spans="1:9" x14ac:dyDescent="0.25">
      <c r="A10399" s="163"/>
      <c r="B10399" s="106"/>
      <c r="C10399" s="75" t="s">
        <v>4824</v>
      </c>
      <c r="D10399" s="73"/>
      <c r="E10399" s="73"/>
      <c r="F10399" s="74"/>
      <c r="G10399" s="153"/>
      <c r="H10399" s="164"/>
      <c r="I10399" t="s">
        <v>4826</v>
      </c>
    </row>
    <row r="10400" spans="1:9" x14ac:dyDescent="0.25">
      <c r="A10400" s="163"/>
      <c r="B10400" s="106"/>
      <c r="C10400" s="73" t="s">
        <v>4828</v>
      </c>
      <c r="D10400" s="73"/>
      <c r="E10400" s="73"/>
      <c r="F10400" s="74" t="s">
        <v>3</v>
      </c>
      <c r="G10400" s="153">
        <f>0.032*0.032*0.8*8*1.16</f>
        <v>7.6021759999999996E-3</v>
      </c>
      <c r="H10400" s="164"/>
    </row>
    <row r="10401" spans="1:12" x14ac:dyDescent="0.25">
      <c r="A10401" s="163"/>
      <c r="B10401" s="106"/>
      <c r="C10401" s="73" t="s">
        <v>4830</v>
      </c>
      <c r="D10401" s="73"/>
      <c r="E10401" s="73"/>
      <c r="F10401" s="74" t="s">
        <v>3</v>
      </c>
      <c r="G10401" s="153">
        <v>4.0000000000000001E-3</v>
      </c>
      <c r="H10401" s="514" t="s">
        <v>4832</v>
      </c>
    </row>
    <row r="10402" spans="1:12" x14ac:dyDescent="0.25">
      <c r="A10402" s="163"/>
      <c r="B10402" s="106"/>
      <c r="C10402" s="73"/>
      <c r="D10402" s="73"/>
      <c r="E10402" s="73"/>
      <c r="F10402" s="74"/>
      <c r="G10402" s="153"/>
      <c r="H10402" s="515"/>
    </row>
    <row r="10403" spans="1:12" x14ac:dyDescent="0.25">
      <c r="A10403" s="163"/>
      <c r="B10403" s="106"/>
      <c r="C10403" s="75" t="s">
        <v>4825</v>
      </c>
      <c r="D10403" s="73"/>
      <c r="E10403" s="73"/>
      <c r="F10403" s="74"/>
      <c r="G10403" s="153"/>
      <c r="H10403" s="164"/>
    </row>
    <row r="10404" spans="1:12" x14ac:dyDescent="0.25">
      <c r="A10404" s="163"/>
      <c r="B10404" s="106"/>
      <c r="C10404" s="73" t="s">
        <v>4829</v>
      </c>
      <c r="D10404" s="73"/>
      <c r="E10404" s="73"/>
      <c r="F10404" s="74" t="s">
        <v>3</v>
      </c>
      <c r="G10404" s="153">
        <f>0.045*0.045*1.2*8*1.15</f>
        <v>2.2355999999999997E-2</v>
      </c>
      <c r="H10404" s="164"/>
      <c r="I10404" t="s">
        <v>4827</v>
      </c>
    </row>
    <row r="10405" spans="1:12" x14ac:dyDescent="0.25">
      <c r="A10405" s="163"/>
      <c r="B10405" s="106"/>
      <c r="C10405" s="73" t="s">
        <v>4831</v>
      </c>
      <c r="D10405" s="73"/>
      <c r="E10405" s="73"/>
      <c r="F10405" s="74" t="s">
        <v>3</v>
      </c>
      <c r="G10405" s="153">
        <v>1.2999999999999999E-2</v>
      </c>
      <c r="H10405" s="514" t="s">
        <v>4832</v>
      </c>
      <c r="K10405"/>
    </row>
    <row r="10406" spans="1:12" ht="15.75" thickBot="1" x14ac:dyDescent="0.3">
      <c r="A10406" s="67"/>
      <c r="B10406" s="86"/>
      <c r="C10406" s="68"/>
      <c r="D10406" s="68"/>
      <c r="E10406" s="68"/>
      <c r="F10406" s="82"/>
      <c r="G10406" s="89"/>
      <c r="H10406" s="165"/>
    </row>
    <row r="10407" spans="1:12" x14ac:dyDescent="0.25">
      <c r="A10407" s="159"/>
      <c r="B10407" s="181"/>
      <c r="C10407" s="93"/>
      <c r="D10407" s="93"/>
      <c r="E10407" s="93"/>
      <c r="F10407" s="160"/>
      <c r="G10407" s="161"/>
      <c r="H10407" s="164" t="s">
        <v>4868</v>
      </c>
    </row>
    <row r="10408" spans="1:12" ht="15.75" x14ac:dyDescent="0.25">
      <c r="A10408" s="163"/>
      <c r="B10408" s="106"/>
      <c r="C10408" s="73"/>
      <c r="D10408" s="73"/>
      <c r="E10408" s="518" t="s">
        <v>4867</v>
      </c>
      <c r="F10408" s="74"/>
      <c r="G10408" s="153"/>
      <c r="H10408" s="164"/>
    </row>
    <row r="10409" spans="1:12" ht="18.75" x14ac:dyDescent="0.3">
      <c r="A10409" s="163"/>
      <c r="B10409" s="106"/>
      <c r="C10409" s="73"/>
      <c r="D10409" s="73"/>
      <c r="E10409" s="519" t="s">
        <v>4913</v>
      </c>
      <c r="F10409" s="74"/>
      <c r="G10409" s="153"/>
      <c r="H10409" s="164"/>
    </row>
    <row r="10410" spans="1:12" ht="15.75" x14ac:dyDescent="0.25">
      <c r="A10410" s="163"/>
      <c r="B10410" s="502"/>
      <c r="C10410" s="73"/>
      <c r="D10410" s="73"/>
      <c r="E10410" s="73"/>
      <c r="F10410" s="74"/>
      <c r="G10410" s="153"/>
      <c r="H10410" s="164"/>
      <c r="K10410" s="512"/>
    </row>
    <row r="10411" spans="1:12" x14ac:dyDescent="0.25">
      <c r="A10411" s="163"/>
      <c r="B10411" s="106"/>
      <c r="C10411" s="73" t="s">
        <v>1307</v>
      </c>
      <c r="D10411" s="73"/>
      <c r="E10411" s="73"/>
      <c r="F10411" s="74" t="s">
        <v>3</v>
      </c>
      <c r="G10411" s="153">
        <v>1.4999999999999999E-2</v>
      </c>
      <c r="H10411" s="164"/>
      <c r="I10411" t="s">
        <v>4834</v>
      </c>
      <c r="J10411" s="13" t="s">
        <v>4835</v>
      </c>
      <c r="L10411" t="s">
        <v>625</v>
      </c>
    </row>
    <row r="10412" spans="1:12" x14ac:dyDescent="0.25">
      <c r="A10412" s="163"/>
      <c r="B10412" s="106"/>
      <c r="C10412" s="100" t="s">
        <v>142</v>
      </c>
      <c r="D10412" s="73"/>
      <c r="E10412" s="73"/>
      <c r="F10412" s="74" t="s">
        <v>3</v>
      </c>
      <c r="G10412" s="153">
        <f>0.02/4</f>
        <v>5.0000000000000001E-3</v>
      </c>
      <c r="H10412" s="164"/>
      <c r="I10412" t="s">
        <v>4836</v>
      </c>
      <c r="J10412" s="13" t="s">
        <v>3019</v>
      </c>
      <c r="L10412" t="s">
        <v>625</v>
      </c>
    </row>
    <row r="10413" spans="1:12" x14ac:dyDescent="0.25">
      <c r="A10413" s="163"/>
      <c r="B10413" s="106"/>
      <c r="C10413" s="73" t="s">
        <v>114</v>
      </c>
      <c r="D10413" s="73"/>
      <c r="E10413" s="73"/>
      <c r="F10413" s="74" t="s">
        <v>3</v>
      </c>
      <c r="G10413" s="153">
        <f>0.003+0.003+0.15*0.69</f>
        <v>0.1095</v>
      </c>
      <c r="H10413" s="164"/>
      <c r="I10413" t="s">
        <v>4848</v>
      </c>
      <c r="J10413" s="13" t="s">
        <v>3762</v>
      </c>
      <c r="L10413" t="s">
        <v>4849</v>
      </c>
    </row>
    <row r="10414" spans="1:12" x14ac:dyDescent="0.25">
      <c r="A10414" s="163"/>
      <c r="B10414" s="106"/>
      <c r="C10414" s="73" t="s">
        <v>4838</v>
      </c>
      <c r="D10414" s="73"/>
      <c r="E10414" s="73"/>
      <c r="F10414" s="74" t="s">
        <v>3</v>
      </c>
      <c r="G10414" s="153">
        <f>0.01+0.005+0.006+0.012+0.025+(0.11*0.02*2*1.3)*0.7</f>
        <v>6.2004000000000004E-2</v>
      </c>
      <c r="H10414" s="164"/>
      <c r="I10414" t="s">
        <v>4850</v>
      </c>
      <c r="J10414" s="13" t="s">
        <v>3019</v>
      </c>
      <c r="K10414" s="512"/>
      <c r="L10414" t="s">
        <v>625</v>
      </c>
    </row>
    <row r="10415" spans="1:12" x14ac:dyDescent="0.25">
      <c r="A10415" s="163"/>
      <c r="B10415" s="106"/>
      <c r="C10415" s="73" t="s">
        <v>4845</v>
      </c>
      <c r="D10415" s="73"/>
      <c r="E10415" s="73"/>
      <c r="F10415" s="74" t="s">
        <v>2897</v>
      </c>
      <c r="G10415" s="153">
        <v>0.12</v>
      </c>
      <c r="H10415" s="164"/>
      <c r="I10415" t="s">
        <v>4852</v>
      </c>
      <c r="J10415" s="13" t="s">
        <v>4853</v>
      </c>
      <c r="L10415" t="s">
        <v>625</v>
      </c>
    </row>
    <row r="10416" spans="1:12" x14ac:dyDescent="0.25">
      <c r="A10416" s="163"/>
      <c r="B10416" s="106"/>
      <c r="C10416" s="73" t="s">
        <v>4839</v>
      </c>
      <c r="D10416" s="73"/>
      <c r="E10416" s="73"/>
      <c r="F10416" s="74" t="s">
        <v>3</v>
      </c>
      <c r="G10416" s="153">
        <v>6.9999999999999999E-4</v>
      </c>
      <c r="H10416" s="164"/>
      <c r="I10416" t="s">
        <v>4854</v>
      </c>
      <c r="J10416" s="13" t="s">
        <v>2167</v>
      </c>
      <c r="L10416" t="s">
        <v>625</v>
      </c>
    </row>
    <row r="10417" spans="1:13" x14ac:dyDescent="0.25">
      <c r="A10417" s="163"/>
      <c r="B10417" s="106"/>
      <c r="C10417" s="73" t="s">
        <v>3001</v>
      </c>
      <c r="D10417" s="73"/>
      <c r="E10417" s="73"/>
      <c r="F10417" s="74" t="s">
        <v>3</v>
      </c>
      <c r="G10417" s="153">
        <f>0.2*11*0.009*1.1</f>
        <v>2.1780000000000004E-2</v>
      </c>
      <c r="H10417" s="164"/>
      <c r="I10417" t="s">
        <v>4856</v>
      </c>
      <c r="J10417" s="13" t="s">
        <v>2167</v>
      </c>
      <c r="K10417" s="512"/>
      <c r="L10417" t="s">
        <v>625</v>
      </c>
      <c r="M10417" t="s">
        <v>549</v>
      </c>
    </row>
    <row r="10418" spans="1:13" x14ac:dyDescent="0.25">
      <c r="A10418" s="163"/>
      <c r="B10418" s="106"/>
      <c r="C10418" s="73" t="s">
        <v>148</v>
      </c>
      <c r="D10418" s="73"/>
      <c r="E10418" s="73"/>
      <c r="F10418" s="74" t="s">
        <v>3</v>
      </c>
      <c r="G10418" s="153">
        <f>0.003+0.005+0.005+0.009+0.018</f>
        <v>3.9999999999999994E-2</v>
      </c>
      <c r="H10418" s="164"/>
      <c r="I10418" t="s">
        <v>4857</v>
      </c>
      <c r="J10418" s="13" t="s">
        <v>2167</v>
      </c>
      <c r="K10418" s="512"/>
      <c r="L10418" t="s">
        <v>625</v>
      </c>
      <c r="M10418" t="s">
        <v>4858</v>
      </c>
    </row>
    <row r="10419" spans="1:13" x14ac:dyDescent="0.25">
      <c r="A10419" s="163"/>
      <c r="B10419" s="106"/>
      <c r="C10419" s="73" t="s">
        <v>500</v>
      </c>
      <c r="D10419" s="73"/>
      <c r="E10419" s="73"/>
      <c r="F10419" s="74" t="s">
        <v>3</v>
      </c>
      <c r="G10419" s="153">
        <f>0.028+0.002</f>
        <v>0.03</v>
      </c>
      <c r="H10419" s="164"/>
      <c r="K10419" s="512"/>
    </row>
    <row r="10420" spans="1:13" x14ac:dyDescent="0.25">
      <c r="A10420" s="163"/>
      <c r="B10420" s="106"/>
      <c r="C10420" s="73" t="s">
        <v>115</v>
      </c>
      <c r="D10420" s="73"/>
      <c r="E10420" s="73"/>
      <c r="F10420" s="74" t="s">
        <v>3</v>
      </c>
      <c r="G10420" s="153">
        <f>0.01+(0.11*0.02*2*1.3)+0.37*(0.22*4)*0.15*2*1.3+0.007</f>
        <v>0.14970400000000003</v>
      </c>
      <c r="H10420" s="164"/>
    </row>
    <row r="10421" spans="1:13" x14ac:dyDescent="0.25">
      <c r="A10421" s="163"/>
      <c r="B10421" s="106"/>
      <c r="C10421" s="73" t="s">
        <v>4840</v>
      </c>
      <c r="D10421" s="73"/>
      <c r="E10421" s="73"/>
      <c r="F10421" s="74" t="s">
        <v>195</v>
      </c>
      <c r="G10421" s="153">
        <v>0.5</v>
      </c>
      <c r="H10421" s="164"/>
    </row>
    <row r="10422" spans="1:13" ht="17.25" x14ac:dyDescent="0.25">
      <c r="A10422" s="163"/>
      <c r="B10422" s="106"/>
      <c r="C10422" s="100" t="s">
        <v>23</v>
      </c>
      <c r="D10422" s="73"/>
      <c r="E10422" s="73"/>
      <c r="F10422" s="74" t="s">
        <v>596</v>
      </c>
      <c r="G10422" s="153">
        <f>G10436*2</f>
        <v>0.04</v>
      </c>
      <c r="H10422" s="164"/>
    </row>
    <row r="10423" spans="1:13" x14ac:dyDescent="0.25">
      <c r="A10423" s="163"/>
      <c r="B10423" s="106"/>
      <c r="C10423" s="73" t="s">
        <v>4841</v>
      </c>
      <c r="D10423" s="73"/>
      <c r="E10423" s="73"/>
      <c r="F10423" s="74" t="s">
        <v>3</v>
      </c>
      <c r="G10423" s="153">
        <f>0.01+0.015</f>
        <v>2.5000000000000001E-2</v>
      </c>
      <c r="H10423" s="164"/>
    </row>
    <row r="10424" spans="1:13" x14ac:dyDescent="0.25">
      <c r="A10424" s="163"/>
      <c r="B10424" s="106"/>
      <c r="C10424" s="73" t="s">
        <v>313</v>
      </c>
      <c r="D10424" s="73"/>
      <c r="E10424" s="73"/>
      <c r="F10424" s="74" t="s">
        <v>3</v>
      </c>
      <c r="G10424" s="153">
        <f>0.035*0.3</f>
        <v>1.0500000000000001E-2</v>
      </c>
      <c r="H10424" s="164"/>
      <c r="K10424" s="512"/>
    </row>
    <row r="10425" spans="1:13" x14ac:dyDescent="0.25">
      <c r="A10425" s="163"/>
      <c r="B10425" s="106"/>
      <c r="C10425" s="73" t="s">
        <v>143</v>
      </c>
      <c r="D10425" s="73"/>
      <c r="E10425" s="73"/>
      <c r="F10425" s="74" t="s">
        <v>3</v>
      </c>
      <c r="G10425" s="153">
        <f>0.15*3.14*0.17*0.15*2*1.45</f>
        <v>3.4830449999999999E-2</v>
      </c>
      <c r="H10425" s="164"/>
      <c r="K10425" s="512"/>
    </row>
    <row r="10426" spans="1:13" x14ac:dyDescent="0.25">
      <c r="A10426" s="163"/>
      <c r="B10426" s="106"/>
      <c r="C10426" s="73" t="s">
        <v>912</v>
      </c>
      <c r="D10426" s="73"/>
      <c r="E10426" s="73"/>
      <c r="F10426" s="74" t="s">
        <v>3</v>
      </c>
      <c r="G10426" s="153">
        <v>3.5000000000000003E-2</v>
      </c>
      <c r="H10426" s="164"/>
    </row>
    <row r="10427" spans="1:13" x14ac:dyDescent="0.25">
      <c r="A10427" s="163"/>
      <c r="B10427" s="106"/>
      <c r="C10427" s="73" t="s">
        <v>4865</v>
      </c>
      <c r="D10427" s="73"/>
      <c r="E10427" s="73"/>
      <c r="F10427" s="74" t="s">
        <v>3</v>
      </c>
      <c r="G10427" s="153">
        <v>1.6E-2</v>
      </c>
      <c r="H10427" s="164"/>
    </row>
    <row r="10428" spans="1:13" x14ac:dyDescent="0.25">
      <c r="A10428" s="163"/>
      <c r="B10428" s="106"/>
      <c r="C10428" s="73" t="s">
        <v>4866</v>
      </c>
      <c r="D10428" s="73"/>
      <c r="E10428" s="73"/>
      <c r="F10428" s="74" t="s">
        <v>3</v>
      </c>
      <c r="G10428" s="153">
        <f>0.032*2+0.015*2+0.001</f>
        <v>9.5000000000000001E-2</v>
      </c>
      <c r="H10428" s="164"/>
    </row>
    <row r="10429" spans="1:13" x14ac:dyDescent="0.25">
      <c r="A10429" s="163"/>
      <c r="B10429" s="106"/>
      <c r="C10429" s="73" t="s">
        <v>4851</v>
      </c>
      <c r="D10429" s="73"/>
      <c r="E10429" s="73"/>
      <c r="F10429" s="74" t="s">
        <v>3</v>
      </c>
      <c r="G10429" s="153">
        <f>0.008*4+0.007*8+0.007*2+0.01*4</f>
        <v>0.14199999999999999</v>
      </c>
      <c r="H10429" s="164"/>
      <c r="I10429" t="s">
        <v>4843</v>
      </c>
    </row>
    <row r="10430" spans="1:13" x14ac:dyDescent="0.25">
      <c r="A10430" s="163"/>
      <c r="B10430" s="106"/>
      <c r="C10430" s="100" t="s">
        <v>4855</v>
      </c>
      <c r="D10430" s="73"/>
      <c r="E10430" s="73"/>
      <c r="F10430" s="74" t="s">
        <v>3</v>
      </c>
      <c r="G10430" s="153">
        <f>0.002*2+0.003*3</f>
        <v>1.3000000000000001E-2</v>
      </c>
      <c r="H10430" s="164"/>
    </row>
    <row r="10431" spans="1:13" x14ac:dyDescent="0.25">
      <c r="A10431" s="163"/>
      <c r="B10431" s="106"/>
      <c r="C10431" s="73" t="s">
        <v>4847</v>
      </c>
      <c r="D10431" s="73"/>
      <c r="E10431" s="73"/>
      <c r="F10431" s="74" t="s">
        <v>3</v>
      </c>
      <c r="G10431" s="153">
        <f>0.3</f>
        <v>0.3</v>
      </c>
      <c r="H10431" s="164"/>
      <c r="K10431" s="512"/>
    </row>
    <row r="10432" spans="1:13" x14ac:dyDescent="0.25">
      <c r="A10432" s="163"/>
      <c r="B10432" s="106"/>
      <c r="C10432" s="73" t="s">
        <v>4842</v>
      </c>
      <c r="D10432" s="73"/>
      <c r="E10432" s="73"/>
      <c r="F10432" s="74" t="s">
        <v>3</v>
      </c>
      <c r="G10432" s="153">
        <f>0.007+0.016+0.009+0.007*5+0.005*9+0.006*2+0.008</f>
        <v>0.13200000000000001</v>
      </c>
      <c r="H10432" s="164"/>
      <c r="K10432" s="512"/>
    </row>
    <row r="10433" spans="1:11" x14ac:dyDescent="0.25">
      <c r="A10433" s="163"/>
      <c r="B10433" s="106"/>
      <c r="C10433" s="100" t="s">
        <v>4859</v>
      </c>
      <c r="D10433" s="73"/>
      <c r="E10433" s="73"/>
      <c r="F10433" s="74" t="s">
        <v>3</v>
      </c>
      <c r="G10433" s="153">
        <f>0.02*2+0.02*2</f>
        <v>0.08</v>
      </c>
      <c r="H10433" s="164"/>
      <c r="K10433" s="512"/>
    </row>
    <row r="10434" spans="1:11" x14ac:dyDescent="0.25">
      <c r="A10434" s="163"/>
      <c r="B10434" s="106"/>
      <c r="C10434" s="73" t="s">
        <v>4864</v>
      </c>
      <c r="D10434" s="73"/>
      <c r="E10434" s="73"/>
      <c r="F10434" s="74" t="s">
        <v>3</v>
      </c>
      <c r="G10434" s="153">
        <v>8.9999999999999993E-3</v>
      </c>
      <c r="H10434" s="164"/>
      <c r="K10434" s="512"/>
    </row>
    <row r="10435" spans="1:11" x14ac:dyDescent="0.25">
      <c r="A10435" s="163"/>
      <c r="B10435" s="106"/>
      <c r="C10435" s="73" t="s">
        <v>2478</v>
      </c>
      <c r="D10435" s="73"/>
      <c r="E10435" s="73"/>
      <c r="F10435" s="74" t="s">
        <v>3</v>
      </c>
      <c r="G10435" s="520">
        <v>5.0000000000000001E-3</v>
      </c>
      <c r="H10435" s="164"/>
      <c r="K10435" s="512"/>
    </row>
    <row r="10436" spans="1:11" x14ac:dyDescent="0.25">
      <c r="A10436" s="163"/>
      <c r="B10436" s="106"/>
      <c r="C10436" s="100" t="s">
        <v>140</v>
      </c>
      <c r="D10436" s="73"/>
      <c r="E10436" s="73"/>
      <c r="F10436" s="74" t="s">
        <v>3</v>
      </c>
      <c r="G10436" s="153">
        <v>0.02</v>
      </c>
      <c r="H10436" s="164"/>
    </row>
    <row r="10437" spans="1:11" x14ac:dyDescent="0.25">
      <c r="A10437" s="163"/>
      <c r="B10437" s="106"/>
      <c r="C10437" s="73" t="s">
        <v>671</v>
      </c>
      <c r="D10437" s="73"/>
      <c r="E10437" s="73"/>
      <c r="F10437" s="74" t="s">
        <v>3</v>
      </c>
      <c r="G10437" s="153">
        <f>0.005+0.006</f>
        <v>1.0999999999999999E-2</v>
      </c>
      <c r="H10437" s="164"/>
      <c r="K10437" s="512"/>
    </row>
    <row r="10438" spans="1:11" x14ac:dyDescent="0.25">
      <c r="A10438" s="163"/>
      <c r="B10438" s="106"/>
      <c r="C10438" s="73" t="s">
        <v>4846</v>
      </c>
      <c r="D10438" s="73"/>
      <c r="E10438" s="73"/>
      <c r="F10438" s="74" t="s">
        <v>3</v>
      </c>
      <c r="G10438" s="153">
        <f>0.035*0.1</f>
        <v>3.5000000000000005E-3</v>
      </c>
      <c r="H10438" s="164"/>
    </row>
    <row r="10439" spans="1:11" x14ac:dyDescent="0.25">
      <c r="A10439" s="163"/>
      <c r="B10439" s="106"/>
      <c r="C10439" s="73" t="s">
        <v>661</v>
      </c>
      <c r="D10439" s="73"/>
      <c r="E10439" s="73"/>
      <c r="F10439" s="74" t="s">
        <v>3</v>
      </c>
      <c r="G10439" s="153">
        <f>0.035*0.7</f>
        <v>2.4500000000000001E-2</v>
      </c>
      <c r="H10439" s="164"/>
    </row>
    <row r="10440" spans="1:11" x14ac:dyDescent="0.25">
      <c r="A10440" s="163"/>
      <c r="B10440" s="106"/>
      <c r="C10440" s="73" t="s">
        <v>164</v>
      </c>
      <c r="D10440" s="73"/>
      <c r="E10440" s="73"/>
      <c r="F10440" s="74" t="s">
        <v>3</v>
      </c>
      <c r="G10440" s="153">
        <f>0.002+0.15*0.32</f>
        <v>0.05</v>
      </c>
      <c r="H10440" s="164"/>
    </row>
    <row r="10441" spans="1:11" x14ac:dyDescent="0.25">
      <c r="A10441" s="163"/>
      <c r="B10441" s="106"/>
      <c r="C10441" s="73" t="s">
        <v>1232</v>
      </c>
      <c r="D10441" s="73"/>
      <c r="E10441" s="73"/>
      <c r="F10441" s="74" t="s">
        <v>195</v>
      </c>
      <c r="G10441" s="153">
        <v>0.25</v>
      </c>
      <c r="H10441" s="164"/>
      <c r="K10441" s="512"/>
    </row>
    <row r="10442" spans="1:11" x14ac:dyDescent="0.25">
      <c r="A10442" s="163"/>
      <c r="B10442" s="106"/>
      <c r="C10442" s="73" t="s">
        <v>1216</v>
      </c>
      <c r="D10442" s="73"/>
      <c r="E10442" s="73"/>
      <c r="F10442" s="74" t="s">
        <v>195</v>
      </c>
      <c r="G10442" s="153">
        <v>0.2</v>
      </c>
      <c r="H10442" s="164"/>
    </row>
    <row r="10443" spans="1:11" x14ac:dyDescent="0.25">
      <c r="A10443" s="163"/>
      <c r="B10443" s="106"/>
      <c r="C10443" s="73" t="s">
        <v>4861</v>
      </c>
      <c r="D10443" s="73"/>
      <c r="E10443" s="73"/>
      <c r="F10443" s="74" t="s">
        <v>195</v>
      </c>
      <c r="G10443" s="153">
        <v>0.1</v>
      </c>
      <c r="H10443" s="164"/>
    </row>
    <row r="10444" spans="1:11" x14ac:dyDescent="0.25">
      <c r="A10444" s="163"/>
      <c r="B10444" s="106"/>
      <c r="C10444" s="73" t="s">
        <v>4862</v>
      </c>
      <c r="D10444" s="73"/>
      <c r="E10444" s="73"/>
      <c r="F10444" s="74" t="s">
        <v>195</v>
      </c>
      <c r="G10444" s="153">
        <v>0.1</v>
      </c>
      <c r="H10444" s="164"/>
    </row>
    <row r="10445" spans="1:11" x14ac:dyDescent="0.25">
      <c r="A10445" s="163"/>
      <c r="B10445" s="106"/>
      <c r="C10445" s="73" t="s">
        <v>4844</v>
      </c>
      <c r="D10445" s="73"/>
      <c r="E10445" s="73"/>
      <c r="F10445" s="74" t="s">
        <v>112</v>
      </c>
      <c r="G10445" s="153">
        <v>3.0000000000000001E-3</v>
      </c>
      <c r="H10445" s="164"/>
    </row>
    <row r="10446" spans="1:11" x14ac:dyDescent="0.25">
      <c r="A10446" s="163"/>
      <c r="B10446" s="106"/>
      <c r="C10446" s="73" t="s">
        <v>4837</v>
      </c>
      <c r="D10446" s="73"/>
      <c r="E10446" s="73"/>
      <c r="F10446" s="74" t="s">
        <v>3</v>
      </c>
      <c r="G10446" s="153">
        <f>0.006+0.001+0.009+0.015+0.015+0.005+0.099</f>
        <v>0.15</v>
      </c>
      <c r="H10446" s="164"/>
    </row>
    <row r="10447" spans="1:11" x14ac:dyDescent="0.25">
      <c r="A10447" s="163"/>
      <c r="B10447" s="106"/>
      <c r="C10447" s="73" t="s">
        <v>147</v>
      </c>
      <c r="D10447" s="73"/>
      <c r="E10447" s="73"/>
      <c r="F10447" s="74" t="s">
        <v>3</v>
      </c>
      <c r="G10447" s="153">
        <v>0.05</v>
      </c>
      <c r="H10447" s="164"/>
    </row>
    <row r="10448" spans="1:11" x14ac:dyDescent="0.25">
      <c r="A10448" s="163"/>
      <c r="B10448" s="106"/>
      <c r="C10448" s="73"/>
      <c r="D10448" s="73"/>
      <c r="E10448" s="73"/>
      <c r="F10448" s="74"/>
      <c r="G10448" s="153"/>
      <c r="H10448" s="164"/>
      <c r="K10448" s="512"/>
    </row>
    <row r="10449" spans="1:11" x14ac:dyDescent="0.25">
      <c r="A10449" s="163"/>
      <c r="B10449" s="106"/>
      <c r="C10449" s="73" t="s">
        <v>4860</v>
      </c>
      <c r="D10449" s="73"/>
      <c r="E10449" s="73"/>
      <c r="F10449" s="74" t="s">
        <v>1516</v>
      </c>
      <c r="G10449" s="153">
        <v>1</v>
      </c>
      <c r="H10449" s="164"/>
    </row>
    <row r="10450" spans="1:11" x14ac:dyDescent="0.25">
      <c r="A10450" s="163"/>
      <c r="B10450" s="106"/>
      <c r="C10450" s="73" t="s">
        <v>4863</v>
      </c>
      <c r="D10450" s="73"/>
      <c r="E10450" s="73"/>
      <c r="F10450" s="74" t="s">
        <v>1516</v>
      </c>
      <c r="G10450" s="153">
        <v>2</v>
      </c>
      <c r="H10450" s="164"/>
    </row>
    <row r="10451" spans="1:11" x14ac:dyDescent="0.25">
      <c r="A10451" s="163"/>
      <c r="B10451" s="106"/>
      <c r="C10451" s="73" t="s">
        <v>4708</v>
      </c>
      <c r="D10451" s="73"/>
      <c r="E10451" s="73"/>
      <c r="F10451" s="74" t="s">
        <v>1516</v>
      </c>
      <c r="G10451" s="153">
        <v>1</v>
      </c>
      <c r="H10451" s="164"/>
    </row>
    <row r="10452" spans="1:11" ht="15.75" thickBot="1" x14ac:dyDescent="0.3">
      <c r="A10452" s="67"/>
      <c r="B10452" s="86"/>
      <c r="C10452" s="68"/>
      <c r="D10452" s="68"/>
      <c r="E10452" s="68"/>
      <c r="F10452" s="82"/>
      <c r="G10452" s="89"/>
      <c r="H10452" s="165"/>
    </row>
    <row r="10453" spans="1:11" ht="15.75" x14ac:dyDescent="0.25">
      <c r="A10453" s="159"/>
      <c r="B10453" s="181"/>
      <c r="C10453" s="93"/>
      <c r="D10453" s="93"/>
      <c r="E10453" s="521" t="s">
        <v>4871</v>
      </c>
      <c r="F10453" s="160"/>
      <c r="G10453" s="161"/>
      <c r="H10453" s="522" t="s">
        <v>4894</v>
      </c>
    </row>
    <row r="10454" spans="1:11" x14ac:dyDescent="0.25">
      <c r="A10454" s="163"/>
      <c r="B10454" s="106"/>
      <c r="C10454" s="73"/>
      <c r="D10454" s="73"/>
      <c r="E10454" s="73"/>
      <c r="F10454" s="74"/>
      <c r="G10454" s="153"/>
      <c r="H10454" s="164"/>
    </row>
    <row r="10455" spans="1:11" x14ac:dyDescent="0.25">
      <c r="A10455" s="163"/>
      <c r="B10455" s="106"/>
      <c r="C10455" s="73"/>
      <c r="D10455" s="73"/>
      <c r="E10455" s="75" t="s">
        <v>4869</v>
      </c>
      <c r="F10455" s="74"/>
      <c r="G10455" s="153"/>
      <c r="H10455" s="164"/>
    </row>
    <row r="10456" spans="1:11" x14ac:dyDescent="0.25">
      <c r="A10456" s="163"/>
      <c r="B10456" s="106"/>
      <c r="C10456" s="73"/>
      <c r="D10456" s="73"/>
      <c r="E10456" s="73"/>
      <c r="F10456" s="74"/>
      <c r="G10456" s="153"/>
      <c r="H10456" s="164"/>
    </row>
    <row r="10457" spans="1:11" x14ac:dyDescent="0.25">
      <c r="A10457" s="163"/>
      <c r="B10457" s="106"/>
      <c r="C10457" s="75" t="s">
        <v>4870</v>
      </c>
      <c r="D10457" s="73"/>
      <c r="E10457" s="73"/>
      <c r="F10457" s="74"/>
      <c r="G10457" s="153"/>
      <c r="H10457" s="164"/>
    </row>
    <row r="10458" spans="1:11" x14ac:dyDescent="0.25">
      <c r="A10458" s="163"/>
      <c r="B10458" s="106"/>
      <c r="C10458" s="73" t="s">
        <v>1260</v>
      </c>
      <c r="D10458" s="77"/>
      <c r="E10458" s="77"/>
      <c r="F10458" s="152" t="s">
        <v>195</v>
      </c>
      <c r="G10458" s="427">
        <f>0.55+0.76</f>
        <v>1.31</v>
      </c>
      <c r="H10458" s="164"/>
    </row>
    <row r="10459" spans="1:11" x14ac:dyDescent="0.25">
      <c r="A10459" s="163"/>
      <c r="B10459" s="106"/>
      <c r="C10459" s="73" t="s">
        <v>4872</v>
      </c>
      <c r="D10459" s="73"/>
      <c r="E10459" s="73"/>
      <c r="F10459" s="74" t="s">
        <v>3</v>
      </c>
      <c r="G10459" s="153">
        <f>0.012</f>
        <v>1.2E-2</v>
      </c>
      <c r="H10459" s="164"/>
    </row>
    <row r="10460" spans="1:11" x14ac:dyDescent="0.25">
      <c r="A10460" s="163"/>
      <c r="B10460" s="106"/>
      <c r="C10460" s="73" t="s">
        <v>115</v>
      </c>
      <c r="D10460" s="73"/>
      <c r="E10460" s="73"/>
      <c r="F10460" s="74" t="s">
        <v>3</v>
      </c>
      <c r="G10460" s="153">
        <f>0.012+0.008</f>
        <v>0.02</v>
      </c>
      <c r="H10460" s="164"/>
      <c r="K10460" s="516"/>
    </row>
    <row r="10461" spans="1:11" x14ac:dyDescent="0.25">
      <c r="A10461" s="163"/>
      <c r="B10461" s="106"/>
      <c r="C10461" s="73" t="s">
        <v>143</v>
      </c>
      <c r="D10461" s="73"/>
      <c r="E10461" s="73"/>
      <c r="F10461" s="74" t="s">
        <v>3</v>
      </c>
      <c r="G10461" s="153">
        <f>G10459</f>
        <v>1.2E-2</v>
      </c>
      <c r="H10461" s="164"/>
      <c r="K10461" s="516"/>
    </row>
    <row r="10462" spans="1:11" x14ac:dyDescent="0.25">
      <c r="A10462" s="163"/>
      <c r="B10462" s="106"/>
      <c r="C10462" s="73" t="s">
        <v>12</v>
      </c>
      <c r="D10462" s="73"/>
      <c r="E10462" s="73"/>
      <c r="F10462" s="74" t="s">
        <v>3</v>
      </c>
      <c r="G10462" s="153">
        <f>0.3*(G10460+G10459+G10461)</f>
        <v>1.3199999999999998E-2</v>
      </c>
      <c r="H10462" s="164"/>
      <c r="K10462" s="516"/>
    </row>
    <row r="10463" spans="1:11" x14ac:dyDescent="0.25">
      <c r="A10463" s="163"/>
      <c r="B10463" s="106"/>
      <c r="C10463" s="73"/>
      <c r="D10463" s="73"/>
      <c r="E10463" s="73"/>
      <c r="F10463" s="74"/>
      <c r="G10463" s="153"/>
      <c r="H10463" s="164"/>
    </row>
    <row r="10464" spans="1:11" x14ac:dyDescent="0.25">
      <c r="A10464" s="163"/>
      <c r="B10464" s="106"/>
      <c r="C10464" s="75" t="s">
        <v>1254</v>
      </c>
      <c r="D10464" s="73"/>
      <c r="E10464" s="73"/>
      <c r="F10464" s="74"/>
      <c r="G10464" s="153"/>
      <c r="H10464" s="164"/>
    </row>
    <row r="10465" spans="1:11" x14ac:dyDescent="0.25">
      <c r="A10465" s="163"/>
      <c r="B10465" s="106"/>
      <c r="C10465" s="73" t="s">
        <v>4872</v>
      </c>
      <c r="D10465" s="73"/>
      <c r="E10465" s="73"/>
      <c r="F10465" s="74" t="s">
        <v>3</v>
      </c>
      <c r="G10465" s="153">
        <v>0.01</v>
      </c>
      <c r="H10465" s="164"/>
    </row>
    <row r="10466" spans="1:11" x14ac:dyDescent="0.25">
      <c r="A10466" s="163"/>
      <c r="B10466" s="106"/>
      <c r="C10466" s="73" t="s">
        <v>115</v>
      </c>
      <c r="D10466" s="73"/>
      <c r="E10466" s="73"/>
      <c r="F10466" s="74" t="s">
        <v>3</v>
      </c>
      <c r="G10466" s="153">
        <v>0.01</v>
      </c>
      <c r="H10466" s="164"/>
    </row>
    <row r="10467" spans="1:11" x14ac:dyDescent="0.25">
      <c r="A10467" s="163"/>
      <c r="B10467" s="106"/>
      <c r="C10467" s="73" t="s">
        <v>143</v>
      </c>
      <c r="D10467" s="73"/>
      <c r="E10467" s="73"/>
      <c r="F10467" s="74" t="s">
        <v>3</v>
      </c>
      <c r="G10467" s="153">
        <v>8.0000000000000002E-3</v>
      </c>
      <c r="H10467" s="164"/>
    </row>
    <row r="10468" spans="1:11" x14ac:dyDescent="0.25">
      <c r="A10468" s="163"/>
      <c r="B10468" s="106"/>
      <c r="C10468" s="73" t="s">
        <v>12</v>
      </c>
      <c r="D10468" s="73"/>
      <c r="E10468" s="73"/>
      <c r="F10468" s="74" t="s">
        <v>3</v>
      </c>
      <c r="G10468" s="153">
        <f>0.3*(G10466+G10465+G10467)</f>
        <v>8.3999999999999995E-3</v>
      </c>
      <c r="H10468" s="164"/>
    </row>
    <row r="10469" spans="1:11" x14ac:dyDescent="0.25">
      <c r="A10469" s="163"/>
      <c r="B10469" s="106"/>
      <c r="C10469" s="73"/>
      <c r="D10469" s="73"/>
      <c r="E10469" s="73"/>
      <c r="F10469" s="74"/>
      <c r="G10469" s="153"/>
      <c r="H10469" s="164"/>
      <c r="K10469" s="516"/>
    </row>
    <row r="10470" spans="1:11" x14ac:dyDescent="0.25">
      <c r="A10470" s="163"/>
      <c r="B10470" s="106"/>
      <c r="C10470" s="75" t="s">
        <v>4874</v>
      </c>
      <c r="D10470" s="73"/>
      <c r="E10470" s="73"/>
      <c r="F10470" s="74"/>
      <c r="G10470" s="153"/>
      <c r="H10470" s="164"/>
      <c r="K10470" s="516"/>
    </row>
    <row r="10471" spans="1:11" x14ac:dyDescent="0.25">
      <c r="A10471" s="163"/>
      <c r="B10471" s="106"/>
      <c r="C10471" s="73" t="s">
        <v>4872</v>
      </c>
      <c r="D10471" s="73"/>
      <c r="E10471" s="73"/>
      <c r="F10471" s="74" t="s">
        <v>3</v>
      </c>
      <c r="G10471" s="153">
        <v>2.5000000000000001E-2</v>
      </c>
      <c r="H10471" s="164"/>
      <c r="K10471" s="516"/>
    </row>
    <row r="10472" spans="1:11" x14ac:dyDescent="0.25">
      <c r="A10472" s="163"/>
      <c r="B10472" s="106"/>
      <c r="C10472" s="73" t="s">
        <v>115</v>
      </c>
      <c r="D10472" s="73"/>
      <c r="E10472" s="73"/>
      <c r="F10472" s="74" t="s">
        <v>3</v>
      </c>
      <c r="G10472" s="153">
        <v>3.2000000000000001E-2</v>
      </c>
      <c r="H10472" s="164"/>
      <c r="K10472" s="516"/>
    </row>
    <row r="10473" spans="1:11" x14ac:dyDescent="0.25">
      <c r="A10473" s="163"/>
      <c r="B10473" s="106"/>
      <c r="C10473" s="73" t="s">
        <v>143</v>
      </c>
      <c r="D10473" s="73"/>
      <c r="E10473" s="73"/>
      <c r="F10473" s="74" t="s">
        <v>3</v>
      </c>
      <c r="G10473" s="153">
        <v>2.5000000000000001E-2</v>
      </c>
      <c r="H10473" s="164"/>
      <c r="K10473" s="516"/>
    </row>
    <row r="10474" spans="1:11" x14ac:dyDescent="0.25">
      <c r="A10474" s="163"/>
      <c r="B10474" s="106"/>
      <c r="C10474" s="73" t="s">
        <v>12</v>
      </c>
      <c r="D10474" s="73"/>
      <c r="E10474" s="73"/>
      <c r="F10474" s="74" t="s">
        <v>3</v>
      </c>
      <c r="G10474" s="153">
        <f>0.3*(G10472+G10471+G10473)</f>
        <v>2.46E-2</v>
      </c>
      <c r="H10474" s="164"/>
      <c r="K10474" s="516"/>
    </row>
    <row r="10475" spans="1:11" x14ac:dyDescent="0.25">
      <c r="A10475" s="163"/>
      <c r="B10475" s="106"/>
      <c r="C10475" s="73" t="s">
        <v>1260</v>
      </c>
      <c r="D10475" s="73"/>
      <c r="E10475" s="73"/>
      <c r="F10475" s="74" t="s">
        <v>195</v>
      </c>
      <c r="G10475" s="153">
        <f>0.2+0.25+0.35</f>
        <v>0.8</v>
      </c>
      <c r="H10475" s="164"/>
      <c r="K10475" s="516"/>
    </row>
    <row r="10476" spans="1:11" x14ac:dyDescent="0.25">
      <c r="A10476" s="163"/>
      <c r="B10476" s="106"/>
      <c r="C10476" s="100" t="s">
        <v>140</v>
      </c>
      <c r="D10476" s="73"/>
      <c r="E10476" s="73"/>
      <c r="F10476" s="74" t="s">
        <v>3</v>
      </c>
      <c r="G10476" s="153">
        <f>0.012*3.14*0.08*1.1</f>
        <v>3.3158400000000009E-3</v>
      </c>
      <c r="H10476" s="164"/>
    </row>
    <row r="10477" spans="1:11" ht="17.25" x14ac:dyDescent="0.25">
      <c r="A10477" s="163"/>
      <c r="B10477" s="106"/>
      <c r="C10477" s="100" t="s">
        <v>23</v>
      </c>
      <c r="D10477" s="73"/>
      <c r="E10477" s="73"/>
      <c r="F10477" s="74" t="s">
        <v>596</v>
      </c>
      <c r="G10477" s="153">
        <f>G10476*2</f>
        <v>6.6316800000000018E-3</v>
      </c>
      <c r="H10477" s="164"/>
      <c r="K10477" s="516"/>
    </row>
    <row r="10478" spans="1:11" x14ac:dyDescent="0.25">
      <c r="A10478" s="163"/>
      <c r="B10478" s="106"/>
      <c r="C10478" s="100" t="s">
        <v>142</v>
      </c>
      <c r="D10478" s="73"/>
      <c r="E10478" s="73"/>
      <c r="F10478" s="74" t="s">
        <v>3</v>
      </c>
      <c r="G10478" s="153">
        <f>G10476/4</f>
        <v>8.2896000000000022E-4</v>
      </c>
      <c r="H10478" s="164"/>
      <c r="K10478" s="516"/>
    </row>
    <row r="10479" spans="1:11" x14ac:dyDescent="0.25">
      <c r="A10479" s="163"/>
      <c r="B10479" s="106"/>
      <c r="C10479" s="73"/>
      <c r="D10479" s="73"/>
      <c r="E10479" s="73"/>
      <c r="F10479" s="74"/>
      <c r="G10479" s="153"/>
      <c r="H10479" s="164"/>
      <c r="K10479" s="516"/>
    </row>
    <row r="10480" spans="1:11" x14ac:dyDescent="0.25">
      <c r="A10480" s="163"/>
      <c r="B10480" s="106"/>
      <c r="C10480" s="78" t="s">
        <v>4875</v>
      </c>
      <c r="D10480" s="73"/>
      <c r="E10480" s="73"/>
      <c r="F10480" s="74"/>
      <c r="G10480" s="153"/>
      <c r="H10480" s="164"/>
      <c r="K10480" s="516"/>
    </row>
    <row r="10481" spans="1:11" x14ac:dyDescent="0.25">
      <c r="A10481" s="163"/>
      <c r="B10481" s="106"/>
      <c r="C10481" s="73" t="s">
        <v>4872</v>
      </c>
      <c r="D10481" s="73"/>
      <c r="E10481" s="73"/>
      <c r="F10481" s="74" t="s">
        <v>3</v>
      </c>
      <c r="G10481" s="153">
        <v>2.1000000000000001E-2</v>
      </c>
      <c r="H10481" s="164"/>
      <c r="K10481" s="516"/>
    </row>
    <row r="10482" spans="1:11" x14ac:dyDescent="0.25">
      <c r="A10482" s="163"/>
      <c r="B10482" s="106"/>
      <c r="C10482" s="73" t="s">
        <v>115</v>
      </c>
      <c r="D10482" s="73"/>
      <c r="E10482" s="73"/>
      <c r="F10482" s="74" t="s">
        <v>3</v>
      </c>
      <c r="G10482" s="153">
        <v>0.03</v>
      </c>
      <c r="H10482" s="164"/>
      <c r="K10482" s="516"/>
    </row>
    <row r="10483" spans="1:11" x14ac:dyDescent="0.25">
      <c r="A10483" s="163"/>
      <c r="B10483" s="106"/>
      <c r="C10483" s="73" t="s">
        <v>143</v>
      </c>
      <c r="D10483" s="73"/>
      <c r="E10483" s="73"/>
      <c r="F10483" s="74" t="s">
        <v>3</v>
      </c>
      <c r="G10483" s="153">
        <v>2.1000000000000001E-2</v>
      </c>
      <c r="H10483" s="164"/>
      <c r="K10483" s="516"/>
    </row>
    <row r="10484" spans="1:11" x14ac:dyDescent="0.25">
      <c r="A10484" s="163"/>
      <c r="B10484" s="106"/>
      <c r="C10484" s="73" t="s">
        <v>12</v>
      </c>
      <c r="D10484" s="73"/>
      <c r="E10484" s="73"/>
      <c r="F10484" s="74" t="s">
        <v>3</v>
      </c>
      <c r="G10484" s="153">
        <f>0.3*(G10482+G10481+G10483)</f>
        <v>2.1600000000000001E-2</v>
      </c>
      <c r="H10484" s="164"/>
      <c r="K10484" s="516"/>
    </row>
    <row r="10485" spans="1:11" x14ac:dyDescent="0.25">
      <c r="A10485" s="163"/>
      <c r="B10485" s="106"/>
      <c r="C10485" s="73" t="s">
        <v>1260</v>
      </c>
      <c r="D10485" s="73"/>
      <c r="E10485" s="73"/>
      <c r="F10485" s="74" t="s">
        <v>195</v>
      </c>
      <c r="G10485" s="153">
        <f>0.25+0.55+0.33</f>
        <v>1.1300000000000001</v>
      </c>
      <c r="H10485" s="164"/>
      <c r="K10485" s="516"/>
    </row>
    <row r="10486" spans="1:11" x14ac:dyDescent="0.25">
      <c r="A10486" s="163"/>
      <c r="B10486" s="106"/>
      <c r="C10486" s="100" t="s">
        <v>140</v>
      </c>
      <c r="D10486" s="73"/>
      <c r="E10486" s="73"/>
      <c r="F10486" s="74" t="s">
        <v>3</v>
      </c>
      <c r="G10486" s="153">
        <f>0.02*0.4</f>
        <v>8.0000000000000002E-3</v>
      </c>
      <c r="H10486" s="164"/>
      <c r="K10486" s="516"/>
    </row>
    <row r="10487" spans="1:11" ht="17.25" x14ac:dyDescent="0.25">
      <c r="A10487" s="163"/>
      <c r="B10487" s="106"/>
      <c r="C10487" s="100" t="s">
        <v>23</v>
      </c>
      <c r="D10487" s="73"/>
      <c r="E10487" s="73"/>
      <c r="F10487" s="74" t="s">
        <v>596</v>
      </c>
      <c r="G10487" s="153">
        <f>G10486*2</f>
        <v>1.6E-2</v>
      </c>
      <c r="H10487" s="164"/>
      <c r="K10487" s="516"/>
    </row>
    <row r="10488" spans="1:11" x14ac:dyDescent="0.25">
      <c r="A10488" s="163"/>
      <c r="B10488" s="106"/>
      <c r="C10488" s="100" t="s">
        <v>142</v>
      </c>
      <c r="D10488" s="73"/>
      <c r="E10488" s="73"/>
      <c r="F10488" s="74" t="s">
        <v>3</v>
      </c>
      <c r="G10488" s="153">
        <f>G10486/4</f>
        <v>2E-3</v>
      </c>
      <c r="H10488" s="164"/>
      <c r="K10488" s="516"/>
    </row>
    <row r="10489" spans="1:11" x14ac:dyDescent="0.25">
      <c r="A10489" s="163"/>
      <c r="B10489" s="106"/>
      <c r="C10489" s="73"/>
      <c r="D10489" s="73"/>
      <c r="E10489" s="73"/>
      <c r="F10489" s="74"/>
      <c r="G10489" s="153"/>
      <c r="H10489" s="164"/>
      <c r="K10489" s="516"/>
    </row>
    <row r="10490" spans="1:11" x14ac:dyDescent="0.25">
      <c r="A10490" s="163"/>
      <c r="B10490" s="106"/>
      <c r="C10490" s="75" t="s">
        <v>512</v>
      </c>
      <c r="D10490" s="73"/>
      <c r="E10490" s="73"/>
      <c r="F10490" s="74"/>
      <c r="G10490" s="153"/>
      <c r="H10490" s="164"/>
    </row>
    <row r="10491" spans="1:11" x14ac:dyDescent="0.25">
      <c r="A10491" s="163"/>
      <c r="B10491" s="106"/>
      <c r="C10491" s="73" t="s">
        <v>4872</v>
      </c>
      <c r="D10491" s="73"/>
      <c r="E10491" s="73"/>
      <c r="F10491" s="74" t="s">
        <v>3</v>
      </c>
      <c r="G10491" s="153">
        <v>2.4E-2</v>
      </c>
      <c r="H10491" s="164"/>
    </row>
    <row r="10492" spans="1:11" x14ac:dyDescent="0.25">
      <c r="A10492" s="163"/>
      <c r="B10492" s="106"/>
      <c r="C10492" s="73" t="s">
        <v>115</v>
      </c>
      <c r="D10492" s="73"/>
      <c r="E10492" s="73"/>
      <c r="F10492" s="74" t="s">
        <v>3</v>
      </c>
      <c r="G10492" s="153">
        <v>2.4E-2</v>
      </c>
      <c r="H10492" s="164"/>
    </row>
    <row r="10493" spans="1:11" x14ac:dyDescent="0.25">
      <c r="A10493" s="163"/>
      <c r="B10493" s="106"/>
      <c r="C10493" s="73" t="s">
        <v>143</v>
      </c>
      <c r="D10493" s="73"/>
      <c r="E10493" s="73"/>
      <c r="F10493" s="74" t="s">
        <v>3</v>
      </c>
      <c r="G10493" s="153">
        <v>2.4E-2</v>
      </c>
      <c r="H10493" s="164"/>
    </row>
    <row r="10494" spans="1:11" x14ac:dyDescent="0.25">
      <c r="A10494" s="163"/>
      <c r="B10494" s="106"/>
      <c r="C10494" s="73" t="s">
        <v>12</v>
      </c>
      <c r="D10494" s="73"/>
      <c r="E10494" s="73"/>
      <c r="F10494" s="74" t="s">
        <v>3</v>
      </c>
      <c r="G10494" s="153">
        <f>0.3*(G10492+G10491+G10493)</f>
        <v>2.1600000000000001E-2</v>
      </c>
      <c r="H10494" s="164"/>
    </row>
    <row r="10495" spans="1:11" x14ac:dyDescent="0.25">
      <c r="A10495" s="163"/>
      <c r="B10495" s="106"/>
      <c r="C10495" s="73" t="s">
        <v>4873</v>
      </c>
      <c r="D10495" s="73"/>
      <c r="E10495" s="73"/>
      <c r="F10495" s="74" t="s">
        <v>195</v>
      </c>
      <c r="G10495" s="153">
        <v>1.05</v>
      </c>
      <c r="H10495" s="164"/>
    </row>
    <row r="10496" spans="1:11" x14ac:dyDescent="0.25">
      <c r="A10496" s="163"/>
      <c r="B10496" s="106"/>
      <c r="C10496" s="73"/>
      <c r="D10496" s="73"/>
      <c r="E10496" s="73"/>
      <c r="F10496" s="74"/>
      <c r="G10496" s="153"/>
      <c r="H10496" s="164"/>
    </row>
    <row r="10497" spans="1:8" x14ac:dyDescent="0.25">
      <c r="A10497" s="163"/>
      <c r="B10497" s="106"/>
      <c r="C10497" s="75" t="s">
        <v>4876</v>
      </c>
      <c r="D10497" s="73"/>
      <c r="E10497" s="73"/>
      <c r="F10497" s="74"/>
      <c r="G10497" s="153"/>
      <c r="H10497" s="164"/>
    </row>
    <row r="10498" spans="1:8" x14ac:dyDescent="0.25">
      <c r="A10498" s="163"/>
      <c r="B10498" s="106"/>
      <c r="C10498" s="73" t="s">
        <v>4872</v>
      </c>
      <c r="D10498" s="73"/>
      <c r="E10498" s="73"/>
      <c r="F10498" s="74" t="s">
        <v>3</v>
      </c>
      <c r="G10498" s="153">
        <f>G10499*0.72</f>
        <v>2.5122239999999997E-2</v>
      </c>
      <c r="H10498" s="164"/>
    </row>
    <row r="10499" spans="1:8" x14ac:dyDescent="0.25">
      <c r="A10499" s="163"/>
      <c r="B10499" s="106"/>
      <c r="C10499" s="73" t="s">
        <v>115</v>
      </c>
      <c r="D10499" s="73"/>
      <c r="E10499" s="73"/>
      <c r="F10499" s="74" t="s">
        <v>3</v>
      </c>
      <c r="G10499" s="153">
        <f>1.3*0.011*2*1.22</f>
        <v>3.4891999999999999E-2</v>
      </c>
      <c r="H10499" s="164"/>
    </row>
    <row r="10500" spans="1:8" x14ac:dyDescent="0.25">
      <c r="A10500" s="163"/>
      <c r="B10500" s="106"/>
      <c r="C10500" s="73" t="s">
        <v>143</v>
      </c>
      <c r="D10500" s="73"/>
      <c r="E10500" s="73"/>
      <c r="F10500" s="74" t="s">
        <v>3</v>
      </c>
      <c r="G10500" s="153">
        <f>G10498</f>
        <v>2.5122239999999997E-2</v>
      </c>
      <c r="H10500" s="164"/>
    </row>
    <row r="10501" spans="1:8" x14ac:dyDescent="0.25">
      <c r="A10501" s="163"/>
      <c r="B10501" s="106"/>
      <c r="C10501" s="73" t="s">
        <v>12</v>
      </c>
      <c r="D10501" s="73"/>
      <c r="E10501" s="73"/>
      <c r="F10501" s="74" t="s">
        <v>3</v>
      </c>
      <c r="G10501" s="153">
        <f>0.3*(G10499+G10498+G10500)</f>
        <v>2.5540943999999996E-2</v>
      </c>
      <c r="H10501" s="164"/>
    </row>
    <row r="10502" spans="1:8" x14ac:dyDescent="0.25">
      <c r="A10502" s="163"/>
      <c r="B10502" s="106"/>
      <c r="C10502" s="100" t="s">
        <v>140</v>
      </c>
      <c r="D10502" s="73"/>
      <c r="E10502" s="73"/>
      <c r="F10502" s="74" t="s">
        <v>3</v>
      </c>
      <c r="G10502" s="153">
        <f>0.03*0.4</f>
        <v>1.2E-2</v>
      </c>
      <c r="H10502" s="164"/>
    </row>
    <row r="10503" spans="1:8" ht="17.25" x14ac:dyDescent="0.25">
      <c r="A10503" s="163"/>
      <c r="B10503" s="106"/>
      <c r="C10503" s="100" t="s">
        <v>23</v>
      </c>
      <c r="D10503" s="73"/>
      <c r="E10503" s="73"/>
      <c r="F10503" s="74" t="s">
        <v>596</v>
      </c>
      <c r="G10503" s="153">
        <f>G10502*2</f>
        <v>2.4E-2</v>
      </c>
      <c r="H10503" s="164"/>
    </row>
    <row r="10504" spans="1:8" x14ac:dyDescent="0.25">
      <c r="A10504" s="163"/>
      <c r="B10504" s="106"/>
      <c r="C10504" s="100" t="s">
        <v>142</v>
      </c>
      <c r="D10504" s="73"/>
      <c r="E10504" s="73"/>
      <c r="F10504" s="74" t="s">
        <v>3</v>
      </c>
      <c r="G10504" s="153">
        <f>G10502/4</f>
        <v>3.0000000000000001E-3</v>
      </c>
      <c r="H10504" s="164"/>
    </row>
    <row r="10505" spans="1:8" x14ac:dyDescent="0.25">
      <c r="A10505" s="163"/>
      <c r="B10505" s="106"/>
      <c r="C10505" s="73" t="s">
        <v>4873</v>
      </c>
      <c r="D10505" s="73"/>
      <c r="E10505" s="73"/>
      <c r="F10505" s="74" t="s">
        <v>195</v>
      </c>
      <c r="G10505" s="153">
        <v>0.91</v>
      </c>
      <c r="H10505" s="164"/>
    </row>
    <row r="10506" spans="1:8" x14ac:dyDescent="0.25">
      <c r="A10506" s="163"/>
      <c r="B10506" s="106"/>
      <c r="C10506" s="73"/>
      <c r="D10506" s="73"/>
      <c r="E10506" s="73"/>
      <c r="F10506" s="74"/>
      <c r="G10506" s="153"/>
      <c r="H10506" s="164"/>
    </row>
    <row r="10507" spans="1:8" x14ac:dyDescent="0.25">
      <c r="A10507" s="163"/>
      <c r="B10507" s="106"/>
      <c r="C10507" s="78" t="s">
        <v>4877</v>
      </c>
      <c r="D10507" s="73"/>
      <c r="E10507" s="73"/>
      <c r="F10507" s="74"/>
      <c r="G10507" s="153"/>
      <c r="H10507" s="164"/>
    </row>
    <row r="10508" spans="1:8" x14ac:dyDescent="0.25">
      <c r="A10508" s="163"/>
      <c r="B10508" s="106"/>
      <c r="C10508" s="73" t="s">
        <v>4872</v>
      </c>
      <c r="D10508" s="73"/>
      <c r="E10508" s="73"/>
      <c r="F10508" s="74" t="s">
        <v>3</v>
      </c>
      <c r="G10508" s="153">
        <v>3.0000000000000001E-3</v>
      </c>
      <c r="H10508" s="164"/>
    </row>
    <row r="10509" spans="1:8" x14ac:dyDescent="0.25">
      <c r="A10509" s="163"/>
      <c r="B10509" s="106"/>
      <c r="C10509" s="73" t="s">
        <v>115</v>
      </c>
      <c r="D10509" s="73"/>
      <c r="E10509" s="73"/>
      <c r="F10509" s="74" t="s">
        <v>3</v>
      </c>
      <c r="G10509" s="153">
        <v>3.0000000000000001E-3</v>
      </c>
      <c r="H10509" s="164"/>
    </row>
    <row r="10510" spans="1:8" x14ac:dyDescent="0.25">
      <c r="A10510" s="163"/>
      <c r="B10510" s="106"/>
      <c r="C10510" s="73" t="s">
        <v>143</v>
      </c>
      <c r="D10510" s="73"/>
      <c r="E10510" s="73"/>
      <c r="F10510" s="74" t="s">
        <v>3</v>
      </c>
      <c r="G10510" s="153">
        <f>G10508</f>
        <v>3.0000000000000001E-3</v>
      </c>
      <c r="H10510" s="164"/>
    </row>
    <row r="10511" spans="1:8" x14ac:dyDescent="0.25">
      <c r="A10511" s="163"/>
      <c r="B10511" s="106"/>
      <c r="C10511" s="73" t="s">
        <v>12</v>
      </c>
      <c r="D10511" s="73"/>
      <c r="E10511" s="73"/>
      <c r="F10511" s="74" t="s">
        <v>3</v>
      </c>
      <c r="G10511" s="153">
        <f>0.3*(G10509+G10508+G10510)</f>
        <v>2.7000000000000001E-3</v>
      </c>
      <c r="H10511" s="164"/>
    </row>
    <row r="10512" spans="1:8" x14ac:dyDescent="0.25">
      <c r="A10512" s="163"/>
      <c r="B10512" s="106"/>
      <c r="C10512" s="73"/>
      <c r="D10512" s="73"/>
      <c r="E10512" s="73"/>
      <c r="F10512" s="74"/>
      <c r="G10512" s="153"/>
      <c r="H10512" s="164"/>
    </row>
    <row r="10513" spans="1:8" x14ac:dyDescent="0.25">
      <c r="A10513" s="163"/>
      <c r="B10513" s="106"/>
      <c r="C10513" s="75" t="s">
        <v>1257</v>
      </c>
      <c r="D10513" s="73"/>
      <c r="E10513" s="73"/>
      <c r="F10513" s="74"/>
      <c r="G10513" s="153"/>
      <c r="H10513" s="164"/>
    </row>
    <row r="10514" spans="1:8" x14ac:dyDescent="0.25">
      <c r="A10514" s="163"/>
      <c r="B10514" s="106"/>
      <c r="C10514" s="73" t="s">
        <v>4872</v>
      </c>
      <c r="D10514" s="73"/>
      <c r="E10514" s="73"/>
      <c r="F10514" s="74" t="s">
        <v>3</v>
      </c>
      <c r="G10514" s="153">
        <v>6.0000000000000001E-3</v>
      </c>
      <c r="H10514" s="164"/>
    </row>
    <row r="10515" spans="1:8" x14ac:dyDescent="0.25">
      <c r="A10515" s="163"/>
      <c r="B10515" s="106"/>
      <c r="C10515" s="73" t="s">
        <v>115</v>
      </c>
      <c r="D10515" s="73"/>
      <c r="E10515" s="73"/>
      <c r="F10515" s="74" t="s">
        <v>3</v>
      </c>
      <c r="G10515" s="153">
        <f>0.006</f>
        <v>6.0000000000000001E-3</v>
      </c>
      <c r="H10515" s="164"/>
    </row>
    <row r="10516" spans="1:8" x14ac:dyDescent="0.25">
      <c r="A10516" s="163"/>
      <c r="B10516" s="106"/>
      <c r="C10516" s="73" t="s">
        <v>143</v>
      </c>
      <c r="D10516" s="73"/>
      <c r="E10516" s="73"/>
      <c r="F10516" s="74" t="s">
        <v>3</v>
      </c>
      <c r="G10516" s="153">
        <f>G10514</f>
        <v>6.0000000000000001E-3</v>
      </c>
      <c r="H10516" s="164"/>
    </row>
    <row r="10517" spans="1:8" x14ac:dyDescent="0.25">
      <c r="A10517" s="163"/>
      <c r="B10517" s="106"/>
      <c r="C10517" s="73" t="s">
        <v>12</v>
      </c>
      <c r="D10517" s="73"/>
      <c r="E10517" s="73"/>
      <c r="F10517" s="74" t="s">
        <v>3</v>
      </c>
      <c r="G10517" s="153">
        <f>0.3*(G10515+G10514+G10516)</f>
        <v>5.4000000000000003E-3</v>
      </c>
      <c r="H10517" s="164"/>
    </row>
    <row r="10518" spans="1:8" x14ac:dyDescent="0.25">
      <c r="A10518" s="163"/>
      <c r="B10518" s="106"/>
      <c r="C10518" s="73" t="s">
        <v>1260</v>
      </c>
      <c r="D10518" s="73"/>
      <c r="E10518" s="73"/>
      <c r="F10518" s="74" t="s">
        <v>195</v>
      </c>
      <c r="G10518" s="153">
        <v>0.33</v>
      </c>
      <c r="H10518" s="164"/>
    </row>
    <row r="10519" spans="1:8" x14ac:dyDescent="0.25">
      <c r="A10519" s="163"/>
      <c r="B10519" s="106"/>
      <c r="C10519" s="73"/>
      <c r="D10519" s="73"/>
      <c r="E10519" s="73"/>
      <c r="F10519" s="74"/>
      <c r="G10519" s="153"/>
      <c r="H10519" s="164"/>
    </row>
    <row r="10520" spans="1:8" x14ac:dyDescent="0.25">
      <c r="A10520" s="163"/>
      <c r="B10520" s="106"/>
      <c r="C10520" s="75" t="s">
        <v>1166</v>
      </c>
      <c r="D10520" s="73"/>
      <c r="E10520" s="73"/>
      <c r="F10520" s="74"/>
      <c r="G10520" s="153"/>
      <c r="H10520" s="164"/>
    </row>
    <row r="10521" spans="1:8" x14ac:dyDescent="0.25">
      <c r="A10521" s="163"/>
      <c r="B10521" s="106"/>
      <c r="C10521" s="73" t="s">
        <v>4878</v>
      </c>
      <c r="D10521" s="73"/>
      <c r="E10521" s="73"/>
      <c r="F10521" s="74" t="s">
        <v>195</v>
      </c>
      <c r="G10521" s="153">
        <v>0.39</v>
      </c>
      <c r="H10521" s="164"/>
    </row>
    <row r="10522" spans="1:8" x14ac:dyDescent="0.25">
      <c r="A10522" s="163"/>
      <c r="B10522" s="106"/>
      <c r="C10522" s="73"/>
      <c r="D10522" s="73"/>
      <c r="E10522" s="73"/>
      <c r="F10522" s="74"/>
      <c r="G10522" s="153"/>
      <c r="H10522" s="164"/>
    </row>
    <row r="10523" spans="1:8" x14ac:dyDescent="0.25">
      <c r="A10523" s="163"/>
      <c r="B10523" s="106"/>
      <c r="C10523" s="75" t="s">
        <v>3854</v>
      </c>
      <c r="D10523" s="73"/>
      <c r="E10523" s="73"/>
      <c r="F10523" s="74"/>
      <c r="G10523" s="153"/>
      <c r="H10523" s="164"/>
    </row>
    <row r="10524" spans="1:8" x14ac:dyDescent="0.25">
      <c r="A10524" s="163"/>
      <c r="B10524" s="106"/>
      <c r="C10524" s="73" t="s">
        <v>4872</v>
      </c>
      <c r="D10524" s="73"/>
      <c r="E10524" s="73"/>
      <c r="F10524" s="74" t="s">
        <v>3</v>
      </c>
      <c r="G10524" s="153">
        <v>6.0000000000000001E-3</v>
      </c>
      <c r="H10524" s="164"/>
    </row>
    <row r="10525" spans="1:8" x14ac:dyDescent="0.25">
      <c r="A10525" s="163"/>
      <c r="B10525" s="106"/>
      <c r="C10525" s="73" t="s">
        <v>115</v>
      </c>
      <c r="D10525" s="73"/>
      <c r="E10525" s="73"/>
      <c r="F10525" s="74" t="s">
        <v>3</v>
      </c>
      <c r="G10525" s="153">
        <f>0.45*0.011*2*1.3</f>
        <v>1.2869999999999999E-2</v>
      </c>
      <c r="H10525" s="164"/>
    </row>
    <row r="10526" spans="1:8" x14ac:dyDescent="0.25">
      <c r="A10526" s="163"/>
      <c r="B10526" s="106"/>
      <c r="C10526" s="73" t="s">
        <v>143</v>
      </c>
      <c r="D10526" s="73"/>
      <c r="E10526" s="73"/>
      <c r="F10526" s="74" t="s">
        <v>3</v>
      </c>
      <c r="G10526" s="153">
        <f>G10524</f>
        <v>6.0000000000000001E-3</v>
      </c>
      <c r="H10526" s="164"/>
    </row>
    <row r="10527" spans="1:8" x14ac:dyDescent="0.25">
      <c r="A10527" s="163"/>
      <c r="B10527" s="106"/>
      <c r="C10527" s="73" t="s">
        <v>12</v>
      </c>
      <c r="D10527" s="73"/>
      <c r="E10527" s="73"/>
      <c r="F10527" s="74" t="s">
        <v>3</v>
      </c>
      <c r="G10527" s="153">
        <f>0.3*(G10525+G10524+G10526)</f>
        <v>7.4609999999999989E-3</v>
      </c>
      <c r="H10527" s="164"/>
    </row>
    <row r="10528" spans="1:8" x14ac:dyDescent="0.25">
      <c r="A10528" s="163"/>
      <c r="B10528" s="106"/>
      <c r="C10528" s="73"/>
      <c r="D10528" s="73"/>
      <c r="E10528" s="73"/>
      <c r="F10528" s="74"/>
      <c r="G10528" s="153"/>
      <c r="H10528" s="164"/>
    </row>
    <row r="10529" spans="1:8" x14ac:dyDescent="0.25">
      <c r="A10529" s="163"/>
      <c r="B10529" s="106"/>
      <c r="C10529" s="75" t="s">
        <v>4879</v>
      </c>
      <c r="D10529" s="73"/>
      <c r="E10529" s="73"/>
      <c r="F10529" s="74"/>
      <c r="G10529" s="153"/>
      <c r="H10529" s="164"/>
    </row>
    <row r="10530" spans="1:8" x14ac:dyDescent="0.25">
      <c r="A10530" s="163"/>
      <c r="B10530" s="106"/>
      <c r="C10530" s="73" t="s">
        <v>4872</v>
      </c>
      <c r="D10530" s="73"/>
      <c r="E10530" s="73"/>
      <c r="F10530" s="74" t="s">
        <v>3</v>
      </c>
      <c r="G10530" s="153">
        <v>2.1000000000000001E-2</v>
      </c>
      <c r="H10530" s="164"/>
    </row>
    <row r="10531" spans="1:8" x14ac:dyDescent="0.25">
      <c r="A10531" s="163"/>
      <c r="B10531" s="106"/>
      <c r="C10531" s="73" t="s">
        <v>115</v>
      </c>
      <c r="D10531" s="73"/>
      <c r="E10531" s="73"/>
      <c r="F10531" s="74" t="s">
        <v>3</v>
      </c>
      <c r="G10531" s="153">
        <v>2.1000000000000001E-2</v>
      </c>
      <c r="H10531" s="164"/>
    </row>
    <row r="10532" spans="1:8" x14ac:dyDescent="0.25">
      <c r="A10532" s="163"/>
      <c r="B10532" s="106"/>
      <c r="C10532" s="73" t="s">
        <v>143</v>
      </c>
      <c r="D10532" s="73"/>
      <c r="E10532" s="73"/>
      <c r="F10532" s="74" t="s">
        <v>3</v>
      </c>
      <c r="G10532" s="153">
        <f>G10530</f>
        <v>2.1000000000000001E-2</v>
      </c>
      <c r="H10532" s="164"/>
    </row>
    <row r="10533" spans="1:8" x14ac:dyDescent="0.25">
      <c r="A10533" s="163"/>
      <c r="B10533" s="106"/>
      <c r="C10533" s="73" t="s">
        <v>12</v>
      </c>
      <c r="D10533" s="73"/>
      <c r="E10533" s="73"/>
      <c r="F10533" s="74" t="s">
        <v>3</v>
      </c>
      <c r="G10533" s="153">
        <f>0.3*(G10531+G10530+G10532)+0.001</f>
        <v>1.9900000000000001E-2</v>
      </c>
      <c r="H10533" s="164"/>
    </row>
    <row r="10534" spans="1:8" x14ac:dyDescent="0.25">
      <c r="A10534" s="163"/>
      <c r="B10534" s="106"/>
      <c r="C10534" s="100" t="s">
        <v>140</v>
      </c>
      <c r="D10534" s="73"/>
      <c r="E10534" s="73"/>
      <c r="F10534" s="74" t="s">
        <v>3</v>
      </c>
      <c r="G10534" s="153">
        <v>3.0000000000000001E-3</v>
      </c>
      <c r="H10534" s="164"/>
    </row>
    <row r="10535" spans="1:8" ht="17.25" x14ac:dyDescent="0.25">
      <c r="A10535" s="163"/>
      <c r="B10535" s="106"/>
      <c r="C10535" s="100" t="s">
        <v>23</v>
      </c>
      <c r="D10535" s="73"/>
      <c r="E10535" s="73"/>
      <c r="F10535" s="74" t="s">
        <v>596</v>
      </c>
      <c r="G10535" s="153">
        <f>G10534*2</f>
        <v>6.0000000000000001E-3</v>
      </c>
      <c r="H10535" s="164"/>
    </row>
    <row r="10536" spans="1:8" x14ac:dyDescent="0.25">
      <c r="A10536" s="163"/>
      <c r="B10536" s="106"/>
      <c r="C10536" s="100" t="s">
        <v>142</v>
      </c>
      <c r="D10536" s="73"/>
      <c r="E10536" s="73"/>
      <c r="F10536" s="74" t="s">
        <v>3</v>
      </c>
      <c r="G10536" s="153">
        <f>G10534/4</f>
        <v>7.5000000000000002E-4</v>
      </c>
      <c r="H10536" s="164"/>
    </row>
    <row r="10537" spans="1:8" x14ac:dyDescent="0.25">
      <c r="A10537" s="163"/>
      <c r="B10537" s="106"/>
      <c r="C10537" s="73"/>
      <c r="D10537" s="73"/>
      <c r="E10537" s="73"/>
      <c r="F10537" s="74"/>
      <c r="G10537" s="153"/>
      <c r="H10537" s="164"/>
    </row>
    <row r="10538" spans="1:8" x14ac:dyDescent="0.25">
      <c r="A10538" s="163"/>
      <c r="B10538" s="106"/>
      <c r="C10538" s="78" t="s">
        <v>405</v>
      </c>
      <c r="D10538" s="73"/>
      <c r="E10538" s="73"/>
      <c r="F10538" s="74"/>
      <c r="G10538" s="153"/>
      <c r="H10538" s="164"/>
    </row>
    <row r="10539" spans="1:8" x14ac:dyDescent="0.25">
      <c r="A10539" s="163"/>
      <c r="B10539" s="106"/>
      <c r="C10539" s="73" t="s">
        <v>4872</v>
      </c>
      <c r="D10539" s="73"/>
      <c r="E10539" s="73"/>
      <c r="F10539" s="74" t="s">
        <v>3</v>
      </c>
      <c r="G10539" s="153">
        <f>0.006</f>
        <v>6.0000000000000001E-3</v>
      </c>
      <c r="H10539" s="164"/>
    </row>
    <row r="10540" spans="1:8" x14ac:dyDescent="0.25">
      <c r="A10540" s="163"/>
      <c r="B10540" s="106"/>
      <c r="C10540" s="73" t="s">
        <v>115</v>
      </c>
      <c r="D10540" s="73"/>
      <c r="E10540" s="73"/>
      <c r="F10540" s="74" t="s">
        <v>3</v>
      </c>
      <c r="G10540" s="153">
        <v>8.9999999999999993E-3</v>
      </c>
      <c r="H10540" s="164"/>
    </row>
    <row r="10541" spans="1:8" x14ac:dyDescent="0.25">
      <c r="A10541" s="163"/>
      <c r="B10541" s="106"/>
      <c r="C10541" s="73" t="s">
        <v>143</v>
      </c>
      <c r="D10541" s="73"/>
      <c r="E10541" s="73"/>
      <c r="F10541" s="74" t="s">
        <v>3</v>
      </c>
      <c r="G10541" s="153">
        <f>G10539</f>
        <v>6.0000000000000001E-3</v>
      </c>
      <c r="H10541" s="164"/>
    </row>
    <row r="10542" spans="1:8" x14ac:dyDescent="0.25">
      <c r="A10542" s="163"/>
      <c r="B10542" s="106"/>
      <c r="C10542" s="73" t="s">
        <v>12</v>
      </c>
      <c r="D10542" s="73"/>
      <c r="E10542" s="73"/>
      <c r="F10542" s="74" t="s">
        <v>3</v>
      </c>
      <c r="G10542" s="153">
        <f>0.3*(G10540+G10539+G10541)</f>
        <v>6.2999999999999992E-3</v>
      </c>
      <c r="H10542" s="164"/>
    </row>
    <row r="10543" spans="1:8" x14ac:dyDescent="0.25">
      <c r="A10543" s="163"/>
      <c r="B10543" s="106"/>
      <c r="C10543" s="73" t="s">
        <v>1260</v>
      </c>
      <c r="D10543" s="73"/>
      <c r="E10543" s="73"/>
      <c r="F10543" s="74" t="s">
        <v>195</v>
      </c>
      <c r="G10543" s="153">
        <v>0.26</v>
      </c>
      <c r="H10543" s="164"/>
    </row>
    <row r="10544" spans="1:8" x14ac:dyDescent="0.25">
      <c r="A10544" s="163"/>
      <c r="B10544" s="106"/>
      <c r="C10544" s="73"/>
      <c r="D10544" s="73"/>
      <c r="E10544" s="73"/>
      <c r="F10544" s="74"/>
      <c r="G10544" s="153"/>
      <c r="H10544" s="164"/>
    </row>
    <row r="10545" spans="1:8" x14ac:dyDescent="0.25">
      <c r="A10545" s="163"/>
      <c r="B10545" s="106"/>
      <c r="C10545" s="75" t="s">
        <v>4880</v>
      </c>
      <c r="D10545" s="73"/>
      <c r="E10545" s="73"/>
      <c r="F10545" s="74"/>
      <c r="G10545" s="153"/>
      <c r="H10545" s="164"/>
    </row>
    <row r="10546" spans="1:8" x14ac:dyDescent="0.25">
      <c r="A10546" s="163"/>
      <c r="B10546" s="106"/>
      <c r="C10546" s="73" t="s">
        <v>4872</v>
      </c>
      <c r="D10546" s="73"/>
      <c r="E10546" s="73"/>
      <c r="F10546" s="74" t="s">
        <v>3</v>
      </c>
      <c r="G10546" s="153">
        <f>0.015+0.008</f>
        <v>2.3E-2</v>
      </c>
      <c r="H10546" s="164"/>
    </row>
    <row r="10547" spans="1:8" x14ac:dyDescent="0.25">
      <c r="A10547" s="163"/>
      <c r="B10547" s="106"/>
      <c r="C10547" s="73" t="s">
        <v>115</v>
      </c>
      <c r="D10547" s="73"/>
      <c r="E10547" s="73"/>
      <c r="F10547" s="74" t="s">
        <v>3</v>
      </c>
      <c r="G10547" s="153">
        <f>0.022+0.008</f>
        <v>0.03</v>
      </c>
      <c r="H10547" s="164"/>
    </row>
    <row r="10548" spans="1:8" x14ac:dyDescent="0.25">
      <c r="A10548" s="163"/>
      <c r="B10548" s="106"/>
      <c r="C10548" s="73" t="s">
        <v>143</v>
      </c>
      <c r="D10548" s="73"/>
      <c r="E10548" s="73"/>
      <c r="F10548" s="74" t="s">
        <v>3</v>
      </c>
      <c r="G10548" s="153">
        <f>G10546</f>
        <v>2.3E-2</v>
      </c>
      <c r="H10548" s="164"/>
    </row>
    <row r="10549" spans="1:8" x14ac:dyDescent="0.25">
      <c r="A10549" s="163"/>
      <c r="B10549" s="106"/>
      <c r="C10549" s="73" t="s">
        <v>12</v>
      </c>
      <c r="D10549" s="73"/>
      <c r="E10549" s="73"/>
      <c r="F10549" s="74" t="s">
        <v>3</v>
      </c>
      <c r="G10549" s="153">
        <f>0.3*(G10547+G10546+G10548)</f>
        <v>2.2799999999999997E-2</v>
      </c>
      <c r="H10549" s="164"/>
    </row>
    <row r="10550" spans="1:8" x14ac:dyDescent="0.25">
      <c r="A10550" s="163"/>
      <c r="B10550" s="106"/>
      <c r="C10550" s="73" t="s">
        <v>1260</v>
      </c>
      <c r="D10550" s="73"/>
      <c r="E10550" s="73"/>
      <c r="F10550" s="74" t="s">
        <v>195</v>
      </c>
      <c r="G10550" s="153">
        <v>0.2</v>
      </c>
      <c r="H10550" s="164"/>
    </row>
    <row r="10551" spans="1:8" x14ac:dyDescent="0.25">
      <c r="A10551" s="163"/>
      <c r="B10551" s="106"/>
      <c r="C10551" s="100" t="s">
        <v>140</v>
      </c>
      <c r="D10551" s="73"/>
      <c r="E10551" s="73"/>
      <c r="F10551" s="74" t="s">
        <v>3</v>
      </c>
      <c r="G10551" s="153">
        <v>0.01</v>
      </c>
      <c r="H10551" s="164"/>
    </row>
    <row r="10552" spans="1:8" ht="17.25" x14ac:dyDescent="0.25">
      <c r="A10552" s="163"/>
      <c r="B10552" s="106"/>
      <c r="C10552" s="100" t="s">
        <v>23</v>
      </c>
      <c r="D10552" s="73"/>
      <c r="E10552" s="73"/>
      <c r="F10552" s="74" t="s">
        <v>596</v>
      </c>
      <c r="G10552" s="153">
        <f>G10551*2</f>
        <v>0.02</v>
      </c>
      <c r="H10552" s="164"/>
    </row>
    <row r="10553" spans="1:8" x14ac:dyDescent="0.25">
      <c r="A10553" s="163"/>
      <c r="B10553" s="106"/>
      <c r="C10553" s="100" t="s">
        <v>142</v>
      </c>
      <c r="D10553" s="73"/>
      <c r="E10553" s="73"/>
      <c r="F10553" s="74" t="s">
        <v>3</v>
      </c>
      <c r="G10553" s="153">
        <f>G10551/4</f>
        <v>2.5000000000000001E-3</v>
      </c>
      <c r="H10553" s="164"/>
    </row>
    <row r="10554" spans="1:8" x14ac:dyDescent="0.25">
      <c r="A10554" s="163"/>
      <c r="B10554" s="106"/>
      <c r="C10554" s="73"/>
      <c r="D10554" s="73"/>
      <c r="E10554" s="73"/>
      <c r="F10554" s="74"/>
      <c r="G10554" s="153"/>
      <c r="H10554" s="164"/>
    </row>
    <row r="10555" spans="1:8" x14ac:dyDescent="0.25">
      <c r="A10555" s="163"/>
      <c r="B10555" s="106"/>
      <c r="C10555" s="78" t="s">
        <v>4881</v>
      </c>
      <c r="D10555" s="73"/>
      <c r="E10555" s="73"/>
      <c r="F10555" s="74"/>
      <c r="G10555" s="153"/>
      <c r="H10555" s="164"/>
    </row>
    <row r="10556" spans="1:8" x14ac:dyDescent="0.25">
      <c r="A10556" s="163"/>
      <c r="B10556" s="106"/>
      <c r="C10556" s="73" t="s">
        <v>4873</v>
      </c>
      <c r="D10556" s="73"/>
      <c r="E10556" s="73"/>
      <c r="F10556" s="74" t="s">
        <v>195</v>
      </c>
      <c r="G10556" s="153">
        <v>0.28499999999999998</v>
      </c>
      <c r="H10556" s="164"/>
    </row>
    <row r="10557" spans="1:8" x14ac:dyDescent="0.25">
      <c r="A10557" s="163"/>
      <c r="B10557" s="106"/>
      <c r="C10557" s="73"/>
      <c r="D10557" s="73"/>
      <c r="E10557" s="73"/>
      <c r="F10557" s="74"/>
      <c r="G10557" s="153"/>
      <c r="H10557" s="164"/>
    </row>
    <row r="10558" spans="1:8" x14ac:dyDescent="0.25">
      <c r="A10558" s="163"/>
      <c r="B10558" s="106"/>
      <c r="C10558" s="75" t="s">
        <v>2063</v>
      </c>
      <c r="D10558" s="73"/>
      <c r="E10558" s="73"/>
      <c r="F10558" s="74"/>
      <c r="G10558" s="153"/>
      <c r="H10558" s="164"/>
    </row>
    <row r="10559" spans="1:8" x14ac:dyDescent="0.25">
      <c r="A10559" s="163"/>
      <c r="B10559" s="106"/>
      <c r="C10559" s="73" t="s">
        <v>4872</v>
      </c>
      <c r="D10559" s="73"/>
      <c r="E10559" s="73"/>
      <c r="F10559" s="74" t="s">
        <v>3</v>
      </c>
      <c r="G10559" s="153">
        <v>0.02</v>
      </c>
      <c r="H10559" s="164"/>
    </row>
    <row r="10560" spans="1:8" x14ac:dyDescent="0.25">
      <c r="A10560" s="163"/>
      <c r="B10560" s="106"/>
      <c r="C10560" s="73" t="s">
        <v>115</v>
      </c>
      <c r="D10560" s="73"/>
      <c r="E10560" s="73"/>
      <c r="F10560" s="74" t="s">
        <v>3</v>
      </c>
      <c r="G10560" s="153">
        <v>0.03</v>
      </c>
      <c r="H10560" s="164"/>
    </row>
    <row r="10561" spans="1:11" x14ac:dyDescent="0.25">
      <c r="A10561" s="163"/>
      <c r="B10561" s="106"/>
      <c r="C10561" s="73" t="s">
        <v>143</v>
      </c>
      <c r="D10561" s="73"/>
      <c r="E10561" s="73"/>
      <c r="F10561" s="74" t="s">
        <v>3</v>
      </c>
      <c r="G10561" s="153">
        <f>G10559</f>
        <v>0.02</v>
      </c>
      <c r="H10561" s="164"/>
    </row>
    <row r="10562" spans="1:11" x14ac:dyDescent="0.25">
      <c r="A10562" s="163"/>
      <c r="B10562" s="106"/>
      <c r="C10562" s="73" t="s">
        <v>12</v>
      </c>
      <c r="D10562" s="73"/>
      <c r="E10562" s="73"/>
      <c r="F10562" s="74" t="s">
        <v>3</v>
      </c>
      <c r="G10562" s="153">
        <f>0.3*(G10560+G10559+G10561)-0.001</f>
        <v>0.02</v>
      </c>
      <c r="H10562" s="164"/>
    </row>
    <row r="10563" spans="1:11" x14ac:dyDescent="0.25">
      <c r="A10563" s="163"/>
      <c r="B10563" s="106"/>
      <c r="C10563" s="73"/>
      <c r="D10563" s="73"/>
      <c r="E10563" s="73"/>
      <c r="F10563" s="74"/>
      <c r="G10563" s="153"/>
      <c r="H10563" s="164"/>
    </row>
    <row r="10564" spans="1:11" x14ac:dyDescent="0.25">
      <c r="A10564" s="163"/>
      <c r="B10564" s="106"/>
      <c r="C10564" s="75" t="s">
        <v>514</v>
      </c>
      <c r="D10564" s="73"/>
      <c r="E10564" s="73"/>
      <c r="F10564" s="74"/>
      <c r="G10564" s="153"/>
      <c r="H10564" s="164"/>
    </row>
    <row r="10565" spans="1:11" x14ac:dyDescent="0.25">
      <c r="A10565" s="163"/>
      <c r="B10565" s="106"/>
      <c r="C10565" s="73" t="s">
        <v>4872</v>
      </c>
      <c r="D10565" s="73"/>
      <c r="E10565" s="73"/>
      <c r="F10565" s="74" t="s">
        <v>3</v>
      </c>
      <c r="G10565" s="153">
        <f>0.014+0.001</f>
        <v>1.4999999999999999E-2</v>
      </c>
      <c r="H10565" s="164"/>
    </row>
    <row r="10566" spans="1:11" x14ac:dyDescent="0.25">
      <c r="A10566" s="163"/>
      <c r="B10566" s="106"/>
      <c r="C10566" s="73" t="s">
        <v>115</v>
      </c>
      <c r="D10566" s="73"/>
      <c r="E10566" s="73"/>
      <c r="F10566" s="74" t="s">
        <v>3</v>
      </c>
      <c r="G10566" s="153">
        <f>0.017+0.003</f>
        <v>0.02</v>
      </c>
      <c r="H10566" s="164"/>
    </row>
    <row r="10567" spans="1:11" x14ac:dyDescent="0.25">
      <c r="A10567" s="163"/>
      <c r="B10567" s="106"/>
      <c r="C10567" s="73" t="s">
        <v>143</v>
      </c>
      <c r="D10567" s="73"/>
      <c r="E10567" s="73"/>
      <c r="F10567" s="74" t="s">
        <v>3</v>
      </c>
      <c r="G10567" s="153">
        <f>G10565</f>
        <v>1.4999999999999999E-2</v>
      </c>
      <c r="H10567" s="164"/>
    </row>
    <row r="10568" spans="1:11" x14ac:dyDescent="0.25">
      <c r="A10568" s="163"/>
      <c r="B10568" s="106"/>
      <c r="C10568" s="73" t="s">
        <v>12</v>
      </c>
      <c r="D10568" s="73"/>
      <c r="E10568" s="73"/>
      <c r="F10568" s="74" t="s">
        <v>3</v>
      </c>
      <c r="G10568" s="153">
        <f>0.3*(G10566+G10565+G10567)</f>
        <v>1.4999999999999999E-2</v>
      </c>
      <c r="H10568" s="164"/>
    </row>
    <row r="10569" spans="1:11" x14ac:dyDescent="0.25">
      <c r="A10569" s="163"/>
      <c r="B10569" s="106"/>
      <c r="C10569" s="100" t="s">
        <v>140</v>
      </c>
      <c r="D10569" s="73"/>
      <c r="E10569" s="73"/>
      <c r="F10569" s="74" t="s">
        <v>3</v>
      </c>
      <c r="G10569" s="153">
        <v>5.0000000000000001E-3</v>
      </c>
      <c r="H10569" s="164"/>
    </row>
    <row r="10570" spans="1:11" ht="17.25" x14ac:dyDescent="0.25">
      <c r="A10570" s="163"/>
      <c r="B10570" s="106"/>
      <c r="C10570" s="100" t="s">
        <v>23</v>
      </c>
      <c r="D10570" s="73"/>
      <c r="E10570" s="73"/>
      <c r="F10570" s="74" t="s">
        <v>596</v>
      </c>
      <c r="G10570" s="153">
        <f>G10569*2</f>
        <v>0.01</v>
      </c>
      <c r="H10570" s="164"/>
    </row>
    <row r="10571" spans="1:11" x14ac:dyDescent="0.25">
      <c r="A10571" s="163"/>
      <c r="B10571" s="106"/>
      <c r="C10571" s="100" t="s">
        <v>142</v>
      </c>
      <c r="D10571" s="73"/>
      <c r="E10571" s="73"/>
      <c r="F10571" s="74" t="s">
        <v>3</v>
      </c>
      <c r="G10571" s="153">
        <f>G10569/4</f>
        <v>1.25E-3</v>
      </c>
      <c r="H10571" s="164"/>
    </row>
    <row r="10572" spans="1:11" x14ac:dyDescent="0.25">
      <c r="A10572" s="163"/>
      <c r="B10572" s="106"/>
      <c r="C10572" s="73"/>
      <c r="D10572" s="73"/>
      <c r="E10572" s="73"/>
      <c r="F10572" s="74"/>
      <c r="G10572" s="153"/>
      <c r="H10572" s="164"/>
    </row>
    <row r="10573" spans="1:11" x14ac:dyDescent="0.25">
      <c r="A10573" s="163"/>
      <c r="B10573" s="106"/>
      <c r="C10573" s="78" t="s">
        <v>4882</v>
      </c>
      <c r="D10573" s="73"/>
      <c r="E10573" s="73"/>
      <c r="F10573" s="74"/>
      <c r="G10573" s="153"/>
      <c r="H10573" s="164"/>
      <c r="K10573" s="516"/>
    </row>
    <row r="10574" spans="1:11" x14ac:dyDescent="0.25">
      <c r="A10574" s="163"/>
      <c r="B10574" s="106"/>
      <c r="C10574" s="186" t="s">
        <v>4883</v>
      </c>
      <c r="D10574" s="73"/>
      <c r="E10574" s="73"/>
      <c r="F10574" s="74" t="s">
        <v>3</v>
      </c>
      <c r="G10574" s="153">
        <v>2E-3</v>
      </c>
      <c r="H10574" s="164"/>
      <c r="K10574" s="516"/>
    </row>
    <row r="10575" spans="1:11" x14ac:dyDescent="0.25">
      <c r="A10575" s="163"/>
      <c r="B10575" s="106"/>
      <c r="C10575" s="186" t="s">
        <v>4885</v>
      </c>
      <c r="D10575" s="73"/>
      <c r="E10575" s="73"/>
      <c r="F10575" s="74" t="s">
        <v>3</v>
      </c>
      <c r="G10575" s="153">
        <f>G10577+0.009</f>
        <v>2.9499999999999998E-2</v>
      </c>
      <c r="H10575" s="164"/>
      <c r="K10575" s="516"/>
    </row>
    <row r="10576" spans="1:11" x14ac:dyDescent="0.25">
      <c r="A10576" s="163"/>
      <c r="B10576" s="106"/>
      <c r="C10576" s="73" t="s">
        <v>164</v>
      </c>
      <c r="D10576" s="73"/>
      <c r="E10576" s="73"/>
      <c r="F10576" s="74" t="s">
        <v>3</v>
      </c>
      <c r="G10576" s="153">
        <f>0.3*G10575+0.003</f>
        <v>1.1849999999999999E-2</v>
      </c>
      <c r="H10576" s="164"/>
      <c r="K10576" s="516"/>
    </row>
    <row r="10577" spans="1:11" x14ac:dyDescent="0.25">
      <c r="A10577" s="163"/>
      <c r="B10577" s="106"/>
      <c r="C10577" s="73" t="s">
        <v>115</v>
      </c>
      <c r="D10577" s="73"/>
      <c r="E10577" s="73"/>
      <c r="F10577" s="74" t="s">
        <v>3</v>
      </c>
      <c r="G10577" s="153">
        <f>0.17*0.02*2*1.25+0.009+0.003</f>
        <v>2.0500000000000001E-2</v>
      </c>
      <c r="H10577" s="164"/>
      <c r="K10577" s="516"/>
    </row>
    <row r="10578" spans="1:11" x14ac:dyDescent="0.25">
      <c r="A10578" s="163"/>
      <c r="B10578" s="106"/>
      <c r="C10578" s="73" t="s">
        <v>143</v>
      </c>
      <c r="D10578" s="73"/>
      <c r="E10578" s="73"/>
      <c r="F10578" s="74" t="s">
        <v>3</v>
      </c>
      <c r="G10578" s="153">
        <f>G10577*0.75</f>
        <v>1.5375E-2</v>
      </c>
      <c r="H10578" s="164"/>
      <c r="K10578" s="516"/>
    </row>
    <row r="10579" spans="1:11" x14ac:dyDescent="0.25">
      <c r="A10579" s="163"/>
      <c r="B10579" s="106"/>
      <c r="C10579" s="73" t="s">
        <v>12</v>
      </c>
      <c r="D10579" s="73"/>
      <c r="E10579" s="73"/>
      <c r="F10579" s="74" t="s">
        <v>3</v>
      </c>
      <c r="G10579" s="153">
        <f>0.3*(G10578+G10577)</f>
        <v>1.0762500000000001E-2</v>
      </c>
      <c r="H10579" s="164"/>
      <c r="K10579" s="516"/>
    </row>
    <row r="10580" spans="1:11" ht="15.75" thickBot="1" x14ac:dyDescent="0.3">
      <c r="A10580" s="67"/>
      <c r="B10580" s="86"/>
      <c r="C10580" s="68"/>
      <c r="D10580" s="68"/>
      <c r="E10580" s="68"/>
      <c r="F10580" s="82"/>
      <c r="G10580" s="89"/>
      <c r="H10580" s="165"/>
      <c r="K10580" s="516"/>
    </row>
    <row r="10581" spans="1:11" x14ac:dyDescent="0.25">
      <c r="A10581" s="159"/>
      <c r="B10581" s="181"/>
      <c r="C10581" s="93"/>
      <c r="D10581" s="93"/>
      <c r="E10581" s="93"/>
      <c r="F10581" s="160"/>
      <c r="G10581" s="161"/>
      <c r="H10581" s="522" t="s">
        <v>4893</v>
      </c>
      <c r="K10581" s="517"/>
    </row>
    <row r="10582" spans="1:11" ht="15.75" x14ac:dyDescent="0.25">
      <c r="A10582" s="163"/>
      <c r="B10582" s="106"/>
      <c r="C10582" s="73"/>
      <c r="D10582" s="73"/>
      <c r="E10582" s="518" t="s">
        <v>4871</v>
      </c>
      <c r="F10582" s="74"/>
      <c r="G10582" s="153"/>
      <c r="H10582" s="164"/>
      <c r="K10582" s="517"/>
    </row>
    <row r="10583" spans="1:11" x14ac:dyDescent="0.25">
      <c r="A10583" s="163"/>
      <c r="B10583" s="106"/>
      <c r="C10583" s="73"/>
      <c r="D10583" s="73"/>
      <c r="E10583" s="73"/>
      <c r="F10583" s="74"/>
      <c r="G10583" s="153"/>
      <c r="H10583" s="164"/>
      <c r="K10583" s="517"/>
    </row>
    <row r="10584" spans="1:11" ht="15.75" x14ac:dyDescent="0.25">
      <c r="A10584" s="163"/>
      <c r="B10584" s="106"/>
      <c r="C10584" s="73"/>
      <c r="D10584" s="73"/>
      <c r="E10584" s="352" t="s">
        <v>4869</v>
      </c>
      <c r="F10584" s="74"/>
      <c r="G10584" s="153"/>
      <c r="H10584" s="164"/>
      <c r="K10584" s="517"/>
    </row>
    <row r="10585" spans="1:11" x14ac:dyDescent="0.25">
      <c r="A10585" s="163"/>
      <c r="B10585" s="106"/>
      <c r="C10585" s="73"/>
      <c r="D10585" s="73"/>
      <c r="E10585" s="75"/>
      <c r="F10585" s="74"/>
      <c r="G10585" s="153"/>
      <c r="H10585" s="164"/>
      <c r="K10585" s="517"/>
    </row>
    <row r="10586" spans="1:11" x14ac:dyDescent="0.25">
      <c r="A10586" s="163"/>
      <c r="B10586" s="106"/>
      <c r="C10586" s="73" t="s">
        <v>142</v>
      </c>
      <c r="D10586" s="73"/>
      <c r="E10586" s="73"/>
      <c r="F10586" s="74" t="s">
        <v>3</v>
      </c>
      <c r="G10586" s="153">
        <v>1.032896E-2</v>
      </c>
      <c r="H10586" s="164"/>
      <c r="K10586" s="517"/>
    </row>
    <row r="10587" spans="1:11" x14ac:dyDescent="0.25">
      <c r="A10587" s="163"/>
      <c r="B10587" s="106"/>
      <c r="C10587" s="73" t="s">
        <v>4885</v>
      </c>
      <c r="D10587" s="73"/>
      <c r="E10587" s="73"/>
      <c r="F10587" s="74" t="s">
        <v>3</v>
      </c>
      <c r="G10587" s="153">
        <v>2.9499999999999998E-2</v>
      </c>
      <c r="H10587" s="164"/>
      <c r="K10587" s="517"/>
    </row>
    <row r="10588" spans="1:11" x14ac:dyDescent="0.25">
      <c r="A10588" s="163"/>
      <c r="B10588" s="106"/>
      <c r="C10588" s="73" t="s">
        <v>4872</v>
      </c>
      <c r="D10588" s="73"/>
      <c r="E10588" s="73"/>
      <c r="F10588" s="74" t="s">
        <v>3</v>
      </c>
      <c r="G10588" s="153">
        <v>0.21712223999999997</v>
      </c>
      <c r="H10588" s="164"/>
      <c r="K10588" s="517"/>
    </row>
    <row r="10589" spans="1:11" x14ac:dyDescent="0.25">
      <c r="A10589" s="163"/>
      <c r="B10589" s="106"/>
      <c r="C10589" s="73" t="s">
        <v>4883</v>
      </c>
      <c r="D10589" s="73"/>
      <c r="E10589" s="73"/>
      <c r="F10589" s="74" t="s">
        <v>3</v>
      </c>
      <c r="G10589" s="153">
        <v>2E-3</v>
      </c>
      <c r="H10589" s="164"/>
      <c r="K10589" s="517"/>
    </row>
    <row r="10590" spans="1:11" x14ac:dyDescent="0.25">
      <c r="A10590" s="163"/>
      <c r="B10590" s="106"/>
      <c r="C10590" s="73" t="s">
        <v>115</v>
      </c>
      <c r="D10590" s="73"/>
      <c r="E10590" s="73"/>
      <c r="F10590" s="74" t="s">
        <v>3</v>
      </c>
      <c r="G10590" s="153">
        <v>0.30326200000000003</v>
      </c>
      <c r="H10590" s="164"/>
      <c r="K10590" s="517"/>
    </row>
    <row r="10591" spans="1:11" ht="17.25" x14ac:dyDescent="0.25">
      <c r="A10591" s="163"/>
      <c r="B10591" s="106"/>
      <c r="C10591" s="73" t="s">
        <v>23</v>
      </c>
      <c r="D10591" s="73"/>
      <c r="E10591" s="73"/>
      <c r="F10591" s="74" t="s">
        <v>596</v>
      </c>
      <c r="G10591" s="153">
        <v>8.2631679999999999E-2</v>
      </c>
      <c r="H10591" s="164"/>
      <c r="K10591" s="517"/>
    </row>
    <row r="10592" spans="1:11" x14ac:dyDescent="0.25">
      <c r="A10592" s="163"/>
      <c r="B10592" s="106"/>
      <c r="C10592" s="73" t="s">
        <v>143</v>
      </c>
      <c r="D10592" s="73"/>
      <c r="E10592" s="73"/>
      <c r="F10592" s="74" t="s">
        <v>3</v>
      </c>
      <c r="G10592" s="153">
        <v>0.23049723999999996</v>
      </c>
      <c r="H10592" s="164"/>
      <c r="K10592" s="517"/>
    </row>
    <row r="10593" spans="1:11" x14ac:dyDescent="0.25">
      <c r="A10593" s="163"/>
      <c r="B10593" s="106"/>
      <c r="C10593" s="73" t="s">
        <v>140</v>
      </c>
      <c r="D10593" s="73"/>
      <c r="E10593" s="73"/>
      <c r="F10593" s="74" t="s">
        <v>3</v>
      </c>
      <c r="G10593" s="153">
        <v>4.131584E-2</v>
      </c>
      <c r="H10593" s="164"/>
      <c r="K10593" s="517"/>
    </row>
    <row r="10594" spans="1:11" x14ac:dyDescent="0.25">
      <c r="A10594" s="163"/>
      <c r="B10594" s="106"/>
      <c r="C10594" s="73" t="s">
        <v>164</v>
      </c>
      <c r="D10594" s="73"/>
      <c r="E10594" s="73"/>
      <c r="F10594" s="74" t="s">
        <v>3</v>
      </c>
      <c r="G10594" s="153">
        <v>1.1849999999999999E-2</v>
      </c>
      <c r="H10594" s="164"/>
      <c r="K10594" s="517"/>
    </row>
    <row r="10595" spans="1:11" x14ac:dyDescent="0.25">
      <c r="A10595" s="163"/>
      <c r="B10595" s="106"/>
      <c r="C10595" s="73" t="s">
        <v>4878</v>
      </c>
      <c r="D10595" s="73"/>
      <c r="E10595" s="73"/>
      <c r="F10595" s="74" t="s">
        <v>195</v>
      </c>
      <c r="G10595" s="153">
        <v>0.39</v>
      </c>
      <c r="H10595" s="164"/>
      <c r="K10595" s="517"/>
    </row>
    <row r="10596" spans="1:11" x14ac:dyDescent="0.25">
      <c r="A10596" s="163"/>
      <c r="B10596" s="106"/>
      <c r="C10596" s="73" t="s">
        <v>4873</v>
      </c>
      <c r="D10596" s="73"/>
      <c r="E10596" s="73"/>
      <c r="F10596" s="74" t="s">
        <v>195</v>
      </c>
      <c r="G10596" s="153">
        <v>2.2450000000000001</v>
      </c>
      <c r="H10596" s="164"/>
      <c r="K10596" s="517"/>
    </row>
    <row r="10597" spans="1:11" x14ac:dyDescent="0.25">
      <c r="A10597" s="163"/>
      <c r="B10597" s="106"/>
      <c r="C10597" s="73" t="s">
        <v>1260</v>
      </c>
      <c r="D10597" s="73"/>
      <c r="E10597" s="73"/>
      <c r="F10597" s="74" t="s">
        <v>195</v>
      </c>
      <c r="G10597" s="153">
        <v>4.03</v>
      </c>
      <c r="H10597" s="164"/>
      <c r="K10597" s="517"/>
    </row>
    <row r="10598" spans="1:11" x14ac:dyDescent="0.25">
      <c r="A10598" s="163"/>
      <c r="B10598" s="106"/>
      <c r="C10598" s="73" t="s">
        <v>12</v>
      </c>
      <c r="D10598" s="73"/>
      <c r="E10598" s="73"/>
      <c r="F10598" s="74" t="s">
        <v>3</v>
      </c>
      <c r="G10598" s="153">
        <v>0.22526444400000001</v>
      </c>
      <c r="H10598" s="164"/>
      <c r="K10598" s="517"/>
    </row>
    <row r="10599" spans="1:11" ht="15.75" thickBot="1" x14ac:dyDescent="0.3">
      <c r="A10599" s="67"/>
      <c r="B10599" s="86"/>
      <c r="C10599" s="68"/>
      <c r="D10599" s="68"/>
      <c r="E10599" s="68"/>
      <c r="F10599" s="82"/>
      <c r="G10599" s="89"/>
      <c r="H10599" s="165"/>
      <c r="K10599" s="517"/>
    </row>
    <row r="10600" spans="1:11" x14ac:dyDescent="0.25">
      <c r="A10600" s="159"/>
      <c r="B10600" s="181"/>
      <c r="C10600" s="93"/>
      <c r="D10600" s="93"/>
      <c r="E10600" s="93"/>
      <c r="F10600" s="160"/>
      <c r="G10600" s="161"/>
      <c r="H10600" s="522" t="s">
        <v>4912</v>
      </c>
      <c r="K10600" s="517"/>
    </row>
    <row r="10601" spans="1:11" x14ac:dyDescent="0.25">
      <c r="A10601" s="163"/>
      <c r="B10601" s="106"/>
      <c r="C10601" s="73"/>
      <c r="D10601" s="73"/>
      <c r="E10601" s="73"/>
      <c r="F10601" s="74"/>
      <c r="G10601" s="153"/>
      <c r="H10601" s="164"/>
      <c r="K10601" s="516"/>
    </row>
    <row r="10602" spans="1:11" x14ac:dyDescent="0.25">
      <c r="A10602" s="163"/>
      <c r="B10602" s="106"/>
      <c r="C10602" s="78" t="s">
        <v>4882</v>
      </c>
      <c r="D10602" s="73"/>
      <c r="E10602" s="73"/>
      <c r="F10602" s="74"/>
      <c r="G10602" s="153"/>
      <c r="H10602" s="164"/>
    </row>
    <row r="10603" spans="1:11" x14ac:dyDescent="0.25">
      <c r="A10603" s="163"/>
      <c r="B10603" s="106"/>
      <c r="C10603" s="186" t="s">
        <v>4883</v>
      </c>
      <c r="D10603" s="73"/>
      <c r="E10603" s="73"/>
      <c r="F10603" s="74" t="s">
        <v>3</v>
      </c>
      <c r="G10603" s="153">
        <v>2E-3</v>
      </c>
      <c r="H10603" s="164"/>
    </row>
    <row r="10604" spans="1:11" x14ac:dyDescent="0.25">
      <c r="A10604" s="163"/>
      <c r="B10604" s="106"/>
      <c r="C10604" s="73"/>
      <c r="D10604" s="78" t="s">
        <v>4884</v>
      </c>
      <c r="E10604" s="73"/>
      <c r="F10604" s="74"/>
      <c r="G10604" s="153"/>
      <c r="H10604" s="164"/>
    </row>
    <row r="10605" spans="1:11" x14ac:dyDescent="0.25">
      <c r="A10605" s="163"/>
      <c r="B10605" s="106"/>
      <c r="C10605" s="73"/>
      <c r="D10605" s="77" t="s">
        <v>3394</v>
      </c>
      <c r="E10605" s="73"/>
      <c r="F10605" s="74" t="s">
        <v>3</v>
      </c>
      <c r="G10605" s="153">
        <f>0.025*3.14*2*0.08*1.2</f>
        <v>1.5072000000000002E-2</v>
      </c>
      <c r="H10605" s="164"/>
    </row>
    <row r="10606" spans="1:11" ht="17.25" x14ac:dyDescent="0.25">
      <c r="A10606" s="163"/>
      <c r="B10606" s="106"/>
      <c r="C10606" s="73"/>
      <c r="D10606" s="77" t="s">
        <v>121</v>
      </c>
      <c r="E10606" s="73"/>
      <c r="F10606" s="74" t="s">
        <v>596</v>
      </c>
      <c r="G10606" s="153">
        <f>G10605*1.1</f>
        <v>1.6579200000000002E-2</v>
      </c>
      <c r="H10606" s="164"/>
    </row>
    <row r="10607" spans="1:11" x14ac:dyDescent="0.25">
      <c r="A10607" s="163"/>
      <c r="B10607" s="106"/>
      <c r="C10607" s="73"/>
      <c r="D10607" s="186" t="s">
        <v>4885</v>
      </c>
      <c r="E10607" s="73"/>
      <c r="F10607" s="74" t="s">
        <v>3</v>
      </c>
      <c r="G10607" s="153">
        <f>G10609</f>
        <v>8.5000000000000006E-3</v>
      </c>
      <c r="H10607" s="164"/>
    </row>
    <row r="10608" spans="1:11" x14ac:dyDescent="0.25">
      <c r="A10608" s="163"/>
      <c r="B10608" s="106"/>
      <c r="C10608" s="73"/>
      <c r="D10608" s="73" t="s">
        <v>164</v>
      </c>
      <c r="E10608" s="73"/>
      <c r="F10608" s="74" t="s">
        <v>3</v>
      </c>
      <c r="G10608" s="153">
        <f>0.3*G10607</f>
        <v>2.5500000000000002E-3</v>
      </c>
      <c r="H10608" s="164"/>
    </row>
    <row r="10609" spans="1:9" x14ac:dyDescent="0.25">
      <c r="A10609" s="163"/>
      <c r="B10609" s="106"/>
      <c r="C10609" s="73"/>
      <c r="D10609" s="73" t="s">
        <v>115</v>
      </c>
      <c r="E10609" s="73"/>
      <c r="F10609" s="74" t="s">
        <v>3</v>
      </c>
      <c r="G10609" s="153">
        <f>0.17*0.02*2*1.25</f>
        <v>8.5000000000000006E-3</v>
      </c>
      <c r="H10609" s="164"/>
    </row>
    <row r="10610" spans="1:9" x14ac:dyDescent="0.25">
      <c r="A10610" s="163"/>
      <c r="B10610" s="106"/>
      <c r="C10610" s="73"/>
      <c r="D10610" s="73" t="s">
        <v>143</v>
      </c>
      <c r="E10610" s="73"/>
      <c r="F10610" s="74" t="s">
        <v>3</v>
      </c>
      <c r="G10610" s="153">
        <f>G10607</f>
        <v>8.5000000000000006E-3</v>
      </c>
      <c r="H10610" s="164"/>
    </row>
    <row r="10611" spans="1:9" x14ac:dyDescent="0.25">
      <c r="A10611" s="163"/>
      <c r="B10611" s="106"/>
      <c r="C10611" s="73"/>
      <c r="D10611" s="73" t="s">
        <v>12</v>
      </c>
      <c r="E10611" s="73"/>
      <c r="F10611" s="74" t="s">
        <v>3</v>
      </c>
      <c r="G10611" s="153">
        <f>0.3*(G10609+H10608+G10610)-0.001</f>
        <v>4.1000000000000003E-3</v>
      </c>
      <c r="H10611" s="164"/>
    </row>
    <row r="10612" spans="1:9" x14ac:dyDescent="0.25">
      <c r="A10612" s="163"/>
      <c r="B10612" s="106"/>
      <c r="C10612" s="73"/>
      <c r="D10612" s="73"/>
      <c r="E10612" s="75" t="s">
        <v>4886</v>
      </c>
      <c r="F10612" s="74"/>
      <c r="G10612" s="153"/>
      <c r="H10612" s="164"/>
    </row>
    <row r="10613" spans="1:9" x14ac:dyDescent="0.25">
      <c r="A10613" s="163"/>
      <c r="B10613" s="106"/>
      <c r="C10613" s="73"/>
      <c r="D10613" s="73"/>
      <c r="E10613" s="73" t="s">
        <v>4887</v>
      </c>
      <c r="F10613" s="74" t="s">
        <v>3</v>
      </c>
      <c r="G10613" s="153">
        <f>0.21*0.869</f>
        <v>0.18248999999999999</v>
      </c>
      <c r="H10613" s="164"/>
      <c r="I10613" t="s">
        <v>4888</v>
      </c>
    </row>
    <row r="10614" spans="1:9" x14ac:dyDescent="0.25">
      <c r="A10614" s="163"/>
      <c r="B10614" s="106"/>
      <c r="C10614" s="73"/>
      <c r="D10614" s="78" t="s">
        <v>4889</v>
      </c>
      <c r="E10614" s="73"/>
      <c r="F10614" s="74"/>
      <c r="G10614" s="153"/>
      <c r="H10614" s="164"/>
    </row>
    <row r="10615" spans="1:9" x14ac:dyDescent="0.25">
      <c r="A10615" s="163"/>
      <c r="B10615" s="106"/>
      <c r="C10615" s="73"/>
      <c r="D10615" s="77" t="s">
        <v>3394</v>
      </c>
      <c r="E10615" s="73"/>
      <c r="F10615" s="74" t="s">
        <v>3</v>
      </c>
      <c r="G10615" s="153">
        <f>0.025*3.14*2*0.08*1.2</f>
        <v>1.5072000000000002E-2</v>
      </c>
      <c r="H10615" s="164"/>
    </row>
    <row r="10616" spans="1:9" ht="17.25" x14ac:dyDescent="0.25">
      <c r="A10616" s="163"/>
      <c r="B10616" s="106"/>
      <c r="C10616" s="73"/>
      <c r="D10616" s="77" t="s">
        <v>121</v>
      </c>
      <c r="E10616" s="73"/>
      <c r="F10616" s="74" t="s">
        <v>596</v>
      </c>
      <c r="G10616" s="153">
        <f>G10615*1.1</f>
        <v>1.6579200000000002E-2</v>
      </c>
      <c r="H10616" s="164"/>
    </row>
    <row r="10617" spans="1:9" x14ac:dyDescent="0.25">
      <c r="A10617" s="163"/>
      <c r="B10617" s="106"/>
      <c r="C10617" s="73"/>
      <c r="D10617" s="186" t="s">
        <v>4885</v>
      </c>
      <c r="E10617" s="73"/>
      <c r="F10617" s="74" t="s">
        <v>3</v>
      </c>
      <c r="G10617" s="153">
        <f>G10619</f>
        <v>8.5000000000000006E-3</v>
      </c>
      <c r="H10617" s="164"/>
    </row>
    <row r="10618" spans="1:9" x14ac:dyDescent="0.25">
      <c r="A10618" s="163"/>
      <c r="B10618" s="106"/>
      <c r="C10618" s="73"/>
      <c r="D10618" s="73" t="s">
        <v>164</v>
      </c>
      <c r="E10618" s="73"/>
      <c r="F10618" s="74" t="s">
        <v>3</v>
      </c>
      <c r="G10618" s="153">
        <f>0.3*G10617</f>
        <v>2.5500000000000002E-3</v>
      </c>
      <c r="H10618" s="164"/>
    </row>
    <row r="10619" spans="1:9" x14ac:dyDescent="0.25">
      <c r="A10619" s="163"/>
      <c r="B10619" s="106"/>
      <c r="C10619" s="73"/>
      <c r="D10619" s="73" t="s">
        <v>115</v>
      </c>
      <c r="E10619" s="73"/>
      <c r="F10619" s="74" t="s">
        <v>3</v>
      </c>
      <c r="G10619" s="153">
        <f>0.17*0.02*2*1.25</f>
        <v>8.5000000000000006E-3</v>
      </c>
      <c r="H10619" s="164"/>
    </row>
    <row r="10620" spans="1:9" x14ac:dyDescent="0.25">
      <c r="A10620" s="163"/>
      <c r="B10620" s="106"/>
      <c r="C10620" s="73"/>
      <c r="D10620" s="73" t="s">
        <v>143</v>
      </c>
      <c r="E10620" s="73"/>
      <c r="F10620" s="74" t="s">
        <v>3</v>
      </c>
      <c r="G10620" s="153">
        <f>G10617</f>
        <v>8.5000000000000006E-3</v>
      </c>
      <c r="H10620" s="164"/>
    </row>
    <row r="10621" spans="1:9" x14ac:dyDescent="0.25">
      <c r="A10621" s="163"/>
      <c r="B10621" s="106"/>
      <c r="C10621" s="73"/>
      <c r="D10621" s="73" t="s">
        <v>12</v>
      </c>
      <c r="E10621" s="73"/>
      <c r="F10621" s="74" t="s">
        <v>3</v>
      </c>
      <c r="G10621" s="153">
        <f>0.3*(G10619+H10618+G10620)-0.001</f>
        <v>4.1000000000000003E-3</v>
      </c>
      <c r="H10621" s="164"/>
    </row>
    <row r="10622" spans="1:9" x14ac:dyDescent="0.25">
      <c r="A10622" s="163"/>
      <c r="B10622" s="106"/>
      <c r="C10622" s="73"/>
      <c r="D10622" s="73"/>
      <c r="E10622" s="75" t="s">
        <v>4890</v>
      </c>
      <c r="F10622" s="74"/>
      <c r="G10622" s="153"/>
      <c r="H10622" s="164"/>
    </row>
    <row r="10623" spans="1:9" x14ac:dyDescent="0.25">
      <c r="A10623" s="163"/>
      <c r="B10623" s="106"/>
      <c r="C10623" s="73"/>
      <c r="D10623" s="73"/>
      <c r="E10623" s="73" t="s">
        <v>4887</v>
      </c>
      <c r="F10623" s="74" t="s">
        <v>3</v>
      </c>
      <c r="G10623" s="153">
        <f>0.2*0.869+0.001</f>
        <v>0.17480000000000001</v>
      </c>
      <c r="H10623" s="164"/>
      <c r="I10623" t="s">
        <v>4891</v>
      </c>
    </row>
    <row r="10624" spans="1:9" x14ac:dyDescent="0.25">
      <c r="A10624" s="163"/>
      <c r="B10624" s="106"/>
      <c r="C10624" s="73"/>
      <c r="D10624" s="78" t="s">
        <v>4892</v>
      </c>
      <c r="E10624" s="73"/>
      <c r="F10624" s="74"/>
      <c r="G10624" s="153"/>
      <c r="H10624" s="164"/>
    </row>
    <row r="10625" spans="1:11" x14ac:dyDescent="0.25">
      <c r="A10625" s="163"/>
      <c r="B10625" s="106"/>
      <c r="C10625" s="73"/>
      <c r="D10625" s="77" t="s">
        <v>3394</v>
      </c>
      <c r="E10625" s="73"/>
      <c r="F10625" s="74" t="s">
        <v>3</v>
      </c>
      <c r="G10625" s="153">
        <f>0.025*3.14*0.08*1.2</f>
        <v>7.536000000000001E-3</v>
      </c>
      <c r="H10625" s="164"/>
    </row>
    <row r="10626" spans="1:11" ht="17.25" x14ac:dyDescent="0.25">
      <c r="A10626" s="163"/>
      <c r="B10626" s="106"/>
      <c r="C10626" s="73"/>
      <c r="D10626" s="77" t="s">
        <v>121</v>
      </c>
      <c r="E10626" s="73"/>
      <c r="F10626" s="74" t="s">
        <v>596</v>
      </c>
      <c r="G10626" s="153">
        <f>G10625*1.1</f>
        <v>8.2896000000000011E-3</v>
      </c>
      <c r="H10626" s="164"/>
    </row>
    <row r="10627" spans="1:11" x14ac:dyDescent="0.25">
      <c r="A10627" s="163"/>
      <c r="B10627" s="106"/>
      <c r="C10627" s="73"/>
      <c r="D10627" s="73" t="s">
        <v>4872</v>
      </c>
      <c r="E10627" s="73"/>
      <c r="F10627" s="74" t="s">
        <v>3</v>
      </c>
      <c r="G10627" s="153">
        <f>G10628</f>
        <v>3.0000000000000001E-3</v>
      </c>
      <c r="H10627" s="164"/>
    </row>
    <row r="10628" spans="1:11" x14ac:dyDescent="0.25">
      <c r="A10628" s="163"/>
      <c r="B10628" s="106"/>
      <c r="C10628" s="73"/>
      <c r="D10628" s="73" t="s">
        <v>115</v>
      </c>
      <c r="E10628" s="73"/>
      <c r="F10628" s="74" t="s">
        <v>3</v>
      </c>
      <c r="G10628" s="153">
        <v>3.0000000000000001E-3</v>
      </c>
      <c r="H10628" s="164"/>
    </row>
    <row r="10629" spans="1:11" x14ac:dyDescent="0.25">
      <c r="A10629" s="163"/>
      <c r="B10629" s="106"/>
      <c r="C10629" s="73"/>
      <c r="D10629" s="73" t="s">
        <v>12</v>
      </c>
      <c r="E10629" s="73"/>
      <c r="F10629" s="74" t="s">
        <v>3</v>
      </c>
      <c r="G10629" s="153">
        <f>0.3*(G10628+G10627)</f>
        <v>1.8E-3</v>
      </c>
      <c r="H10629" s="164"/>
    </row>
    <row r="10630" spans="1:11" x14ac:dyDescent="0.25">
      <c r="A10630" s="163"/>
      <c r="B10630" s="106"/>
      <c r="C10630" s="73"/>
      <c r="D10630" s="73"/>
      <c r="E10630" s="73"/>
      <c r="F10630" s="74"/>
      <c r="G10630" s="153"/>
      <c r="H10630" s="164"/>
    </row>
    <row r="10631" spans="1:11" x14ac:dyDescent="0.25">
      <c r="A10631" s="163"/>
      <c r="B10631" s="106"/>
      <c r="C10631" s="75" t="s">
        <v>4895</v>
      </c>
      <c r="D10631" s="73"/>
      <c r="E10631" s="73"/>
      <c r="F10631" s="74"/>
      <c r="G10631" s="153"/>
      <c r="H10631" s="164"/>
    </row>
    <row r="10632" spans="1:11" x14ac:dyDescent="0.25">
      <c r="A10632" s="163"/>
      <c r="B10632" s="106"/>
      <c r="C10632" s="73" t="s">
        <v>1992</v>
      </c>
      <c r="D10632" s="73"/>
      <c r="E10632" s="73"/>
      <c r="F10632" s="74" t="s">
        <v>3</v>
      </c>
      <c r="G10632" s="153">
        <f>0.01*3.14*0.08*1.2</f>
        <v>3.0144000000000004E-3</v>
      </c>
      <c r="H10632" s="164"/>
    </row>
    <row r="10633" spans="1:11" x14ac:dyDescent="0.25">
      <c r="A10633" s="163"/>
      <c r="B10633" s="106"/>
      <c r="C10633" s="73" t="s">
        <v>1993</v>
      </c>
      <c r="D10633" s="73"/>
      <c r="E10633" s="73"/>
      <c r="F10633" s="74" t="s">
        <v>3</v>
      </c>
      <c r="G10633" s="153">
        <f>G10632/2</f>
        <v>1.5072000000000002E-3</v>
      </c>
      <c r="H10633" s="164"/>
      <c r="K10633" s="517"/>
    </row>
    <row r="10634" spans="1:11" x14ac:dyDescent="0.25">
      <c r="A10634" s="163"/>
      <c r="B10634" s="106"/>
      <c r="C10634" s="73" t="s">
        <v>1994</v>
      </c>
      <c r="D10634" s="73"/>
      <c r="E10634" s="73"/>
      <c r="F10634" s="74" t="s">
        <v>3</v>
      </c>
      <c r="G10634" s="153">
        <f>G10632/4</f>
        <v>7.536000000000001E-4</v>
      </c>
      <c r="H10634" s="164"/>
    </row>
    <row r="10635" spans="1:11" x14ac:dyDescent="0.25">
      <c r="A10635" s="163"/>
      <c r="B10635" s="106"/>
      <c r="C10635" s="73"/>
      <c r="D10635" s="75" t="s">
        <v>4896</v>
      </c>
      <c r="E10635" s="73"/>
      <c r="F10635" s="74"/>
      <c r="G10635" s="153"/>
      <c r="H10635" s="164"/>
    </row>
    <row r="10636" spans="1:11" x14ac:dyDescent="0.25">
      <c r="A10636" s="163"/>
      <c r="B10636" s="106"/>
      <c r="C10636" s="73"/>
      <c r="D10636" s="73" t="s">
        <v>4897</v>
      </c>
      <c r="E10636" s="73"/>
      <c r="F10636" s="74" t="s">
        <v>3</v>
      </c>
      <c r="G10636" s="153">
        <f>0.135*0.075*4*9</f>
        <v>0.36449999999999999</v>
      </c>
      <c r="H10636" s="164"/>
    </row>
    <row r="10637" spans="1:11" x14ac:dyDescent="0.25">
      <c r="A10637" s="163"/>
      <c r="B10637" s="106"/>
      <c r="C10637" s="73"/>
      <c r="D10637" s="73"/>
      <c r="E10637" s="73" t="s">
        <v>2840</v>
      </c>
      <c r="F10637" s="74"/>
      <c r="G10637" s="153"/>
      <c r="H10637" s="164"/>
    </row>
    <row r="10638" spans="1:11" x14ac:dyDescent="0.25">
      <c r="A10638" s="163"/>
      <c r="B10638" s="106"/>
      <c r="C10638" s="73"/>
      <c r="D10638" s="73" t="s">
        <v>4898</v>
      </c>
      <c r="E10638" s="73"/>
      <c r="F10638" s="74" t="s">
        <v>3</v>
      </c>
      <c r="G10638" s="153">
        <f>0.135*0.075*4*8.5+0.001</f>
        <v>0.34525</v>
      </c>
      <c r="H10638" s="164"/>
    </row>
    <row r="10639" spans="1:11" x14ac:dyDescent="0.25">
      <c r="A10639" s="163"/>
      <c r="B10639" s="106"/>
      <c r="C10639" s="73"/>
      <c r="D10639" s="73"/>
      <c r="E10639" s="73"/>
      <c r="F10639" s="74"/>
      <c r="G10639" s="153"/>
      <c r="H10639" s="164"/>
    </row>
    <row r="10640" spans="1:11" x14ac:dyDescent="0.25">
      <c r="A10640" s="163"/>
      <c r="B10640" s="106"/>
      <c r="C10640" s="75" t="s">
        <v>4899</v>
      </c>
      <c r="D10640" s="73"/>
      <c r="E10640" s="73"/>
      <c r="F10640" s="74"/>
      <c r="G10640" s="153"/>
      <c r="H10640" s="164"/>
    </row>
    <row r="10641" spans="1:11" x14ac:dyDescent="0.25">
      <c r="A10641" s="163"/>
      <c r="B10641" s="106"/>
      <c r="C10641" s="73" t="s">
        <v>4900</v>
      </c>
      <c r="D10641" s="73"/>
      <c r="E10641" s="73"/>
      <c r="F10641" s="74" t="s">
        <v>1516</v>
      </c>
      <c r="G10641" s="153">
        <v>4</v>
      </c>
      <c r="H10641" s="164"/>
      <c r="K10641" s="517"/>
    </row>
    <row r="10642" spans="1:11" x14ac:dyDescent="0.25">
      <c r="A10642" s="163"/>
      <c r="B10642" s="106"/>
      <c r="C10642" s="73" t="s">
        <v>4901</v>
      </c>
      <c r="D10642" s="73"/>
      <c r="E10642" s="73"/>
      <c r="F10642" s="74" t="s">
        <v>1516</v>
      </c>
      <c r="G10642" s="153">
        <v>2</v>
      </c>
      <c r="H10642" s="164"/>
      <c r="K10642" s="517"/>
    </row>
    <row r="10643" spans="1:11" x14ac:dyDescent="0.25">
      <c r="A10643" s="163"/>
      <c r="B10643" s="106"/>
      <c r="C10643" s="73" t="s">
        <v>4902</v>
      </c>
      <c r="D10643" s="73"/>
      <c r="E10643" s="73"/>
      <c r="F10643" s="74" t="s">
        <v>1516</v>
      </c>
      <c r="G10643" s="153">
        <v>4</v>
      </c>
      <c r="H10643" s="164"/>
    </row>
    <row r="10644" spans="1:11" x14ac:dyDescent="0.25">
      <c r="A10644" s="163"/>
      <c r="B10644" s="106"/>
      <c r="C10644" s="73" t="s">
        <v>731</v>
      </c>
      <c r="D10644" s="73"/>
      <c r="E10644" s="73"/>
      <c r="F10644" s="74" t="s">
        <v>3</v>
      </c>
      <c r="G10644" s="153">
        <f>0.1*0.05*2*0.2*1.3</f>
        <v>2.6000000000000007E-3</v>
      </c>
      <c r="H10644" s="164"/>
      <c r="K10644" s="517"/>
    </row>
    <row r="10645" spans="1:11" x14ac:dyDescent="0.25">
      <c r="A10645" s="163"/>
      <c r="B10645" s="106"/>
      <c r="C10645" s="73"/>
      <c r="D10645" s="75" t="s">
        <v>4905</v>
      </c>
      <c r="E10645" s="73"/>
      <c r="F10645" s="74"/>
      <c r="G10645" s="153"/>
      <c r="H10645" s="164"/>
    </row>
    <row r="10646" spans="1:11" x14ac:dyDescent="0.25">
      <c r="A10646" s="163"/>
      <c r="B10646" s="106"/>
      <c r="C10646" s="73"/>
      <c r="D10646" s="73" t="s">
        <v>595</v>
      </c>
      <c r="E10646" s="100"/>
      <c r="F10646" s="74" t="s">
        <v>3</v>
      </c>
      <c r="G10646" s="427">
        <f>0.43*0.05*1.2</f>
        <v>2.58E-2</v>
      </c>
      <c r="H10646" s="164"/>
      <c r="K10646" s="517"/>
    </row>
    <row r="10647" spans="1:11" ht="17.25" x14ac:dyDescent="0.25">
      <c r="A10647" s="163"/>
      <c r="B10647" s="106"/>
      <c r="C10647" s="73"/>
      <c r="D10647" s="73" t="s">
        <v>168</v>
      </c>
      <c r="E10647" s="100"/>
      <c r="F10647" s="74" t="s">
        <v>596</v>
      </c>
      <c r="G10647" s="153">
        <f>1.08*G10646</f>
        <v>2.7864000000000003E-2</v>
      </c>
      <c r="H10647" s="164"/>
      <c r="K10647" s="517"/>
    </row>
    <row r="10648" spans="1:11" x14ac:dyDescent="0.25">
      <c r="A10648" s="163"/>
      <c r="B10648" s="106"/>
      <c r="C10648" s="73"/>
      <c r="D10648" s="73"/>
      <c r="E10648" s="75" t="s">
        <v>4906</v>
      </c>
      <c r="F10648" s="74"/>
      <c r="G10648" s="153"/>
      <c r="H10648" s="164"/>
      <c r="K10648" s="517"/>
    </row>
    <row r="10649" spans="1:11" x14ac:dyDescent="0.25">
      <c r="A10649" s="163"/>
      <c r="B10649" s="106"/>
      <c r="C10649" s="73"/>
      <c r="D10649" s="73"/>
      <c r="E10649" s="73" t="s">
        <v>4908</v>
      </c>
      <c r="F10649" s="74" t="s">
        <v>3</v>
      </c>
      <c r="G10649" s="153">
        <f>0.435*0.1*2*2.7*1.127</f>
        <v>0.26473230000000003</v>
      </c>
      <c r="H10649" s="164"/>
      <c r="K10649" s="517"/>
    </row>
    <row r="10650" spans="1:11" x14ac:dyDescent="0.25">
      <c r="A10650" s="163"/>
      <c r="B10650" s="106"/>
      <c r="C10650" s="73"/>
      <c r="D10650" s="73"/>
      <c r="E10650" s="75" t="s">
        <v>4907</v>
      </c>
      <c r="F10650" s="74"/>
      <c r="G10650" s="153"/>
      <c r="H10650" s="164"/>
    </row>
    <row r="10651" spans="1:11" x14ac:dyDescent="0.25">
      <c r="A10651" s="163"/>
      <c r="B10651" s="106"/>
      <c r="C10651" s="73"/>
      <c r="D10651" s="73"/>
      <c r="E10651" s="73" t="s">
        <v>4909</v>
      </c>
      <c r="F10651" s="74" t="s">
        <v>3</v>
      </c>
      <c r="G10651" s="153">
        <f>0.23*0.155*4*2.7*1.129</f>
        <v>0.43468758000000002</v>
      </c>
      <c r="H10651" s="164"/>
    </row>
    <row r="10652" spans="1:11" x14ac:dyDescent="0.25">
      <c r="A10652" s="163"/>
      <c r="B10652" s="106"/>
      <c r="C10652" s="73"/>
      <c r="D10652" s="75" t="s">
        <v>4903</v>
      </c>
      <c r="E10652" s="73"/>
      <c r="F10652" s="74"/>
      <c r="G10652" s="153"/>
      <c r="H10652" s="164"/>
      <c r="K10652" s="517"/>
    </row>
    <row r="10653" spans="1:11" x14ac:dyDescent="0.25">
      <c r="A10653" s="163"/>
      <c r="B10653" s="106"/>
      <c r="C10653" s="73"/>
      <c r="D10653" s="73" t="s">
        <v>4910</v>
      </c>
      <c r="E10653" s="73"/>
      <c r="F10653" s="74" t="s">
        <v>3</v>
      </c>
      <c r="G10653" s="153">
        <f>0.135*0.012*1*8*1.12</f>
        <v>1.4515200000000002E-2</v>
      </c>
      <c r="H10653" s="164"/>
      <c r="K10653" s="517"/>
    </row>
    <row r="10654" spans="1:11" x14ac:dyDescent="0.25">
      <c r="A10654" s="163"/>
      <c r="B10654" s="106"/>
      <c r="C10654" s="73"/>
      <c r="D10654" s="75" t="s">
        <v>4904</v>
      </c>
      <c r="E10654" s="73"/>
      <c r="F10654" s="74"/>
      <c r="G10654" s="153"/>
      <c r="H10654" s="164"/>
    </row>
    <row r="10655" spans="1:11" x14ac:dyDescent="0.25">
      <c r="A10655" s="163"/>
      <c r="B10655" s="106"/>
      <c r="C10655" s="73"/>
      <c r="D10655" s="73" t="s">
        <v>4911</v>
      </c>
      <c r="E10655" s="73"/>
      <c r="F10655" s="74" t="s">
        <v>3</v>
      </c>
      <c r="G10655" s="153">
        <f>0.085*0.015*0.75*8*1.15</f>
        <v>8.7974999999999998E-3</v>
      </c>
      <c r="H10655" s="164"/>
    </row>
    <row r="10656" spans="1:11" ht="15.75" thickBot="1" x14ac:dyDescent="0.3">
      <c r="A10656" s="67"/>
      <c r="B10656" s="86"/>
      <c r="C10656" s="68"/>
      <c r="D10656" s="68"/>
      <c r="E10656" s="68"/>
      <c r="F10656" s="82"/>
      <c r="G10656" s="89"/>
      <c r="H10656" s="165"/>
    </row>
    <row r="10657" spans="1:11" x14ac:dyDescent="0.25">
      <c r="A10657" s="159"/>
      <c r="B10657" s="181"/>
      <c r="C10657" s="93"/>
      <c r="D10657" s="93"/>
      <c r="E10657" s="93"/>
      <c r="F10657" s="160"/>
      <c r="G10657" s="161"/>
      <c r="H10657" s="162"/>
      <c r="K10657" s="524"/>
    </row>
    <row r="10658" spans="1:11" x14ac:dyDescent="0.25">
      <c r="A10658" s="163"/>
      <c r="B10658" s="106"/>
      <c r="C10658" s="75" t="s">
        <v>4917</v>
      </c>
      <c r="D10658" s="73"/>
      <c r="E10658" s="73"/>
      <c r="F10658" s="74"/>
      <c r="G10658" s="153"/>
      <c r="H10658" s="164"/>
    </row>
    <row r="10659" spans="1:11" x14ac:dyDescent="0.25">
      <c r="A10659" s="163"/>
      <c r="B10659" s="106"/>
      <c r="C10659" s="73" t="s">
        <v>4916</v>
      </c>
      <c r="D10659" s="73"/>
      <c r="E10659" s="73"/>
      <c r="F10659" s="74" t="s">
        <v>3</v>
      </c>
      <c r="G10659" s="153">
        <f>0.68*0.009*0.5*8+0.001</f>
        <v>2.5479999999999999E-2</v>
      </c>
      <c r="H10659" s="164"/>
      <c r="K10659" s="523"/>
    </row>
    <row r="10660" spans="1:11" x14ac:dyDescent="0.25">
      <c r="A10660" s="163"/>
      <c r="B10660" s="106"/>
      <c r="C10660" s="73"/>
      <c r="D10660" s="73"/>
      <c r="E10660" s="73"/>
      <c r="F10660" s="74"/>
      <c r="G10660" s="153"/>
      <c r="H10660" s="164"/>
    </row>
    <row r="10661" spans="1:11" x14ac:dyDescent="0.25">
      <c r="A10661" s="163"/>
      <c r="B10661" s="106"/>
      <c r="C10661" s="75" t="s">
        <v>4915</v>
      </c>
      <c r="D10661" s="73"/>
      <c r="E10661" s="73"/>
      <c r="F10661" s="74"/>
      <c r="G10661" s="153"/>
      <c r="H10661" s="164"/>
    </row>
    <row r="10662" spans="1:11" ht="15.75" thickBot="1" x14ac:dyDescent="0.3">
      <c r="A10662" s="67"/>
      <c r="B10662" s="86"/>
      <c r="C10662" s="68" t="s">
        <v>4916</v>
      </c>
      <c r="D10662" s="68"/>
      <c r="E10662" s="68"/>
      <c r="F10662" s="82" t="s">
        <v>3</v>
      </c>
      <c r="G10662" s="89">
        <f>0.75*0.009*0.5*8*1.1</f>
        <v>2.9699999999999997E-2</v>
      </c>
      <c r="H10662" s="165"/>
    </row>
    <row r="10663" spans="1:11" x14ac:dyDescent="0.25">
      <c r="A10663" s="159"/>
      <c r="B10663" s="181"/>
      <c r="C10663" s="93"/>
      <c r="D10663" s="93"/>
      <c r="E10663" s="93"/>
      <c r="F10663" s="160"/>
      <c r="G10663" s="161"/>
      <c r="H10663" s="522" t="s">
        <v>4972</v>
      </c>
    </row>
    <row r="10664" spans="1:11" x14ac:dyDescent="0.25">
      <c r="A10664" s="163"/>
      <c r="B10664" s="106"/>
      <c r="C10664" s="73"/>
      <c r="D10664" s="73"/>
      <c r="E10664" s="73"/>
      <c r="F10664" s="74"/>
      <c r="G10664" s="153"/>
      <c r="H10664" s="164"/>
      <c r="K10664" s="525"/>
    </row>
    <row r="10665" spans="1:11" x14ac:dyDescent="0.25">
      <c r="A10665" s="163"/>
      <c r="B10665" s="106"/>
      <c r="C10665" s="75" t="s">
        <v>533</v>
      </c>
      <c r="D10665" s="73"/>
      <c r="E10665" s="73"/>
      <c r="F10665" s="74"/>
      <c r="G10665" s="153"/>
      <c r="H10665" s="164"/>
    </row>
    <row r="10666" spans="1:11" x14ac:dyDescent="0.25">
      <c r="A10666" s="163"/>
      <c r="B10666" s="106"/>
      <c r="C10666" s="73" t="s">
        <v>4914</v>
      </c>
      <c r="D10666" s="73"/>
      <c r="E10666" s="73"/>
      <c r="F10666" s="74" t="s">
        <v>3</v>
      </c>
      <c r="G10666" s="153">
        <f>0.585*0.45*12.76*1.1312</f>
        <v>3.7997799839999993</v>
      </c>
      <c r="H10666" s="164"/>
      <c r="K10666" s="523"/>
    </row>
    <row r="10667" spans="1:11" x14ac:dyDescent="0.25">
      <c r="A10667" s="163"/>
      <c r="B10667" s="106"/>
      <c r="C10667" s="73"/>
      <c r="D10667" s="73"/>
      <c r="E10667" s="73"/>
      <c r="F10667" s="74"/>
      <c r="G10667" s="153"/>
      <c r="H10667" s="164"/>
    </row>
    <row r="10668" spans="1:11" x14ac:dyDescent="0.25">
      <c r="A10668" s="163"/>
      <c r="B10668" s="106"/>
      <c r="C10668" s="75" t="s">
        <v>616</v>
      </c>
      <c r="D10668" s="73"/>
      <c r="E10668" s="73"/>
      <c r="F10668" s="74"/>
      <c r="G10668" s="153"/>
      <c r="H10668" s="164"/>
    </row>
    <row r="10669" spans="1:11" x14ac:dyDescent="0.25">
      <c r="A10669" s="163"/>
      <c r="B10669" s="106"/>
      <c r="C10669" s="77" t="s">
        <v>39</v>
      </c>
      <c r="D10669" s="73"/>
      <c r="E10669" s="73"/>
      <c r="F10669" s="74" t="s">
        <v>3</v>
      </c>
      <c r="G10669" s="427">
        <f>0.03*0.08*1.12</f>
        <v>2.6879999999999999E-3</v>
      </c>
      <c r="H10669" s="164"/>
    </row>
    <row r="10670" spans="1:11" ht="17.25" x14ac:dyDescent="0.25">
      <c r="A10670" s="163"/>
      <c r="B10670" s="106"/>
      <c r="C10670" s="77" t="s">
        <v>1055</v>
      </c>
      <c r="D10670" s="73"/>
      <c r="E10670" s="73"/>
      <c r="F10670" s="74" t="s">
        <v>596</v>
      </c>
      <c r="G10670" s="153">
        <f>1.5*G10669</f>
        <v>4.032E-3</v>
      </c>
      <c r="H10670" s="164"/>
    </row>
    <row r="10671" spans="1:11" x14ac:dyDescent="0.25">
      <c r="A10671" s="163"/>
      <c r="B10671" s="106"/>
      <c r="C10671" s="73"/>
      <c r="D10671" s="73"/>
      <c r="E10671" s="73"/>
      <c r="F10671" s="74"/>
      <c r="G10671" s="153"/>
      <c r="H10671" s="164"/>
    </row>
    <row r="10672" spans="1:11" x14ac:dyDescent="0.25">
      <c r="A10672" s="163"/>
      <c r="B10672" s="106"/>
      <c r="C10672" s="75" t="s">
        <v>4956</v>
      </c>
      <c r="D10672" s="73"/>
      <c r="E10672" s="73"/>
      <c r="F10672" s="74"/>
      <c r="G10672" s="153"/>
      <c r="H10672" s="164"/>
    </row>
    <row r="10673" spans="1:11" x14ac:dyDescent="0.25">
      <c r="A10673" s="163"/>
      <c r="B10673" s="106"/>
      <c r="C10673" s="100" t="s">
        <v>140</v>
      </c>
      <c r="D10673" s="73"/>
      <c r="E10673" s="73"/>
      <c r="F10673" s="74" t="s">
        <v>3</v>
      </c>
      <c r="G10673" s="153">
        <f>0.008*3.14*2*0.08*1.2</f>
        <v>4.8230399999999998E-3</v>
      </c>
      <c r="H10673" s="164"/>
    </row>
    <row r="10674" spans="1:11" ht="17.25" x14ac:dyDescent="0.25">
      <c r="A10674" s="163"/>
      <c r="B10674" s="106"/>
      <c r="C10674" s="100" t="s">
        <v>23</v>
      </c>
      <c r="D10674" s="73"/>
      <c r="E10674" s="73"/>
      <c r="F10674" s="74" t="s">
        <v>596</v>
      </c>
      <c r="G10674" s="153">
        <f>G10673*2</f>
        <v>9.6460799999999996E-3</v>
      </c>
      <c r="H10674" s="164"/>
    </row>
    <row r="10675" spans="1:11" x14ac:dyDescent="0.25">
      <c r="A10675" s="163"/>
      <c r="B10675" s="106"/>
      <c r="C10675" s="100" t="s">
        <v>142</v>
      </c>
      <c r="D10675" s="73"/>
      <c r="E10675" s="73"/>
      <c r="F10675" s="74" t="s">
        <v>3</v>
      </c>
      <c r="G10675" s="153">
        <f>G10673/4</f>
        <v>1.2057599999999999E-3</v>
      </c>
      <c r="H10675" s="164"/>
    </row>
    <row r="10676" spans="1:11" x14ac:dyDescent="0.25">
      <c r="A10676" s="163"/>
      <c r="B10676" s="106"/>
      <c r="C10676" s="186" t="s">
        <v>8</v>
      </c>
      <c r="D10676" s="73"/>
      <c r="E10676" s="73"/>
      <c r="F10676" s="74" t="s">
        <v>3</v>
      </c>
      <c r="G10676" s="153">
        <f>G10677*0.7</f>
        <v>1.1157299999999998E-2</v>
      </c>
      <c r="H10676" s="164"/>
    </row>
    <row r="10677" spans="1:11" x14ac:dyDescent="0.25">
      <c r="A10677" s="163"/>
      <c r="B10677" s="106"/>
      <c r="C10677" s="186" t="s">
        <v>152</v>
      </c>
      <c r="D10677" s="73"/>
      <c r="E10677" s="73"/>
      <c r="F10677" s="74" t="s">
        <v>3</v>
      </c>
      <c r="G10677" s="153">
        <f>0.63*0.011*2*1.15</f>
        <v>1.5938999999999998E-2</v>
      </c>
      <c r="H10677" s="164"/>
    </row>
    <row r="10678" spans="1:11" x14ac:dyDescent="0.25">
      <c r="A10678" s="163"/>
      <c r="B10678" s="106"/>
      <c r="C10678" s="186" t="s">
        <v>12</v>
      </c>
      <c r="D10678" s="73"/>
      <c r="E10678" s="73"/>
      <c r="F10678" s="74" t="s">
        <v>3</v>
      </c>
      <c r="G10678" s="153">
        <f>0.3*(G10677+G10676)</f>
        <v>8.128889999999998E-3</v>
      </c>
      <c r="H10678" s="164"/>
    </row>
    <row r="10679" spans="1:11" x14ac:dyDescent="0.25">
      <c r="A10679" s="163"/>
      <c r="B10679" s="106"/>
      <c r="C10679" s="73"/>
      <c r="D10679" s="75" t="s">
        <v>4958</v>
      </c>
      <c r="E10679" s="73"/>
      <c r="F10679" s="74"/>
      <c r="G10679" s="153"/>
      <c r="H10679" s="164"/>
    </row>
    <row r="10680" spans="1:11" x14ac:dyDescent="0.25">
      <c r="A10680" s="163"/>
      <c r="B10680" s="106"/>
      <c r="C10680" s="73"/>
      <c r="D10680" s="73" t="s">
        <v>4957</v>
      </c>
      <c r="E10680" s="73"/>
      <c r="F10680" s="74" t="s">
        <v>3</v>
      </c>
      <c r="G10680" s="153">
        <f>0.196*0.68+0.002</f>
        <v>0.13528000000000001</v>
      </c>
      <c r="H10680" s="164"/>
      <c r="I10680" t="s">
        <v>1233</v>
      </c>
    </row>
    <row r="10681" spans="1:11" x14ac:dyDescent="0.25">
      <c r="A10681" s="163"/>
      <c r="B10681" s="106"/>
      <c r="C10681" s="73"/>
      <c r="D10681" s="73"/>
      <c r="E10681" s="73"/>
      <c r="F10681" s="74"/>
      <c r="G10681" s="153"/>
      <c r="H10681" s="164"/>
    </row>
    <row r="10682" spans="1:11" x14ac:dyDescent="0.25">
      <c r="A10682" s="163"/>
      <c r="B10682" s="106"/>
      <c r="C10682" s="75" t="s">
        <v>4959</v>
      </c>
      <c r="D10682" s="73"/>
      <c r="E10682" s="73"/>
      <c r="F10682" s="74"/>
      <c r="G10682" s="153"/>
      <c r="H10682" s="164"/>
    </row>
    <row r="10683" spans="1:11" x14ac:dyDescent="0.25">
      <c r="A10683" s="163"/>
      <c r="B10683" s="106"/>
      <c r="C10683" s="73" t="s">
        <v>4960</v>
      </c>
      <c r="D10683" s="73"/>
      <c r="E10683" s="73"/>
      <c r="F10683" s="74" t="s">
        <v>3</v>
      </c>
      <c r="G10683" s="153">
        <f>0.125*0.1*3*8*1.1</f>
        <v>0.33000000000000007</v>
      </c>
      <c r="H10683" s="164"/>
    </row>
    <row r="10684" spans="1:11" x14ac:dyDescent="0.25">
      <c r="A10684" s="163"/>
      <c r="B10684" s="106"/>
      <c r="C10684" s="73"/>
      <c r="D10684" s="73"/>
      <c r="E10684" s="73"/>
      <c r="F10684" s="74"/>
      <c r="G10684" s="153"/>
      <c r="H10684" s="164"/>
    </row>
    <row r="10685" spans="1:11" x14ac:dyDescent="0.25">
      <c r="A10685" s="163"/>
      <c r="B10685" s="106"/>
      <c r="C10685" s="75" t="s">
        <v>4961</v>
      </c>
      <c r="D10685" s="73"/>
      <c r="E10685" s="73"/>
      <c r="F10685" s="74"/>
      <c r="G10685" s="153"/>
      <c r="H10685" s="164"/>
    </row>
    <row r="10686" spans="1:11" x14ac:dyDescent="0.25">
      <c r="A10686" s="163"/>
      <c r="B10686" s="106"/>
      <c r="C10686" s="100" t="s">
        <v>140</v>
      </c>
      <c r="D10686" s="73"/>
      <c r="E10686" s="73"/>
      <c r="F10686" s="74" t="s">
        <v>3</v>
      </c>
      <c r="G10686" s="153">
        <f>0.01*3.14*0.08*1.2</f>
        <v>3.0144000000000004E-3</v>
      </c>
      <c r="H10686" s="164"/>
    </row>
    <row r="10687" spans="1:11" ht="17.25" x14ac:dyDescent="0.25">
      <c r="A10687" s="163"/>
      <c r="B10687" s="106"/>
      <c r="C10687" s="100" t="s">
        <v>23</v>
      </c>
      <c r="D10687" s="73"/>
      <c r="E10687" s="73"/>
      <c r="F10687" s="74" t="s">
        <v>596</v>
      </c>
      <c r="G10687" s="153">
        <f>G10686*2</f>
        <v>6.0288000000000008E-3</v>
      </c>
      <c r="H10687" s="164"/>
      <c r="K10687" s="524"/>
    </row>
    <row r="10688" spans="1:11" x14ac:dyDescent="0.25">
      <c r="A10688" s="163"/>
      <c r="B10688" s="106"/>
      <c r="C10688" s="100" t="s">
        <v>142</v>
      </c>
      <c r="D10688" s="73"/>
      <c r="E10688" s="73"/>
      <c r="F10688" s="74" t="s">
        <v>3</v>
      </c>
      <c r="G10688" s="153">
        <f>G10686/4</f>
        <v>7.536000000000001E-4</v>
      </c>
      <c r="H10688" s="164"/>
      <c r="K10688" s="524"/>
    </row>
    <row r="10689" spans="1:11" x14ac:dyDescent="0.25">
      <c r="A10689" s="163"/>
      <c r="B10689" s="106"/>
      <c r="C10689" s="186" t="s">
        <v>649</v>
      </c>
      <c r="D10689" s="73"/>
      <c r="E10689" s="73"/>
      <c r="F10689" s="74" t="s">
        <v>3</v>
      </c>
      <c r="G10689" s="153">
        <f>0.93*0.011*2*1.2</f>
        <v>2.4551999999999997E-2</v>
      </c>
      <c r="H10689" s="164"/>
      <c r="K10689" s="524"/>
    </row>
    <row r="10690" spans="1:11" x14ac:dyDescent="0.25">
      <c r="A10690" s="163"/>
      <c r="B10690" s="106"/>
      <c r="C10690" s="186" t="s">
        <v>12</v>
      </c>
      <c r="D10690" s="73"/>
      <c r="E10690" s="73"/>
      <c r="F10690" s="74" t="s">
        <v>3</v>
      </c>
      <c r="G10690" s="153">
        <f>0.3*G10689</f>
        <v>7.3655999999999991E-3</v>
      </c>
      <c r="H10690" s="164"/>
      <c r="K10690" s="524"/>
    </row>
    <row r="10691" spans="1:11" x14ac:dyDescent="0.25">
      <c r="A10691" s="163"/>
      <c r="B10691" s="106"/>
      <c r="C10691" s="186" t="s">
        <v>4885</v>
      </c>
      <c r="D10691" s="73"/>
      <c r="E10691" s="73"/>
      <c r="F10691" s="74" t="s">
        <v>3</v>
      </c>
      <c r="G10691" s="153">
        <f>G10689*0.6</f>
        <v>1.4731199999999998E-2</v>
      </c>
      <c r="H10691" s="164"/>
      <c r="K10691" s="524"/>
    </row>
    <row r="10692" spans="1:11" x14ac:dyDescent="0.25">
      <c r="A10692" s="163"/>
      <c r="B10692" s="106"/>
      <c r="C10692" s="186" t="s">
        <v>661</v>
      </c>
      <c r="D10692" s="73"/>
      <c r="E10692" s="73"/>
      <c r="F10692" s="74" t="s">
        <v>3</v>
      </c>
      <c r="G10692" s="153">
        <f>0.3*G10691</f>
        <v>4.4193599999999989E-3</v>
      </c>
      <c r="H10692" s="164"/>
      <c r="K10692" s="524"/>
    </row>
    <row r="10693" spans="1:11" x14ac:dyDescent="0.25">
      <c r="A10693" s="163"/>
      <c r="B10693" s="106"/>
      <c r="C10693" s="73"/>
      <c r="D10693" s="75" t="s">
        <v>4962</v>
      </c>
      <c r="E10693" s="73"/>
      <c r="F10693" s="74"/>
      <c r="G10693" s="153"/>
      <c r="H10693" s="164"/>
      <c r="K10693" s="524"/>
    </row>
    <row r="10694" spans="1:11" x14ac:dyDescent="0.25">
      <c r="A10694" s="163"/>
      <c r="B10694" s="106"/>
      <c r="C10694" s="73"/>
      <c r="D10694" s="73" t="s">
        <v>4963</v>
      </c>
      <c r="E10694" s="73"/>
      <c r="F10694" s="74" t="s">
        <v>3</v>
      </c>
      <c r="G10694" s="153">
        <f>0.252*1</f>
        <v>0.252</v>
      </c>
      <c r="H10694" s="164"/>
      <c r="I10694" t="s">
        <v>4964</v>
      </c>
      <c r="K10694" s="524"/>
    </row>
    <row r="10695" spans="1:11" x14ac:dyDescent="0.25">
      <c r="A10695" s="163"/>
      <c r="B10695" s="106"/>
      <c r="C10695" s="73"/>
      <c r="D10695" s="73"/>
      <c r="E10695" s="73"/>
      <c r="F10695" s="74"/>
      <c r="G10695" s="153"/>
      <c r="H10695" s="164"/>
      <c r="K10695" s="524"/>
    </row>
    <row r="10696" spans="1:11" x14ac:dyDescent="0.25">
      <c r="A10696" s="163"/>
      <c r="B10696" s="106"/>
      <c r="C10696" s="75" t="s">
        <v>4965</v>
      </c>
      <c r="D10696" s="73"/>
      <c r="E10696" s="73"/>
      <c r="F10696" s="74"/>
      <c r="G10696" s="153"/>
      <c r="H10696" s="164"/>
      <c r="K10696" s="524"/>
    </row>
    <row r="10697" spans="1:11" x14ac:dyDescent="0.25">
      <c r="A10697" s="163"/>
      <c r="B10697" s="106"/>
      <c r="C10697" s="100" t="s">
        <v>140</v>
      </c>
      <c r="D10697" s="73"/>
      <c r="E10697" s="73"/>
      <c r="F10697" s="74" t="s">
        <v>3</v>
      </c>
      <c r="G10697" s="153">
        <f>0.01*3.14*6*0.08*1.2</f>
        <v>1.8086400000000002E-2</v>
      </c>
      <c r="H10697" s="164"/>
      <c r="K10697" s="524"/>
    </row>
    <row r="10698" spans="1:11" ht="17.25" x14ac:dyDescent="0.25">
      <c r="A10698" s="163"/>
      <c r="B10698" s="106"/>
      <c r="C10698" s="100" t="s">
        <v>23</v>
      </c>
      <c r="D10698" s="73"/>
      <c r="E10698" s="73"/>
      <c r="F10698" s="74" t="s">
        <v>596</v>
      </c>
      <c r="G10698" s="153">
        <f>G10697*2</f>
        <v>3.6172800000000005E-2</v>
      </c>
      <c r="H10698" s="164"/>
      <c r="K10698" s="525"/>
    </row>
    <row r="10699" spans="1:11" x14ac:dyDescent="0.25">
      <c r="A10699" s="163"/>
      <c r="B10699" s="106"/>
      <c r="C10699" s="100" t="s">
        <v>142</v>
      </c>
      <c r="D10699" s="73"/>
      <c r="E10699" s="73"/>
      <c r="F10699" s="74" t="s">
        <v>3</v>
      </c>
      <c r="G10699" s="153">
        <f>G10697/4</f>
        <v>4.5216000000000006E-3</v>
      </c>
      <c r="H10699" s="164"/>
      <c r="K10699" s="525"/>
    </row>
    <row r="10700" spans="1:11" x14ac:dyDescent="0.25">
      <c r="A10700" s="163"/>
      <c r="B10700" s="106"/>
      <c r="C10700" s="186" t="s">
        <v>649</v>
      </c>
      <c r="D10700" s="73"/>
      <c r="E10700" s="73"/>
      <c r="F10700" s="74" t="s">
        <v>3</v>
      </c>
      <c r="G10700" s="153">
        <f>1.415*0.011*2*1.12</f>
        <v>3.4865600000000004E-2</v>
      </c>
      <c r="H10700" s="164"/>
      <c r="K10700" s="525"/>
    </row>
    <row r="10701" spans="1:11" x14ac:dyDescent="0.25">
      <c r="A10701" s="163"/>
      <c r="B10701" s="106"/>
      <c r="C10701" s="186" t="s">
        <v>12</v>
      </c>
      <c r="D10701" s="73"/>
      <c r="E10701" s="73"/>
      <c r="F10701" s="74" t="s">
        <v>3</v>
      </c>
      <c r="G10701" s="153">
        <f>0.3*G10700</f>
        <v>1.0459680000000001E-2</v>
      </c>
      <c r="H10701" s="164"/>
      <c r="K10701" s="525"/>
    </row>
    <row r="10702" spans="1:11" x14ac:dyDescent="0.25">
      <c r="A10702" s="163"/>
      <c r="B10702" s="106"/>
      <c r="C10702" s="186" t="s">
        <v>4885</v>
      </c>
      <c r="D10702" s="73"/>
      <c r="E10702" s="73"/>
      <c r="F10702" s="74" t="s">
        <v>3</v>
      </c>
      <c r="G10702" s="153">
        <f>G10700*0.6</f>
        <v>2.0919360000000001E-2</v>
      </c>
      <c r="H10702" s="164"/>
      <c r="K10702" s="524"/>
    </row>
    <row r="10703" spans="1:11" x14ac:dyDescent="0.25">
      <c r="A10703" s="163"/>
      <c r="B10703" s="106"/>
      <c r="C10703" s="186" t="s">
        <v>661</v>
      </c>
      <c r="D10703" s="73"/>
      <c r="E10703" s="73"/>
      <c r="F10703" s="74" t="s">
        <v>3</v>
      </c>
      <c r="G10703" s="153">
        <f>0.3*G10702</f>
        <v>6.2758079999999999E-3</v>
      </c>
      <c r="H10703" s="164"/>
      <c r="K10703" s="524"/>
    </row>
    <row r="10704" spans="1:11" x14ac:dyDescent="0.25">
      <c r="A10704" s="163"/>
      <c r="B10704" s="106"/>
      <c r="C10704" s="186"/>
      <c r="D10704" s="75" t="s">
        <v>4966</v>
      </c>
      <c r="E10704" s="73"/>
      <c r="F10704" s="74"/>
      <c r="G10704" s="153"/>
      <c r="H10704" s="164"/>
      <c r="K10704" s="525"/>
    </row>
    <row r="10705" spans="1:11" x14ac:dyDescent="0.25">
      <c r="A10705" s="163"/>
      <c r="B10705" s="106"/>
      <c r="C10705" s="186"/>
      <c r="D10705" s="73" t="s">
        <v>4963</v>
      </c>
      <c r="E10705" s="73"/>
      <c r="F10705" s="74" t="s">
        <v>3</v>
      </c>
      <c r="G10705" s="153">
        <f>0.252* 0.77+0.001</f>
        <v>0.19504000000000002</v>
      </c>
      <c r="H10705" s="164"/>
      <c r="I10705" t="s">
        <v>4969</v>
      </c>
      <c r="K10705" s="525"/>
    </row>
    <row r="10706" spans="1:11" x14ac:dyDescent="0.25">
      <c r="A10706" s="163"/>
      <c r="B10706" s="106"/>
      <c r="C10706" s="186"/>
      <c r="D10706" s="75" t="s">
        <v>4967</v>
      </c>
      <c r="E10706" s="73"/>
      <c r="F10706" s="74"/>
      <c r="G10706" s="153"/>
      <c r="H10706" s="164"/>
      <c r="K10706" s="525"/>
    </row>
    <row r="10707" spans="1:11" x14ac:dyDescent="0.25">
      <c r="A10707" s="163"/>
      <c r="B10707" s="106"/>
      <c r="C10707" s="186"/>
      <c r="D10707" s="73" t="s">
        <v>4963</v>
      </c>
      <c r="E10707" s="73"/>
      <c r="F10707" s="74" t="s">
        <v>3</v>
      </c>
      <c r="G10707" s="153">
        <f>0.252* 0.358</f>
        <v>9.0215999999999991E-2</v>
      </c>
      <c r="H10707" s="164"/>
      <c r="I10707" t="s">
        <v>4970</v>
      </c>
      <c r="K10707" s="525"/>
    </row>
    <row r="10708" spans="1:11" x14ac:dyDescent="0.25">
      <c r="A10708" s="163"/>
      <c r="B10708" s="106"/>
      <c r="C10708" s="186"/>
      <c r="D10708" s="75" t="s">
        <v>4968</v>
      </c>
      <c r="E10708" s="73"/>
      <c r="F10708" s="74"/>
      <c r="G10708" s="153"/>
      <c r="H10708" s="164"/>
      <c r="K10708" s="525"/>
    </row>
    <row r="10709" spans="1:11" ht="15.75" thickBot="1" x14ac:dyDescent="0.3">
      <c r="A10709" s="67"/>
      <c r="B10709" s="86"/>
      <c r="C10709" s="197"/>
      <c r="D10709" s="68" t="s">
        <v>4963</v>
      </c>
      <c r="E10709" s="68"/>
      <c r="F10709" s="82" t="s">
        <v>3</v>
      </c>
      <c r="G10709" s="89">
        <f>0.252*0.395</f>
        <v>9.9540000000000003E-2</v>
      </c>
      <c r="H10709" s="165"/>
      <c r="I10709" t="s">
        <v>4971</v>
      </c>
      <c r="K10709" s="525"/>
    </row>
    <row r="10710" spans="1:11" x14ac:dyDescent="0.25">
      <c r="A10710" s="159"/>
      <c r="B10710" s="181"/>
      <c r="C10710" s="93"/>
      <c r="D10710" s="93"/>
      <c r="E10710" s="93"/>
      <c r="F10710" s="160"/>
      <c r="G10710" s="161"/>
      <c r="H10710" s="522" t="s">
        <v>5108</v>
      </c>
    </row>
    <row r="10711" spans="1:11" x14ac:dyDescent="0.25">
      <c r="A10711" s="163"/>
      <c r="B10711" s="106"/>
      <c r="C10711" s="73"/>
      <c r="D10711" s="73"/>
      <c r="E10711" s="73"/>
      <c r="F10711" s="74"/>
      <c r="G10711" s="153"/>
      <c r="H10711" s="164"/>
    </row>
    <row r="10712" spans="1:11" ht="18.75" x14ac:dyDescent="0.3">
      <c r="A10712" s="163"/>
      <c r="B10712" s="106"/>
      <c r="C10712" s="73"/>
      <c r="D10712" s="73"/>
      <c r="E10712" s="188" t="s">
        <v>5109</v>
      </c>
      <c r="F10712" s="74"/>
      <c r="G10712" s="153"/>
      <c r="H10712" s="164"/>
    </row>
    <row r="10713" spans="1:11" x14ac:dyDescent="0.25">
      <c r="A10713" s="163"/>
      <c r="B10713" s="106"/>
      <c r="C10713" s="73"/>
      <c r="D10713" s="73"/>
      <c r="E10713" s="73"/>
      <c r="F10713" s="74"/>
      <c r="G10713" s="153"/>
      <c r="H10713" s="164"/>
    </row>
    <row r="10714" spans="1:11" x14ac:dyDescent="0.25">
      <c r="A10714" s="163"/>
      <c r="B10714" s="106"/>
      <c r="C10714" s="79" t="s">
        <v>5110</v>
      </c>
      <c r="D10714" s="73"/>
      <c r="E10714" s="73"/>
      <c r="F10714" s="74"/>
      <c r="G10714" s="153"/>
      <c r="H10714" s="164"/>
    </row>
    <row r="10715" spans="1:11" x14ac:dyDescent="0.25">
      <c r="A10715" s="163"/>
      <c r="B10715" s="106"/>
      <c r="C10715" s="73" t="s">
        <v>143</v>
      </c>
      <c r="D10715" s="73"/>
      <c r="E10715" s="73"/>
      <c r="F10715" s="74" t="s">
        <v>3</v>
      </c>
      <c r="G10715" s="153">
        <f>1.3*0.011*1.55</f>
        <v>2.2165000000000001E-2</v>
      </c>
      <c r="H10715" s="164"/>
    </row>
    <row r="10716" spans="1:11" x14ac:dyDescent="0.25">
      <c r="A10716" s="163"/>
      <c r="B10716" s="106"/>
      <c r="C10716" s="73" t="s">
        <v>12</v>
      </c>
      <c r="D10716" s="73"/>
      <c r="E10716" s="73"/>
      <c r="F10716" s="74" t="s">
        <v>3</v>
      </c>
      <c r="G10716" s="153">
        <f>0.3*G10715</f>
        <v>6.6495E-3</v>
      </c>
      <c r="H10716" s="164"/>
    </row>
    <row r="10717" spans="1:11" x14ac:dyDescent="0.25">
      <c r="A10717" s="163"/>
      <c r="B10717" s="106"/>
      <c r="C10717" s="73" t="s">
        <v>1021</v>
      </c>
      <c r="D10717" s="73"/>
      <c r="E10717" s="73"/>
      <c r="F10717" s="74" t="s">
        <v>3</v>
      </c>
      <c r="G10717" s="153">
        <f>1.3*0.011*1.55</f>
        <v>2.2165000000000001E-2</v>
      </c>
      <c r="H10717" s="164"/>
    </row>
    <row r="10718" spans="1:11" x14ac:dyDescent="0.25">
      <c r="A10718" s="163"/>
      <c r="B10718" s="106"/>
      <c r="C10718" s="73" t="s">
        <v>661</v>
      </c>
      <c r="D10718" s="73"/>
      <c r="E10718" s="73"/>
      <c r="F10718" s="74" t="s">
        <v>3</v>
      </c>
      <c r="G10718" s="153">
        <f>G10717*0.3*0.66</f>
        <v>4.3886699999999999E-3</v>
      </c>
      <c r="H10718" s="164"/>
    </row>
    <row r="10719" spans="1:11" x14ac:dyDescent="0.25">
      <c r="A10719" s="163"/>
      <c r="B10719" s="106"/>
      <c r="C10719" s="73" t="s">
        <v>1993</v>
      </c>
      <c r="D10719" s="73"/>
      <c r="E10719" s="73"/>
      <c r="F10719" s="74" t="s">
        <v>3</v>
      </c>
      <c r="G10719" s="153">
        <f>G10718/2</f>
        <v>2.1943349999999999E-3</v>
      </c>
      <c r="H10719" s="164"/>
    </row>
    <row r="10720" spans="1:11" x14ac:dyDescent="0.25">
      <c r="A10720" s="163"/>
      <c r="B10720" s="106"/>
      <c r="C10720" s="73"/>
      <c r="D10720" s="75" t="s">
        <v>5111</v>
      </c>
      <c r="E10720" s="73"/>
      <c r="F10720" s="74"/>
      <c r="G10720" s="153"/>
      <c r="H10720" s="164"/>
    </row>
    <row r="10721" spans="1:11" x14ac:dyDescent="0.25">
      <c r="A10721" s="163"/>
      <c r="B10721" s="106"/>
      <c r="C10721" s="73"/>
      <c r="D10721" s="73" t="s">
        <v>5102</v>
      </c>
      <c r="E10721" s="73"/>
      <c r="F10721" s="74" t="s">
        <v>3</v>
      </c>
      <c r="G10721" s="153">
        <f>0.419*1.407</f>
        <v>0.58953299999999997</v>
      </c>
      <c r="H10721" s="164"/>
      <c r="I10721" t="s">
        <v>5112</v>
      </c>
    </row>
    <row r="10722" spans="1:11" x14ac:dyDescent="0.25">
      <c r="A10722" s="163"/>
      <c r="B10722" s="106"/>
      <c r="C10722" s="73"/>
      <c r="D10722" s="73"/>
      <c r="E10722" s="73"/>
      <c r="F10722" s="74"/>
      <c r="G10722" s="153"/>
      <c r="H10722" s="164"/>
    </row>
    <row r="10723" spans="1:11" x14ac:dyDescent="0.25">
      <c r="A10723" s="163"/>
      <c r="B10723" s="106"/>
      <c r="C10723" s="75" t="s">
        <v>5113</v>
      </c>
      <c r="D10723" s="73"/>
      <c r="E10723" s="73"/>
      <c r="F10723" s="74"/>
      <c r="G10723" s="153"/>
      <c r="H10723" s="164"/>
    </row>
    <row r="10724" spans="1:11" x14ac:dyDescent="0.25">
      <c r="A10724" s="163"/>
      <c r="B10724" s="106"/>
      <c r="C10724" s="73" t="s">
        <v>5114</v>
      </c>
      <c r="D10724" s="73"/>
      <c r="E10724" s="73"/>
      <c r="F10724" s="74" t="s">
        <v>195</v>
      </c>
      <c r="G10724" s="153">
        <v>1</v>
      </c>
      <c r="H10724" s="164"/>
      <c r="I10724" t="s">
        <v>5115</v>
      </c>
    </row>
    <row r="10725" spans="1:11" ht="15.75" thickBot="1" x14ac:dyDescent="0.3">
      <c r="A10725" s="67"/>
      <c r="B10725" s="86"/>
      <c r="C10725" s="68"/>
      <c r="D10725" s="68"/>
      <c r="E10725" s="68"/>
      <c r="F10725" s="82"/>
      <c r="G10725" s="89"/>
      <c r="H10725" s="165"/>
    </row>
    <row r="10726" spans="1:11" x14ac:dyDescent="0.25">
      <c r="H10726" s="522" t="s">
        <v>9924</v>
      </c>
    </row>
    <row r="10727" spans="1:11" ht="18.75" x14ac:dyDescent="0.3">
      <c r="E10727" s="110" t="s">
        <v>9746</v>
      </c>
      <c r="H10727" s="538"/>
    </row>
    <row r="10728" spans="1:11" ht="15.75" x14ac:dyDescent="0.25">
      <c r="E10728" s="306"/>
      <c r="F10728" s="750"/>
      <c r="H10728" s="538"/>
      <c r="K10728" s="750"/>
    </row>
    <row r="10729" spans="1:11" ht="15.75" x14ac:dyDescent="0.25">
      <c r="E10729" s="306"/>
      <c r="F10729" s="759"/>
      <c r="H10729" s="538"/>
      <c r="K10729" s="759"/>
    </row>
    <row r="10730" spans="1:11" x14ac:dyDescent="0.25">
      <c r="C10730" s="3" t="s">
        <v>9917</v>
      </c>
      <c r="H10730" s="538"/>
      <c r="K10730" s="759"/>
    </row>
    <row r="10731" spans="1:11" x14ac:dyDescent="0.25">
      <c r="C10731" t="s">
        <v>72</v>
      </c>
      <c r="F10731" s="431" t="s">
        <v>3</v>
      </c>
      <c r="G10731" s="10">
        <f>0.22*0.22*2*0.15*2*1.1</f>
        <v>3.1944E-2</v>
      </c>
      <c r="H10731" s="538"/>
      <c r="K10731" s="759"/>
    </row>
    <row r="10732" spans="1:11" x14ac:dyDescent="0.25">
      <c r="C10732" t="s">
        <v>9918</v>
      </c>
      <c r="F10732" s="431" t="s">
        <v>3</v>
      </c>
      <c r="G10732" s="10">
        <f>0.3*G10731</f>
        <v>9.5832000000000001E-3</v>
      </c>
      <c r="H10732" s="538"/>
      <c r="K10732" s="759"/>
    </row>
    <row r="10733" spans="1:11" x14ac:dyDescent="0.25">
      <c r="D10733" s="3" t="s">
        <v>9919</v>
      </c>
      <c r="H10733" s="538"/>
      <c r="K10733" s="759"/>
    </row>
    <row r="10734" spans="1:11" x14ac:dyDescent="0.25">
      <c r="D10734" t="s">
        <v>9920</v>
      </c>
      <c r="F10734" s="431" t="s">
        <v>3</v>
      </c>
      <c r="G10734" s="10">
        <f>0.225*0.225*1*8*1.135</f>
        <v>0.45967500000000006</v>
      </c>
      <c r="H10734" s="538"/>
      <c r="K10734" s="759"/>
    </row>
    <row r="10735" spans="1:11" x14ac:dyDescent="0.25">
      <c r="D10735" s="3" t="s">
        <v>9921</v>
      </c>
      <c r="H10735" s="538"/>
      <c r="K10735" s="759"/>
    </row>
    <row r="10736" spans="1:11" x14ac:dyDescent="0.25">
      <c r="D10736" t="s">
        <v>9923</v>
      </c>
      <c r="F10736" s="431" t="s">
        <v>3</v>
      </c>
      <c r="G10736" s="10">
        <f>0.033*0.03*2*8*1.12</f>
        <v>1.7740800000000001E-2</v>
      </c>
      <c r="H10736" s="538"/>
      <c r="K10736" s="759"/>
    </row>
    <row r="10737" spans="3:11" x14ac:dyDescent="0.25">
      <c r="D10737" s="3" t="s">
        <v>9922</v>
      </c>
      <c r="H10737" s="538"/>
      <c r="K10737" s="759"/>
    </row>
    <row r="10738" spans="3:11" x14ac:dyDescent="0.25">
      <c r="D10738" t="s">
        <v>9923</v>
      </c>
      <c r="F10738" s="431" t="s">
        <v>3</v>
      </c>
      <c r="G10738" s="10">
        <f>0.033*0.03*2*8*1.12</f>
        <v>1.7740800000000001E-2</v>
      </c>
      <c r="H10738" s="538"/>
    </row>
    <row r="10739" spans="3:11" x14ac:dyDescent="0.25">
      <c r="F10739" s="759"/>
      <c r="H10739" s="538"/>
      <c r="K10739" s="759"/>
    </row>
    <row r="10740" spans="3:11" x14ac:dyDescent="0.25">
      <c r="C10740" s="3" t="s">
        <v>9711</v>
      </c>
      <c r="H10740" s="538"/>
    </row>
    <row r="10741" spans="3:11" x14ac:dyDescent="0.25">
      <c r="C10741" s="100" t="s">
        <v>140</v>
      </c>
      <c r="D10741" s="73"/>
      <c r="E10741" s="73"/>
      <c r="F10741" s="74" t="s">
        <v>3</v>
      </c>
      <c r="G10741" s="153">
        <f>0.01*3.14*2*0.08*1.2</f>
        <v>6.0288000000000008E-3</v>
      </c>
      <c r="H10741" s="538"/>
    </row>
    <row r="10742" spans="3:11" ht="17.25" x14ac:dyDescent="0.25">
      <c r="C10742" s="100" t="s">
        <v>23</v>
      </c>
      <c r="D10742" s="73"/>
      <c r="E10742" s="73"/>
      <c r="F10742" s="74" t="s">
        <v>596</v>
      </c>
      <c r="G10742" s="153">
        <f>G10741*2</f>
        <v>1.2057600000000002E-2</v>
      </c>
      <c r="H10742" s="538"/>
    </row>
    <row r="10743" spans="3:11" x14ac:dyDescent="0.25">
      <c r="C10743" s="100" t="s">
        <v>142</v>
      </c>
      <c r="D10743" s="73"/>
      <c r="E10743" s="73"/>
      <c r="F10743" s="74" t="s">
        <v>3</v>
      </c>
      <c r="G10743" s="153">
        <f>G10741/4</f>
        <v>1.5072000000000002E-3</v>
      </c>
      <c r="H10743" s="538"/>
    </row>
    <row r="10744" spans="3:11" x14ac:dyDescent="0.25">
      <c r="C10744" s="186" t="s">
        <v>401</v>
      </c>
      <c r="F10744" s="431" t="s">
        <v>3</v>
      </c>
      <c r="G10744" s="10">
        <f>1*0.011*2*1.3+0.001</f>
        <v>2.9600000000000001E-2</v>
      </c>
      <c r="H10744" s="538"/>
    </row>
    <row r="10745" spans="3:11" x14ac:dyDescent="0.25">
      <c r="C10745" s="186" t="s">
        <v>8</v>
      </c>
      <c r="F10745" s="431" t="s">
        <v>3</v>
      </c>
      <c r="G10745" s="10">
        <f>G10744*0.7-0.001</f>
        <v>1.9719999999999998E-2</v>
      </c>
      <c r="H10745" s="538"/>
    </row>
    <row r="10746" spans="3:11" x14ac:dyDescent="0.25">
      <c r="C10746" s="186" t="s">
        <v>3797</v>
      </c>
      <c r="F10746" s="431" t="s">
        <v>3</v>
      </c>
      <c r="G10746" s="10">
        <f>G10745</f>
        <v>1.9719999999999998E-2</v>
      </c>
      <c r="H10746" s="538"/>
    </row>
    <row r="10747" spans="3:11" x14ac:dyDescent="0.25">
      <c r="C10747" s="186" t="s">
        <v>12</v>
      </c>
      <c r="F10747" s="431" t="s">
        <v>3</v>
      </c>
      <c r="G10747" s="10">
        <f>0.3*(G10746+G10745+G10744)</f>
        <v>2.0711999999999998E-2</v>
      </c>
      <c r="H10747" s="538"/>
    </row>
    <row r="10748" spans="3:11" x14ac:dyDescent="0.25">
      <c r="D10748" s="3" t="s">
        <v>9713</v>
      </c>
      <c r="H10748" s="538"/>
    </row>
    <row r="10749" spans="3:11" x14ac:dyDescent="0.25">
      <c r="D10749" t="s">
        <v>9714</v>
      </c>
      <c r="F10749" s="431" t="s">
        <v>3</v>
      </c>
      <c r="G10749" s="10">
        <f>1.2*0.222</f>
        <v>0.26639999999999997</v>
      </c>
      <c r="H10749" s="538"/>
      <c r="I10749" t="s">
        <v>9712</v>
      </c>
    </row>
    <row r="10750" spans="3:11" x14ac:dyDescent="0.25">
      <c r="H10750" s="538"/>
    </row>
    <row r="10751" spans="3:11" x14ac:dyDescent="0.25">
      <c r="C10751" s="3" t="s">
        <v>9717</v>
      </c>
      <c r="H10751" s="538"/>
    </row>
    <row r="10752" spans="3:11" x14ac:dyDescent="0.25">
      <c r="C10752" s="25" t="s">
        <v>9720</v>
      </c>
      <c r="F10752" s="748"/>
      <c r="H10752" s="538"/>
      <c r="K10752" s="748"/>
    </row>
    <row r="10753" spans="3:11" x14ac:dyDescent="0.25">
      <c r="C10753" s="100" t="s">
        <v>140</v>
      </c>
      <c r="D10753" s="73"/>
      <c r="E10753" s="73"/>
      <c r="F10753" s="74" t="s">
        <v>3</v>
      </c>
      <c r="G10753" s="153">
        <f>0.005*3.14*10*0.08*1.2</f>
        <v>1.5072000000000002E-2</v>
      </c>
      <c r="H10753" s="538"/>
    </row>
    <row r="10754" spans="3:11" ht="17.25" x14ac:dyDescent="0.25">
      <c r="C10754" s="100" t="s">
        <v>23</v>
      </c>
      <c r="D10754" s="73"/>
      <c r="E10754" s="73"/>
      <c r="F10754" s="74" t="s">
        <v>596</v>
      </c>
      <c r="G10754" s="153">
        <f>G10753*2</f>
        <v>3.0144000000000004E-2</v>
      </c>
      <c r="H10754" s="538"/>
    </row>
    <row r="10755" spans="3:11" x14ac:dyDescent="0.25">
      <c r="C10755" s="100" t="s">
        <v>142</v>
      </c>
      <c r="D10755" s="73"/>
      <c r="E10755" s="73"/>
      <c r="F10755" s="74" t="s">
        <v>3</v>
      </c>
      <c r="G10755" s="153">
        <f>G10753/4</f>
        <v>3.7680000000000005E-3</v>
      </c>
      <c r="H10755" s="538"/>
    </row>
    <row r="10756" spans="3:11" x14ac:dyDescent="0.25">
      <c r="D10756" s="3" t="s">
        <v>9718</v>
      </c>
      <c r="H10756" s="538"/>
    </row>
    <row r="10757" spans="3:11" x14ac:dyDescent="0.25">
      <c r="D10757" t="s">
        <v>9722</v>
      </c>
      <c r="G10757" s="10">
        <f>0.2*0.075*1*8*1.12+0.001</f>
        <v>0.13540000000000002</v>
      </c>
      <c r="H10757" s="538"/>
    </row>
    <row r="10758" spans="3:11" x14ac:dyDescent="0.25">
      <c r="H10758" s="538"/>
    </row>
    <row r="10759" spans="3:11" x14ac:dyDescent="0.25">
      <c r="C10759" s="3" t="s">
        <v>9719</v>
      </c>
      <c r="H10759" s="538"/>
    </row>
    <row r="10760" spans="3:11" x14ac:dyDescent="0.25">
      <c r="C10760" s="100" t="s">
        <v>140</v>
      </c>
      <c r="D10760" s="73"/>
      <c r="E10760" s="73"/>
      <c r="F10760" s="74" t="s">
        <v>3</v>
      </c>
      <c r="G10760" s="153">
        <f>0.005*3.14*10*0.08*1.2</f>
        <v>1.5072000000000002E-2</v>
      </c>
      <c r="H10760" s="538"/>
    </row>
    <row r="10761" spans="3:11" ht="17.25" x14ac:dyDescent="0.25">
      <c r="C10761" s="100" t="s">
        <v>23</v>
      </c>
      <c r="D10761" s="73"/>
      <c r="E10761" s="73"/>
      <c r="F10761" s="74" t="s">
        <v>596</v>
      </c>
      <c r="G10761" s="153">
        <f>G10760*2</f>
        <v>3.0144000000000004E-2</v>
      </c>
      <c r="H10761" s="538"/>
    </row>
    <row r="10762" spans="3:11" x14ac:dyDescent="0.25">
      <c r="C10762" s="100" t="s">
        <v>142</v>
      </c>
      <c r="D10762" s="73"/>
      <c r="E10762" s="73"/>
      <c r="F10762" s="74" t="s">
        <v>3</v>
      </c>
      <c r="G10762" s="153">
        <f>G10760/4</f>
        <v>3.7680000000000005E-3</v>
      </c>
      <c r="H10762" s="538"/>
    </row>
    <row r="10763" spans="3:11" x14ac:dyDescent="0.25">
      <c r="C10763" s="186" t="s">
        <v>401</v>
      </c>
      <c r="F10763" s="748" t="s">
        <v>3</v>
      </c>
      <c r="G10763" s="10">
        <f>0.2*0.011*2*1.3</f>
        <v>5.7200000000000003E-3</v>
      </c>
      <c r="H10763" s="538"/>
      <c r="K10763" s="748"/>
    </row>
    <row r="10764" spans="3:11" x14ac:dyDescent="0.25">
      <c r="C10764" s="186" t="s">
        <v>8</v>
      </c>
      <c r="F10764" s="748" t="s">
        <v>3</v>
      </c>
      <c r="G10764" s="10">
        <f>G10763*0.7-0.001</f>
        <v>3.0039999999999997E-3</v>
      </c>
      <c r="H10764" s="538"/>
      <c r="K10764" s="748"/>
    </row>
    <row r="10765" spans="3:11" x14ac:dyDescent="0.25">
      <c r="C10765" s="186" t="s">
        <v>3797</v>
      </c>
      <c r="F10765" s="748" t="s">
        <v>3</v>
      </c>
      <c r="G10765" s="10">
        <f>G10764</f>
        <v>3.0039999999999997E-3</v>
      </c>
      <c r="H10765" s="538"/>
      <c r="K10765" s="748"/>
    </row>
    <row r="10766" spans="3:11" x14ac:dyDescent="0.25">
      <c r="C10766" s="186" t="s">
        <v>12</v>
      </c>
      <c r="F10766" s="748" t="s">
        <v>3</v>
      </c>
      <c r="G10766" s="10">
        <f>0.3*(G10765+G10764+G10763)</f>
        <v>3.5183999999999997E-3</v>
      </c>
      <c r="H10766" s="538"/>
      <c r="K10766" s="748"/>
    </row>
    <row r="10767" spans="3:11" x14ac:dyDescent="0.25">
      <c r="D10767" s="3" t="s">
        <v>9721</v>
      </c>
      <c r="H10767" s="538"/>
    </row>
    <row r="10768" spans="3:11" x14ac:dyDescent="0.25">
      <c r="D10768" t="s">
        <v>9714</v>
      </c>
      <c r="F10768" s="431" t="s">
        <v>3</v>
      </c>
      <c r="G10768" s="10">
        <f>0.222*0.225</f>
        <v>4.9950000000000001E-2</v>
      </c>
      <c r="H10768" s="538"/>
      <c r="I10768" t="s">
        <v>9723</v>
      </c>
    </row>
    <row r="10769" spans="3:15" x14ac:dyDescent="0.25">
      <c r="H10769" s="538"/>
    </row>
    <row r="10770" spans="3:15" x14ac:dyDescent="0.25">
      <c r="C10770" s="3" t="s">
        <v>9745</v>
      </c>
      <c r="H10770" s="538"/>
    </row>
    <row r="10771" spans="3:15" x14ac:dyDescent="0.25">
      <c r="C10771" s="73" t="s">
        <v>595</v>
      </c>
      <c r="D10771" s="100"/>
      <c r="F10771" s="74" t="s">
        <v>3</v>
      </c>
      <c r="G10771" s="427">
        <v>0.21</v>
      </c>
      <c r="H10771" s="538"/>
    </row>
    <row r="10772" spans="3:15" ht="17.25" x14ac:dyDescent="0.25">
      <c r="C10772" s="73" t="s">
        <v>168</v>
      </c>
      <c r="D10772" s="100"/>
      <c r="F10772" s="74" t="s">
        <v>596</v>
      </c>
      <c r="G10772" s="153">
        <f>1.08*G10771</f>
        <v>0.2268</v>
      </c>
      <c r="H10772" s="538"/>
    </row>
    <row r="10773" spans="3:15" x14ac:dyDescent="0.25">
      <c r="C10773" s="77" t="s">
        <v>114</v>
      </c>
      <c r="F10773" s="431" t="s">
        <v>3</v>
      </c>
      <c r="G10773" s="10">
        <v>0.12</v>
      </c>
      <c r="H10773" s="538"/>
    </row>
    <row r="10774" spans="3:15" x14ac:dyDescent="0.25">
      <c r="C10774" s="77" t="s">
        <v>163</v>
      </c>
      <c r="F10774" s="431" t="s">
        <v>3</v>
      </c>
      <c r="G10774" s="10">
        <v>0.12</v>
      </c>
      <c r="H10774" s="538"/>
    </row>
    <row r="10775" spans="3:15" x14ac:dyDescent="0.25">
      <c r="C10775" s="77" t="s">
        <v>164</v>
      </c>
      <c r="F10775" s="431" t="s">
        <v>3</v>
      </c>
      <c r="G10775" s="10">
        <f>0.3*(G10774+G10773)</f>
        <v>7.1999999999999995E-2</v>
      </c>
      <c r="H10775" s="538"/>
    </row>
    <row r="10776" spans="3:15" x14ac:dyDescent="0.25">
      <c r="C10776" s="77" t="s">
        <v>72</v>
      </c>
      <c r="F10776" s="431" t="s">
        <v>3</v>
      </c>
      <c r="G10776" s="10">
        <v>0.2</v>
      </c>
      <c r="H10776" s="538"/>
    </row>
    <row r="10777" spans="3:15" x14ac:dyDescent="0.25">
      <c r="C10777" s="77" t="s">
        <v>11</v>
      </c>
      <c r="F10777" s="431" t="s">
        <v>3</v>
      </c>
      <c r="G10777" s="10">
        <f>0.3*G10776</f>
        <v>0.06</v>
      </c>
      <c r="H10777" s="538"/>
    </row>
    <row r="10778" spans="3:15" x14ac:dyDescent="0.25">
      <c r="C10778" s="77"/>
      <c r="F10778" s="759"/>
      <c r="H10778" s="538"/>
      <c r="K10778" s="759"/>
    </row>
    <row r="10779" spans="3:15" x14ac:dyDescent="0.25">
      <c r="C10779" s="78" t="s">
        <v>9766</v>
      </c>
      <c r="H10779" s="538"/>
    </row>
    <row r="10780" spans="3:15" x14ac:dyDescent="0.25">
      <c r="C10780" s="77" t="s">
        <v>9767</v>
      </c>
      <c r="F10780" s="431" t="s">
        <v>3</v>
      </c>
      <c r="G10780" s="10">
        <f>0.4*0.03*1.5*8*1.145</f>
        <v>0.16488000000000003</v>
      </c>
      <c r="H10780" s="538"/>
    </row>
    <row r="10781" spans="3:15" x14ac:dyDescent="0.25">
      <c r="H10781" s="538"/>
      <c r="L10781" s="11"/>
      <c r="M10781" s="11"/>
      <c r="N10781" s="11"/>
      <c r="O10781" s="11"/>
    </row>
    <row r="10782" spans="3:15" x14ac:dyDescent="0.25">
      <c r="C10782" s="3" t="s">
        <v>9768</v>
      </c>
      <c r="H10782" s="538"/>
    </row>
    <row r="10783" spans="3:15" x14ac:dyDescent="0.25">
      <c r="C10783" t="s">
        <v>9770</v>
      </c>
      <c r="G10783" s="10">
        <f>1.13*1.15</f>
        <v>1.2994999999999999</v>
      </c>
      <c r="H10783" s="538"/>
      <c r="I10783" t="s">
        <v>9769</v>
      </c>
    </row>
    <row r="10784" spans="3:15" x14ac:dyDescent="0.25">
      <c r="H10784" s="538"/>
    </row>
    <row r="10785" spans="3:11" x14ac:dyDescent="0.25">
      <c r="C10785" s="3" t="s">
        <v>9873</v>
      </c>
      <c r="G10785" s="10" t="s">
        <v>4298</v>
      </c>
      <c r="H10785" s="538"/>
    </row>
    <row r="10786" spans="3:11" x14ac:dyDescent="0.25">
      <c r="C10786" s="100" t="s">
        <v>140</v>
      </c>
      <c r="D10786" s="73"/>
      <c r="E10786" s="73"/>
      <c r="F10786" s="74" t="s">
        <v>3</v>
      </c>
      <c r="G10786" s="153">
        <f>0.01*3.14*3*0.08*1.2</f>
        <v>9.0432000000000012E-3</v>
      </c>
      <c r="H10786" s="538"/>
    </row>
    <row r="10787" spans="3:11" ht="17.25" x14ac:dyDescent="0.25">
      <c r="C10787" s="100" t="s">
        <v>23</v>
      </c>
      <c r="D10787" s="73"/>
      <c r="E10787" s="73"/>
      <c r="F10787" s="74" t="s">
        <v>596</v>
      </c>
      <c r="G10787" s="153">
        <f>G10786*2</f>
        <v>1.8086400000000002E-2</v>
      </c>
      <c r="H10787" s="538"/>
    </row>
    <row r="10788" spans="3:11" x14ac:dyDescent="0.25">
      <c r="C10788" s="100" t="s">
        <v>142</v>
      </c>
      <c r="D10788" s="73"/>
      <c r="E10788" s="73"/>
      <c r="F10788" s="74" t="s">
        <v>3</v>
      </c>
      <c r="G10788" s="153">
        <f>G10786/4</f>
        <v>2.2608000000000003E-3</v>
      </c>
      <c r="H10788" s="538"/>
    </row>
    <row r="10789" spans="3:11" x14ac:dyDescent="0.25">
      <c r="C10789" s="186" t="s">
        <v>114</v>
      </c>
      <c r="F10789" s="431" t="s">
        <v>3</v>
      </c>
      <c r="G10789" s="10">
        <f>G10791*0.6</f>
        <v>1.5179999999999997E-2</v>
      </c>
      <c r="H10789" s="538"/>
    </row>
    <row r="10790" spans="3:11" x14ac:dyDescent="0.25">
      <c r="C10790" s="186" t="s">
        <v>661</v>
      </c>
      <c r="F10790" s="431" t="s">
        <v>3</v>
      </c>
      <c r="G10790" s="10">
        <f>0.3*G10789</f>
        <v>4.553999999999999E-3</v>
      </c>
      <c r="H10790" s="538"/>
    </row>
    <row r="10791" spans="3:11" x14ac:dyDescent="0.25">
      <c r="C10791" s="186" t="s">
        <v>649</v>
      </c>
      <c r="F10791" s="431" t="s">
        <v>3</v>
      </c>
      <c r="G10791" s="10">
        <f>1*0.011*2*1.15</f>
        <v>2.5299999999999996E-2</v>
      </c>
      <c r="H10791" s="538"/>
    </row>
    <row r="10792" spans="3:11" x14ac:dyDescent="0.25">
      <c r="C10792" s="186" t="s">
        <v>12</v>
      </c>
      <c r="F10792" s="431" t="s">
        <v>3</v>
      </c>
      <c r="G10792" s="10">
        <f>0.3*G10791</f>
        <v>7.5899999999999987E-3</v>
      </c>
      <c r="H10792" s="538"/>
    </row>
    <row r="10793" spans="3:11" x14ac:dyDescent="0.25">
      <c r="D10793" s="3" t="s">
        <v>9874</v>
      </c>
      <c r="H10793" s="538"/>
    </row>
    <row r="10794" spans="3:11" x14ac:dyDescent="0.25">
      <c r="D10794" t="s">
        <v>9876</v>
      </c>
      <c r="F10794" s="431" t="s">
        <v>3</v>
      </c>
      <c r="G10794" s="10">
        <f>0.252*0.4</f>
        <v>0.1008</v>
      </c>
      <c r="H10794" s="538"/>
      <c r="I10794" t="s">
        <v>8690</v>
      </c>
    </row>
    <row r="10795" spans="3:11" x14ac:dyDescent="0.25">
      <c r="D10795" s="3" t="s">
        <v>9875</v>
      </c>
      <c r="H10795" s="538"/>
    </row>
    <row r="10796" spans="3:11" x14ac:dyDescent="0.25">
      <c r="D10796" t="s">
        <v>9876</v>
      </c>
      <c r="F10796" s="431" t="s">
        <v>3</v>
      </c>
      <c r="G10796" s="10">
        <f>0.252*0.65+0.001</f>
        <v>0.1648</v>
      </c>
      <c r="H10796" s="538"/>
      <c r="I10796" t="s">
        <v>2473</v>
      </c>
    </row>
    <row r="10797" spans="3:11" x14ac:dyDescent="0.25">
      <c r="H10797" s="538"/>
    </row>
    <row r="10798" spans="3:11" x14ac:dyDescent="0.25">
      <c r="C10798" s="3" t="s">
        <v>9877</v>
      </c>
      <c r="G10798" s="6"/>
      <c r="H10798" s="538"/>
    </row>
    <row r="10799" spans="3:11" x14ac:dyDescent="0.25">
      <c r="C10799" t="s">
        <v>9883</v>
      </c>
      <c r="F10799" s="753" t="s">
        <v>3</v>
      </c>
      <c r="G10799" s="10">
        <v>0.15</v>
      </c>
      <c r="H10799" s="538"/>
      <c r="K10799" s="753"/>
    </row>
    <row r="10800" spans="3:11" x14ac:dyDescent="0.25">
      <c r="F10800" s="753"/>
      <c r="H10800" s="538"/>
      <c r="K10800" s="753"/>
    </row>
    <row r="10801" spans="3:11" x14ac:dyDescent="0.25">
      <c r="C10801" s="3" t="s">
        <v>9878</v>
      </c>
      <c r="F10801" s="753"/>
      <c r="H10801" s="538"/>
    </row>
    <row r="10802" spans="3:11" x14ac:dyDescent="0.25">
      <c r="C10802" t="s">
        <v>9883</v>
      </c>
      <c r="F10802" s="753" t="s">
        <v>3</v>
      </c>
      <c r="G10802" s="10">
        <v>0.2</v>
      </c>
      <c r="H10802" s="538"/>
      <c r="K10802" s="753"/>
    </row>
    <row r="10803" spans="3:11" x14ac:dyDescent="0.25">
      <c r="F10803" s="753"/>
      <c r="H10803" s="538"/>
      <c r="K10803" s="753"/>
    </row>
    <row r="10804" spans="3:11" x14ac:dyDescent="0.25">
      <c r="C10804" s="3" t="s">
        <v>9879</v>
      </c>
      <c r="H10804" s="538"/>
    </row>
    <row r="10805" spans="3:11" x14ac:dyDescent="0.25">
      <c r="C10805" t="s">
        <v>9883</v>
      </c>
      <c r="F10805" s="753" t="s">
        <v>3</v>
      </c>
      <c r="G10805" s="10">
        <v>0.2</v>
      </c>
      <c r="H10805" s="538"/>
    </row>
    <row r="10806" spans="3:11" x14ac:dyDescent="0.25">
      <c r="F10806" s="753"/>
      <c r="H10806" s="538"/>
      <c r="K10806" s="753"/>
    </row>
    <row r="10807" spans="3:11" x14ac:dyDescent="0.25">
      <c r="C10807" s="3" t="s">
        <v>9880</v>
      </c>
      <c r="H10807" s="538"/>
    </row>
    <row r="10808" spans="3:11" x14ac:dyDescent="0.25">
      <c r="C10808" t="s">
        <v>9883</v>
      </c>
      <c r="F10808" s="753" t="s">
        <v>3</v>
      </c>
      <c r="G10808" s="10">
        <v>0.22</v>
      </c>
      <c r="H10808" s="538"/>
      <c r="K10808" s="753"/>
    </row>
    <row r="10809" spans="3:11" x14ac:dyDescent="0.25">
      <c r="H10809" s="538"/>
      <c r="K10809" s="753"/>
    </row>
    <row r="10810" spans="3:11" x14ac:dyDescent="0.25">
      <c r="C10810" s="3" t="s">
        <v>9881</v>
      </c>
      <c r="F10810" s="753"/>
      <c r="H10810" s="538"/>
    </row>
    <row r="10811" spans="3:11" x14ac:dyDescent="0.25">
      <c r="C10811" t="s">
        <v>9883</v>
      </c>
      <c r="F10811" s="753" t="s">
        <v>3</v>
      </c>
      <c r="G10811" s="10">
        <v>0.22</v>
      </c>
      <c r="H10811" s="538"/>
      <c r="K10811" s="753"/>
    </row>
    <row r="10812" spans="3:11" x14ac:dyDescent="0.25">
      <c r="F10812" s="753"/>
      <c r="H10812" s="538"/>
      <c r="K10812" s="753"/>
    </row>
    <row r="10813" spans="3:11" x14ac:dyDescent="0.25">
      <c r="C10813" s="3" t="s">
        <v>9882</v>
      </c>
      <c r="F10813" s="753"/>
      <c r="H10813" s="538"/>
    </row>
    <row r="10814" spans="3:11" x14ac:dyDescent="0.25">
      <c r="C10814" t="s">
        <v>9883</v>
      </c>
      <c r="F10814" s="753" t="s">
        <v>3</v>
      </c>
      <c r="G10814" s="10">
        <v>0.22</v>
      </c>
      <c r="H10814" s="538"/>
    </row>
    <row r="10815" spans="3:11" x14ac:dyDescent="0.25">
      <c r="H10815" s="538"/>
    </row>
    <row r="10816" spans="3:11" x14ac:dyDescent="0.25">
      <c r="C10816" s="3" t="s">
        <v>9888</v>
      </c>
      <c r="H10816" s="538"/>
    </row>
    <row r="10817" spans="1:11" x14ac:dyDescent="0.25">
      <c r="C10817" s="25" t="s">
        <v>115</v>
      </c>
      <c r="F10817" s="754" t="s">
        <v>3</v>
      </c>
      <c r="G10817" s="10">
        <f>0.5*0.2*2*0.15*2*1.1-0.001</f>
        <v>6.5000000000000002E-2</v>
      </c>
      <c r="H10817" s="538"/>
      <c r="K10817" s="754"/>
    </row>
    <row r="10818" spans="1:11" x14ac:dyDescent="0.25">
      <c r="C10818" s="25" t="s">
        <v>4872</v>
      </c>
      <c r="F10818" s="754" t="s">
        <v>3</v>
      </c>
      <c r="G10818" s="10">
        <f>G10817*0.7</f>
        <v>4.5499999999999999E-2</v>
      </c>
      <c r="H10818" s="538"/>
      <c r="K10818" s="754"/>
    </row>
    <row r="10819" spans="1:11" x14ac:dyDescent="0.25">
      <c r="C10819" s="25" t="s">
        <v>12</v>
      </c>
      <c r="F10819" s="754" t="s">
        <v>3</v>
      </c>
      <c r="G10819" s="10">
        <f>0.3*(G10818+G10817)</f>
        <v>3.3149999999999999E-2</v>
      </c>
      <c r="H10819" s="538"/>
      <c r="K10819" s="754"/>
    </row>
    <row r="10820" spans="1:11" x14ac:dyDescent="0.25">
      <c r="D10820" s="3" t="s">
        <v>9889</v>
      </c>
      <c r="H10820" s="538"/>
    </row>
    <row r="10821" spans="1:11" x14ac:dyDescent="0.25">
      <c r="D10821" s="25" t="s">
        <v>9845</v>
      </c>
      <c r="F10821" s="754" t="s">
        <v>3</v>
      </c>
      <c r="G10821" s="10">
        <f>0.5*0.2*1.5*8*1.125</f>
        <v>1.35</v>
      </c>
      <c r="H10821" s="538"/>
      <c r="K10821" s="754"/>
    </row>
    <row r="10822" spans="1:11" x14ac:dyDescent="0.25">
      <c r="D10822" s="3" t="s">
        <v>9890</v>
      </c>
      <c r="H10822" s="538"/>
    </row>
    <row r="10823" spans="1:11" x14ac:dyDescent="0.25">
      <c r="D10823" s="25" t="s">
        <v>9891</v>
      </c>
      <c r="F10823" s="431" t="s">
        <v>112</v>
      </c>
      <c r="G10823" s="10">
        <f>0.49*0.195*1.15</f>
        <v>0.10988249999999998</v>
      </c>
      <c r="H10823" s="538"/>
    </row>
    <row r="10824" spans="1:11" x14ac:dyDescent="0.25">
      <c r="H10824" s="538"/>
    </row>
    <row r="10825" spans="1:11" x14ac:dyDescent="0.25">
      <c r="C10825" s="3" t="s">
        <v>9911</v>
      </c>
      <c r="H10825" s="538"/>
    </row>
    <row r="10826" spans="1:11" x14ac:dyDescent="0.25">
      <c r="C10826" s="73" t="s">
        <v>595</v>
      </c>
      <c r="D10826" s="100"/>
      <c r="F10826" s="74" t="s">
        <v>3</v>
      </c>
      <c r="G10826" s="427">
        <f>0.02*3.14*2*0.05*1.3</f>
        <v>8.1640000000000011E-3</v>
      </c>
      <c r="H10826" s="538"/>
    </row>
    <row r="10827" spans="1:11" ht="17.25" x14ac:dyDescent="0.25">
      <c r="C10827" s="73" t="s">
        <v>168</v>
      </c>
      <c r="D10827" s="100"/>
      <c r="F10827" s="74" t="s">
        <v>596</v>
      </c>
      <c r="G10827" s="153">
        <f>1.08*G10826</f>
        <v>8.8171200000000012E-3</v>
      </c>
      <c r="H10827" s="538"/>
    </row>
    <row r="10828" spans="1:11" x14ac:dyDescent="0.25">
      <c r="D10828" s="3" t="s">
        <v>9912</v>
      </c>
      <c r="H10828" s="538"/>
    </row>
    <row r="10829" spans="1:11" x14ac:dyDescent="0.25">
      <c r="D10829" t="s">
        <v>9914</v>
      </c>
      <c r="F10829" s="431" t="s">
        <v>3</v>
      </c>
      <c r="G10829" s="10">
        <f>0.24</f>
        <v>0.24</v>
      </c>
      <c r="H10829" s="538"/>
      <c r="I10829" t="s">
        <v>9915</v>
      </c>
    </row>
    <row r="10830" spans="1:11" x14ac:dyDescent="0.25">
      <c r="D10830" s="3" t="s">
        <v>9913</v>
      </c>
      <c r="H10830" s="538"/>
    </row>
    <row r="10831" spans="1:11" x14ac:dyDescent="0.25">
      <c r="D10831" t="s">
        <v>9914</v>
      </c>
      <c r="F10831" s="431" t="s">
        <v>3</v>
      </c>
      <c r="G10831" s="10">
        <v>7.4999999999999997E-2</v>
      </c>
      <c r="H10831" s="538"/>
      <c r="I10831" t="s">
        <v>9916</v>
      </c>
    </row>
    <row r="10832" spans="1:11" x14ac:dyDescent="0.25">
      <c r="A10832" s="539"/>
      <c r="B10832" s="730"/>
      <c r="C10832" s="539"/>
      <c r="D10832" s="539"/>
      <c r="E10832" s="539"/>
      <c r="F10832" s="599"/>
      <c r="G10832" s="600"/>
      <c r="H10832" s="540"/>
      <c r="I10832" s="761"/>
    </row>
    <row r="10833" spans="3:11" x14ac:dyDescent="0.25">
      <c r="H10833" s="522" t="s">
        <v>9951</v>
      </c>
    </row>
    <row r="10834" spans="3:11" ht="18.75" x14ac:dyDescent="0.3">
      <c r="E10834" s="110" t="s">
        <v>9746</v>
      </c>
      <c r="H10834" s="538"/>
    </row>
    <row r="10835" spans="3:11" ht="18.75" x14ac:dyDescent="0.3">
      <c r="E10835" s="110"/>
      <c r="F10835" s="762"/>
      <c r="H10835" s="538"/>
      <c r="K10835" s="762"/>
    </row>
    <row r="10836" spans="3:11" x14ac:dyDescent="0.25">
      <c r="H10836" s="538"/>
    </row>
    <row r="10837" spans="3:11" x14ac:dyDescent="0.25">
      <c r="C10837" s="3" t="s">
        <v>9929</v>
      </c>
      <c r="H10837" s="538"/>
    </row>
    <row r="10838" spans="3:11" x14ac:dyDescent="0.25">
      <c r="C10838" t="s">
        <v>9930</v>
      </c>
      <c r="F10838" s="431" t="s">
        <v>3</v>
      </c>
      <c r="G10838" s="10">
        <f>0.112*0.162*4*8*1.12</f>
        <v>0.65028096000000013</v>
      </c>
      <c r="H10838" s="538"/>
    </row>
    <row r="10839" spans="3:11" x14ac:dyDescent="0.25">
      <c r="H10839" s="538"/>
    </row>
    <row r="10840" spans="3:11" x14ac:dyDescent="0.25">
      <c r="C10840" s="3" t="s">
        <v>9928</v>
      </c>
      <c r="H10840" s="538"/>
    </row>
    <row r="10841" spans="3:11" x14ac:dyDescent="0.25">
      <c r="C10841" t="s">
        <v>9930</v>
      </c>
      <c r="F10841" s="431" t="s">
        <v>3</v>
      </c>
      <c r="G10841" s="10">
        <f>0.132*0.2*4*8+0.005</f>
        <v>0.84980000000000011</v>
      </c>
      <c r="H10841" s="538"/>
    </row>
    <row r="10842" spans="3:11" x14ac:dyDescent="0.25">
      <c r="H10842" s="538"/>
    </row>
    <row r="10843" spans="3:11" x14ac:dyDescent="0.25">
      <c r="C10843" s="3" t="s">
        <v>9931</v>
      </c>
      <c r="H10843" s="538"/>
    </row>
    <row r="10844" spans="3:11" x14ac:dyDescent="0.25">
      <c r="C10844" t="s">
        <v>9932</v>
      </c>
      <c r="F10844" s="431" t="s">
        <v>3</v>
      </c>
      <c r="G10844" s="10">
        <f>0.37*0.015*2*8*1.125</f>
        <v>9.9899999999999989E-2</v>
      </c>
      <c r="H10844" s="538"/>
    </row>
    <row r="10845" spans="3:11" x14ac:dyDescent="0.25">
      <c r="H10845" s="538"/>
    </row>
    <row r="10846" spans="3:11" x14ac:dyDescent="0.25">
      <c r="C10846" s="3" t="s">
        <v>9933</v>
      </c>
      <c r="H10846" s="538"/>
    </row>
    <row r="10847" spans="3:11" x14ac:dyDescent="0.25">
      <c r="C10847" t="s">
        <v>9934</v>
      </c>
      <c r="F10847" s="431" t="s">
        <v>3</v>
      </c>
      <c r="G10847" s="10">
        <f>0.061*0.08*2*8*1.12</f>
        <v>8.7449600000000002E-2</v>
      </c>
      <c r="H10847" s="538"/>
    </row>
    <row r="10848" spans="3:11" x14ac:dyDescent="0.25">
      <c r="C10848" t="s">
        <v>8</v>
      </c>
      <c r="F10848" s="431" t="s">
        <v>3</v>
      </c>
      <c r="G10848" s="10">
        <f>G10849</f>
        <v>7.2000000000000007E-3</v>
      </c>
      <c r="H10848" s="538"/>
    </row>
    <row r="10849" spans="3:9" x14ac:dyDescent="0.25">
      <c r="C10849" t="s">
        <v>115</v>
      </c>
      <c r="F10849" s="431" t="s">
        <v>3</v>
      </c>
      <c r="G10849" s="10">
        <f>0.1*0.1*2*0.15*2*1.2</f>
        <v>7.2000000000000007E-3</v>
      </c>
      <c r="H10849" s="538"/>
    </row>
    <row r="10850" spans="3:9" x14ac:dyDescent="0.25">
      <c r="C10850" t="s">
        <v>12</v>
      </c>
      <c r="F10850" s="431" t="s">
        <v>3</v>
      </c>
      <c r="G10850" s="10">
        <f>0.3*(G10849+G10848)</f>
        <v>4.3200000000000001E-3</v>
      </c>
      <c r="H10850" s="538"/>
    </row>
    <row r="10851" spans="3:9" x14ac:dyDescent="0.25">
      <c r="H10851" s="538"/>
    </row>
    <row r="10852" spans="3:9" x14ac:dyDescent="0.25">
      <c r="C10852" s="3" t="s">
        <v>3882</v>
      </c>
      <c r="H10852" s="538"/>
    </row>
    <row r="10853" spans="3:9" x14ac:dyDescent="0.25">
      <c r="C10853" s="77" t="s">
        <v>39</v>
      </c>
      <c r="D10853" s="73"/>
      <c r="E10853" s="73"/>
      <c r="F10853" s="74" t="s">
        <v>3</v>
      </c>
      <c r="G10853" s="427">
        <f>(0.025*3.14*2+0.05)*0.08*1.2</f>
        <v>1.9872000000000001E-2</v>
      </c>
      <c r="H10853" s="538"/>
    </row>
    <row r="10854" spans="3:9" ht="17.25" x14ac:dyDescent="0.25">
      <c r="C10854" s="77" t="s">
        <v>1055</v>
      </c>
      <c r="D10854" s="73"/>
      <c r="E10854" s="73"/>
      <c r="F10854" s="74" t="s">
        <v>596</v>
      </c>
      <c r="G10854" s="153">
        <f>1.5*G10853</f>
        <v>2.9808000000000001E-2</v>
      </c>
      <c r="H10854" s="538"/>
    </row>
    <row r="10855" spans="3:9" x14ac:dyDescent="0.25">
      <c r="C10855" t="s">
        <v>72</v>
      </c>
      <c r="F10855" s="431" t="s">
        <v>3</v>
      </c>
      <c r="G10855" s="10">
        <f>0.35*0.02*2*1.2</f>
        <v>1.6799999999999999E-2</v>
      </c>
      <c r="H10855" s="538"/>
    </row>
    <row r="10856" spans="3:9" x14ac:dyDescent="0.25">
      <c r="C10856" t="s">
        <v>11</v>
      </c>
      <c r="F10856" s="431" t="s">
        <v>3</v>
      </c>
      <c r="G10856" s="10">
        <f>0.3*G10855</f>
        <v>5.0399999999999993E-3</v>
      </c>
      <c r="H10856" s="538"/>
    </row>
    <row r="10857" spans="3:9" x14ac:dyDescent="0.25">
      <c r="C10857" t="s">
        <v>8</v>
      </c>
      <c r="F10857" s="431" t="s">
        <v>3</v>
      </c>
      <c r="G10857" s="10">
        <f>G10855*0.7</f>
        <v>1.1759999999999998E-2</v>
      </c>
      <c r="H10857" s="538"/>
    </row>
    <row r="10858" spans="3:9" x14ac:dyDescent="0.25">
      <c r="C10858" t="s">
        <v>12</v>
      </c>
      <c r="F10858" s="431" t="s">
        <v>3</v>
      </c>
      <c r="G10858" s="10">
        <f>0.3*G10857</f>
        <v>3.527999999999999E-3</v>
      </c>
      <c r="H10858" s="538"/>
    </row>
    <row r="10859" spans="3:9" x14ac:dyDescent="0.25">
      <c r="D10859" s="3" t="s">
        <v>9935</v>
      </c>
      <c r="H10859" s="538"/>
    </row>
    <row r="10860" spans="3:9" x14ac:dyDescent="0.25">
      <c r="D10860" t="s">
        <v>9936</v>
      </c>
      <c r="F10860" s="431" t="s">
        <v>3</v>
      </c>
      <c r="G10860" s="10">
        <f>2.275*0.3+0.002</f>
        <v>0.6845</v>
      </c>
      <c r="H10860" s="538"/>
      <c r="I10860" t="s">
        <v>9937</v>
      </c>
    </row>
    <row r="10861" spans="3:9" x14ac:dyDescent="0.25">
      <c r="H10861" s="538"/>
    </row>
    <row r="10862" spans="3:9" x14ac:dyDescent="0.25">
      <c r="C10862" s="75" t="s">
        <v>9938</v>
      </c>
      <c r="D10862" s="74"/>
      <c r="E10862" s="153"/>
      <c r="H10862" s="538"/>
    </row>
    <row r="10863" spans="3:9" x14ac:dyDescent="0.25">
      <c r="C10863" s="100" t="s">
        <v>4435</v>
      </c>
      <c r="F10863" s="74" t="s">
        <v>3</v>
      </c>
      <c r="G10863" s="153">
        <f>0.02*0.035*5*8*1.15</f>
        <v>3.2199999999999999E-2</v>
      </c>
      <c r="H10863" s="538"/>
    </row>
    <row r="10864" spans="3:9" x14ac:dyDescent="0.25">
      <c r="H10864" s="538"/>
    </row>
    <row r="10865" spans="3:9" x14ac:dyDescent="0.25">
      <c r="C10865" s="3" t="s">
        <v>9939</v>
      </c>
      <c r="H10865" s="538"/>
    </row>
    <row r="10866" spans="3:9" x14ac:dyDescent="0.25">
      <c r="C10866" t="s">
        <v>9770</v>
      </c>
      <c r="F10866" s="431" t="s">
        <v>3</v>
      </c>
      <c r="G10866" s="10">
        <f>1.13*1.504</f>
        <v>1.6995199999999999</v>
      </c>
      <c r="H10866" s="538"/>
      <c r="I10866" t="s">
        <v>9940</v>
      </c>
    </row>
    <row r="10867" spans="3:9" x14ac:dyDescent="0.25">
      <c r="H10867" s="538"/>
    </row>
    <row r="10868" spans="3:9" x14ac:dyDescent="0.25">
      <c r="C10868" s="3" t="s">
        <v>9941</v>
      </c>
      <c r="H10868" s="538"/>
    </row>
    <row r="10869" spans="3:9" x14ac:dyDescent="0.25">
      <c r="C10869" t="s">
        <v>9942</v>
      </c>
      <c r="F10869" s="431" t="s">
        <v>3</v>
      </c>
      <c r="G10869" s="10">
        <f>0.271*0.6-0.003</f>
        <v>0.15959999999999999</v>
      </c>
      <c r="H10869" s="538"/>
      <c r="I10869" t="s">
        <v>9943</v>
      </c>
    </row>
    <row r="10870" spans="3:9" x14ac:dyDescent="0.25">
      <c r="H10870" s="538"/>
    </row>
    <row r="10871" spans="3:9" x14ac:dyDescent="0.25">
      <c r="C10871" s="3" t="s">
        <v>9945</v>
      </c>
      <c r="H10871" s="538"/>
    </row>
    <row r="10872" spans="3:9" x14ac:dyDescent="0.25">
      <c r="C10872" s="77" t="s">
        <v>39</v>
      </c>
      <c r="D10872" s="73"/>
      <c r="E10872" s="73"/>
      <c r="F10872" s="74" t="s">
        <v>3</v>
      </c>
      <c r="G10872" s="427">
        <f>(0.25)*0.08*1.25</f>
        <v>2.5000000000000001E-2</v>
      </c>
      <c r="H10872" s="538"/>
    </row>
    <row r="10873" spans="3:9" ht="17.25" x14ac:dyDescent="0.25">
      <c r="C10873" s="77" t="s">
        <v>1055</v>
      </c>
      <c r="D10873" s="73"/>
      <c r="E10873" s="73"/>
      <c r="F10873" s="74" t="s">
        <v>596</v>
      </c>
      <c r="G10873" s="153">
        <f>1.1*G10872</f>
        <v>2.7500000000000004E-2</v>
      </c>
      <c r="H10873" s="538"/>
    </row>
    <row r="10874" spans="3:9" x14ac:dyDescent="0.25">
      <c r="C10874" s="25" t="s">
        <v>8</v>
      </c>
      <c r="F10874" s="431" t="s">
        <v>3</v>
      </c>
      <c r="G10874" s="10">
        <f>G10876*0.7+0.003</f>
        <v>6.9612000000000007E-2</v>
      </c>
      <c r="H10874" s="538"/>
    </row>
    <row r="10875" spans="3:9" x14ac:dyDescent="0.25">
      <c r="C10875" s="77" t="s">
        <v>12</v>
      </c>
      <c r="F10875" s="431" t="s">
        <v>3</v>
      </c>
      <c r="G10875" s="10">
        <f>0.3*G10874</f>
        <v>2.0883600000000002E-2</v>
      </c>
      <c r="H10875" s="538"/>
    </row>
    <row r="10876" spans="3:9" x14ac:dyDescent="0.25">
      <c r="C10876" s="77" t="s">
        <v>72</v>
      </c>
      <c r="F10876" s="431" t="s">
        <v>3</v>
      </c>
      <c r="G10876" s="10">
        <f>0.61*0.2*2*0.15*2*1.3</f>
        <v>9.5160000000000008E-2</v>
      </c>
      <c r="H10876" s="538"/>
    </row>
    <row r="10877" spans="3:9" x14ac:dyDescent="0.25">
      <c r="C10877" s="77" t="s">
        <v>11</v>
      </c>
      <c r="F10877" s="431" t="s">
        <v>3</v>
      </c>
      <c r="G10877" s="10">
        <f>0.3*G10876+0.001</f>
        <v>2.9548000000000001E-2</v>
      </c>
      <c r="H10877" s="538"/>
    </row>
    <row r="10878" spans="3:9" x14ac:dyDescent="0.25">
      <c r="D10878" s="3" t="s">
        <v>9946</v>
      </c>
      <c r="H10878" s="538"/>
    </row>
    <row r="10879" spans="3:9" x14ac:dyDescent="0.25">
      <c r="D10879" t="s">
        <v>9947</v>
      </c>
      <c r="F10879" s="431" t="s">
        <v>3</v>
      </c>
      <c r="G10879" s="10">
        <f>0.06*0.035*4*8*1.12</f>
        <v>7.5264000000000011E-2</v>
      </c>
      <c r="H10879" s="538"/>
    </row>
    <row r="10880" spans="3:9" x14ac:dyDescent="0.25">
      <c r="H10880" s="538"/>
    </row>
    <row r="10881" spans="1:11" x14ac:dyDescent="0.25">
      <c r="C10881" s="3" t="s">
        <v>9949</v>
      </c>
      <c r="H10881" s="538"/>
    </row>
    <row r="10882" spans="1:11" x14ac:dyDescent="0.25">
      <c r="C10882" t="s">
        <v>9950</v>
      </c>
      <c r="F10882" s="431" t="s">
        <v>3</v>
      </c>
      <c r="G10882" s="10">
        <f>0.85*0.009*0.5*8*1.25</f>
        <v>3.8249999999999992E-2</v>
      </c>
      <c r="H10882" s="538"/>
    </row>
    <row r="10883" spans="1:11" x14ac:dyDescent="0.25">
      <c r="A10883" s="539"/>
      <c r="B10883" s="730"/>
      <c r="C10883" s="539"/>
      <c r="D10883" s="539"/>
      <c r="E10883" s="539"/>
      <c r="F10883" s="599"/>
      <c r="G10883" s="600"/>
      <c r="H10883" s="540"/>
    </row>
    <row r="10884" spans="1:11" x14ac:dyDescent="0.25">
      <c r="A10884" s="73"/>
      <c r="B10884" s="106"/>
      <c r="C10884" s="73"/>
      <c r="D10884" s="73"/>
      <c r="E10884" s="73"/>
      <c r="F10884" s="74"/>
      <c r="G10884" s="153"/>
      <c r="H10884" s="522" t="s">
        <v>9971</v>
      </c>
      <c r="K10884" s="763"/>
    </row>
    <row r="10885" spans="1:11" ht="18.75" x14ac:dyDescent="0.3">
      <c r="A10885" s="73"/>
      <c r="B10885" s="106"/>
      <c r="C10885" s="73"/>
      <c r="D10885" s="73"/>
      <c r="E10885" s="110" t="s">
        <v>9746</v>
      </c>
      <c r="F10885" s="74"/>
      <c r="G10885" s="153"/>
      <c r="H10885" s="538"/>
      <c r="K10885" s="763"/>
    </row>
    <row r="10886" spans="1:11" x14ac:dyDescent="0.25">
      <c r="H10886" s="538"/>
    </row>
    <row r="10887" spans="1:11" x14ac:dyDescent="0.25">
      <c r="C10887" s="3" t="s">
        <v>9964</v>
      </c>
      <c r="H10887" s="538"/>
    </row>
    <row r="10888" spans="1:11" x14ac:dyDescent="0.25">
      <c r="C10888" t="s">
        <v>9965</v>
      </c>
      <c r="F10888" s="431" t="s">
        <v>3</v>
      </c>
      <c r="G10888" s="10">
        <f>1.036*0.386</f>
        <v>0.39989600000000003</v>
      </c>
      <c r="H10888" s="538"/>
      <c r="I10888" t="s">
        <v>9966</v>
      </c>
    </row>
    <row r="10889" spans="1:11" x14ac:dyDescent="0.25">
      <c r="H10889" s="538"/>
    </row>
    <row r="10890" spans="1:11" x14ac:dyDescent="0.25">
      <c r="C10890" s="3" t="s">
        <v>9952</v>
      </c>
      <c r="H10890" s="538"/>
    </row>
    <row r="10891" spans="1:11" x14ac:dyDescent="0.25">
      <c r="C10891" t="s">
        <v>731</v>
      </c>
      <c r="F10891" s="431" t="s">
        <v>3</v>
      </c>
      <c r="G10891" s="10">
        <f>0.003</f>
        <v>3.0000000000000001E-3</v>
      </c>
      <c r="H10891" s="538"/>
    </row>
    <row r="10892" spans="1:11" x14ac:dyDescent="0.25">
      <c r="F10892" s="763"/>
      <c r="H10892" s="538"/>
      <c r="K10892" s="763"/>
    </row>
    <row r="10893" spans="1:11" x14ac:dyDescent="0.25">
      <c r="C10893" s="3" t="s">
        <v>9955</v>
      </c>
      <c r="H10893" s="538"/>
    </row>
    <row r="10894" spans="1:11" x14ac:dyDescent="0.25">
      <c r="C10894" s="100" t="s">
        <v>140</v>
      </c>
      <c r="D10894" s="73"/>
      <c r="E10894" s="73"/>
      <c r="F10894" s="74" t="s">
        <v>3</v>
      </c>
      <c r="G10894" s="153">
        <f>0.01*3.14*2*0.08*1.2</f>
        <v>6.0288000000000008E-3</v>
      </c>
      <c r="H10894" s="538"/>
    </row>
    <row r="10895" spans="1:11" ht="17.25" x14ac:dyDescent="0.25">
      <c r="C10895" s="100" t="s">
        <v>23</v>
      </c>
      <c r="D10895" s="73"/>
      <c r="E10895" s="73"/>
      <c r="F10895" s="74" t="s">
        <v>596</v>
      </c>
      <c r="G10895" s="153">
        <f>G10894*2</f>
        <v>1.2057600000000002E-2</v>
      </c>
      <c r="H10895" s="538"/>
    </row>
    <row r="10896" spans="1:11" x14ac:dyDescent="0.25">
      <c r="C10896" s="100" t="s">
        <v>142</v>
      </c>
      <c r="D10896" s="73"/>
      <c r="E10896" s="73"/>
      <c r="F10896" s="74" t="s">
        <v>3</v>
      </c>
      <c r="G10896" s="153">
        <f>G10894/4</f>
        <v>1.5072000000000002E-3</v>
      </c>
      <c r="H10896" s="538"/>
    </row>
    <row r="10897" spans="3:9" x14ac:dyDescent="0.25">
      <c r="C10897" s="186" t="s">
        <v>152</v>
      </c>
      <c r="F10897" s="431" t="s">
        <v>3</v>
      </c>
      <c r="G10897" s="10">
        <f>1.1*0.011*2*1.25</f>
        <v>3.0249999999999999E-2</v>
      </c>
      <c r="H10897" s="538"/>
    </row>
    <row r="10898" spans="3:9" x14ac:dyDescent="0.25">
      <c r="C10898" s="186" t="s">
        <v>8</v>
      </c>
      <c r="F10898" s="431" t="s">
        <v>3</v>
      </c>
      <c r="G10898" s="10">
        <f>0.65*G10897</f>
        <v>1.9662499999999999E-2</v>
      </c>
      <c r="H10898" s="538"/>
    </row>
    <row r="10899" spans="3:9" x14ac:dyDescent="0.25">
      <c r="C10899" s="186" t="s">
        <v>143</v>
      </c>
      <c r="F10899" s="431" t="s">
        <v>3</v>
      </c>
      <c r="G10899" s="10">
        <f>G10898</f>
        <v>1.9662499999999999E-2</v>
      </c>
      <c r="H10899" s="538"/>
    </row>
    <row r="10900" spans="3:9" x14ac:dyDescent="0.25">
      <c r="C10900" s="186" t="s">
        <v>12</v>
      </c>
      <c r="F10900" s="431" t="s">
        <v>3</v>
      </c>
      <c r="G10900" s="10">
        <f>0.3*(G10899+G10898+G10897)</f>
        <v>2.0872499999999999E-2</v>
      </c>
      <c r="H10900" s="538"/>
    </row>
    <row r="10901" spans="3:9" x14ac:dyDescent="0.25">
      <c r="D10901" s="3" t="s">
        <v>9956</v>
      </c>
      <c r="H10901" s="538"/>
    </row>
    <row r="10902" spans="3:9" x14ac:dyDescent="0.25">
      <c r="D10902" t="s">
        <v>9957</v>
      </c>
      <c r="F10902" s="431" t="s">
        <v>3</v>
      </c>
      <c r="G10902" s="10">
        <f>0.271*1.15</f>
        <v>0.31164999999999998</v>
      </c>
      <c r="H10902" s="538"/>
      <c r="I10902" t="s">
        <v>9958</v>
      </c>
    </row>
    <row r="10903" spans="3:9" x14ac:dyDescent="0.25">
      <c r="H10903" s="538"/>
    </row>
    <row r="10904" spans="3:9" x14ac:dyDescent="0.25">
      <c r="C10904" s="3" t="s">
        <v>9953</v>
      </c>
      <c r="G10904" s="765" t="s">
        <v>625</v>
      </c>
      <c r="H10904" s="538"/>
    </row>
    <row r="10905" spans="3:9" x14ac:dyDescent="0.25">
      <c r="C10905" t="s">
        <v>9954</v>
      </c>
      <c r="F10905" s="431" t="s">
        <v>3</v>
      </c>
      <c r="G10905" s="766">
        <v>5.0000000000000001E-3</v>
      </c>
      <c r="H10905" s="538"/>
    </row>
    <row r="10906" spans="3:9" x14ac:dyDescent="0.25">
      <c r="H10906" s="538"/>
    </row>
    <row r="10907" spans="3:9" x14ac:dyDescent="0.25">
      <c r="C10907" s="3" t="s">
        <v>9959</v>
      </c>
      <c r="H10907" s="538"/>
    </row>
    <row r="10908" spans="3:9" x14ac:dyDescent="0.25">
      <c r="C10908" s="77" t="s">
        <v>39</v>
      </c>
      <c r="D10908" s="73"/>
      <c r="E10908" s="73"/>
      <c r="F10908" s="74" t="s">
        <v>3</v>
      </c>
      <c r="G10908" s="427">
        <f>(0.06*3.14*2+0.017*3.14*3)*0.08*1.2</f>
        <v>5.154624E-2</v>
      </c>
      <c r="H10908" s="538"/>
    </row>
    <row r="10909" spans="3:9" ht="17.25" x14ac:dyDescent="0.25">
      <c r="C10909" s="77" t="s">
        <v>1055</v>
      </c>
      <c r="D10909" s="73"/>
      <c r="E10909" s="73"/>
      <c r="F10909" s="74" t="s">
        <v>596</v>
      </c>
      <c r="G10909" s="153">
        <f>1.1*G10908</f>
        <v>5.6700864000000004E-2</v>
      </c>
      <c r="H10909" s="538"/>
    </row>
    <row r="10910" spans="3:9" x14ac:dyDescent="0.25">
      <c r="C10910" s="77" t="s">
        <v>489</v>
      </c>
      <c r="F10910" s="431" t="s">
        <v>3</v>
      </c>
      <c r="G10910" s="10">
        <f>0.5*0.011*2*1.3+0.011</f>
        <v>2.53E-2</v>
      </c>
      <c r="H10910" s="538"/>
    </row>
    <row r="10911" spans="3:9" x14ac:dyDescent="0.25">
      <c r="C10911" s="77" t="s">
        <v>490</v>
      </c>
      <c r="F10911" s="431" t="s">
        <v>3</v>
      </c>
      <c r="G10911" s="10">
        <f>0.3*G10910</f>
        <v>7.5899999999999995E-3</v>
      </c>
      <c r="H10911" s="538"/>
    </row>
    <row r="10912" spans="3:9" x14ac:dyDescent="0.25">
      <c r="D10912" s="3" t="s">
        <v>9960</v>
      </c>
      <c r="H10912" s="538"/>
    </row>
    <row r="10913" spans="1:11" x14ac:dyDescent="0.25">
      <c r="D10913" t="s">
        <v>9833</v>
      </c>
      <c r="F10913" s="431" t="s">
        <v>3</v>
      </c>
      <c r="G10913" s="10">
        <f>0.74*0.554</f>
        <v>0.40996000000000005</v>
      </c>
      <c r="H10913" s="538"/>
      <c r="I10913" t="s">
        <v>9961</v>
      </c>
    </row>
    <row r="10914" spans="1:11" x14ac:dyDescent="0.25">
      <c r="H10914" s="538"/>
    </row>
    <row r="10915" spans="1:11" x14ac:dyDescent="0.25">
      <c r="C10915" s="3" t="s">
        <v>9970</v>
      </c>
      <c r="F10915" s="763"/>
      <c r="H10915" s="538"/>
    </row>
    <row r="10916" spans="1:11" x14ac:dyDescent="0.25">
      <c r="C10916" s="77" t="s">
        <v>39</v>
      </c>
      <c r="D10916" s="73"/>
      <c r="E10916" s="73"/>
      <c r="F10916" s="74" t="s">
        <v>3</v>
      </c>
      <c r="G10916" s="427">
        <f>(0.06*3.14*2+0.017*3.14*3)*0.08*1.2</f>
        <v>5.154624E-2</v>
      </c>
      <c r="H10916" s="538"/>
    </row>
    <row r="10917" spans="1:11" ht="17.25" x14ac:dyDescent="0.25">
      <c r="C10917" s="77" t="s">
        <v>1055</v>
      </c>
      <c r="D10917" s="73"/>
      <c r="E10917" s="73"/>
      <c r="F10917" s="74" t="s">
        <v>596</v>
      </c>
      <c r="G10917" s="153">
        <f>1.1*G10916</f>
        <v>5.6700864000000004E-2</v>
      </c>
      <c r="H10917" s="538"/>
    </row>
    <row r="10918" spans="1:11" x14ac:dyDescent="0.25">
      <c r="C10918" s="77" t="s">
        <v>489</v>
      </c>
      <c r="F10918" s="763" t="s">
        <v>3</v>
      </c>
      <c r="G10918" s="10">
        <f>0.5*0.011*2*1.3+0.011</f>
        <v>2.53E-2</v>
      </c>
      <c r="H10918" s="538"/>
    </row>
    <row r="10919" spans="1:11" x14ac:dyDescent="0.25">
      <c r="C10919" s="77" t="s">
        <v>490</v>
      </c>
      <c r="F10919" s="763" t="s">
        <v>3</v>
      </c>
      <c r="G10919" s="10">
        <f>0.3*G10918</f>
        <v>7.5899999999999995E-3</v>
      </c>
      <c r="H10919" s="538"/>
    </row>
    <row r="10920" spans="1:11" x14ac:dyDescent="0.25">
      <c r="D10920" s="3" t="s">
        <v>9963</v>
      </c>
      <c r="F10920" s="763"/>
      <c r="H10920" s="538"/>
    </row>
    <row r="10921" spans="1:11" x14ac:dyDescent="0.25">
      <c r="D10921" t="s">
        <v>9833</v>
      </c>
      <c r="F10921" s="763" t="s">
        <v>3</v>
      </c>
      <c r="G10921" s="10">
        <f>0.74*0.554</f>
        <v>0.40996000000000005</v>
      </c>
      <c r="H10921" s="538"/>
      <c r="I10921" t="s">
        <v>9962</v>
      </c>
    </row>
    <row r="10922" spans="1:11" x14ac:dyDescent="0.25">
      <c r="F10922" s="763"/>
      <c r="H10922" s="538"/>
      <c r="K10922" s="763"/>
    </row>
    <row r="10923" spans="1:11" x14ac:dyDescent="0.25">
      <c r="C10923" s="3" t="s">
        <v>9967</v>
      </c>
      <c r="F10923" s="763" t="s">
        <v>2180</v>
      </c>
      <c r="H10923" s="538"/>
      <c r="K10923" s="763"/>
    </row>
    <row r="10924" spans="1:11" x14ac:dyDescent="0.25">
      <c r="D10924" s="3" t="s">
        <v>9968</v>
      </c>
      <c r="F10924" s="763"/>
      <c r="H10924" s="538"/>
      <c r="K10924" s="763"/>
    </row>
    <row r="10925" spans="1:11" x14ac:dyDescent="0.25">
      <c r="D10925" t="s">
        <v>5114</v>
      </c>
      <c r="F10925" s="763" t="s">
        <v>195</v>
      </c>
      <c r="G10925" s="10">
        <v>0.28000000000000003</v>
      </c>
      <c r="H10925" s="538"/>
      <c r="I10925" t="s">
        <v>9969</v>
      </c>
      <c r="K10925" s="763"/>
    </row>
    <row r="10926" spans="1:11" x14ac:dyDescent="0.25">
      <c r="A10926" s="539"/>
      <c r="B10926" s="730"/>
      <c r="C10926" s="539"/>
      <c r="D10926" s="539"/>
      <c r="E10926" s="539"/>
      <c r="F10926" s="599"/>
      <c r="G10926" s="600"/>
      <c r="H10926" s="540"/>
    </row>
    <row r="10927" spans="1:11" x14ac:dyDescent="0.25">
      <c r="H10927" s="771" t="s">
        <v>9991</v>
      </c>
    </row>
    <row r="10928" spans="1:11" ht="18.75" x14ac:dyDescent="0.3">
      <c r="E10928" s="110" t="s">
        <v>9746</v>
      </c>
      <c r="H10928" s="538"/>
      <c r="J10928" s="772"/>
    </row>
    <row r="10929" spans="3:10" x14ac:dyDescent="0.25">
      <c r="H10929" s="538"/>
      <c r="J10929" s="772"/>
    </row>
    <row r="10930" spans="3:10" x14ac:dyDescent="0.25">
      <c r="C10930" s="3" t="s">
        <v>522</v>
      </c>
      <c r="H10930" s="538"/>
    </row>
    <row r="10931" spans="3:10" x14ac:dyDescent="0.25">
      <c r="C10931" s="73" t="s">
        <v>595</v>
      </c>
      <c r="D10931" s="100"/>
      <c r="F10931" s="74" t="s">
        <v>3</v>
      </c>
      <c r="G10931" s="427">
        <f>(0.05+0.2+0.2)*0.1*1.15</f>
        <v>5.1750000000000004E-2</v>
      </c>
      <c r="H10931" s="538"/>
    </row>
    <row r="10932" spans="3:10" ht="17.25" x14ac:dyDescent="0.25">
      <c r="C10932" s="73" t="s">
        <v>168</v>
      </c>
      <c r="D10932" s="100"/>
      <c r="F10932" s="74" t="s">
        <v>596</v>
      </c>
      <c r="G10932" s="153">
        <f>1.08*G10931</f>
        <v>5.5890000000000009E-2</v>
      </c>
      <c r="H10932" s="538"/>
    </row>
    <row r="10933" spans="3:10" x14ac:dyDescent="0.25">
      <c r="H10933" s="538"/>
    </row>
    <row r="10934" spans="3:10" x14ac:dyDescent="0.25">
      <c r="C10934" s="3" t="s">
        <v>523</v>
      </c>
      <c r="F10934" s="764"/>
      <c r="H10934" s="538"/>
    </row>
    <row r="10935" spans="3:10" x14ac:dyDescent="0.25">
      <c r="C10935" s="73" t="s">
        <v>595</v>
      </c>
      <c r="D10935" s="100"/>
      <c r="F10935" s="74" t="s">
        <v>3</v>
      </c>
      <c r="G10935" s="427">
        <f>(0.05+0.2+0.2)*0.1*1.15</f>
        <v>5.1750000000000004E-2</v>
      </c>
      <c r="H10935" s="538"/>
    </row>
    <row r="10936" spans="3:10" ht="17.25" x14ac:dyDescent="0.25">
      <c r="C10936" s="73" t="s">
        <v>168</v>
      </c>
      <c r="D10936" s="100"/>
      <c r="F10936" s="74" t="s">
        <v>596</v>
      </c>
      <c r="G10936" s="153">
        <f>1.08*G10935</f>
        <v>5.5890000000000009E-2</v>
      </c>
      <c r="H10936" s="538"/>
    </row>
    <row r="10937" spans="3:10" x14ac:dyDescent="0.25">
      <c r="H10937" s="538"/>
    </row>
    <row r="10938" spans="3:10" x14ac:dyDescent="0.25">
      <c r="C10938" s="3" t="s">
        <v>9972</v>
      </c>
      <c r="F10938" s="764"/>
      <c r="H10938" s="538"/>
    </row>
    <row r="10939" spans="3:10" x14ac:dyDescent="0.25">
      <c r="C10939" s="73" t="s">
        <v>595</v>
      </c>
      <c r="D10939" s="100"/>
      <c r="F10939" s="74" t="s">
        <v>3</v>
      </c>
      <c r="G10939" s="427">
        <f>(0.05+0.2+0.3)*0.1*1.1-0.001</f>
        <v>5.9500000000000011E-2</v>
      </c>
      <c r="H10939" s="538"/>
    </row>
    <row r="10940" spans="3:10" ht="17.25" x14ac:dyDescent="0.25">
      <c r="C10940" s="73" t="s">
        <v>168</v>
      </c>
      <c r="D10940" s="100"/>
      <c r="F10940" s="74" t="s">
        <v>596</v>
      </c>
      <c r="G10940" s="153">
        <f>1.08*G10939</f>
        <v>6.4260000000000012E-2</v>
      </c>
      <c r="H10940" s="538"/>
    </row>
    <row r="10941" spans="3:10" x14ac:dyDescent="0.25">
      <c r="H10941" s="538"/>
    </row>
    <row r="10942" spans="3:10" x14ac:dyDescent="0.25">
      <c r="C10942" s="3" t="s">
        <v>9974</v>
      </c>
      <c r="F10942" s="764"/>
      <c r="H10942" s="538"/>
    </row>
    <row r="10943" spans="3:10" x14ac:dyDescent="0.25">
      <c r="C10943" s="73" t="s">
        <v>595</v>
      </c>
      <c r="D10943" s="100"/>
      <c r="F10943" s="74" t="s">
        <v>3</v>
      </c>
      <c r="G10943" s="427">
        <f>(0.05+0.2+0.3)*0.1*1.1-0.001</f>
        <v>5.9500000000000011E-2</v>
      </c>
      <c r="H10943" s="538"/>
    </row>
    <row r="10944" spans="3:10" ht="17.25" x14ac:dyDescent="0.25">
      <c r="C10944" s="73" t="s">
        <v>168</v>
      </c>
      <c r="D10944" s="100"/>
      <c r="F10944" s="74" t="s">
        <v>596</v>
      </c>
      <c r="G10944" s="153">
        <f>1.08*G10943</f>
        <v>6.4260000000000012E-2</v>
      </c>
      <c r="H10944" s="538"/>
    </row>
    <row r="10945" spans="3:9" x14ac:dyDescent="0.25">
      <c r="H10945" s="538"/>
    </row>
    <row r="10946" spans="3:9" x14ac:dyDescent="0.25">
      <c r="C10946" s="3" t="s">
        <v>9973</v>
      </c>
      <c r="F10946" s="764"/>
      <c r="H10946" s="538"/>
    </row>
    <row r="10947" spans="3:9" x14ac:dyDescent="0.25">
      <c r="C10947" s="73" t="s">
        <v>595</v>
      </c>
      <c r="D10947" s="100"/>
      <c r="F10947" s="74" t="s">
        <v>3</v>
      </c>
      <c r="G10947" s="427">
        <f>(0.05+0.2+0.1)*0.1*1.15</f>
        <v>4.0249999999999994E-2</v>
      </c>
      <c r="H10947" s="538"/>
    </row>
    <row r="10948" spans="3:9" ht="17.25" x14ac:dyDescent="0.25">
      <c r="C10948" s="73" t="s">
        <v>168</v>
      </c>
      <c r="D10948" s="100"/>
      <c r="F10948" s="74" t="s">
        <v>596</v>
      </c>
      <c r="G10948" s="153">
        <f>1.08*G10947</f>
        <v>4.3469999999999995E-2</v>
      </c>
      <c r="H10948" s="538"/>
    </row>
    <row r="10949" spans="3:9" x14ac:dyDescent="0.25">
      <c r="H10949" s="538"/>
    </row>
    <row r="10950" spans="3:9" x14ac:dyDescent="0.25">
      <c r="C10950" s="3" t="s">
        <v>9975</v>
      </c>
      <c r="F10950" s="764"/>
      <c r="H10950" s="538"/>
    </row>
    <row r="10951" spans="3:9" x14ac:dyDescent="0.25">
      <c r="C10951" s="73" t="s">
        <v>595</v>
      </c>
      <c r="D10951" s="100"/>
      <c r="F10951" s="74" t="s">
        <v>3</v>
      </c>
      <c r="G10951" s="427">
        <f>(0.05+0.2+0.1)*0.1*1.15</f>
        <v>4.0249999999999994E-2</v>
      </c>
      <c r="H10951" s="538"/>
    </row>
    <row r="10952" spans="3:9" ht="17.25" x14ac:dyDescent="0.25">
      <c r="C10952" s="73" t="s">
        <v>168</v>
      </c>
      <c r="D10952" s="100"/>
      <c r="F10952" s="74" t="s">
        <v>596</v>
      </c>
      <c r="G10952" s="153">
        <f>1.08*G10951</f>
        <v>4.3469999999999995E-2</v>
      </c>
      <c r="H10952" s="538"/>
    </row>
    <row r="10953" spans="3:9" x14ac:dyDescent="0.25">
      <c r="H10953" s="538"/>
    </row>
    <row r="10954" spans="3:9" x14ac:dyDescent="0.25">
      <c r="C10954" s="3" t="s">
        <v>9976</v>
      </c>
      <c r="G10954" s="6" t="s">
        <v>2180</v>
      </c>
      <c r="H10954" s="538"/>
    </row>
    <row r="10955" spans="3:9" x14ac:dyDescent="0.25">
      <c r="C10955" t="s">
        <v>9977</v>
      </c>
      <c r="F10955" s="431" t="s">
        <v>1516</v>
      </c>
      <c r="G10955" s="10">
        <v>6</v>
      </c>
      <c r="H10955" s="538"/>
    </row>
    <row r="10956" spans="3:9" x14ac:dyDescent="0.25">
      <c r="D10956" s="3" t="s">
        <v>9978</v>
      </c>
      <c r="H10956" s="538"/>
    </row>
    <row r="10957" spans="3:9" x14ac:dyDescent="0.25">
      <c r="D10957" t="s">
        <v>36</v>
      </c>
      <c r="F10957" s="431" t="s">
        <v>3</v>
      </c>
      <c r="G10957" s="10">
        <f>0.1*(0.14*3.14*3)*2*0.15*2*1.26</f>
        <v>9.9701280000000017E-2</v>
      </c>
      <c r="H10957" s="538"/>
    </row>
    <row r="10958" spans="3:9" x14ac:dyDescent="0.25">
      <c r="D10958" t="s">
        <v>8</v>
      </c>
      <c r="F10958" s="431" t="s">
        <v>3</v>
      </c>
      <c r="G10958" s="10">
        <f>G10957*0.7</f>
        <v>6.9790896000000005E-2</v>
      </c>
      <c r="H10958" s="538"/>
    </row>
    <row r="10959" spans="3:9" x14ac:dyDescent="0.25">
      <c r="D10959" t="s">
        <v>12</v>
      </c>
      <c r="F10959" s="431" t="s">
        <v>3</v>
      </c>
      <c r="G10959" s="10">
        <f>0.3*(G10958+G10957)-0.001</f>
        <v>4.9847652800000003E-2</v>
      </c>
      <c r="H10959" s="538"/>
      <c r="I10959" s="767"/>
    </row>
    <row r="10960" spans="3:9" x14ac:dyDescent="0.25">
      <c r="E10960" s="3" t="s">
        <v>9979</v>
      </c>
      <c r="H10960" s="538"/>
      <c r="I10960" s="767"/>
    </row>
    <row r="10961" spans="2:11" x14ac:dyDescent="0.25">
      <c r="E10961" s="77" t="s">
        <v>39</v>
      </c>
      <c r="F10961" s="74" t="s">
        <v>3</v>
      </c>
      <c r="G10961" s="427">
        <f>(0.2+0.1+0.15)*0.08*1.25</f>
        <v>4.5000000000000005E-2</v>
      </c>
      <c r="H10961" s="538"/>
      <c r="I10961" s="767"/>
    </row>
    <row r="10962" spans="2:11" ht="17.25" x14ac:dyDescent="0.25">
      <c r="E10962" s="77" t="s">
        <v>1055</v>
      </c>
      <c r="F10962" s="74" t="s">
        <v>596</v>
      </c>
      <c r="G10962" s="153">
        <f>1.1*G10961</f>
        <v>4.9500000000000009E-2</v>
      </c>
      <c r="H10962" s="538"/>
      <c r="I10962" s="767"/>
    </row>
    <row r="10963" spans="2:11" x14ac:dyDescent="0.25">
      <c r="E10963" s="768" t="s">
        <v>9980</v>
      </c>
      <c r="H10963" s="538"/>
      <c r="I10963" s="767"/>
    </row>
    <row r="10964" spans="2:11" x14ac:dyDescent="0.25">
      <c r="E10964" s="769" t="s">
        <v>9733</v>
      </c>
      <c r="F10964" s="431" t="s">
        <v>3</v>
      </c>
      <c r="G10964" s="10">
        <f>0.17*0.04*5*8*1.103</f>
        <v>0.300016</v>
      </c>
      <c r="H10964" s="538"/>
      <c r="I10964" s="767"/>
    </row>
    <row r="10965" spans="2:11" x14ac:dyDescent="0.25">
      <c r="E10965" s="770" t="s">
        <v>9981</v>
      </c>
      <c r="H10965" s="538"/>
      <c r="I10965" s="767"/>
    </row>
    <row r="10966" spans="2:11" s="767" customFormat="1" x14ac:dyDescent="0.25">
      <c r="B10966" s="18"/>
      <c r="E10966" s="769" t="s">
        <v>9982</v>
      </c>
      <c r="F10966" s="764" t="s">
        <v>3</v>
      </c>
      <c r="G10966" s="10">
        <f>0.5*0.057*4*8*1.096</f>
        <v>0.99955200000000011</v>
      </c>
      <c r="H10966" s="538"/>
      <c r="J10966" s="13"/>
      <c r="K10966" s="764"/>
    </row>
    <row r="10967" spans="2:11" x14ac:dyDescent="0.25">
      <c r="E10967" s="770" t="s">
        <v>9983</v>
      </c>
      <c r="H10967" s="538"/>
      <c r="I10967" s="767"/>
    </row>
    <row r="10968" spans="2:11" s="767" customFormat="1" x14ac:dyDescent="0.25">
      <c r="B10968" s="18"/>
      <c r="E10968" s="769" t="s">
        <v>9984</v>
      </c>
      <c r="F10968" s="764" t="s">
        <v>3</v>
      </c>
      <c r="G10968" s="10">
        <f>0.13*0.09*3*8*1.068</f>
        <v>0.29989440000000001</v>
      </c>
      <c r="H10968" s="538"/>
      <c r="J10968" s="13"/>
      <c r="K10968" s="764"/>
    </row>
    <row r="10969" spans="2:11" x14ac:dyDescent="0.25">
      <c r="E10969" s="770" t="s">
        <v>9985</v>
      </c>
      <c r="F10969" s="764"/>
      <c r="H10969" s="538"/>
      <c r="I10969" s="767"/>
    </row>
    <row r="10970" spans="2:11" s="767" customFormat="1" x14ac:dyDescent="0.25">
      <c r="B10970" s="18"/>
      <c r="E10970" s="769" t="s">
        <v>9984</v>
      </c>
      <c r="F10970" s="764" t="s">
        <v>3</v>
      </c>
      <c r="G10970" s="10">
        <f>0.15*0.07*3*8*1.07</f>
        <v>0.26963999999999999</v>
      </c>
      <c r="H10970" s="538"/>
      <c r="J10970" s="13"/>
      <c r="K10970" s="764"/>
    </row>
    <row r="10971" spans="2:11" x14ac:dyDescent="0.25">
      <c r="E10971" s="770" t="s">
        <v>9986</v>
      </c>
      <c r="F10971" s="764"/>
      <c r="H10971" s="538"/>
    </row>
    <row r="10972" spans="2:11" s="767" customFormat="1" x14ac:dyDescent="0.25">
      <c r="B10972" s="18"/>
      <c r="E10972" s="769" t="s">
        <v>9984</v>
      </c>
      <c r="F10972" s="764" t="s">
        <v>3</v>
      </c>
      <c r="G10972" s="10">
        <f>0.15*0.09*3*8*1.08</f>
        <v>0.34992000000000001</v>
      </c>
      <c r="H10972" s="538"/>
      <c r="J10972" s="13"/>
      <c r="K10972" s="764"/>
    </row>
    <row r="10973" spans="2:11" x14ac:dyDescent="0.25">
      <c r="E10973" s="770" t="s">
        <v>9987</v>
      </c>
      <c r="F10973" s="764"/>
      <c r="H10973" s="538"/>
    </row>
    <row r="10974" spans="2:11" x14ac:dyDescent="0.25">
      <c r="E10974" s="769" t="s">
        <v>9984</v>
      </c>
      <c r="F10974" s="764" t="s">
        <v>3</v>
      </c>
      <c r="G10974" s="10">
        <f>0.17*0.07*3*8*1.05</f>
        <v>0.29988000000000009</v>
      </c>
      <c r="H10974" s="538"/>
    </row>
    <row r="10975" spans="2:11" x14ac:dyDescent="0.25">
      <c r="F10975" s="764"/>
      <c r="H10975" s="538"/>
    </row>
    <row r="10976" spans="2:11" x14ac:dyDescent="0.25">
      <c r="C10976" s="3" t="s">
        <v>9989</v>
      </c>
      <c r="H10976" s="538"/>
    </row>
    <row r="10977" spans="2:11" x14ac:dyDescent="0.25">
      <c r="D10977" s="3" t="s">
        <v>9988</v>
      </c>
      <c r="H10977" s="538"/>
    </row>
    <row r="10978" spans="2:11" x14ac:dyDescent="0.25">
      <c r="D10978" s="767" t="s">
        <v>36</v>
      </c>
      <c r="E10978" s="767"/>
      <c r="F10978" s="764" t="s">
        <v>3</v>
      </c>
      <c r="G10978" s="10">
        <f>0.1*0.1*4*0.15*2*1.25</f>
        <v>1.5000000000000003E-2</v>
      </c>
      <c r="H10978" s="538"/>
    </row>
    <row r="10979" spans="2:11" x14ac:dyDescent="0.25">
      <c r="D10979" s="767" t="s">
        <v>8</v>
      </c>
      <c r="E10979" s="767"/>
      <c r="F10979" s="764" t="s">
        <v>3</v>
      </c>
      <c r="G10979" s="10">
        <f>G10978*0.65</f>
        <v>9.7500000000000017E-3</v>
      </c>
      <c r="H10979" s="538"/>
    </row>
    <row r="10980" spans="2:11" x14ac:dyDescent="0.25">
      <c r="D10980" s="767" t="s">
        <v>12</v>
      </c>
      <c r="E10980" s="767"/>
      <c r="F10980" s="764" t="s">
        <v>3</v>
      </c>
      <c r="G10980" s="10">
        <f>0.3*(G10979+G10978)-0.001</f>
        <v>6.425000000000001E-3</v>
      </c>
      <c r="H10980" s="538"/>
    </row>
    <row r="10981" spans="2:11" x14ac:dyDescent="0.25">
      <c r="D10981" s="77" t="s">
        <v>39</v>
      </c>
      <c r="F10981" s="74" t="s">
        <v>3</v>
      </c>
      <c r="G10981" s="427">
        <f>0.012*3.14*2*0.08*1.2</f>
        <v>7.234560000000001E-3</v>
      </c>
      <c r="H10981" s="538"/>
    </row>
    <row r="10982" spans="2:11" ht="17.25" x14ac:dyDescent="0.25">
      <c r="D10982" s="77" t="s">
        <v>1055</v>
      </c>
      <c r="F10982" s="74" t="s">
        <v>596</v>
      </c>
      <c r="G10982" s="153">
        <f>1.1*G10981</f>
        <v>7.9580160000000018E-3</v>
      </c>
      <c r="H10982" s="538"/>
    </row>
    <row r="10983" spans="2:11" x14ac:dyDescent="0.25">
      <c r="D10983" s="78" t="s">
        <v>9990</v>
      </c>
      <c r="H10983" s="538"/>
    </row>
    <row r="10984" spans="2:11" x14ac:dyDescent="0.25">
      <c r="D10984" s="767" t="s">
        <v>36</v>
      </c>
      <c r="E10984" s="767"/>
      <c r="F10984" s="764" t="s">
        <v>3</v>
      </c>
      <c r="G10984" s="10">
        <f>(0.1*(0.14*3.14*3)*2*0.15*2*1.26)*0.66</f>
        <v>6.580284480000001E-2</v>
      </c>
      <c r="H10984" s="538"/>
    </row>
    <row r="10985" spans="2:11" x14ac:dyDescent="0.25">
      <c r="D10985" s="767" t="s">
        <v>8</v>
      </c>
      <c r="E10985" s="767"/>
      <c r="F10985" s="764" t="s">
        <v>3</v>
      </c>
      <c r="G10985" s="10">
        <f>G10984*0.7</f>
        <v>4.6061991360000006E-2</v>
      </c>
      <c r="H10985" s="538"/>
    </row>
    <row r="10986" spans="2:11" x14ac:dyDescent="0.25">
      <c r="D10986" s="767" t="s">
        <v>12</v>
      </c>
      <c r="E10986" s="767"/>
      <c r="F10986" s="764" t="s">
        <v>3</v>
      </c>
      <c r="G10986" s="10">
        <f>0.3*(G10985+G10984)-0.001</f>
        <v>3.2559450848E-2</v>
      </c>
      <c r="H10986" s="538"/>
    </row>
    <row r="10987" spans="2:11" s="767" customFormat="1" x14ac:dyDescent="0.25">
      <c r="B10987" s="18"/>
      <c r="F10987" s="764"/>
      <c r="G10987" s="10"/>
      <c r="H10987" s="538"/>
      <c r="J10987" s="13"/>
      <c r="K10987" s="764"/>
    </row>
    <row r="10988" spans="2:11" s="767" customFormat="1" x14ac:dyDescent="0.25">
      <c r="B10988" s="18"/>
      <c r="C10988" s="3" t="s">
        <v>9992</v>
      </c>
      <c r="D10988"/>
      <c r="E10988"/>
      <c r="F10988" s="431" t="s">
        <v>2180</v>
      </c>
      <c r="G10988" s="10"/>
      <c r="H10988" s="538"/>
      <c r="J10988" s="13"/>
      <c r="K10988" s="764"/>
    </row>
    <row r="10989" spans="2:11" s="767" customFormat="1" x14ac:dyDescent="0.25">
      <c r="B10989" s="18"/>
      <c r="C10989" t="s">
        <v>9720</v>
      </c>
      <c r="D10989"/>
      <c r="E10989"/>
      <c r="F10989" s="431"/>
      <c r="G10989" s="10"/>
      <c r="H10989" s="538"/>
      <c r="J10989" s="13"/>
      <c r="K10989" s="764"/>
    </row>
    <row r="10990" spans="2:11" s="767" customFormat="1" x14ac:dyDescent="0.25">
      <c r="B10990" s="18"/>
      <c r="C10990"/>
      <c r="D10990" s="3" t="s">
        <v>9993</v>
      </c>
      <c r="E10990"/>
      <c r="F10990" s="431"/>
      <c r="G10990" s="10"/>
      <c r="H10990" s="538"/>
      <c r="J10990" s="13"/>
      <c r="K10990" s="764"/>
    </row>
    <row r="10991" spans="2:11" s="767" customFormat="1" x14ac:dyDescent="0.25">
      <c r="B10991" s="18"/>
      <c r="C10991"/>
      <c r="D10991" s="77" t="s">
        <v>39</v>
      </c>
      <c r="F10991" s="74" t="s">
        <v>3</v>
      </c>
      <c r="G10991" s="427">
        <f>0.012*3.14*2*0.08*1.2</f>
        <v>7.234560000000001E-3</v>
      </c>
      <c r="H10991" s="538"/>
      <c r="J10991" s="13"/>
      <c r="K10991" s="764"/>
    </row>
    <row r="10992" spans="2:11" s="767" customFormat="1" ht="17.25" x14ac:dyDescent="0.25">
      <c r="B10992" s="18"/>
      <c r="C10992"/>
      <c r="D10992" s="77" t="s">
        <v>1055</v>
      </c>
      <c r="F10992" s="74" t="s">
        <v>596</v>
      </c>
      <c r="G10992" s="153">
        <f>1.1*G10991</f>
        <v>7.9580160000000018E-3</v>
      </c>
      <c r="H10992" s="538"/>
      <c r="J10992" s="13"/>
      <c r="K10992" s="764"/>
    </row>
    <row r="10993" spans="1:11" s="767" customFormat="1" x14ac:dyDescent="0.25">
      <c r="B10993" s="18"/>
      <c r="C10993"/>
      <c r="D10993" s="77" t="s">
        <v>115</v>
      </c>
      <c r="E10993"/>
      <c r="F10993" s="431" t="s">
        <v>3</v>
      </c>
      <c r="G10993" s="10">
        <f>0.4*0.4*2*0.15*2*1.3</f>
        <v>0.12480000000000002</v>
      </c>
      <c r="H10993" s="538"/>
      <c r="J10993" s="13"/>
      <c r="K10993" s="764"/>
    </row>
    <row r="10994" spans="1:11" s="767" customFormat="1" x14ac:dyDescent="0.25">
      <c r="B10994" s="18"/>
      <c r="C10994"/>
      <c r="D10994" s="77" t="s">
        <v>8</v>
      </c>
      <c r="E10994"/>
      <c r="F10994" s="431" t="s">
        <v>3</v>
      </c>
      <c r="G10994" s="10">
        <f>G10993*0.64</f>
        <v>7.9872000000000012E-2</v>
      </c>
      <c r="H10994" s="538"/>
      <c r="J10994" s="13"/>
      <c r="K10994" s="764"/>
    </row>
    <row r="10995" spans="1:11" s="767" customFormat="1" x14ac:dyDescent="0.25">
      <c r="B10995" s="18"/>
      <c r="C10995"/>
      <c r="D10995" s="77" t="s">
        <v>12</v>
      </c>
      <c r="E10995"/>
      <c r="F10995" s="431" t="s">
        <v>3</v>
      </c>
      <c r="G10995" s="10">
        <f>0.3*(G10994+G10993)-0.001</f>
        <v>6.04016E-2</v>
      </c>
      <c r="H10995" s="538"/>
      <c r="J10995" s="13"/>
      <c r="K10995" s="764"/>
    </row>
    <row r="10996" spans="1:11" x14ac:dyDescent="0.25">
      <c r="A10996" s="539"/>
      <c r="B10996" s="730"/>
      <c r="C10996" s="539"/>
      <c r="D10996" s="539"/>
      <c r="E10996" s="539"/>
      <c r="F10996" s="599"/>
      <c r="G10996" s="600"/>
      <c r="H10996" s="540"/>
    </row>
    <row r="10997" spans="1:11" s="767" customFormat="1" x14ac:dyDescent="0.25">
      <c r="A10997" s="73"/>
      <c r="B10997" s="106"/>
      <c r="C10997" s="73"/>
      <c r="D10997" s="73"/>
      <c r="E10997" s="73"/>
      <c r="F10997" s="74"/>
      <c r="G10997" s="153"/>
      <c r="H10997" s="601"/>
      <c r="J10997" s="13"/>
      <c r="K10997" s="783"/>
    </row>
    <row r="10998" spans="1:11" x14ac:dyDescent="0.25">
      <c r="G10998" s="10" t="s">
        <v>10051</v>
      </c>
      <c r="H10998" s="538"/>
    </row>
    <row r="10999" spans="1:11" s="767" customFormat="1" ht="15.75" x14ac:dyDescent="0.25">
      <c r="B10999" s="18"/>
      <c r="E10999" s="735" t="s">
        <v>10048</v>
      </c>
      <c r="F10999" s="783"/>
      <c r="H10999" s="538"/>
      <c r="I10999" s="767" t="s">
        <v>10047</v>
      </c>
      <c r="J10999" s="13"/>
      <c r="K10999" s="783"/>
    </row>
    <row r="11000" spans="1:11" s="767" customFormat="1" ht="15.75" x14ac:dyDescent="0.25">
      <c r="B11000" s="18"/>
      <c r="E11000" s="735" t="s">
        <v>10049</v>
      </c>
      <c r="F11000" s="783"/>
      <c r="G11000" s="10"/>
      <c r="H11000" s="538"/>
      <c r="J11000" s="13"/>
      <c r="K11000" s="783"/>
    </row>
    <row r="11001" spans="1:11" s="767" customFormat="1" x14ac:dyDescent="0.25">
      <c r="B11001" s="18"/>
      <c r="E11001" s="570"/>
      <c r="F11001" s="783"/>
      <c r="G11001" s="10"/>
      <c r="H11001" s="538"/>
      <c r="J11001" s="13"/>
      <c r="K11001" s="783"/>
    </row>
    <row r="11002" spans="1:11" s="767" customFormat="1" x14ac:dyDescent="0.25">
      <c r="B11002" s="18"/>
      <c r="C11002" s="3" t="s">
        <v>10045</v>
      </c>
      <c r="F11002" s="783"/>
      <c r="G11002" s="10"/>
      <c r="H11002" s="538"/>
      <c r="J11002" s="13"/>
      <c r="K11002" s="783"/>
    </row>
    <row r="11003" spans="1:11" s="767" customFormat="1" x14ac:dyDescent="0.25">
      <c r="B11003" s="18"/>
      <c r="C11003" s="767" t="s">
        <v>10046</v>
      </c>
      <c r="F11003" s="783" t="s">
        <v>195</v>
      </c>
      <c r="G11003" s="10">
        <v>1.04</v>
      </c>
      <c r="H11003" s="538"/>
      <c r="I11003" s="767" t="s">
        <v>10050</v>
      </c>
      <c r="J11003" s="13"/>
      <c r="K11003" s="783"/>
    </row>
    <row r="11004" spans="1:11" s="767" customFormat="1" x14ac:dyDescent="0.25">
      <c r="A11004" s="539"/>
      <c r="B11004" s="730"/>
      <c r="C11004" s="539"/>
      <c r="D11004" s="539"/>
      <c r="E11004" s="539"/>
      <c r="F11004" s="599"/>
      <c r="G11004" s="600"/>
      <c r="H11004" s="540"/>
      <c r="J11004" s="13"/>
      <c r="K11004" s="783"/>
    </row>
    <row r="11005" spans="1:11" s="767" customFormat="1" x14ac:dyDescent="0.25">
      <c r="B11005" s="18"/>
      <c r="F11005" s="783"/>
      <c r="G11005" s="10"/>
      <c r="H11005" s="771" t="s">
        <v>10187</v>
      </c>
      <c r="J11005" s="13"/>
      <c r="K11005" s="783"/>
    </row>
    <row r="11006" spans="1:11" s="767" customFormat="1" ht="18.75" x14ac:dyDescent="0.3">
      <c r="B11006" s="18"/>
      <c r="E11006" s="110" t="s">
        <v>10186</v>
      </c>
      <c r="F11006" s="795"/>
      <c r="G11006" s="10"/>
      <c r="H11006" s="538"/>
      <c r="J11006" s="13"/>
      <c r="K11006" s="795"/>
    </row>
    <row r="11007" spans="1:11" s="767" customFormat="1" ht="18.75" x14ac:dyDescent="0.3">
      <c r="B11007" s="18"/>
      <c r="E11007" s="110"/>
      <c r="F11007" s="795"/>
      <c r="G11007" s="10"/>
      <c r="H11007" s="538"/>
      <c r="J11007" s="13"/>
      <c r="K11007" s="795"/>
    </row>
    <row r="11008" spans="1:11" s="767" customFormat="1" x14ac:dyDescent="0.25">
      <c r="B11008" s="18"/>
      <c r="F11008" s="794"/>
      <c r="G11008" s="10"/>
      <c r="H11008" s="538"/>
      <c r="J11008" s="13"/>
      <c r="K11008" s="794"/>
    </row>
    <row r="11009" spans="2:12" s="767" customFormat="1" x14ac:dyDescent="0.25">
      <c r="B11009" s="18"/>
      <c r="C11009" s="3" t="s">
        <v>10164</v>
      </c>
      <c r="F11009" s="794"/>
      <c r="G11009" s="10"/>
      <c r="H11009" s="538"/>
      <c r="J11009" s="13"/>
      <c r="K11009" s="794"/>
    </row>
    <row r="11010" spans="2:12" s="767" customFormat="1" x14ac:dyDescent="0.25">
      <c r="B11010" s="18"/>
      <c r="C11010" s="767" t="s">
        <v>10165</v>
      </c>
      <c r="F11010" s="794" t="s">
        <v>3</v>
      </c>
      <c r="G11010" s="10">
        <f>0.271*L11010</f>
        <v>0.39024000000000003</v>
      </c>
      <c r="H11010" s="538"/>
      <c r="I11010" s="789" t="s">
        <v>10149</v>
      </c>
      <c r="J11010" s="796">
        <v>1.2929999999999999</v>
      </c>
      <c r="K11010" s="789" t="s">
        <v>10150</v>
      </c>
      <c r="L11010" s="608">
        <v>1.44</v>
      </c>
    </row>
    <row r="11011" spans="2:12" s="767" customFormat="1" x14ac:dyDescent="0.25">
      <c r="B11011" s="18"/>
      <c r="F11011" s="794"/>
      <c r="G11011" s="10"/>
      <c r="H11011" s="538"/>
      <c r="J11011" s="13"/>
      <c r="K11011" s="794"/>
      <c r="L11011" s="13"/>
    </row>
    <row r="11012" spans="2:12" s="767" customFormat="1" x14ac:dyDescent="0.25">
      <c r="B11012" s="18"/>
      <c r="C11012" s="3" t="s">
        <v>10166</v>
      </c>
      <c r="F11012" s="794"/>
      <c r="G11012" s="10"/>
      <c r="H11012" s="538"/>
      <c r="J11012" s="13"/>
      <c r="K11012" s="794"/>
      <c r="L11012" s="13"/>
    </row>
    <row r="11013" spans="2:12" s="767" customFormat="1" x14ac:dyDescent="0.25">
      <c r="B11013" s="18"/>
      <c r="C11013" s="767" t="s">
        <v>10167</v>
      </c>
      <c r="F11013" s="794" t="s">
        <v>3</v>
      </c>
      <c r="G11013" s="10">
        <f>0.37*0.07</f>
        <v>2.5900000000000003E-2</v>
      </c>
      <c r="H11013" s="538"/>
      <c r="I11013" s="789" t="s">
        <v>10149</v>
      </c>
      <c r="J11013" s="796">
        <v>5.8000000000000003E-2</v>
      </c>
      <c r="K11013" s="789" t="s">
        <v>10150</v>
      </c>
      <c r="L11013" s="608">
        <v>7.0000000000000007E-2</v>
      </c>
    </row>
    <row r="11014" spans="2:12" s="767" customFormat="1" x14ac:dyDescent="0.25">
      <c r="B11014" s="18"/>
      <c r="F11014" s="794"/>
      <c r="G11014" s="10"/>
      <c r="H11014" s="538"/>
      <c r="J11014" s="13"/>
      <c r="K11014" s="794"/>
    </row>
    <row r="11015" spans="2:12" s="767" customFormat="1" x14ac:dyDescent="0.25">
      <c r="B11015" s="18"/>
      <c r="C11015" s="3" t="s">
        <v>10168</v>
      </c>
      <c r="F11015" s="794"/>
      <c r="G11015" s="10"/>
      <c r="H11015" s="538"/>
      <c r="J11015" s="13"/>
      <c r="K11015" s="794"/>
    </row>
    <row r="11016" spans="2:12" s="767" customFormat="1" x14ac:dyDescent="0.25">
      <c r="B11016" s="18"/>
      <c r="C11016" s="767" t="s">
        <v>8</v>
      </c>
      <c r="F11016" s="794" t="s">
        <v>3</v>
      </c>
      <c r="G11016" s="10">
        <f>G11017*0.65</f>
        <v>2.7436499999999999E-2</v>
      </c>
      <c r="H11016" s="538"/>
      <c r="J11016" s="13"/>
      <c r="K11016" s="794"/>
    </row>
    <row r="11017" spans="2:12" s="767" customFormat="1" x14ac:dyDescent="0.25">
      <c r="B11017" s="18"/>
      <c r="C11017" s="767" t="s">
        <v>879</v>
      </c>
      <c r="F11017" s="794" t="s">
        <v>3</v>
      </c>
      <c r="G11017" s="10">
        <f>0.335*0.21*0.15*2*2</f>
        <v>4.2209999999999998E-2</v>
      </c>
      <c r="H11017" s="538"/>
      <c r="J11017" s="13"/>
      <c r="K11017" s="794"/>
    </row>
    <row r="11018" spans="2:12" s="767" customFormat="1" x14ac:dyDescent="0.25">
      <c r="B11018" s="18"/>
      <c r="C11018" s="767" t="s">
        <v>12</v>
      </c>
      <c r="F11018" s="794" t="s">
        <v>3</v>
      </c>
      <c r="G11018" s="10">
        <f>0.3*(G11017+G11016)</f>
        <v>2.0893949999999998E-2</v>
      </c>
      <c r="H11018" s="538"/>
      <c r="J11018" s="13"/>
      <c r="K11018" s="794"/>
    </row>
    <row r="11019" spans="2:12" s="767" customFormat="1" x14ac:dyDescent="0.25">
      <c r="B11019" s="18"/>
      <c r="D11019" s="3" t="s">
        <v>10169</v>
      </c>
      <c r="F11019" s="794"/>
      <c r="G11019" s="10"/>
      <c r="H11019" s="538"/>
      <c r="J11019" s="13"/>
      <c r="K11019" s="794"/>
    </row>
    <row r="11020" spans="2:12" s="767" customFormat="1" x14ac:dyDescent="0.25">
      <c r="B11020" s="18"/>
      <c r="D11020" s="767" t="s">
        <v>9891</v>
      </c>
      <c r="F11020" s="794" t="s">
        <v>207</v>
      </c>
      <c r="G11020" s="10">
        <f>0.335*0.21</f>
        <v>7.0349999999999996E-2</v>
      </c>
      <c r="H11020" s="538"/>
      <c r="J11020" s="13"/>
      <c r="K11020" s="794"/>
    </row>
    <row r="11021" spans="2:12" s="767" customFormat="1" x14ac:dyDescent="0.25">
      <c r="B11021" s="18"/>
      <c r="D11021" s="3" t="s">
        <v>10170</v>
      </c>
      <c r="F11021" s="794"/>
      <c r="G11021" s="10"/>
      <c r="H11021" s="538"/>
      <c r="J11021" s="13"/>
      <c r="K11021" s="794"/>
    </row>
    <row r="11022" spans="2:12" s="767" customFormat="1" x14ac:dyDescent="0.25">
      <c r="B11022" s="18"/>
      <c r="D11022" s="767" t="s">
        <v>9845</v>
      </c>
      <c r="F11022" s="794" t="s">
        <v>3</v>
      </c>
      <c r="G11022" s="10">
        <f>0.32*0.21*1.5*8</f>
        <v>0.80640000000000001</v>
      </c>
      <c r="H11022" s="538"/>
      <c r="J11022" s="13"/>
      <c r="K11022" s="794"/>
    </row>
    <row r="11023" spans="2:12" s="767" customFormat="1" x14ac:dyDescent="0.25">
      <c r="B11023" s="18"/>
      <c r="F11023" s="794"/>
      <c r="G11023" s="10"/>
      <c r="H11023" s="538"/>
      <c r="J11023" s="13"/>
      <c r="K11023" s="794"/>
    </row>
    <row r="11024" spans="2:12" s="767" customFormat="1" x14ac:dyDescent="0.25">
      <c r="B11024" s="18"/>
      <c r="C11024" s="3" t="s">
        <v>10171</v>
      </c>
      <c r="F11024" s="794"/>
      <c r="G11024" s="10"/>
      <c r="H11024" s="538"/>
      <c r="J11024" s="13"/>
      <c r="K11024" s="794"/>
    </row>
    <row r="11025" spans="2:11" s="767" customFormat="1" x14ac:dyDescent="0.25">
      <c r="B11025" s="18"/>
      <c r="C11025" s="767" t="s">
        <v>8</v>
      </c>
      <c r="F11025" s="795" t="s">
        <v>3</v>
      </c>
      <c r="G11025" s="10">
        <f>G11026*0.65</f>
        <v>4.5747000000000003E-2</v>
      </c>
      <c r="H11025" s="538"/>
      <c r="J11025" s="13"/>
      <c r="K11025" s="794"/>
    </row>
    <row r="11026" spans="2:11" s="767" customFormat="1" x14ac:dyDescent="0.25">
      <c r="B11026" s="18"/>
      <c r="C11026" s="767" t="s">
        <v>879</v>
      </c>
      <c r="F11026" s="795" t="s">
        <v>3</v>
      </c>
      <c r="G11026" s="10">
        <f>0.63*0.21*0.15*2*2-0.009</f>
        <v>7.0379999999999998E-2</v>
      </c>
      <c r="H11026" s="538"/>
      <c r="J11026" s="13"/>
      <c r="K11026" s="794"/>
    </row>
    <row r="11027" spans="2:11" s="767" customFormat="1" x14ac:dyDescent="0.25">
      <c r="B11027" s="18"/>
      <c r="C11027" s="767" t="s">
        <v>12</v>
      </c>
      <c r="F11027" s="795" t="s">
        <v>3</v>
      </c>
      <c r="G11027" s="10">
        <f>0.3*(G11026+G11025)</f>
        <v>3.4838100000000004E-2</v>
      </c>
      <c r="H11027" s="538"/>
      <c r="J11027" s="13"/>
      <c r="K11027" s="794"/>
    </row>
    <row r="11028" spans="2:11" s="767" customFormat="1" x14ac:dyDescent="0.25">
      <c r="B11028" s="18"/>
      <c r="D11028" s="781" t="s">
        <v>10172</v>
      </c>
      <c r="F11028" s="794"/>
      <c r="G11028" s="10"/>
      <c r="H11028" s="538"/>
      <c r="J11028" s="13"/>
      <c r="K11028" s="794"/>
    </row>
    <row r="11029" spans="2:11" s="767" customFormat="1" x14ac:dyDescent="0.25">
      <c r="B11029" s="18"/>
      <c r="D11029" s="767" t="s">
        <v>9891</v>
      </c>
      <c r="F11029" s="795" t="s">
        <v>207</v>
      </c>
      <c r="G11029" s="10">
        <f>0.675*0.237</f>
        <v>0.15997500000000001</v>
      </c>
      <c r="H11029" s="538"/>
      <c r="J11029" s="13"/>
      <c r="K11029" s="794"/>
    </row>
    <row r="11030" spans="2:11" s="767" customFormat="1" x14ac:dyDescent="0.25">
      <c r="B11030" s="18"/>
      <c r="D11030" s="781" t="s">
        <v>10173</v>
      </c>
      <c r="F11030" s="794"/>
      <c r="G11030" s="10"/>
      <c r="H11030" s="538"/>
      <c r="J11030" s="13"/>
      <c r="K11030" s="794"/>
    </row>
    <row r="11031" spans="2:11" s="767" customFormat="1" x14ac:dyDescent="0.25">
      <c r="B11031" s="18"/>
      <c r="D11031" s="767" t="s">
        <v>9845</v>
      </c>
      <c r="F11031" s="795" t="s">
        <v>3</v>
      </c>
      <c r="G11031" s="10">
        <f>0.66*0.22*1.5*8*1.1075</f>
        <v>1.9297079999999998</v>
      </c>
      <c r="H11031" s="538"/>
      <c r="J11031" s="13"/>
      <c r="K11031" s="794"/>
    </row>
    <row r="11032" spans="2:11" s="767" customFormat="1" x14ac:dyDescent="0.25">
      <c r="B11032" s="18"/>
      <c r="F11032" s="794"/>
      <c r="G11032" s="10"/>
      <c r="H11032" s="538"/>
      <c r="J11032" s="13"/>
      <c r="K11032" s="794"/>
    </row>
    <row r="11033" spans="2:11" s="767" customFormat="1" x14ac:dyDescent="0.25">
      <c r="B11033" s="18"/>
      <c r="C11033" s="3" t="s">
        <v>10174</v>
      </c>
      <c r="F11033" s="795" t="s">
        <v>2180</v>
      </c>
      <c r="G11033" s="10"/>
      <c r="H11033" s="538"/>
      <c r="J11033" s="13"/>
      <c r="K11033" s="795"/>
    </row>
    <row r="11034" spans="2:11" s="767" customFormat="1" x14ac:dyDescent="0.25">
      <c r="B11034" s="18"/>
      <c r="C11034" s="767" t="s">
        <v>10175</v>
      </c>
      <c r="F11034" s="795" t="s">
        <v>1516</v>
      </c>
      <c r="G11034" s="10">
        <v>12</v>
      </c>
      <c r="H11034" s="538"/>
      <c r="J11034" s="13"/>
      <c r="K11034" s="795"/>
    </row>
    <row r="11035" spans="2:11" s="767" customFormat="1" x14ac:dyDescent="0.25">
      <c r="B11035" s="18"/>
      <c r="C11035" s="767" t="s">
        <v>10176</v>
      </c>
      <c r="F11035" s="795" t="s">
        <v>1516</v>
      </c>
      <c r="G11035" s="10">
        <v>12</v>
      </c>
      <c r="H11035" s="538"/>
      <c r="J11035" s="13"/>
      <c r="K11035" s="795"/>
    </row>
    <row r="11036" spans="2:11" s="767" customFormat="1" x14ac:dyDescent="0.25">
      <c r="B11036" s="18"/>
      <c r="D11036" s="3" t="s">
        <v>10177</v>
      </c>
      <c r="F11036" s="795"/>
      <c r="G11036" s="10"/>
      <c r="H11036" s="538"/>
      <c r="J11036" s="13"/>
      <c r="K11036" s="795"/>
    </row>
    <row r="11037" spans="2:11" s="767" customFormat="1" x14ac:dyDescent="0.25">
      <c r="B11037" s="18"/>
      <c r="D11037" s="77" t="s">
        <v>39</v>
      </c>
      <c r="F11037" s="74" t="s">
        <v>3</v>
      </c>
      <c r="G11037" s="427">
        <f>0.9*0.08*1.18</f>
        <v>8.4960000000000008E-2</v>
      </c>
      <c r="H11037" s="538"/>
      <c r="J11037" s="13"/>
      <c r="K11037" s="795"/>
    </row>
    <row r="11038" spans="2:11" s="767" customFormat="1" ht="17.25" x14ac:dyDescent="0.25">
      <c r="B11038" s="18"/>
      <c r="D11038" s="77" t="s">
        <v>1055</v>
      </c>
      <c r="F11038" s="74" t="s">
        <v>596</v>
      </c>
      <c r="G11038" s="153">
        <f>1.1*G11037</f>
        <v>9.3456000000000011E-2</v>
      </c>
      <c r="H11038" s="538"/>
      <c r="J11038" s="13"/>
      <c r="K11038" s="795"/>
    </row>
    <row r="11039" spans="2:11" s="767" customFormat="1" x14ac:dyDescent="0.25">
      <c r="B11039" s="18"/>
      <c r="D11039" s="186" t="s">
        <v>8</v>
      </c>
      <c r="F11039" s="795" t="s">
        <v>3</v>
      </c>
      <c r="G11039" s="10">
        <f>G11040*0.65</f>
        <v>6.1666604999999992E-2</v>
      </c>
      <c r="H11039" s="538"/>
      <c r="J11039" s="13"/>
      <c r="K11039" s="795"/>
    </row>
    <row r="11040" spans="2:11" s="767" customFormat="1" x14ac:dyDescent="0.25">
      <c r="B11040" s="18"/>
      <c r="D11040" s="186" t="s">
        <v>36</v>
      </c>
      <c r="F11040" s="795" t="s">
        <v>3</v>
      </c>
      <c r="G11040" s="10">
        <f>0.37*0.37*2*0.15*2*1.155</f>
        <v>9.4871699999999989E-2</v>
      </c>
      <c r="H11040" s="538"/>
      <c r="J11040" s="13"/>
      <c r="K11040" s="795"/>
    </row>
    <row r="11041" spans="2:11" s="767" customFormat="1" x14ac:dyDescent="0.25">
      <c r="B11041" s="18"/>
      <c r="D11041" s="186" t="s">
        <v>566</v>
      </c>
      <c r="F11041" s="795" t="s">
        <v>3</v>
      </c>
      <c r="G11041" s="10">
        <f>0.3*(G11040+G11039)</f>
        <v>4.6961491499999994E-2</v>
      </c>
      <c r="H11041" s="538"/>
      <c r="J11041" s="13"/>
      <c r="K11041" s="795"/>
    </row>
    <row r="11042" spans="2:11" s="767" customFormat="1" x14ac:dyDescent="0.25">
      <c r="B11042" s="18"/>
      <c r="E11042" s="3" t="s">
        <v>10178</v>
      </c>
      <c r="F11042" s="795"/>
      <c r="G11042" s="10"/>
      <c r="H11042" s="538"/>
      <c r="J11042" s="13"/>
      <c r="K11042" s="795"/>
    </row>
    <row r="11043" spans="2:11" s="767" customFormat="1" x14ac:dyDescent="0.25">
      <c r="B11043" s="18"/>
      <c r="E11043" s="767" t="s">
        <v>9982</v>
      </c>
      <c r="F11043" s="795" t="s">
        <v>3</v>
      </c>
      <c r="G11043" s="10">
        <f>0.05*0.025*4*8*1.12</f>
        <v>4.4800000000000013E-2</v>
      </c>
      <c r="H11043" s="538"/>
      <c r="J11043" s="13"/>
      <c r="K11043" s="795"/>
    </row>
    <row r="11044" spans="2:11" s="767" customFormat="1" x14ac:dyDescent="0.25">
      <c r="B11044" s="18"/>
      <c r="E11044" s="3" t="s">
        <v>10183</v>
      </c>
      <c r="F11044" s="795"/>
      <c r="G11044" s="10"/>
      <c r="H11044" s="538"/>
      <c r="J11044" s="13"/>
      <c r="K11044" s="795"/>
    </row>
    <row r="11045" spans="2:11" s="767" customFormat="1" x14ac:dyDescent="0.25">
      <c r="B11045" s="18"/>
      <c r="E11045" s="767" t="s">
        <v>9982</v>
      </c>
      <c r="F11045" s="795" t="s">
        <v>3</v>
      </c>
      <c r="G11045" s="10">
        <f>0.12*0.04*4*8*1.12</f>
        <v>0.17203199999999999</v>
      </c>
      <c r="H11045" s="538"/>
      <c r="J11045" s="13"/>
      <c r="K11045" s="795"/>
    </row>
    <row r="11046" spans="2:11" s="767" customFormat="1" x14ac:dyDescent="0.25">
      <c r="B11046" s="18"/>
      <c r="E11046" s="3" t="s">
        <v>10179</v>
      </c>
      <c r="F11046" s="795"/>
      <c r="G11046" s="10"/>
      <c r="H11046" s="538"/>
      <c r="J11046" s="13"/>
      <c r="K11046" s="795"/>
    </row>
    <row r="11047" spans="2:11" s="767" customFormat="1" x14ac:dyDescent="0.25">
      <c r="B11047" s="18"/>
      <c r="E11047" s="767" t="s">
        <v>9982</v>
      </c>
      <c r="F11047" s="795" t="s">
        <v>3</v>
      </c>
      <c r="G11047" s="10">
        <f>0.365*0.365*4*8*1.1259</f>
        <v>4.7999368799999989</v>
      </c>
      <c r="H11047" s="538"/>
      <c r="J11047" s="13"/>
      <c r="K11047" s="794"/>
    </row>
    <row r="11048" spans="2:11" s="767" customFormat="1" x14ac:dyDescent="0.25">
      <c r="B11048" s="18"/>
      <c r="E11048" s="3" t="s">
        <v>10180</v>
      </c>
      <c r="F11048" s="795"/>
      <c r="G11048" s="10"/>
      <c r="H11048" s="538"/>
      <c r="J11048" s="13"/>
      <c r="K11048" s="783"/>
    </row>
    <row r="11049" spans="2:11" s="767" customFormat="1" x14ac:dyDescent="0.25">
      <c r="B11049" s="18"/>
      <c r="E11049" s="767" t="s">
        <v>9733</v>
      </c>
      <c r="F11049" s="795" t="s">
        <v>3</v>
      </c>
      <c r="G11049" s="10">
        <f>0.07*0.035*5*8*1.12</f>
        <v>0.10976000000000002</v>
      </c>
      <c r="H11049" s="538"/>
      <c r="J11049" s="13"/>
      <c r="K11049" s="795"/>
    </row>
    <row r="11050" spans="2:11" s="767" customFormat="1" x14ac:dyDescent="0.25">
      <c r="B11050" s="18"/>
      <c r="E11050" s="3" t="s">
        <v>10181</v>
      </c>
      <c r="F11050" s="795"/>
      <c r="G11050" s="10"/>
      <c r="H11050" s="538"/>
      <c r="J11050" s="13"/>
      <c r="K11050" s="795"/>
    </row>
    <row r="11051" spans="2:11" s="767" customFormat="1" x14ac:dyDescent="0.25">
      <c r="B11051" s="18"/>
      <c r="E11051" s="767" t="s">
        <v>10184</v>
      </c>
      <c r="F11051" s="795" t="s">
        <v>3</v>
      </c>
      <c r="G11051" s="10">
        <f>0.09*0.04*3*8*1.1</f>
        <v>9.5040000000000013E-2</v>
      </c>
      <c r="H11051" s="538"/>
      <c r="J11051" s="13"/>
      <c r="K11051" s="795"/>
    </row>
    <row r="11052" spans="2:11" s="767" customFormat="1" x14ac:dyDescent="0.25">
      <c r="B11052" s="18"/>
      <c r="E11052" s="3" t="s">
        <v>10182</v>
      </c>
      <c r="F11052" s="795"/>
      <c r="G11052" s="10"/>
      <c r="H11052" s="538"/>
      <c r="J11052" s="13"/>
      <c r="K11052" s="795"/>
    </row>
    <row r="11053" spans="2:11" s="767" customFormat="1" x14ac:dyDescent="0.25">
      <c r="B11053" s="18"/>
      <c r="E11053" s="767" t="s">
        <v>9982</v>
      </c>
      <c r="F11053" s="795" t="s">
        <v>3</v>
      </c>
      <c r="G11053" s="10">
        <f>0.045*0.045*4*8*1.125</f>
        <v>7.2899999999999993E-2</v>
      </c>
      <c r="H11053" s="538"/>
      <c r="J11053" s="13"/>
      <c r="K11053" s="795"/>
    </row>
    <row r="11054" spans="2:11" s="767" customFormat="1" x14ac:dyDescent="0.25">
      <c r="B11054" s="18"/>
      <c r="E11054" s="3"/>
      <c r="F11054" s="795"/>
      <c r="G11054" s="10"/>
      <c r="H11054" s="538"/>
      <c r="J11054" s="13"/>
      <c r="K11054" s="795"/>
    </row>
    <row r="11055" spans="2:11" s="767" customFormat="1" x14ac:dyDescent="0.25">
      <c r="B11055" s="18"/>
      <c r="C11055" s="3" t="s">
        <v>2941</v>
      </c>
      <c r="E11055" s="3"/>
      <c r="F11055" s="795"/>
      <c r="G11055" s="10"/>
      <c r="H11055" s="538"/>
      <c r="J11055" s="13"/>
      <c r="K11055" s="795"/>
    </row>
    <row r="11056" spans="2:11" s="767" customFormat="1" x14ac:dyDescent="0.25">
      <c r="B11056" s="18"/>
      <c r="C11056" s="767" t="s">
        <v>10185</v>
      </c>
      <c r="E11056" s="3"/>
      <c r="F11056" s="795" t="s">
        <v>3</v>
      </c>
      <c r="G11056" s="10">
        <f>0.04*0.04*0.5*8</f>
        <v>6.4000000000000003E-3</v>
      </c>
      <c r="H11056" s="538"/>
      <c r="J11056" s="13"/>
      <c r="K11056" s="795"/>
    </row>
    <row r="11057" spans="1:13" x14ac:dyDescent="0.25">
      <c r="A11057" s="539"/>
      <c r="B11057" s="730"/>
      <c r="C11057" s="539"/>
      <c r="D11057" s="539"/>
      <c r="E11057" s="539"/>
      <c r="F11057" s="599"/>
      <c r="G11057" s="600"/>
      <c r="H11057" s="540"/>
    </row>
    <row r="11058" spans="1:13" x14ac:dyDescent="0.25">
      <c r="C11058" s="3"/>
      <c r="H11058" s="771" t="s">
        <v>10455</v>
      </c>
    </row>
    <row r="11059" spans="1:13" s="767" customFormat="1" x14ac:dyDescent="0.25">
      <c r="B11059" s="18"/>
      <c r="C11059" s="3"/>
      <c r="E11059" s="117" t="s">
        <v>10454</v>
      </c>
      <c r="F11059" s="812"/>
      <c r="G11059" s="10"/>
      <c r="H11059" s="538"/>
      <c r="J11059" s="13"/>
      <c r="K11059" s="812"/>
    </row>
    <row r="11060" spans="1:13" x14ac:dyDescent="0.25">
      <c r="H11060" s="538"/>
      <c r="K11060" s="812"/>
      <c r="L11060" s="767"/>
    </row>
    <row r="11061" spans="1:13" x14ac:dyDescent="0.25">
      <c r="C11061" s="3" t="s">
        <v>10451</v>
      </c>
      <c r="H11061" s="538"/>
      <c r="K11061" s="812"/>
      <c r="L11061" s="767"/>
    </row>
    <row r="11062" spans="1:13" x14ac:dyDescent="0.25">
      <c r="C11062" t="s">
        <v>10452</v>
      </c>
      <c r="F11062" s="431" t="s">
        <v>3</v>
      </c>
      <c r="G11062" s="10">
        <f>2.371*L11062</f>
        <v>1.54115</v>
      </c>
      <c r="H11062" s="538"/>
      <c r="I11062" s="789" t="s">
        <v>10149</v>
      </c>
      <c r="J11062" s="796">
        <v>0.61</v>
      </c>
      <c r="K11062" s="789" t="s">
        <v>10150</v>
      </c>
      <c r="L11062" s="608">
        <v>0.65</v>
      </c>
      <c r="M11062" s="767"/>
    </row>
    <row r="11063" spans="1:13" x14ac:dyDescent="0.25">
      <c r="E11063" t="s">
        <v>2840</v>
      </c>
      <c r="H11063" s="538"/>
      <c r="K11063" s="812"/>
      <c r="L11063" s="767"/>
      <c r="M11063" s="767"/>
    </row>
    <row r="11064" spans="1:13" x14ac:dyDescent="0.25">
      <c r="C11064" s="767" t="s">
        <v>10453</v>
      </c>
      <c r="F11064" s="431" t="s">
        <v>3</v>
      </c>
      <c r="G11064" s="10">
        <f>2.371*L11064</f>
        <v>1.54115</v>
      </c>
      <c r="H11064" s="538"/>
      <c r="I11064" s="789" t="s">
        <v>10149</v>
      </c>
      <c r="J11064" s="796">
        <v>0.61</v>
      </c>
      <c r="K11064" s="789" t="s">
        <v>10150</v>
      </c>
      <c r="L11064" s="608">
        <v>0.65</v>
      </c>
    </row>
    <row r="11065" spans="1:13" x14ac:dyDescent="0.25">
      <c r="A11065" s="539"/>
      <c r="B11065" s="730"/>
      <c r="C11065" s="539"/>
      <c r="D11065" s="539"/>
      <c r="E11065" s="539"/>
      <c r="F11065" s="599"/>
      <c r="G11065" s="600"/>
      <c r="H11065" s="540"/>
      <c r="K11065" s="812"/>
      <c r="L11065" s="767"/>
    </row>
    <row r="11066" spans="1:13" x14ac:dyDescent="0.25">
      <c r="H11066" s="601"/>
      <c r="K11066" s="812"/>
      <c r="L11066" s="767"/>
      <c r="M11066" s="767"/>
    </row>
    <row r="11067" spans="1:13" x14ac:dyDescent="0.25">
      <c r="E11067" s="117" t="s">
        <v>10648</v>
      </c>
      <c r="H11067" s="538"/>
    </row>
    <row r="11068" spans="1:13" x14ac:dyDescent="0.25">
      <c r="E11068" s="570" t="s">
        <v>10649</v>
      </c>
      <c r="H11068" s="538"/>
    </row>
    <row r="11069" spans="1:13" x14ac:dyDescent="0.25">
      <c r="H11069" s="538"/>
    </row>
    <row r="11070" spans="1:13" x14ac:dyDescent="0.25">
      <c r="C11070" s="3" t="s">
        <v>10650</v>
      </c>
      <c r="H11070" s="538"/>
    </row>
    <row r="11071" spans="1:13" x14ac:dyDescent="0.25">
      <c r="C11071" s="77" t="s">
        <v>39</v>
      </c>
      <c r="D11071" s="767"/>
      <c r="F11071" s="74" t="s">
        <v>3</v>
      </c>
      <c r="G11071" s="427">
        <f>0.008*3.14*2*0.08*1.3</f>
        <v>5.2249599999999998E-3</v>
      </c>
      <c r="H11071" s="538"/>
    </row>
    <row r="11072" spans="1:13" ht="17.25" x14ac:dyDescent="0.25">
      <c r="C11072" s="77" t="s">
        <v>1055</v>
      </c>
      <c r="D11072" s="767"/>
      <c r="F11072" s="74" t="s">
        <v>596</v>
      </c>
      <c r="G11072" s="153">
        <f>1.1*G11071</f>
        <v>5.7474560000000006E-3</v>
      </c>
      <c r="H11072" s="538"/>
    </row>
    <row r="11073" spans="1:12" x14ac:dyDescent="0.25">
      <c r="H11073" s="538"/>
    </row>
    <row r="11074" spans="1:12" x14ac:dyDescent="0.25">
      <c r="C11074" s="3" t="s">
        <v>10651</v>
      </c>
      <c r="H11074" s="538"/>
    </row>
    <row r="11075" spans="1:12" x14ac:dyDescent="0.25">
      <c r="C11075" t="s">
        <v>10652</v>
      </c>
      <c r="F11075" s="431" t="s">
        <v>3</v>
      </c>
      <c r="G11075" s="10">
        <f>0.228* L11075</f>
        <v>0.45600000000000002</v>
      </c>
      <c r="H11075" s="538"/>
      <c r="I11075" s="789" t="s">
        <v>10149</v>
      </c>
      <c r="J11075" s="796">
        <v>1.8</v>
      </c>
      <c r="K11075" s="789" t="s">
        <v>10150</v>
      </c>
      <c r="L11075" s="608">
        <v>2</v>
      </c>
    </row>
    <row r="11076" spans="1:12" x14ac:dyDescent="0.25">
      <c r="H11076" s="538"/>
    </row>
    <row r="11077" spans="1:12" x14ac:dyDescent="0.25">
      <c r="H11077" s="538"/>
    </row>
    <row r="11078" spans="1:12" x14ac:dyDescent="0.25">
      <c r="C11078" s="3" t="s">
        <v>10747</v>
      </c>
      <c r="H11078" s="538"/>
    </row>
    <row r="11079" spans="1:12" x14ac:dyDescent="0.25">
      <c r="C11079" t="s">
        <v>9932</v>
      </c>
      <c r="F11079" s="431" t="s">
        <v>3</v>
      </c>
      <c r="G11079" s="10">
        <f>0.125*0.08*2*8*1.125</f>
        <v>0.18</v>
      </c>
      <c r="H11079" s="538"/>
    </row>
    <row r="11080" spans="1:12" x14ac:dyDescent="0.25">
      <c r="C11080" t="s">
        <v>8</v>
      </c>
      <c r="F11080" s="431" t="s">
        <v>3</v>
      </c>
      <c r="G11080" s="10">
        <f>G11081*0.7</f>
        <v>4.7774999999999996E-3</v>
      </c>
      <c r="H11080" s="538"/>
    </row>
    <row r="11081" spans="1:12" x14ac:dyDescent="0.25">
      <c r="C11081" t="s">
        <v>115</v>
      </c>
      <c r="F11081" s="431" t="s">
        <v>3</v>
      </c>
      <c r="G11081" s="10">
        <f>0.125*0.07*2*0.15*2*1.3</f>
        <v>6.8250000000000003E-3</v>
      </c>
      <c r="H11081" s="538"/>
    </row>
    <row r="11082" spans="1:12" x14ac:dyDescent="0.25">
      <c r="C11082" t="s">
        <v>12</v>
      </c>
      <c r="F11082" s="431" t="s">
        <v>3</v>
      </c>
      <c r="G11082" s="10">
        <f>0.3*(G11081+G11080)</f>
        <v>3.4807499999999999E-3</v>
      </c>
      <c r="H11082" s="538"/>
    </row>
    <row r="11083" spans="1:12" x14ac:dyDescent="0.25">
      <c r="H11083" s="538"/>
    </row>
    <row r="11084" spans="1:12" x14ac:dyDescent="0.25">
      <c r="C11084" s="3" t="s">
        <v>10748</v>
      </c>
      <c r="H11084" s="538"/>
    </row>
    <row r="11085" spans="1:12" x14ac:dyDescent="0.25">
      <c r="C11085" s="767" t="s">
        <v>9932</v>
      </c>
      <c r="D11085" s="767"/>
      <c r="E11085" s="767"/>
      <c r="F11085" s="934" t="s">
        <v>3</v>
      </c>
      <c r="G11085" s="10">
        <f>0.085*0.1*2*8*1.12</f>
        <v>0.15232000000000004</v>
      </c>
      <c r="H11085" s="538"/>
    </row>
    <row r="11086" spans="1:12" x14ac:dyDescent="0.25">
      <c r="A11086" s="539"/>
      <c r="B11086" s="730"/>
      <c r="C11086" s="539"/>
      <c r="D11086" s="539"/>
      <c r="E11086" s="539"/>
      <c r="F11086" s="599"/>
      <c r="G11086" s="600"/>
      <c r="H11086" s="540"/>
    </row>
    <row r="11087" spans="1:12" x14ac:dyDescent="0.25">
      <c r="H11087" s="771" t="s">
        <v>11772</v>
      </c>
      <c r="I11087" t="s">
        <v>11392</v>
      </c>
    </row>
    <row r="11088" spans="1:12" x14ac:dyDescent="0.25">
      <c r="C11088" s="3" t="s">
        <v>11390</v>
      </c>
      <c r="H11088" s="538"/>
    </row>
    <row r="11089" spans="1:11" x14ac:dyDescent="0.25">
      <c r="A11089" s="539"/>
      <c r="B11089" s="730"/>
      <c r="C11089" s="539" t="s">
        <v>11391</v>
      </c>
      <c r="D11089" s="539"/>
      <c r="E11089" s="539"/>
      <c r="F11089" s="599" t="s">
        <v>3</v>
      </c>
      <c r="G11089" s="600">
        <f>0.032*0.04*0.3*8*1.15</f>
        <v>3.5328E-3</v>
      </c>
      <c r="H11089" s="540"/>
    </row>
    <row r="11090" spans="1:11" x14ac:dyDescent="0.25">
      <c r="H11090" s="771" t="s">
        <v>11776</v>
      </c>
    </row>
    <row r="11091" spans="1:11" s="767" customFormat="1" ht="18.75" x14ac:dyDescent="0.3">
      <c r="B11091" s="18"/>
      <c r="E11091" s="110" t="s">
        <v>11777</v>
      </c>
      <c r="F11091" s="994"/>
      <c r="G11091" s="10"/>
      <c r="H11091" s="538"/>
      <c r="J11091" s="13"/>
      <c r="K11091" s="994"/>
    </row>
    <row r="11092" spans="1:11" s="767" customFormat="1" x14ac:dyDescent="0.25">
      <c r="B11092" s="18"/>
      <c r="F11092" s="994"/>
      <c r="G11092" s="10"/>
      <c r="H11092" s="538"/>
      <c r="J11092" s="13"/>
      <c r="K11092" s="994"/>
    </row>
    <row r="11093" spans="1:11" x14ac:dyDescent="0.25">
      <c r="C11093" s="3" t="s">
        <v>11773</v>
      </c>
      <c r="H11093" s="538"/>
    </row>
    <row r="11094" spans="1:11" x14ac:dyDescent="0.25">
      <c r="C11094" s="73" t="s">
        <v>11774</v>
      </c>
      <c r="D11094" s="100"/>
      <c r="E11094" s="767"/>
      <c r="F11094" s="74" t="s">
        <v>3</v>
      </c>
      <c r="G11094" s="427">
        <f>(0.08*3.14+0.05*3.14+0.02*3.14*2)*0.05*1.3</f>
        <v>3.4697000000000006E-2</v>
      </c>
      <c r="H11094" s="538"/>
    </row>
    <row r="11095" spans="1:11" ht="17.25" x14ac:dyDescent="0.25">
      <c r="C11095" s="73" t="s">
        <v>168</v>
      </c>
      <c r="D11095" s="100"/>
      <c r="E11095" s="767"/>
      <c r="F11095" s="74" t="s">
        <v>596</v>
      </c>
      <c r="G11095" s="153">
        <f>1.08*G11094</f>
        <v>3.7472760000000008E-2</v>
      </c>
      <c r="H11095" s="538"/>
    </row>
    <row r="11096" spans="1:11" x14ac:dyDescent="0.25">
      <c r="H11096" s="538"/>
    </row>
    <row r="11097" spans="1:11" x14ac:dyDescent="0.25">
      <c r="C11097" s="3" t="s">
        <v>11775</v>
      </c>
      <c r="H11097" s="538"/>
    </row>
    <row r="11098" spans="1:11" x14ac:dyDescent="0.25">
      <c r="C11098" s="73" t="s">
        <v>11774</v>
      </c>
      <c r="D11098" s="100"/>
      <c r="E11098" s="767"/>
      <c r="F11098" s="74" t="s">
        <v>3</v>
      </c>
      <c r="G11098" s="427">
        <f>(0.015*3.14)*0.1*1.3</f>
        <v>6.1230000000000008E-3</v>
      </c>
      <c r="H11098" s="538"/>
    </row>
    <row r="11099" spans="1:11" ht="17.25" x14ac:dyDescent="0.25">
      <c r="C11099" s="73" t="s">
        <v>168</v>
      </c>
      <c r="D11099" s="100"/>
      <c r="E11099" s="767"/>
      <c r="F11099" s="74" t="s">
        <v>596</v>
      </c>
      <c r="G11099" s="153">
        <f>1.08*G11098</f>
        <v>6.6128400000000018E-3</v>
      </c>
      <c r="H11099" s="538"/>
    </row>
    <row r="11100" spans="1:11" x14ac:dyDescent="0.25">
      <c r="A11100" s="539"/>
      <c r="B11100" s="730"/>
      <c r="C11100" s="539"/>
      <c r="D11100" s="539"/>
      <c r="E11100" s="539"/>
      <c r="F11100" s="599"/>
      <c r="G11100" s="600"/>
      <c r="H11100" s="540"/>
    </row>
  </sheetData>
  <sortState ref="C10629:G10641">
    <sortCondition ref="C10629"/>
  </sortState>
  <dataConsolidate/>
  <mergeCells count="3">
    <mergeCell ref="F103:G103"/>
    <mergeCell ref="J947:J949"/>
    <mergeCell ref="J1100:J1102"/>
  </mergeCells>
  <pageMargins left="0.98425196850393704" right="0.98425196850393704" top="0.27559055118110237" bottom="0.27559055118110237" header="0.51181102362204722" footer="0.51181102362204722"/>
  <pageSetup paperSize="9" orientation="portrait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M154"/>
  <sheetViews>
    <sheetView zoomScaleNormal="100" zoomScaleSheetLayoutView="85" workbookViewId="0">
      <selection activeCell="H160" sqref="H160"/>
    </sheetView>
  </sheetViews>
  <sheetFormatPr defaultRowHeight="15" x14ac:dyDescent="0.25"/>
  <cols>
    <col min="1" max="1" width="3.85546875" customWidth="1"/>
    <col min="2" max="2" width="5.42578125" customWidth="1"/>
    <col min="3" max="3" width="2.140625" customWidth="1"/>
    <col min="4" max="4" width="2.42578125" customWidth="1"/>
    <col min="5" max="5" width="43.5703125" customWidth="1"/>
    <col min="6" max="6" width="4.85546875" style="258" customWidth="1"/>
    <col min="7" max="7" width="9.5703125" style="10" bestFit="1" customWidth="1"/>
    <col min="8" max="8" width="18.7109375" customWidth="1"/>
    <col min="9" max="9" width="4.5703125" customWidth="1"/>
    <col min="11" max="11" width="4.85546875" customWidth="1"/>
  </cols>
  <sheetData>
    <row r="1" spans="2:10" x14ac:dyDescent="0.25">
      <c r="E1" s="3" t="s">
        <v>2329</v>
      </c>
    </row>
    <row r="2" spans="2:10" x14ac:dyDescent="0.25">
      <c r="B2" s="96"/>
      <c r="C2" s="78"/>
      <c r="D2" s="78"/>
      <c r="G2" s="153"/>
      <c r="J2" s="203"/>
    </row>
    <row r="3" spans="2:10" x14ac:dyDescent="0.25">
      <c r="B3" s="96"/>
      <c r="C3" s="78" t="s">
        <v>1539</v>
      </c>
      <c r="D3" s="78"/>
      <c r="G3" s="153"/>
      <c r="J3" s="205"/>
    </row>
    <row r="4" spans="2:10" x14ac:dyDescent="0.25">
      <c r="B4" s="96"/>
      <c r="C4" s="77" t="s">
        <v>1540</v>
      </c>
      <c r="D4" s="78"/>
      <c r="F4" s="258" t="s">
        <v>3</v>
      </c>
      <c r="G4" s="153">
        <f>0.05*0.036*1*8*1.18</f>
        <v>1.6992E-2</v>
      </c>
      <c r="J4" s="205"/>
    </row>
    <row r="5" spans="2:10" x14ac:dyDescent="0.25">
      <c r="B5" s="96"/>
      <c r="C5" s="78"/>
      <c r="D5" s="78"/>
      <c r="G5" s="153"/>
      <c r="J5" s="205"/>
    </row>
    <row r="6" spans="2:10" x14ac:dyDescent="0.25">
      <c r="B6" s="96"/>
      <c r="C6" s="78" t="s">
        <v>1541</v>
      </c>
      <c r="D6" s="78"/>
      <c r="G6" s="153"/>
      <c r="J6" s="205"/>
    </row>
    <row r="7" spans="2:10" x14ac:dyDescent="0.25">
      <c r="B7" s="96"/>
      <c r="C7" s="186" t="s">
        <v>1542</v>
      </c>
      <c r="D7" s="78"/>
      <c r="F7" s="258" t="s">
        <v>3</v>
      </c>
      <c r="G7" s="153">
        <f>0.04*0.04*0.5*9*1.2</f>
        <v>8.6400000000000001E-3</v>
      </c>
      <c r="J7" s="205"/>
    </row>
    <row r="8" spans="2:10" x14ac:dyDescent="0.25">
      <c r="B8" s="96"/>
      <c r="C8" s="78"/>
      <c r="D8" s="78"/>
      <c r="G8" s="153"/>
      <c r="J8" s="205"/>
    </row>
    <row r="9" spans="2:10" x14ac:dyDescent="0.25">
      <c r="B9" s="96"/>
      <c r="C9" s="78" t="s">
        <v>1543</v>
      </c>
      <c r="D9" s="78"/>
      <c r="G9" s="153"/>
      <c r="J9" s="205"/>
    </row>
    <row r="10" spans="2:10" x14ac:dyDescent="0.25">
      <c r="B10" s="96"/>
      <c r="C10" s="186" t="s">
        <v>1544</v>
      </c>
      <c r="D10" s="78"/>
      <c r="F10" s="258" t="s">
        <v>3</v>
      </c>
      <c r="G10" s="153">
        <f>0.315*0.19*1*2*1.17</f>
        <v>0.14004899999999998</v>
      </c>
      <c r="J10" s="205"/>
    </row>
    <row r="11" spans="2:10" x14ac:dyDescent="0.25">
      <c r="B11" s="96"/>
      <c r="C11" s="78"/>
      <c r="D11" s="78"/>
      <c r="G11" s="153"/>
      <c r="J11" s="205"/>
    </row>
    <row r="12" spans="2:10" x14ac:dyDescent="0.25">
      <c r="B12" s="96"/>
      <c r="C12" s="78" t="s">
        <v>1545</v>
      </c>
      <c r="D12" s="78"/>
      <c r="G12" s="153"/>
      <c r="J12" s="205"/>
    </row>
    <row r="13" spans="2:10" x14ac:dyDescent="0.25">
      <c r="B13" s="96"/>
      <c r="C13" s="77" t="s">
        <v>1546</v>
      </c>
      <c r="D13" s="78"/>
      <c r="F13" s="258" t="s">
        <v>3</v>
      </c>
      <c r="G13" s="153">
        <f>0.14*0.1*2*2*1.16</f>
        <v>6.4960000000000004E-2</v>
      </c>
      <c r="J13" s="205"/>
    </row>
    <row r="14" spans="2:10" x14ac:dyDescent="0.25">
      <c r="B14" s="96"/>
      <c r="C14" s="78"/>
      <c r="D14" s="78"/>
      <c r="G14" s="153"/>
      <c r="J14" s="205"/>
    </row>
    <row r="15" spans="2:10" x14ac:dyDescent="0.25">
      <c r="B15" s="96"/>
      <c r="C15" s="78" t="s">
        <v>1548</v>
      </c>
      <c r="D15" s="78"/>
      <c r="G15" s="153"/>
      <c r="J15" s="205"/>
    </row>
    <row r="16" spans="2:10" x14ac:dyDescent="0.25">
      <c r="B16" s="96"/>
      <c r="C16" s="186" t="s">
        <v>1547</v>
      </c>
      <c r="D16" s="78"/>
      <c r="F16" s="258" t="s">
        <v>3</v>
      </c>
      <c r="G16" s="153">
        <f>0.035*0.035*2*9*1.12</f>
        <v>2.4696000000000006E-2</v>
      </c>
      <c r="J16" s="205"/>
    </row>
    <row r="17" spans="1:12" x14ac:dyDescent="0.25">
      <c r="B17" s="96"/>
      <c r="C17" s="78"/>
      <c r="D17" s="78"/>
      <c r="G17" s="153"/>
      <c r="J17" s="205"/>
    </row>
    <row r="18" spans="1:12" x14ac:dyDescent="0.25">
      <c r="C18" s="78" t="s">
        <v>1630</v>
      </c>
    </row>
    <row r="19" spans="1:12" x14ac:dyDescent="0.25">
      <c r="C19" s="77" t="s">
        <v>1631</v>
      </c>
      <c r="F19" s="258" t="s">
        <v>3</v>
      </c>
      <c r="G19" s="153">
        <f>0.12*0.075*1.5*2*1.1</f>
        <v>2.9699999999999997E-2</v>
      </c>
    </row>
    <row r="20" spans="1:12" ht="15.75" thickBot="1" x14ac:dyDescent="0.3">
      <c r="C20" s="77"/>
      <c r="G20" s="153"/>
    </row>
    <row r="21" spans="1:12" x14ac:dyDescent="0.25">
      <c r="A21" s="159"/>
      <c r="B21" s="93"/>
      <c r="C21" s="184" t="s">
        <v>2055</v>
      </c>
      <c r="D21" s="93"/>
      <c r="E21" s="93"/>
      <c r="F21" s="175" t="s">
        <v>2059</v>
      </c>
      <c r="G21" s="176"/>
    </row>
    <row r="22" spans="1:12" x14ac:dyDescent="0.25">
      <c r="A22" s="163"/>
      <c r="B22" s="73"/>
      <c r="C22" s="100" t="s">
        <v>2057</v>
      </c>
      <c r="D22" s="73"/>
      <c r="E22" s="73"/>
      <c r="F22" s="74" t="s">
        <v>3</v>
      </c>
      <c r="G22" s="72">
        <f>0.015*0.015*1*1.45*1.5</f>
        <v>4.8937500000000001E-4</v>
      </c>
    </row>
    <row r="23" spans="1:12" x14ac:dyDescent="0.25">
      <c r="A23" s="163"/>
      <c r="B23" s="73"/>
      <c r="C23" s="73"/>
      <c r="D23" s="73"/>
      <c r="E23" s="73"/>
      <c r="F23" s="74"/>
      <c r="G23" s="72"/>
    </row>
    <row r="24" spans="1:12" x14ac:dyDescent="0.25">
      <c r="A24" s="163"/>
      <c r="B24" s="73"/>
      <c r="C24" s="75" t="s">
        <v>2056</v>
      </c>
      <c r="D24" s="73"/>
      <c r="E24" s="73"/>
      <c r="F24" s="74"/>
      <c r="G24" s="72"/>
    </row>
    <row r="25" spans="1:12" x14ac:dyDescent="0.25">
      <c r="A25" s="163"/>
      <c r="B25" s="73"/>
      <c r="C25" s="73" t="s">
        <v>2058</v>
      </c>
      <c r="D25" s="73"/>
      <c r="E25" s="73"/>
      <c r="F25" s="74" t="s">
        <v>3</v>
      </c>
      <c r="G25" s="72">
        <f>0.02*0.02*2.5*1.45*1.2</f>
        <v>1.7399999999999998E-3</v>
      </c>
    </row>
    <row r="26" spans="1:12" ht="15.75" thickBot="1" x14ac:dyDescent="0.3">
      <c r="A26" s="67"/>
      <c r="B26" s="68"/>
      <c r="C26" s="68"/>
      <c r="D26" s="68"/>
      <c r="E26" s="68"/>
      <c r="F26" s="82"/>
      <c r="G26" s="83"/>
    </row>
    <row r="27" spans="1:12" x14ac:dyDescent="0.25">
      <c r="A27" s="159"/>
      <c r="B27" s="93"/>
      <c r="C27" s="93"/>
      <c r="D27" s="93"/>
      <c r="E27" s="93"/>
      <c r="F27" s="289" t="s">
        <v>2368</v>
      </c>
      <c r="G27" s="929"/>
    </row>
    <row r="28" spans="1:12" ht="18.75" x14ac:dyDescent="0.3">
      <c r="A28" s="163"/>
      <c r="B28" s="73"/>
      <c r="C28" s="73"/>
      <c r="D28" s="73"/>
      <c r="E28" s="290" t="s">
        <v>2365</v>
      </c>
      <c r="F28" s="74"/>
      <c r="G28" s="72"/>
    </row>
    <row r="29" spans="1:12" ht="15.75" x14ac:dyDescent="0.25">
      <c r="A29" s="163"/>
      <c r="B29" s="73"/>
      <c r="C29" s="73"/>
      <c r="D29" s="73"/>
      <c r="E29" s="187"/>
      <c r="F29" s="74"/>
      <c r="G29" s="72"/>
    </row>
    <row r="30" spans="1:12" x14ac:dyDescent="0.25">
      <c r="A30" s="163"/>
      <c r="B30" s="73"/>
      <c r="D30" s="256"/>
      <c r="E30" s="256" t="s">
        <v>2367</v>
      </c>
      <c r="F30" s="256"/>
      <c r="G30" s="72"/>
    </row>
    <row r="31" spans="1:12" x14ac:dyDescent="0.25">
      <c r="A31" s="163"/>
      <c r="B31" s="73"/>
      <c r="C31" s="73"/>
      <c r="D31" s="73"/>
      <c r="E31" s="73"/>
      <c r="F31" s="74"/>
      <c r="G31" s="72"/>
    </row>
    <row r="32" spans="1:12" x14ac:dyDescent="0.25">
      <c r="A32" s="163"/>
      <c r="B32" s="73"/>
      <c r="C32" s="73" t="s">
        <v>1021</v>
      </c>
      <c r="D32" s="73"/>
      <c r="E32" s="73"/>
      <c r="F32" s="74" t="s">
        <v>3</v>
      </c>
      <c r="G32" s="72">
        <f>60*3.5/100</f>
        <v>2.1</v>
      </c>
      <c r="I32" s="353">
        <v>0.5</v>
      </c>
      <c r="L32" s="2">
        <v>100</v>
      </c>
    </row>
    <row r="33" spans="1:13" x14ac:dyDescent="0.25">
      <c r="A33" s="163"/>
      <c r="B33" s="73"/>
      <c r="C33" s="73" t="s">
        <v>661</v>
      </c>
      <c r="D33" s="73"/>
      <c r="E33" s="73"/>
      <c r="F33" s="74" t="s">
        <v>3</v>
      </c>
      <c r="G33" s="72">
        <v>1.19</v>
      </c>
      <c r="L33" s="2"/>
      <c r="M33" s="2"/>
    </row>
    <row r="34" spans="1:13" x14ac:dyDescent="0.25">
      <c r="A34" s="163"/>
      <c r="B34" s="73"/>
      <c r="C34" s="73" t="s">
        <v>1993</v>
      </c>
      <c r="D34" s="73"/>
      <c r="E34" s="73"/>
      <c r="F34" s="74" t="s">
        <v>3</v>
      </c>
      <c r="G34" s="72">
        <v>0.21</v>
      </c>
      <c r="H34" s="85"/>
      <c r="I34">
        <v>2.1</v>
      </c>
      <c r="L34">
        <f>I34*L32/I32</f>
        <v>420</v>
      </c>
    </row>
    <row r="35" spans="1:13" x14ac:dyDescent="0.25">
      <c r="A35" s="163"/>
      <c r="B35" s="73"/>
      <c r="C35" s="73" t="s">
        <v>2330</v>
      </c>
      <c r="D35" s="73"/>
      <c r="E35" s="73"/>
      <c r="F35" s="74" t="s">
        <v>3</v>
      </c>
      <c r="G35" s="72">
        <v>0.45</v>
      </c>
      <c r="I35">
        <v>1.19</v>
      </c>
      <c r="L35">
        <f>I35*L32/I32</f>
        <v>238</v>
      </c>
    </row>
    <row r="36" spans="1:13" x14ac:dyDescent="0.25">
      <c r="A36" s="163"/>
      <c r="B36" s="73"/>
      <c r="C36" s="73" t="s">
        <v>8</v>
      </c>
      <c r="D36" s="73"/>
      <c r="E36" s="73"/>
      <c r="F36" s="74" t="s">
        <v>3</v>
      </c>
      <c r="G36" s="72">
        <v>0.24</v>
      </c>
      <c r="I36">
        <v>0.21</v>
      </c>
      <c r="L36">
        <f>I36*L32/I32</f>
        <v>42</v>
      </c>
    </row>
    <row r="37" spans="1:13" x14ac:dyDescent="0.25">
      <c r="A37" s="163"/>
      <c r="B37" s="73"/>
      <c r="C37" s="73" t="s">
        <v>12</v>
      </c>
      <c r="D37" s="73"/>
      <c r="E37" s="73"/>
      <c r="F37" s="74" t="s">
        <v>3</v>
      </c>
      <c r="G37" s="72">
        <v>4.4999999999999998E-2</v>
      </c>
    </row>
    <row r="38" spans="1:13" x14ac:dyDescent="0.25">
      <c r="A38" s="163"/>
      <c r="B38" s="73"/>
      <c r="C38" s="73" t="s">
        <v>912</v>
      </c>
      <c r="D38" s="73"/>
      <c r="E38" s="73"/>
      <c r="F38" s="74" t="s">
        <v>3</v>
      </c>
      <c r="G38" s="72">
        <v>0.26</v>
      </c>
      <c r="I38">
        <f>I32*0.6</f>
        <v>0.3</v>
      </c>
      <c r="L38">
        <f>I38*$L$32/$I$32</f>
        <v>60</v>
      </c>
    </row>
    <row r="39" spans="1:13" x14ac:dyDescent="0.25">
      <c r="A39" s="163"/>
      <c r="B39" s="73"/>
      <c r="C39" s="73" t="s">
        <v>2331</v>
      </c>
      <c r="D39" s="73"/>
      <c r="E39" s="73"/>
      <c r="F39" s="74" t="s">
        <v>3</v>
      </c>
      <c r="G39" s="72">
        <v>0.04</v>
      </c>
      <c r="I39">
        <f>I32*0.34</f>
        <v>0.17</v>
      </c>
      <c r="L39">
        <f t="shared" ref="L39:L40" si="0">I39*$L$32/$I$32</f>
        <v>34</v>
      </c>
    </row>
    <row r="40" spans="1:13" x14ac:dyDescent="0.25">
      <c r="A40" s="163"/>
      <c r="B40" s="73"/>
      <c r="C40" s="73" t="s">
        <v>147</v>
      </c>
      <c r="D40" s="73"/>
      <c r="E40" s="73"/>
      <c r="F40" s="74" t="s">
        <v>3</v>
      </c>
      <c r="G40" s="72">
        <v>2</v>
      </c>
      <c r="I40">
        <f>I32*0.06</f>
        <v>0.03</v>
      </c>
      <c r="L40">
        <f t="shared" si="0"/>
        <v>6</v>
      </c>
    </row>
    <row r="41" spans="1:13" x14ac:dyDescent="0.25">
      <c r="A41" s="163"/>
      <c r="B41" s="73"/>
      <c r="C41" s="73" t="s">
        <v>13</v>
      </c>
      <c r="D41" s="73"/>
      <c r="E41" s="73"/>
      <c r="F41" s="74" t="s">
        <v>3</v>
      </c>
      <c r="G41" s="72">
        <v>5</v>
      </c>
    </row>
    <row r="42" spans="1:13" x14ac:dyDescent="0.25">
      <c r="A42" s="163"/>
      <c r="B42" s="73"/>
      <c r="C42" s="73" t="s">
        <v>2332</v>
      </c>
      <c r="D42" s="73"/>
      <c r="E42" s="73"/>
      <c r="F42" s="74" t="s">
        <v>3</v>
      </c>
      <c r="G42" s="72">
        <f>2*0.575</f>
        <v>1.1499999999999999</v>
      </c>
      <c r="H42" s="287">
        <v>0.57140000000000002</v>
      </c>
    </row>
    <row r="43" spans="1:13" x14ac:dyDescent="0.25">
      <c r="A43" s="163"/>
      <c r="B43" s="73"/>
      <c r="C43" s="73" t="s">
        <v>19</v>
      </c>
      <c r="D43" s="73"/>
      <c r="E43" s="73"/>
      <c r="F43" s="74" t="s">
        <v>3</v>
      </c>
      <c r="G43" s="72">
        <f>2*0.36</f>
        <v>0.72</v>
      </c>
      <c r="H43" s="287">
        <v>0.35709999999999997</v>
      </c>
    </row>
    <row r="44" spans="1:13" x14ac:dyDescent="0.25">
      <c r="A44" s="163"/>
      <c r="B44" s="73"/>
      <c r="C44" s="73" t="s">
        <v>2366</v>
      </c>
      <c r="D44" s="73"/>
      <c r="E44" s="73"/>
      <c r="F44" s="74" t="s">
        <v>3</v>
      </c>
      <c r="G44" s="72">
        <f>2*0.075</f>
        <v>0.15</v>
      </c>
      <c r="H44" s="287">
        <v>7.1400000000000005E-2</v>
      </c>
    </row>
    <row r="45" spans="1:13" x14ac:dyDescent="0.25">
      <c r="A45" s="163"/>
      <c r="B45" s="73"/>
      <c r="C45" s="73" t="s">
        <v>2333</v>
      </c>
      <c r="D45" s="73"/>
      <c r="E45" s="73"/>
      <c r="F45" s="74" t="s">
        <v>3</v>
      </c>
      <c r="G45" s="72">
        <f>1.5*0.05*1.2</f>
        <v>9.0000000000000011E-2</v>
      </c>
    </row>
    <row r="46" spans="1:13" ht="17.25" x14ac:dyDescent="0.25">
      <c r="A46" s="163"/>
      <c r="B46" s="73"/>
      <c r="C46" s="73" t="s">
        <v>168</v>
      </c>
      <c r="D46" s="73"/>
      <c r="E46" s="73"/>
      <c r="F46" s="74" t="s">
        <v>596</v>
      </c>
      <c r="G46" s="72">
        <f>1.11*G45</f>
        <v>9.9900000000000017E-2</v>
      </c>
    </row>
    <row r="47" spans="1:13" ht="15.75" thickBot="1" x14ac:dyDescent="0.3">
      <c r="A47" s="67"/>
      <c r="B47" s="68"/>
      <c r="C47" s="68"/>
      <c r="D47" s="68"/>
      <c r="E47" s="68"/>
      <c r="F47" s="82"/>
      <c r="G47" s="83"/>
    </row>
    <row r="48" spans="1:13" x14ac:dyDescent="0.25">
      <c r="A48" s="159"/>
      <c r="B48" s="93"/>
      <c r="C48" s="93"/>
      <c r="D48" s="93"/>
      <c r="E48" s="93"/>
      <c r="F48" s="160"/>
      <c r="G48" s="90"/>
    </row>
    <row r="49" spans="1:13" x14ac:dyDescent="0.25">
      <c r="A49" s="163"/>
      <c r="B49" s="73"/>
      <c r="C49" s="73"/>
      <c r="D49" s="73"/>
      <c r="E49" s="390" t="s">
        <v>3298</v>
      </c>
      <c r="F49" s="74"/>
      <c r="G49" s="72"/>
    </row>
    <row r="50" spans="1:13" ht="17.25" x14ac:dyDescent="0.25">
      <c r="A50" s="163"/>
      <c r="B50" s="73"/>
      <c r="C50" s="73"/>
      <c r="D50" s="73"/>
      <c r="E50" s="73"/>
      <c r="F50" s="74"/>
      <c r="G50" s="72"/>
      <c r="H50" t="s">
        <v>3297</v>
      </c>
      <c r="K50">
        <v>0.25</v>
      </c>
    </row>
    <row r="51" spans="1:13" x14ac:dyDescent="0.25">
      <c r="A51" s="163"/>
      <c r="B51" s="73"/>
      <c r="C51" s="73" t="s">
        <v>1021</v>
      </c>
      <c r="D51" s="73"/>
      <c r="E51" s="73"/>
      <c r="F51" s="74" t="s">
        <v>3</v>
      </c>
      <c r="G51" s="72">
        <v>250</v>
      </c>
      <c r="H51" s="13">
        <v>1.0589999999999999</v>
      </c>
      <c r="I51" s="335">
        <f>G51*$I$55/$G$55</f>
        <v>61.728395061728392</v>
      </c>
      <c r="K51">
        <f>K50*0.26</f>
        <v>6.5000000000000002E-2</v>
      </c>
    </row>
    <row r="52" spans="1:13" x14ac:dyDescent="0.25">
      <c r="A52" s="163"/>
      <c r="B52" s="73"/>
      <c r="C52" s="73" t="s">
        <v>661</v>
      </c>
      <c r="D52" s="73"/>
      <c r="E52" s="73"/>
      <c r="F52" s="74" t="s">
        <v>3</v>
      </c>
      <c r="G52" s="72">
        <v>105</v>
      </c>
      <c r="H52" s="13">
        <v>0.87</v>
      </c>
      <c r="I52" s="335">
        <f>G52*$I$55/$G$55</f>
        <v>25.925925925925927</v>
      </c>
      <c r="K52">
        <f>K50*0.12</f>
        <v>0.03</v>
      </c>
    </row>
    <row r="53" spans="1:13" x14ac:dyDescent="0.25">
      <c r="A53" s="163"/>
      <c r="B53" s="73"/>
      <c r="C53" s="73" t="s">
        <v>1993</v>
      </c>
      <c r="D53" s="73"/>
      <c r="E53" s="73"/>
      <c r="F53" s="74" t="s">
        <v>3</v>
      </c>
      <c r="G53" s="72">
        <v>50</v>
      </c>
      <c r="H53" s="13">
        <v>0.79</v>
      </c>
      <c r="I53" s="335">
        <f t="shared" ref="I53" si="1">G53*$I$55/$G$55</f>
        <v>12.345679012345679</v>
      </c>
    </row>
    <row r="54" spans="1:13" x14ac:dyDescent="0.25">
      <c r="A54" s="163"/>
      <c r="B54" s="73"/>
      <c r="C54" s="73"/>
      <c r="D54" s="73"/>
      <c r="E54" s="73"/>
      <c r="F54" s="74"/>
      <c r="G54" s="72"/>
      <c r="I54" s="335">
        <f>SUM(I52:I53)</f>
        <v>38.271604938271608</v>
      </c>
    </row>
    <row r="55" spans="1:13" x14ac:dyDescent="0.25">
      <c r="A55" s="163"/>
      <c r="B55" s="73"/>
      <c r="C55" s="73"/>
      <c r="D55" s="73"/>
      <c r="E55" s="73"/>
      <c r="F55" s="392" t="s">
        <v>3299</v>
      </c>
      <c r="G55" s="72">
        <f>SUM(G51:G54)</f>
        <v>405</v>
      </c>
      <c r="I55">
        <v>100</v>
      </c>
    </row>
    <row r="56" spans="1:13" ht="15.75" thickBot="1" x14ac:dyDescent="0.3">
      <c r="A56" s="67"/>
      <c r="B56" s="68"/>
      <c r="C56" s="68"/>
      <c r="D56" s="68"/>
      <c r="E56" s="68"/>
      <c r="F56" s="82"/>
      <c r="G56" s="83"/>
    </row>
    <row r="57" spans="1:13" x14ac:dyDescent="0.25">
      <c r="G57" s="659"/>
      <c r="H57" s="289" t="s">
        <v>9532</v>
      </c>
    </row>
    <row r="58" spans="1:13" ht="15.75" x14ac:dyDescent="0.25">
      <c r="E58" s="735" t="s">
        <v>9527</v>
      </c>
      <c r="F58" s="728"/>
      <c r="G58" s="930" t="s">
        <v>9531</v>
      </c>
    </row>
    <row r="59" spans="1:13" x14ac:dyDescent="0.25">
      <c r="E59" s="570"/>
      <c r="F59" s="728"/>
      <c r="G59" s="581"/>
    </row>
    <row r="60" spans="1:13" x14ac:dyDescent="0.25">
      <c r="G60" s="581"/>
    </row>
    <row r="61" spans="1:13" x14ac:dyDescent="0.25">
      <c r="C61" s="3" t="s">
        <v>9524</v>
      </c>
      <c r="G61" s="581"/>
      <c r="M61">
        <f>250*0.4</f>
        <v>100</v>
      </c>
    </row>
    <row r="62" spans="1:13" x14ac:dyDescent="0.25">
      <c r="C62" t="s">
        <v>9528</v>
      </c>
      <c r="F62" s="258" t="s">
        <v>3</v>
      </c>
      <c r="G62" s="581">
        <f>0.03*0.03*2*2.7*1.1</f>
        <v>5.3460000000000009E-3</v>
      </c>
    </row>
    <row r="63" spans="1:13" x14ac:dyDescent="0.25">
      <c r="G63" s="581"/>
    </row>
    <row r="64" spans="1:13" x14ac:dyDescent="0.25">
      <c r="C64" s="3" t="s">
        <v>9525</v>
      </c>
      <c r="G64" s="581"/>
    </row>
    <row r="65" spans="1:11" x14ac:dyDescent="0.25">
      <c r="C65" t="s">
        <v>9529</v>
      </c>
      <c r="F65" s="258" t="s">
        <v>3</v>
      </c>
      <c r="G65" s="581">
        <f>0.025*0.025*1.5*2.7*1.1</f>
        <v>2.7843750000000008E-3</v>
      </c>
    </row>
    <row r="66" spans="1:11" x14ac:dyDescent="0.25">
      <c r="G66" s="581"/>
    </row>
    <row r="67" spans="1:11" x14ac:dyDescent="0.25">
      <c r="C67" s="3" t="s">
        <v>9526</v>
      </c>
      <c r="G67" s="581"/>
    </row>
    <row r="68" spans="1:11" x14ac:dyDescent="0.25">
      <c r="C68" t="s">
        <v>9530</v>
      </c>
      <c r="F68" s="258" t="s">
        <v>3</v>
      </c>
      <c r="G68" s="581">
        <f>0.12*0.13*2*9*1.07</f>
        <v>0.300456</v>
      </c>
    </row>
    <row r="69" spans="1:11" x14ac:dyDescent="0.25">
      <c r="G69" s="581"/>
    </row>
    <row r="70" spans="1:11" x14ac:dyDescent="0.25">
      <c r="A70" s="539"/>
      <c r="B70" s="539"/>
      <c r="C70" s="539"/>
      <c r="D70" s="539"/>
      <c r="E70" s="539"/>
      <c r="F70" s="599"/>
      <c r="G70" s="931"/>
    </row>
    <row r="71" spans="1:11" x14ac:dyDescent="0.25">
      <c r="G71" s="935" t="s">
        <v>10744</v>
      </c>
      <c r="J71" s="10">
        <f>G52+G53</f>
        <v>155</v>
      </c>
      <c r="K71">
        <v>100</v>
      </c>
    </row>
    <row r="72" spans="1:11" x14ac:dyDescent="0.25">
      <c r="G72" s="581"/>
      <c r="J72" s="10">
        <v>105</v>
      </c>
      <c r="K72">
        <f>J72*K71/J71</f>
        <v>67.741935483870961</v>
      </c>
    </row>
    <row r="73" spans="1:11" x14ac:dyDescent="0.25">
      <c r="G73" s="581"/>
      <c r="J73" s="10">
        <v>50</v>
      </c>
      <c r="K73">
        <f>K71*J73/J71</f>
        <v>32.258064516129032</v>
      </c>
    </row>
    <row r="74" spans="1:11" ht="18.75" x14ac:dyDescent="0.3">
      <c r="E74" s="110" t="s">
        <v>10743</v>
      </c>
      <c r="G74" s="581"/>
    </row>
    <row r="75" spans="1:11" x14ac:dyDescent="0.25">
      <c r="G75" s="581"/>
    </row>
    <row r="76" spans="1:11" x14ac:dyDescent="0.25">
      <c r="C76" s="3" t="s">
        <v>10725</v>
      </c>
      <c r="G76" s="581"/>
    </row>
    <row r="77" spans="1:11" s="767" customFormat="1" x14ac:dyDescent="0.25">
      <c r="C77" s="100" t="s">
        <v>140</v>
      </c>
      <c r="D77" s="73"/>
      <c r="E77" s="73"/>
      <c r="F77" s="74" t="s">
        <v>3</v>
      </c>
      <c r="G77" s="581">
        <f>0.012*3.14*2*0.08*1.2</f>
        <v>7.234560000000001E-3</v>
      </c>
    </row>
    <row r="78" spans="1:11" s="767" customFormat="1" ht="17.25" x14ac:dyDescent="0.25">
      <c r="C78" s="100" t="s">
        <v>23</v>
      </c>
      <c r="D78" s="73"/>
      <c r="E78" s="73"/>
      <c r="F78" s="74" t="s">
        <v>596</v>
      </c>
      <c r="G78" s="581">
        <f>G77*2</f>
        <v>1.4469120000000002E-2</v>
      </c>
    </row>
    <row r="79" spans="1:11" s="767" customFormat="1" x14ac:dyDescent="0.25">
      <c r="C79" s="100" t="s">
        <v>142</v>
      </c>
      <c r="D79" s="73"/>
      <c r="E79" s="73"/>
      <c r="F79" s="74" t="s">
        <v>3</v>
      </c>
      <c r="G79" s="581">
        <f>G77/4</f>
        <v>1.8086400000000002E-3</v>
      </c>
    </row>
    <row r="80" spans="1:11" s="767" customFormat="1" x14ac:dyDescent="0.25">
      <c r="C80" s="186" t="s">
        <v>1021</v>
      </c>
      <c r="F80" s="902" t="s">
        <v>3</v>
      </c>
      <c r="G80" s="581">
        <f>J83*0.011*2*1.08</f>
        <v>2.5185600000000002E-2</v>
      </c>
    </row>
    <row r="81" spans="3:12" s="767" customFormat="1" x14ac:dyDescent="0.25">
      <c r="C81" s="186" t="s">
        <v>661</v>
      </c>
      <c r="F81" s="902" t="s">
        <v>3</v>
      </c>
      <c r="G81" s="581">
        <f>0.65*G80</f>
        <v>1.6370640000000002E-2</v>
      </c>
    </row>
    <row r="82" spans="3:12" s="767" customFormat="1" x14ac:dyDescent="0.25">
      <c r="C82" s="186"/>
      <c r="D82" s="3" t="s">
        <v>10726</v>
      </c>
      <c r="F82" s="902"/>
      <c r="G82" s="581"/>
    </row>
    <row r="83" spans="3:12" s="767" customFormat="1" x14ac:dyDescent="0.25">
      <c r="C83" s="186"/>
      <c r="D83" s="767" t="s">
        <v>10555</v>
      </c>
      <c r="F83" s="902" t="s">
        <v>3</v>
      </c>
      <c r="G83" s="581">
        <f>0.271* L83</f>
        <v>0.31164999999999998</v>
      </c>
      <c r="I83" s="874" t="s">
        <v>10149</v>
      </c>
      <c r="J83" s="864">
        <v>1.06</v>
      </c>
      <c r="K83" s="874" t="s">
        <v>10150</v>
      </c>
      <c r="L83" s="824">
        <v>1.1499999999999999</v>
      </c>
    </row>
    <row r="84" spans="3:12" s="767" customFormat="1" x14ac:dyDescent="0.25">
      <c r="C84" s="3"/>
      <c r="F84" s="902"/>
      <c r="G84" s="581"/>
    </row>
    <row r="85" spans="3:12" x14ac:dyDescent="0.25">
      <c r="C85" s="3" t="s">
        <v>10727</v>
      </c>
      <c r="E85" s="767"/>
      <c r="G85" s="581"/>
    </row>
    <row r="86" spans="3:12" s="767" customFormat="1" x14ac:dyDescent="0.25">
      <c r="C86" s="100" t="s">
        <v>140</v>
      </c>
      <c r="D86" s="73"/>
      <c r="E86" s="73"/>
      <c r="F86" s="74" t="s">
        <v>3</v>
      </c>
      <c r="G86" s="581">
        <f>0.012*3.14*2*0.08*1.2</f>
        <v>7.234560000000001E-3</v>
      </c>
    </row>
    <row r="87" spans="3:12" s="767" customFormat="1" ht="17.25" x14ac:dyDescent="0.25">
      <c r="C87" s="100" t="s">
        <v>23</v>
      </c>
      <c r="D87" s="73"/>
      <c r="E87" s="73"/>
      <c r="F87" s="74" t="s">
        <v>596</v>
      </c>
      <c r="G87" s="581">
        <f>G86*2</f>
        <v>1.4469120000000002E-2</v>
      </c>
    </row>
    <row r="88" spans="3:12" s="767" customFormat="1" x14ac:dyDescent="0.25">
      <c r="C88" s="100" t="s">
        <v>142</v>
      </c>
      <c r="D88" s="73"/>
      <c r="E88" s="73"/>
      <c r="F88" s="74" t="s">
        <v>3</v>
      </c>
      <c r="G88" s="581">
        <f>G86/4</f>
        <v>1.8086400000000002E-3</v>
      </c>
    </row>
    <row r="89" spans="3:12" s="767" customFormat="1" x14ac:dyDescent="0.25">
      <c r="C89" s="186" t="s">
        <v>1021</v>
      </c>
      <c r="F89" s="902" t="s">
        <v>3</v>
      </c>
      <c r="G89" s="581">
        <f>J92*0.011*2*1.08</f>
        <v>2.376E-2</v>
      </c>
    </row>
    <row r="90" spans="3:12" s="767" customFormat="1" x14ac:dyDescent="0.25">
      <c r="C90" s="186" t="s">
        <v>661</v>
      </c>
      <c r="F90" s="902" t="s">
        <v>3</v>
      </c>
      <c r="G90" s="581">
        <f>0.65*G89</f>
        <v>1.5444000000000001E-2</v>
      </c>
    </row>
    <row r="91" spans="3:12" x14ac:dyDescent="0.25">
      <c r="D91" s="3" t="s">
        <v>10728</v>
      </c>
      <c r="E91" s="767"/>
      <c r="G91" s="581"/>
    </row>
    <row r="92" spans="3:12" s="767" customFormat="1" x14ac:dyDescent="0.25">
      <c r="D92" s="767" t="s">
        <v>10555</v>
      </c>
      <c r="F92" s="902" t="s">
        <v>3</v>
      </c>
      <c r="G92" s="581">
        <f>0.271* L92+0.002</f>
        <v>0.30010000000000003</v>
      </c>
      <c r="I92" s="874" t="s">
        <v>10149</v>
      </c>
      <c r="J92" s="864">
        <v>1</v>
      </c>
      <c r="K92" s="874" t="s">
        <v>10150</v>
      </c>
      <c r="L92" s="824">
        <v>1.1000000000000001</v>
      </c>
    </row>
    <row r="93" spans="3:12" x14ac:dyDescent="0.25">
      <c r="E93" s="767"/>
      <c r="G93" s="581"/>
    </row>
    <row r="94" spans="3:12" x14ac:dyDescent="0.25">
      <c r="C94" s="3" t="s">
        <v>10729</v>
      </c>
      <c r="E94" s="767"/>
      <c r="G94" s="581"/>
    </row>
    <row r="95" spans="3:12" s="767" customFormat="1" x14ac:dyDescent="0.25">
      <c r="C95" s="100" t="s">
        <v>140</v>
      </c>
      <c r="D95" s="73"/>
      <c r="E95" s="73"/>
      <c r="F95" s="74" t="s">
        <v>3</v>
      </c>
      <c r="G95" s="581">
        <f>0.018*3.14*2*0.08*1.2</f>
        <v>1.085184E-2</v>
      </c>
    </row>
    <row r="96" spans="3:12" s="767" customFormat="1" ht="17.25" x14ac:dyDescent="0.25">
      <c r="C96" s="100" t="s">
        <v>23</v>
      </c>
      <c r="D96" s="73"/>
      <c r="E96" s="73"/>
      <c r="F96" s="74" t="s">
        <v>596</v>
      </c>
      <c r="G96" s="581">
        <f>G95*2</f>
        <v>2.170368E-2</v>
      </c>
    </row>
    <row r="97" spans="3:12" s="767" customFormat="1" x14ac:dyDescent="0.25">
      <c r="C97" s="100" t="s">
        <v>142</v>
      </c>
      <c r="D97" s="73"/>
      <c r="E97" s="73"/>
      <c r="F97" s="74" t="s">
        <v>3</v>
      </c>
      <c r="G97" s="581">
        <f>G95/4</f>
        <v>2.7129599999999999E-3</v>
      </c>
    </row>
    <row r="98" spans="3:12" s="767" customFormat="1" x14ac:dyDescent="0.25">
      <c r="C98" s="186" t="s">
        <v>1021</v>
      </c>
      <c r="F98" s="902" t="s">
        <v>3</v>
      </c>
      <c r="G98" s="581">
        <f>J101*0.011*2*1.1</f>
        <v>2.1780000000000001E-2</v>
      </c>
    </row>
    <row r="99" spans="3:12" s="767" customFormat="1" x14ac:dyDescent="0.25">
      <c r="C99" s="186" t="s">
        <v>661</v>
      </c>
      <c r="F99" s="902" t="s">
        <v>3</v>
      </c>
      <c r="G99" s="581">
        <f>0.65*G98</f>
        <v>1.4157000000000001E-2</v>
      </c>
    </row>
    <row r="100" spans="3:12" s="767" customFormat="1" x14ac:dyDescent="0.25">
      <c r="C100" s="3"/>
      <c r="D100" s="3" t="s">
        <v>10730</v>
      </c>
      <c r="F100" s="902"/>
      <c r="G100" s="581"/>
    </row>
    <row r="101" spans="3:12" s="767" customFormat="1" x14ac:dyDescent="0.25">
      <c r="C101" s="3"/>
      <c r="D101" s="767" t="s">
        <v>10739</v>
      </c>
      <c r="F101" s="902" t="s">
        <v>3</v>
      </c>
      <c r="G101" s="581">
        <f>0.419*L101+0.001</f>
        <v>0.42</v>
      </c>
      <c r="I101" s="874" t="s">
        <v>10149</v>
      </c>
      <c r="J101" s="864">
        <v>0.9</v>
      </c>
      <c r="K101" s="874" t="s">
        <v>10150</v>
      </c>
      <c r="L101" s="824">
        <v>1</v>
      </c>
    </row>
    <row r="102" spans="3:12" s="767" customFormat="1" x14ac:dyDescent="0.25">
      <c r="C102" s="3"/>
      <c r="F102" s="902"/>
      <c r="G102" s="581"/>
    </row>
    <row r="103" spans="3:12" x14ac:dyDescent="0.25">
      <c r="C103" s="3" t="s">
        <v>10731</v>
      </c>
      <c r="E103" s="767"/>
      <c r="G103" s="581"/>
    </row>
    <row r="104" spans="3:12" x14ac:dyDescent="0.25">
      <c r="C104" t="s">
        <v>10740</v>
      </c>
      <c r="E104" s="767"/>
      <c r="F104" s="258" t="s">
        <v>3</v>
      </c>
      <c r="G104" s="581">
        <v>7.0000000000000001E-3</v>
      </c>
    </row>
    <row r="105" spans="3:12" x14ac:dyDescent="0.25">
      <c r="E105" s="767"/>
      <c r="F105"/>
      <c r="G105" s="581"/>
    </row>
    <row r="106" spans="3:12" x14ac:dyDescent="0.25">
      <c r="C106" s="3" t="s">
        <v>10732</v>
      </c>
      <c r="E106" s="767"/>
      <c r="F106"/>
      <c r="G106" s="581"/>
    </row>
    <row r="107" spans="3:12" x14ac:dyDescent="0.25">
      <c r="C107" s="767" t="s">
        <v>10740</v>
      </c>
      <c r="D107" s="767"/>
      <c r="E107" s="767"/>
      <c r="F107" s="902" t="s">
        <v>3</v>
      </c>
      <c r="G107" s="581">
        <v>7.0000000000000001E-3</v>
      </c>
    </row>
    <row r="108" spans="3:12" x14ac:dyDescent="0.25">
      <c r="D108" s="3" t="s">
        <v>10741</v>
      </c>
      <c r="E108" s="767"/>
      <c r="F108"/>
      <c r="G108" s="581"/>
    </row>
    <row r="109" spans="3:12" s="767" customFormat="1" x14ac:dyDescent="0.25">
      <c r="D109" s="100" t="s">
        <v>140</v>
      </c>
      <c r="E109" s="73"/>
      <c r="F109" s="74" t="s">
        <v>3</v>
      </c>
      <c r="G109" s="581">
        <f>0.012*3.14*2*0.08*1.2</f>
        <v>7.234560000000001E-3</v>
      </c>
    </row>
    <row r="110" spans="3:12" s="767" customFormat="1" ht="17.25" x14ac:dyDescent="0.25">
      <c r="D110" s="100" t="s">
        <v>23</v>
      </c>
      <c r="E110" s="73"/>
      <c r="F110" s="74" t="s">
        <v>596</v>
      </c>
      <c r="G110" s="581">
        <f>G109*2</f>
        <v>1.4469120000000002E-2</v>
      </c>
    </row>
    <row r="111" spans="3:12" s="767" customFormat="1" x14ac:dyDescent="0.25">
      <c r="D111" s="100" t="s">
        <v>142</v>
      </c>
      <c r="E111" s="73"/>
      <c r="F111" s="74" t="s">
        <v>3</v>
      </c>
      <c r="G111" s="581">
        <f>G109/4</f>
        <v>1.8086400000000002E-3</v>
      </c>
    </row>
    <row r="112" spans="3:12" s="767" customFormat="1" x14ac:dyDescent="0.25">
      <c r="D112" s="186" t="s">
        <v>1021</v>
      </c>
      <c r="F112" s="902" t="s">
        <v>3</v>
      </c>
      <c r="G112" s="581">
        <f>J115*0.011*2*1.1*2*1.3</f>
        <v>7.5503999999999996E-3</v>
      </c>
    </row>
    <row r="113" spans="3:12" x14ac:dyDescent="0.25">
      <c r="D113" s="186" t="s">
        <v>661</v>
      </c>
      <c r="E113" s="767"/>
      <c r="F113" s="902" t="s">
        <v>3</v>
      </c>
      <c r="G113" s="581">
        <f>0.65*G112</f>
        <v>4.9077599999999997E-3</v>
      </c>
    </row>
    <row r="114" spans="3:12" x14ac:dyDescent="0.25">
      <c r="E114" s="3" t="s">
        <v>10733</v>
      </c>
      <c r="F114"/>
      <c r="G114" s="581"/>
    </row>
    <row r="115" spans="3:12" x14ac:dyDescent="0.25">
      <c r="E115" s="767" t="s">
        <v>10742</v>
      </c>
      <c r="F115" s="902" t="s">
        <v>3</v>
      </c>
      <c r="G115" s="581">
        <f>0.271* L115</f>
        <v>4.0649999999999999E-2</v>
      </c>
      <c r="I115" s="874" t="s">
        <v>10149</v>
      </c>
      <c r="J115" s="864">
        <v>0.12</v>
      </c>
      <c r="K115" s="874" t="s">
        <v>10150</v>
      </c>
      <c r="L115" s="824">
        <v>0.15</v>
      </c>
    </row>
    <row r="116" spans="3:12" x14ac:dyDescent="0.25">
      <c r="E116" s="767"/>
      <c r="F116"/>
      <c r="G116" s="581"/>
    </row>
    <row r="117" spans="3:12" x14ac:dyDescent="0.25">
      <c r="C117" s="3" t="s">
        <v>10734</v>
      </c>
      <c r="E117" s="767"/>
      <c r="F117"/>
      <c r="G117" s="581"/>
    </row>
    <row r="118" spans="3:12" x14ac:dyDescent="0.25">
      <c r="C118" s="100" t="s">
        <v>140</v>
      </c>
      <c r="D118" s="73"/>
      <c r="F118" s="74" t="s">
        <v>3</v>
      </c>
      <c r="G118" s="581">
        <f>0.012*3.14*2*0.08*1.2</f>
        <v>7.234560000000001E-3</v>
      </c>
    </row>
    <row r="119" spans="3:12" s="767" customFormat="1" ht="17.25" x14ac:dyDescent="0.25">
      <c r="C119" s="100" t="s">
        <v>23</v>
      </c>
      <c r="D119" s="73"/>
      <c r="F119" s="74" t="s">
        <v>596</v>
      </c>
      <c r="G119" s="581">
        <f>G118*2</f>
        <v>1.4469120000000002E-2</v>
      </c>
    </row>
    <row r="120" spans="3:12" s="767" customFormat="1" x14ac:dyDescent="0.25">
      <c r="C120" s="100" t="s">
        <v>142</v>
      </c>
      <c r="D120" s="73"/>
      <c r="F120" s="74" t="s">
        <v>3</v>
      </c>
      <c r="G120" s="581">
        <f>G118/4</f>
        <v>1.8086400000000002E-3</v>
      </c>
    </row>
    <row r="121" spans="3:12" s="767" customFormat="1" x14ac:dyDescent="0.25">
      <c r="C121" s="186" t="s">
        <v>1021</v>
      </c>
      <c r="F121" s="915" t="s">
        <v>3</v>
      </c>
      <c r="G121" s="581">
        <f>J124*0.011*2*1.1</f>
        <v>2.4199999999999999E-2</v>
      </c>
    </row>
    <row r="122" spans="3:12" s="767" customFormat="1" x14ac:dyDescent="0.25">
      <c r="C122" s="186" t="s">
        <v>661</v>
      </c>
      <c r="F122" s="915" t="s">
        <v>3</v>
      </c>
      <c r="G122" s="581">
        <f>0.65*G121</f>
        <v>1.5730000000000001E-2</v>
      </c>
    </row>
    <row r="123" spans="3:12" s="767" customFormat="1" x14ac:dyDescent="0.25">
      <c r="D123" s="3" t="s">
        <v>10735</v>
      </c>
      <c r="G123" s="581"/>
    </row>
    <row r="124" spans="3:12" s="767" customFormat="1" x14ac:dyDescent="0.25">
      <c r="D124" s="767" t="s">
        <v>10742</v>
      </c>
      <c r="F124" s="915" t="s">
        <v>3</v>
      </c>
      <c r="G124" s="581">
        <f>0.271*L124</f>
        <v>0.30026800000000003</v>
      </c>
      <c r="I124" s="874" t="s">
        <v>10149</v>
      </c>
      <c r="J124" s="864">
        <v>1</v>
      </c>
      <c r="K124" s="874" t="s">
        <v>10150</v>
      </c>
      <c r="L124" s="824">
        <v>1.1080000000000001</v>
      </c>
    </row>
    <row r="125" spans="3:12" x14ac:dyDescent="0.25">
      <c r="E125" s="767"/>
      <c r="F125"/>
      <c r="G125" s="581"/>
    </row>
    <row r="126" spans="3:12" x14ac:dyDescent="0.25">
      <c r="C126" s="3" t="s">
        <v>10736</v>
      </c>
      <c r="E126" s="767"/>
      <c r="F126"/>
      <c r="G126" s="581"/>
    </row>
    <row r="127" spans="3:12" s="767" customFormat="1" x14ac:dyDescent="0.25">
      <c r="C127" s="100" t="s">
        <v>140</v>
      </c>
      <c r="D127" s="73"/>
      <c r="F127" s="74" t="s">
        <v>3</v>
      </c>
      <c r="G127" s="581">
        <f>0.012*3.14*2*0.08*1.2</f>
        <v>7.234560000000001E-3</v>
      </c>
    </row>
    <row r="128" spans="3:12" s="767" customFormat="1" ht="17.25" x14ac:dyDescent="0.25">
      <c r="C128" s="100" t="s">
        <v>23</v>
      </c>
      <c r="D128" s="73"/>
      <c r="F128" s="74" t="s">
        <v>596</v>
      </c>
      <c r="G128" s="581">
        <f>G127*2</f>
        <v>1.4469120000000002E-2</v>
      </c>
    </row>
    <row r="129" spans="1:12" s="767" customFormat="1" x14ac:dyDescent="0.25">
      <c r="C129" s="100" t="s">
        <v>142</v>
      </c>
      <c r="D129" s="73"/>
      <c r="F129" s="74" t="s">
        <v>3</v>
      </c>
      <c r="G129" s="581">
        <f>G127/4</f>
        <v>1.8086400000000002E-3</v>
      </c>
    </row>
    <row r="130" spans="1:12" s="767" customFormat="1" x14ac:dyDescent="0.25">
      <c r="C130" s="186" t="s">
        <v>1021</v>
      </c>
      <c r="F130" s="915" t="s">
        <v>3</v>
      </c>
      <c r="G130" s="581">
        <f>(J133+J135)*0.011*2*1.18</f>
        <v>4.0237999999999996E-2</v>
      </c>
    </row>
    <row r="131" spans="1:12" s="767" customFormat="1" x14ac:dyDescent="0.25">
      <c r="C131" s="186" t="s">
        <v>661</v>
      </c>
      <c r="F131" s="915" t="s">
        <v>3</v>
      </c>
      <c r="G131" s="581">
        <f>0.65*G130</f>
        <v>2.6154699999999999E-2</v>
      </c>
    </row>
    <row r="132" spans="1:12" x14ac:dyDescent="0.25">
      <c r="D132" s="3" t="s">
        <v>10737</v>
      </c>
      <c r="E132" s="767"/>
      <c r="F132"/>
      <c r="G132" s="581"/>
    </row>
    <row r="133" spans="1:12" x14ac:dyDescent="0.25">
      <c r="D133" s="767" t="s">
        <v>10739</v>
      </c>
      <c r="E133" s="767"/>
      <c r="F133" s="915" t="s">
        <v>3</v>
      </c>
      <c r="G133" s="581">
        <f>0.419*L133</f>
        <v>0.50279999999999991</v>
      </c>
      <c r="I133" s="874" t="s">
        <v>10149</v>
      </c>
      <c r="J133" s="864">
        <v>1.1200000000000001</v>
      </c>
      <c r="K133" s="874" t="s">
        <v>10150</v>
      </c>
      <c r="L133" s="824">
        <v>1.2</v>
      </c>
    </row>
    <row r="134" spans="1:12" x14ac:dyDescent="0.25">
      <c r="D134" s="3" t="s">
        <v>10738</v>
      </c>
      <c r="E134" s="767"/>
      <c r="F134"/>
      <c r="G134" s="581"/>
    </row>
    <row r="135" spans="1:12" x14ac:dyDescent="0.25">
      <c r="D135" s="767" t="s">
        <v>10742</v>
      </c>
      <c r="E135" s="767"/>
      <c r="F135" s="915" t="s">
        <v>3</v>
      </c>
      <c r="G135" s="581">
        <f>0.271*L135</f>
        <v>0.13550000000000001</v>
      </c>
      <c r="I135" s="874" t="s">
        <v>10149</v>
      </c>
      <c r="J135" s="864">
        <v>0.43</v>
      </c>
      <c r="K135" s="874" t="s">
        <v>10150</v>
      </c>
      <c r="L135" s="824">
        <v>0.5</v>
      </c>
    </row>
    <row r="136" spans="1:12" x14ac:dyDescent="0.25">
      <c r="A136" s="539"/>
      <c r="B136" s="539"/>
      <c r="C136" s="539"/>
      <c r="D136" s="539"/>
      <c r="E136" s="539"/>
      <c r="F136" s="539"/>
      <c r="G136" s="931"/>
    </row>
    <row r="138" spans="1:12" s="767" customFormat="1" ht="21" x14ac:dyDescent="0.35">
      <c r="E138" s="933" t="s">
        <v>10745</v>
      </c>
      <c r="F138" s="932"/>
      <c r="G138" s="10"/>
    </row>
    <row r="139" spans="1:12" s="767" customFormat="1" x14ac:dyDescent="0.25">
      <c r="F139" s="932"/>
      <c r="G139" s="10"/>
    </row>
    <row r="140" spans="1:12" x14ac:dyDescent="0.25">
      <c r="C140" s="485" t="s">
        <v>142</v>
      </c>
      <c r="D140" s="485"/>
      <c r="E140" s="485"/>
      <c r="F140" s="487" t="s">
        <v>3</v>
      </c>
      <c r="G140" s="488">
        <v>1.175616E-2</v>
      </c>
      <c r="H140" s="485"/>
    </row>
    <row r="141" spans="1:12" x14ac:dyDescent="0.25">
      <c r="C141" s="485" t="s">
        <v>23</v>
      </c>
      <c r="D141" s="485"/>
      <c r="E141" s="485"/>
      <c r="F141" s="487" t="s">
        <v>3</v>
      </c>
      <c r="G141" s="488">
        <v>9.4049280000000013E-2</v>
      </c>
      <c r="H141" s="485"/>
    </row>
    <row r="142" spans="1:12" x14ac:dyDescent="0.25">
      <c r="C142" s="485" t="s">
        <v>1021</v>
      </c>
      <c r="D142" s="485"/>
      <c r="E142" s="485"/>
      <c r="F142" s="487" t="s">
        <v>3</v>
      </c>
      <c r="G142" s="488">
        <v>0.14271400000000001</v>
      </c>
      <c r="H142" s="485"/>
    </row>
    <row r="143" spans="1:12" x14ac:dyDescent="0.25">
      <c r="C143" s="485" t="s">
        <v>10740</v>
      </c>
      <c r="D143" s="485"/>
      <c r="E143" s="485"/>
      <c r="F143" s="487" t="s">
        <v>3</v>
      </c>
      <c r="G143" s="488">
        <v>1.4E-2</v>
      </c>
      <c r="H143" s="485"/>
    </row>
    <row r="144" spans="1:12" x14ac:dyDescent="0.25">
      <c r="C144" s="485" t="s">
        <v>140</v>
      </c>
      <c r="D144" s="485"/>
      <c r="E144" s="485"/>
      <c r="F144" s="487" t="s">
        <v>3</v>
      </c>
      <c r="G144" s="488">
        <v>4.7024640000000006E-2</v>
      </c>
      <c r="H144" s="485"/>
    </row>
    <row r="145" spans="3:8" x14ac:dyDescent="0.25">
      <c r="C145" s="485" t="s">
        <v>661</v>
      </c>
      <c r="D145" s="485"/>
      <c r="E145" s="485"/>
      <c r="F145" s="487" t="s">
        <v>3</v>
      </c>
      <c r="G145" s="488">
        <v>9.2764100000000016E-2</v>
      </c>
      <c r="H145" s="485" t="s">
        <v>195</v>
      </c>
    </row>
    <row r="146" spans="3:8" x14ac:dyDescent="0.25">
      <c r="C146" s="485" t="s">
        <v>10555</v>
      </c>
      <c r="D146" s="485"/>
      <c r="E146" s="485"/>
      <c r="F146" s="487" t="s">
        <v>3</v>
      </c>
      <c r="G146" s="488">
        <v>1.088168</v>
      </c>
      <c r="H146" s="488">
        <f>G146/0.271</f>
        <v>4.0153800738007375</v>
      </c>
    </row>
    <row r="147" spans="3:8" x14ac:dyDescent="0.25">
      <c r="C147" s="485" t="s">
        <v>10739</v>
      </c>
      <c r="D147" s="485"/>
      <c r="E147" s="485"/>
      <c r="F147" s="487" t="s">
        <v>3</v>
      </c>
      <c r="G147" s="488">
        <v>0.92279999999999984</v>
      </c>
      <c r="H147" s="488">
        <f>G147/0.419</f>
        <v>2.2023866348448684</v>
      </c>
    </row>
    <row r="148" spans="3:8" x14ac:dyDescent="0.25">
      <c r="F148" s="932"/>
    </row>
    <row r="149" spans="3:8" x14ac:dyDescent="0.25">
      <c r="F149" s="932"/>
    </row>
    <row r="150" spans="3:8" x14ac:dyDescent="0.25">
      <c r="C150" s="3" t="s">
        <v>11366</v>
      </c>
      <c r="F150" s="932"/>
    </row>
    <row r="151" spans="3:8" x14ac:dyDescent="0.25">
      <c r="C151" t="s">
        <v>11367</v>
      </c>
      <c r="F151" s="932" t="s">
        <v>3</v>
      </c>
      <c r="G151" s="10">
        <f>0.16*0.05*1.48*1.1</f>
        <v>1.3024000000000001E-2</v>
      </c>
    </row>
    <row r="152" spans="3:8" x14ac:dyDescent="0.25">
      <c r="F152" s="932"/>
    </row>
    <row r="153" spans="3:8" x14ac:dyDescent="0.25">
      <c r="C153" s="3" t="s">
        <v>11639</v>
      </c>
      <c r="F153" s="932"/>
    </row>
    <row r="154" spans="3:8" x14ac:dyDescent="0.25">
      <c r="C154" t="s">
        <v>9772</v>
      </c>
      <c r="F154" s="258" t="s">
        <v>3</v>
      </c>
      <c r="G154" s="10">
        <f>0.03*0.027*2*8*1.15</f>
        <v>1.4903999999999999E-2</v>
      </c>
    </row>
  </sheetData>
  <sortState ref="C140:G155">
    <sortCondition ref="C140:C155"/>
  </sortState>
  <pageMargins left="0.7" right="0.7" top="0.75" bottom="0.75" header="0.3" footer="0.3"/>
  <pageSetup paperSize="9" orientation="portrait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Аркуш2"/>
  <dimension ref="A1:K123"/>
  <sheetViews>
    <sheetView zoomScale="85" zoomScaleNormal="85" workbookViewId="0">
      <pane ySplit="3" topLeftCell="A4" activePane="bottomLeft" state="frozen"/>
      <selection pane="bottomLeft" activeCell="H32" sqref="H32"/>
    </sheetView>
  </sheetViews>
  <sheetFormatPr defaultRowHeight="15" x14ac:dyDescent="0.25"/>
  <cols>
    <col min="11" max="11" width="11.28515625" customWidth="1"/>
  </cols>
  <sheetData>
    <row r="1" spans="1:11" ht="15.75" thickBot="1" x14ac:dyDescent="0.3"/>
    <row r="2" spans="1:11" ht="15.75" thickBot="1" x14ac:dyDescent="0.3">
      <c r="A2" s="1041" t="s">
        <v>3536</v>
      </c>
      <c r="B2" s="1042"/>
      <c r="C2" s="1041" t="s">
        <v>2835</v>
      </c>
      <c r="D2" s="1042"/>
      <c r="E2" s="1041" t="s">
        <v>9699</v>
      </c>
      <c r="F2" s="1042"/>
    </row>
    <row r="3" spans="1:11" x14ac:dyDescent="0.25">
      <c r="A3" s="5" t="s">
        <v>195</v>
      </c>
      <c r="B3" s="5" t="s">
        <v>3</v>
      </c>
      <c r="C3" s="5" t="s">
        <v>195</v>
      </c>
      <c r="D3" s="5" t="s">
        <v>3</v>
      </c>
      <c r="E3" s="5" t="s">
        <v>195</v>
      </c>
      <c r="F3" s="5" t="s">
        <v>3</v>
      </c>
    </row>
    <row r="4" spans="1:11" x14ac:dyDescent="0.25">
      <c r="A4">
        <v>1000</v>
      </c>
      <c r="B4" s="85">
        <v>1.67</v>
      </c>
      <c r="C4">
        <v>1000</v>
      </c>
      <c r="D4" s="85">
        <v>8.8699999999999992</v>
      </c>
      <c r="E4">
        <v>1000</v>
      </c>
      <c r="F4" s="85">
        <v>6.16</v>
      </c>
      <c r="K4" s="415"/>
    </row>
    <row r="5" spans="1:11" x14ac:dyDescent="0.25">
      <c r="A5">
        <v>100</v>
      </c>
      <c r="B5" s="85">
        <f t="shared" ref="B5:B11" si="0">A5*$B$4/$A$4</f>
        <v>0.16700000000000001</v>
      </c>
      <c r="C5">
        <v>100</v>
      </c>
      <c r="D5" s="85">
        <f>D4/10</f>
        <v>0.8869999999999999</v>
      </c>
      <c r="E5">
        <v>100</v>
      </c>
      <c r="F5" s="85">
        <f>F4/10</f>
        <v>0.61599999999999999</v>
      </c>
      <c r="K5" s="415"/>
    </row>
    <row r="6" spans="1:11" x14ac:dyDescent="0.25">
      <c r="A6">
        <v>10</v>
      </c>
      <c r="B6" s="85">
        <f t="shared" si="0"/>
        <v>1.67E-2</v>
      </c>
      <c r="C6">
        <v>10</v>
      </c>
      <c r="D6" s="85">
        <f>D5/10</f>
        <v>8.8699999999999987E-2</v>
      </c>
      <c r="E6">
        <v>10</v>
      </c>
      <c r="F6" s="85">
        <f>F5/10</f>
        <v>6.1600000000000002E-2</v>
      </c>
      <c r="K6" s="415"/>
    </row>
    <row r="7" spans="1:11" x14ac:dyDescent="0.25">
      <c r="A7">
        <v>1</v>
      </c>
      <c r="B7" s="85">
        <f>A7*$B$4/$A$4</f>
        <v>1.6699999999999998E-3</v>
      </c>
      <c r="C7">
        <v>1</v>
      </c>
      <c r="D7" s="85">
        <f>D6/10</f>
        <v>8.8699999999999994E-3</v>
      </c>
      <c r="E7">
        <v>1</v>
      </c>
      <c r="F7" s="85">
        <f>F6/10</f>
        <v>6.1600000000000005E-3</v>
      </c>
      <c r="K7" s="415"/>
    </row>
    <row r="8" spans="1:11" x14ac:dyDescent="0.25">
      <c r="A8">
        <v>0.1</v>
      </c>
      <c r="B8" s="85">
        <f t="shared" si="0"/>
        <v>1.6700000000000002E-4</v>
      </c>
      <c r="C8" s="2">
        <v>5.9999999999999901E-2</v>
      </c>
      <c r="D8" s="85">
        <f>C8*$D$7/$C$7</f>
        <v>5.3219999999999906E-4</v>
      </c>
      <c r="E8" s="2">
        <v>5.9999999999999901E-2</v>
      </c>
      <c r="F8" s="85">
        <f t="shared" ref="F8:F33" si="1">E8*$F$7/$E$7</f>
        <v>3.6959999999999944E-4</v>
      </c>
      <c r="K8" s="415"/>
    </row>
    <row r="9" spans="1:11" x14ac:dyDescent="0.25">
      <c r="A9">
        <v>0.8</v>
      </c>
      <c r="B9" s="85">
        <f t="shared" si="0"/>
        <v>1.3360000000000002E-3</v>
      </c>
      <c r="C9" s="2">
        <v>6.9999999999999896E-2</v>
      </c>
      <c r="D9" s="85">
        <f>C9*$D$7/$C$7</f>
        <v>6.2089999999999899E-4</v>
      </c>
      <c r="E9" s="2">
        <v>6.9999999999999896E-2</v>
      </c>
      <c r="F9" s="85">
        <f t="shared" si="1"/>
        <v>4.3119999999999942E-4</v>
      </c>
      <c r="K9" s="415"/>
    </row>
    <row r="10" spans="1:11" x14ac:dyDescent="0.25">
      <c r="A10">
        <v>2.4</v>
      </c>
      <c r="B10" s="85">
        <f t="shared" si="0"/>
        <v>4.0080000000000003E-3</v>
      </c>
      <c r="C10" s="2">
        <v>7.9999999999999905E-2</v>
      </c>
      <c r="D10" s="85">
        <f>C10*$D$7/$C$7</f>
        <v>7.0959999999999914E-4</v>
      </c>
      <c r="E10" s="2">
        <v>7.9999999999999905E-2</v>
      </c>
      <c r="F10" s="85">
        <f t="shared" si="1"/>
        <v>4.927999999999994E-4</v>
      </c>
    </row>
    <row r="11" spans="1:11" x14ac:dyDescent="0.25">
      <c r="A11">
        <v>4.5</v>
      </c>
      <c r="B11" s="85">
        <f t="shared" si="0"/>
        <v>7.515E-3</v>
      </c>
      <c r="C11" s="2">
        <v>8.99999999999999E-2</v>
      </c>
      <c r="D11" s="85">
        <f t="shared" ref="D11:D16" si="2">C11*$D$7/$C$7</f>
        <v>7.9829999999999908E-4</v>
      </c>
      <c r="E11" s="2">
        <v>8.99999999999999E-2</v>
      </c>
      <c r="F11" s="85">
        <f t="shared" si="1"/>
        <v>5.5439999999999938E-4</v>
      </c>
      <c r="I11">
        <f>0.009*0.7</f>
        <v>6.2999999999999992E-3</v>
      </c>
    </row>
    <row r="12" spans="1:11" x14ac:dyDescent="0.25">
      <c r="C12" s="2">
        <v>0.1</v>
      </c>
      <c r="D12" s="85">
        <f t="shared" si="2"/>
        <v>8.8699999999999998E-4</v>
      </c>
      <c r="E12" s="2">
        <v>0.1</v>
      </c>
      <c r="F12" s="85">
        <f t="shared" si="1"/>
        <v>6.1600000000000012E-4</v>
      </c>
    </row>
    <row r="13" spans="1:11" x14ac:dyDescent="0.25">
      <c r="C13" s="2">
        <v>0.11</v>
      </c>
      <c r="D13" s="85">
        <f t="shared" si="2"/>
        <v>9.7569999999999992E-4</v>
      </c>
      <c r="E13" s="2">
        <v>0.11</v>
      </c>
      <c r="F13" s="85">
        <f t="shared" si="1"/>
        <v>6.776000000000001E-4</v>
      </c>
    </row>
    <row r="14" spans="1:11" x14ac:dyDescent="0.25">
      <c r="C14" s="2">
        <v>0.12</v>
      </c>
      <c r="D14" s="85">
        <f t="shared" si="2"/>
        <v>1.0643999999999999E-3</v>
      </c>
      <c r="E14" s="2">
        <v>0.12</v>
      </c>
      <c r="F14" s="85">
        <f t="shared" si="1"/>
        <v>7.3920000000000008E-4</v>
      </c>
    </row>
    <row r="15" spans="1:11" x14ac:dyDescent="0.25">
      <c r="C15" s="2">
        <v>0.13</v>
      </c>
      <c r="D15" s="85">
        <f t="shared" si="2"/>
        <v>1.1531E-3</v>
      </c>
      <c r="E15" s="2">
        <v>0.13</v>
      </c>
      <c r="F15" s="85">
        <f t="shared" si="1"/>
        <v>8.0080000000000006E-4</v>
      </c>
    </row>
    <row r="16" spans="1:11" x14ac:dyDescent="0.25">
      <c r="C16" s="2">
        <v>0.14000000000000001</v>
      </c>
      <c r="D16" s="85">
        <f t="shared" si="2"/>
        <v>1.2417999999999999E-3</v>
      </c>
      <c r="E16" s="2">
        <v>0.14000000000000001</v>
      </c>
      <c r="F16" s="85">
        <f t="shared" si="1"/>
        <v>8.6240000000000015E-4</v>
      </c>
    </row>
    <row r="17" spans="3:6" x14ac:dyDescent="0.25">
      <c r="C17" s="2">
        <v>0.15</v>
      </c>
      <c r="D17" s="85">
        <f>C17*$D$7/$C$7</f>
        <v>1.3304999999999999E-3</v>
      </c>
      <c r="E17" s="2">
        <v>0.15</v>
      </c>
      <c r="F17" s="85">
        <f t="shared" si="1"/>
        <v>9.2400000000000002E-4</v>
      </c>
    </row>
    <row r="18" spans="3:6" x14ac:dyDescent="0.25">
      <c r="C18" s="2">
        <v>0.16</v>
      </c>
      <c r="D18" s="85">
        <f t="shared" ref="D18:D32" si="3">C18*$D$7/$C$7</f>
        <v>1.4192E-3</v>
      </c>
      <c r="E18" s="2">
        <v>0.16</v>
      </c>
      <c r="F18" s="85">
        <f t="shared" si="1"/>
        <v>9.856000000000001E-4</v>
      </c>
    </row>
    <row r="19" spans="3:6" x14ac:dyDescent="0.25">
      <c r="C19" s="2">
        <v>0.17</v>
      </c>
      <c r="D19" s="85">
        <f t="shared" si="3"/>
        <v>1.5079E-3</v>
      </c>
      <c r="E19" s="2">
        <v>0.17</v>
      </c>
      <c r="F19" s="85">
        <f t="shared" si="1"/>
        <v>1.0472000000000001E-3</v>
      </c>
    </row>
    <row r="20" spans="3:6" x14ac:dyDescent="0.25">
      <c r="C20" s="2">
        <v>0.18</v>
      </c>
      <c r="D20" s="85">
        <f t="shared" si="3"/>
        <v>1.5965999999999999E-3</v>
      </c>
      <c r="E20" s="2">
        <v>0.18</v>
      </c>
      <c r="F20" s="85">
        <f t="shared" si="1"/>
        <v>1.1088000000000001E-3</v>
      </c>
    </row>
    <row r="21" spans="3:6" x14ac:dyDescent="0.25">
      <c r="C21" s="2">
        <v>0.19</v>
      </c>
      <c r="D21" s="85">
        <f t="shared" si="3"/>
        <v>1.6852999999999998E-3</v>
      </c>
      <c r="E21" s="2">
        <v>0.19</v>
      </c>
      <c r="F21" s="85">
        <f t="shared" si="1"/>
        <v>1.1704E-3</v>
      </c>
    </row>
    <row r="22" spans="3:6" x14ac:dyDescent="0.25">
      <c r="C22" s="2">
        <v>0.2</v>
      </c>
      <c r="D22" s="85">
        <f t="shared" si="3"/>
        <v>1.774E-3</v>
      </c>
      <c r="E22" s="2">
        <v>0.2</v>
      </c>
      <c r="F22" s="85">
        <f t="shared" si="1"/>
        <v>1.2320000000000002E-3</v>
      </c>
    </row>
    <row r="23" spans="3:6" x14ac:dyDescent="0.25">
      <c r="C23" s="2">
        <v>0.21</v>
      </c>
      <c r="D23" s="85">
        <f t="shared" si="3"/>
        <v>1.8626999999999999E-3</v>
      </c>
      <c r="E23" s="2">
        <v>0.21</v>
      </c>
      <c r="F23" s="85">
        <f t="shared" si="1"/>
        <v>1.2936E-3</v>
      </c>
    </row>
    <row r="24" spans="3:6" x14ac:dyDescent="0.25">
      <c r="C24" s="2">
        <v>0.22</v>
      </c>
      <c r="D24" s="85">
        <f t="shared" si="3"/>
        <v>1.9513999999999998E-3</v>
      </c>
      <c r="E24" s="2">
        <v>0.22</v>
      </c>
      <c r="F24" s="85">
        <f t="shared" si="1"/>
        <v>1.3552000000000002E-3</v>
      </c>
    </row>
    <row r="25" spans="3:6" x14ac:dyDescent="0.25">
      <c r="C25" s="2">
        <v>0.23</v>
      </c>
      <c r="D25" s="85">
        <f t="shared" si="3"/>
        <v>2.0401E-3</v>
      </c>
      <c r="E25" s="2">
        <v>0.23</v>
      </c>
      <c r="F25" s="85">
        <f t="shared" si="1"/>
        <v>1.4168000000000002E-3</v>
      </c>
    </row>
    <row r="26" spans="3:6" x14ac:dyDescent="0.25">
      <c r="C26" s="2">
        <v>0.24</v>
      </c>
      <c r="D26" s="85">
        <f t="shared" si="3"/>
        <v>2.1287999999999997E-3</v>
      </c>
      <c r="E26" s="2">
        <v>0.24</v>
      </c>
      <c r="F26" s="85">
        <f t="shared" si="1"/>
        <v>1.4784000000000002E-3</v>
      </c>
    </row>
    <row r="27" spans="3:6" x14ac:dyDescent="0.25">
      <c r="C27" s="2">
        <v>0.25</v>
      </c>
      <c r="D27" s="85">
        <f t="shared" si="3"/>
        <v>2.2174999999999999E-3</v>
      </c>
      <c r="E27" s="2">
        <v>0.25</v>
      </c>
      <c r="F27" s="85">
        <f t="shared" si="1"/>
        <v>1.5400000000000001E-3</v>
      </c>
    </row>
    <row r="28" spans="3:6" x14ac:dyDescent="0.25">
      <c r="C28" s="2">
        <v>0.26</v>
      </c>
      <c r="D28" s="85">
        <f t="shared" si="3"/>
        <v>2.3062E-3</v>
      </c>
      <c r="E28" s="2">
        <v>0.26</v>
      </c>
      <c r="F28" s="85">
        <f t="shared" si="1"/>
        <v>1.6016000000000001E-3</v>
      </c>
    </row>
    <row r="29" spans="3:6" x14ac:dyDescent="0.25">
      <c r="C29" s="2">
        <v>0.27</v>
      </c>
      <c r="D29" s="85">
        <f t="shared" si="3"/>
        <v>2.3949000000000002E-3</v>
      </c>
      <c r="E29" s="2">
        <v>0.27</v>
      </c>
      <c r="F29" s="85">
        <f t="shared" si="1"/>
        <v>1.6632000000000003E-3</v>
      </c>
    </row>
    <row r="30" spans="3:6" x14ac:dyDescent="0.25">
      <c r="C30" s="2">
        <v>0.28000000000000003</v>
      </c>
      <c r="D30" s="85">
        <f t="shared" si="3"/>
        <v>2.4835999999999999E-3</v>
      </c>
      <c r="E30" s="2">
        <v>0.28000000000000003</v>
      </c>
      <c r="F30" s="85">
        <f t="shared" si="1"/>
        <v>1.7248000000000003E-3</v>
      </c>
    </row>
    <row r="31" spans="3:6" x14ac:dyDescent="0.25">
      <c r="C31" s="2">
        <v>0.28999999999999998</v>
      </c>
      <c r="D31" s="85">
        <f t="shared" si="3"/>
        <v>2.5722999999999996E-3</v>
      </c>
      <c r="E31" s="2">
        <v>0.28999999999999998</v>
      </c>
      <c r="F31" s="85">
        <f t="shared" si="1"/>
        <v>1.7864000000000001E-3</v>
      </c>
    </row>
    <row r="32" spans="3:6" x14ac:dyDescent="0.25">
      <c r="C32" s="2">
        <v>0.3</v>
      </c>
      <c r="D32" s="85">
        <f t="shared" si="3"/>
        <v>2.6609999999999997E-3</v>
      </c>
      <c r="E32" s="2">
        <v>0.3</v>
      </c>
      <c r="F32" s="85">
        <f t="shared" si="1"/>
        <v>1.848E-3</v>
      </c>
    </row>
    <row r="33" spans="3:6" x14ac:dyDescent="0.25">
      <c r="C33" s="2">
        <v>0.31</v>
      </c>
      <c r="D33" s="85">
        <f t="shared" ref="D33:D49" si="4">C33*$D$7/$C$7</f>
        <v>2.7496999999999999E-3</v>
      </c>
      <c r="E33" s="2">
        <v>0.31</v>
      </c>
      <c r="F33" s="85">
        <f t="shared" si="1"/>
        <v>1.9096000000000002E-3</v>
      </c>
    </row>
    <row r="34" spans="3:6" x14ac:dyDescent="0.25">
      <c r="C34" s="2">
        <v>0.32</v>
      </c>
      <c r="D34" s="85">
        <f t="shared" si="4"/>
        <v>2.8384E-3</v>
      </c>
    </row>
    <row r="35" spans="3:6" x14ac:dyDescent="0.25">
      <c r="C35" s="2">
        <v>0.33</v>
      </c>
      <c r="D35" s="85">
        <f t="shared" si="4"/>
        <v>2.9270999999999998E-3</v>
      </c>
    </row>
    <row r="36" spans="3:6" x14ac:dyDescent="0.25">
      <c r="C36" s="2">
        <v>0.34</v>
      </c>
      <c r="D36" s="85">
        <f t="shared" si="4"/>
        <v>3.0157999999999999E-3</v>
      </c>
    </row>
    <row r="37" spans="3:6" x14ac:dyDescent="0.25">
      <c r="C37" s="2">
        <v>0.35</v>
      </c>
      <c r="D37" s="85">
        <f t="shared" si="4"/>
        <v>3.1044999999999996E-3</v>
      </c>
    </row>
    <row r="38" spans="3:6" x14ac:dyDescent="0.25">
      <c r="C38" s="2">
        <v>0.36</v>
      </c>
      <c r="D38" s="85">
        <f t="shared" si="4"/>
        <v>3.1931999999999998E-3</v>
      </c>
    </row>
    <row r="39" spans="3:6" x14ac:dyDescent="0.25">
      <c r="C39" s="2">
        <v>0.37</v>
      </c>
      <c r="D39" s="85">
        <f t="shared" si="4"/>
        <v>3.2818999999999999E-3</v>
      </c>
    </row>
    <row r="40" spans="3:6" x14ac:dyDescent="0.25">
      <c r="C40" s="2">
        <v>0.38</v>
      </c>
      <c r="D40" s="85">
        <f t="shared" si="4"/>
        <v>3.3705999999999996E-3</v>
      </c>
    </row>
    <row r="41" spans="3:6" x14ac:dyDescent="0.25">
      <c r="C41" s="2">
        <v>0.39</v>
      </c>
      <c r="D41" s="85">
        <f t="shared" si="4"/>
        <v>3.4592999999999998E-3</v>
      </c>
    </row>
    <row r="42" spans="3:6" x14ac:dyDescent="0.25">
      <c r="C42" s="2">
        <v>0.4</v>
      </c>
      <c r="D42" s="85">
        <f t="shared" si="4"/>
        <v>3.5479999999999999E-3</v>
      </c>
    </row>
    <row r="43" spans="3:6" x14ac:dyDescent="0.25">
      <c r="C43" s="2">
        <v>0.41</v>
      </c>
      <c r="D43" s="85">
        <f t="shared" si="4"/>
        <v>3.6366999999999997E-3</v>
      </c>
    </row>
    <row r="44" spans="3:6" x14ac:dyDescent="0.25">
      <c r="C44" s="2">
        <v>0.42</v>
      </c>
      <c r="D44" s="85">
        <f t="shared" si="4"/>
        <v>3.7253999999999998E-3</v>
      </c>
    </row>
    <row r="45" spans="3:6" x14ac:dyDescent="0.25">
      <c r="C45" s="2">
        <v>0.43</v>
      </c>
      <c r="D45" s="85">
        <f t="shared" si="4"/>
        <v>3.8140999999999995E-3</v>
      </c>
    </row>
    <row r="46" spans="3:6" x14ac:dyDescent="0.25">
      <c r="C46" s="2">
        <v>0.44</v>
      </c>
      <c r="D46" s="85">
        <f t="shared" si="4"/>
        <v>3.9027999999999997E-3</v>
      </c>
    </row>
    <row r="47" spans="3:6" x14ac:dyDescent="0.25">
      <c r="C47" s="2">
        <v>0.45</v>
      </c>
      <c r="D47" s="85">
        <f t="shared" si="4"/>
        <v>3.9915000000000003E-3</v>
      </c>
    </row>
    <row r="48" spans="3:6" x14ac:dyDescent="0.25">
      <c r="C48" s="2">
        <v>0.46</v>
      </c>
      <c r="D48" s="85">
        <f t="shared" si="4"/>
        <v>4.0802E-3</v>
      </c>
    </row>
    <row r="49" spans="3:4" x14ac:dyDescent="0.25">
      <c r="C49" s="2">
        <v>0.47</v>
      </c>
      <c r="D49" s="85">
        <f t="shared" si="4"/>
        <v>4.1688999999999997E-3</v>
      </c>
    </row>
    <row r="122" spans="4:4" x14ac:dyDescent="0.25">
      <c r="D122" s="3" t="s">
        <v>99</v>
      </c>
    </row>
    <row r="123" spans="4:4" x14ac:dyDescent="0.25">
      <c r="D123" s="3" t="s">
        <v>99</v>
      </c>
    </row>
  </sheetData>
  <dataConsolidate/>
  <mergeCells count="3">
    <mergeCell ref="C2:D2"/>
    <mergeCell ref="A2:B2"/>
    <mergeCell ref="E2:F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8"/>
  <sheetViews>
    <sheetView topLeftCell="A100" workbookViewId="0">
      <selection activeCell="N119" sqref="N119"/>
    </sheetView>
  </sheetViews>
  <sheetFormatPr defaultRowHeight="15" x14ac:dyDescent="0.25"/>
  <cols>
    <col min="1" max="1" width="18.42578125" customWidth="1"/>
    <col min="2" max="2" width="11.28515625" customWidth="1"/>
    <col min="3" max="3" width="8.7109375" customWidth="1"/>
    <col min="4" max="4" width="7.140625" customWidth="1"/>
    <col min="5" max="5" width="7.42578125" customWidth="1"/>
    <col min="6" max="6" width="4.140625" customWidth="1"/>
    <col min="15" max="15" width="6.28515625" customWidth="1"/>
  </cols>
  <sheetData>
    <row r="2" spans="1:21" ht="16.5" thickBot="1" x14ac:dyDescent="0.3">
      <c r="A2" s="697" t="s">
        <v>9367</v>
      </c>
      <c r="Q2" s="702"/>
      <c r="R2" s="597"/>
      <c r="S2" s="679"/>
      <c r="T2" s="703" t="s">
        <v>9307</v>
      </c>
      <c r="U2" s="704" t="s">
        <v>9317</v>
      </c>
    </row>
    <row r="3" spans="1:21" x14ac:dyDescent="0.25">
      <c r="A3" s="701" t="s">
        <v>9338</v>
      </c>
      <c r="B3" s="699" t="s">
        <v>9313</v>
      </c>
      <c r="C3" s="700" t="s">
        <v>9337</v>
      </c>
      <c r="D3" s="699" t="s">
        <v>9336</v>
      </c>
      <c r="E3" s="699">
        <v>1.0209999999999999</v>
      </c>
      <c r="F3" s="699" t="s">
        <v>9306</v>
      </c>
      <c r="G3" s="699" t="s">
        <v>9358</v>
      </c>
      <c r="H3" s="699"/>
      <c r="I3" s="699"/>
      <c r="J3" s="699"/>
      <c r="K3" s="699"/>
      <c r="L3" s="699"/>
      <c r="M3" s="699"/>
      <c r="N3" s="699"/>
      <c r="O3" s="698"/>
      <c r="Q3" s="705" t="s">
        <v>9368</v>
      </c>
      <c r="R3" s="597"/>
      <c r="S3" s="679"/>
      <c r="T3" s="706">
        <v>8.4000000000000005E-2</v>
      </c>
      <c r="U3" s="707">
        <v>56.558</v>
      </c>
    </row>
    <row r="4" spans="1:21" ht="17.25" x14ac:dyDescent="0.25">
      <c r="A4" s="693" t="s">
        <v>9354</v>
      </c>
      <c r="B4" s="485"/>
      <c r="C4" s="491" t="s">
        <v>9353</v>
      </c>
      <c r="D4" s="485"/>
      <c r="E4" s="485">
        <v>1.2150000000000001</v>
      </c>
      <c r="F4" s="485" t="s">
        <v>596</v>
      </c>
      <c r="G4" s="485" t="s">
        <v>9366</v>
      </c>
      <c r="H4" s="485"/>
      <c r="I4" s="485"/>
      <c r="J4" s="485"/>
      <c r="K4" s="485"/>
      <c r="L4" s="485"/>
      <c r="M4" s="485"/>
      <c r="N4" s="485"/>
      <c r="O4" s="692"/>
      <c r="Q4" s="702"/>
      <c r="R4" s="597"/>
      <c r="S4" s="679"/>
      <c r="T4" s="597"/>
      <c r="U4" s="485"/>
    </row>
    <row r="5" spans="1:21" x14ac:dyDescent="0.25">
      <c r="A5" s="693" t="s">
        <v>9351</v>
      </c>
      <c r="B5" s="485"/>
      <c r="C5" s="491" t="s">
        <v>9350</v>
      </c>
      <c r="D5" s="485"/>
      <c r="E5" s="485">
        <v>2.6579999999999999</v>
      </c>
      <c r="F5" s="485" t="s">
        <v>9306</v>
      </c>
      <c r="G5" s="485" t="s">
        <v>9358</v>
      </c>
      <c r="H5" s="485"/>
      <c r="I5" s="485"/>
      <c r="J5" s="485"/>
      <c r="K5" s="485"/>
      <c r="L5" s="485"/>
      <c r="M5" s="485"/>
      <c r="N5" s="485"/>
      <c r="O5" s="692"/>
      <c r="Q5" s="705" t="s">
        <v>9369</v>
      </c>
      <c r="R5" s="597"/>
      <c r="S5" s="679"/>
      <c r="T5" s="706">
        <v>34.747999999999998</v>
      </c>
      <c r="U5" s="707">
        <v>1.2689999999999999</v>
      </c>
    </row>
    <row r="6" spans="1:21" x14ac:dyDescent="0.25">
      <c r="A6" s="693" t="s">
        <v>9345</v>
      </c>
      <c r="B6" s="485"/>
      <c r="C6" s="491" t="s">
        <v>9349</v>
      </c>
      <c r="D6" s="485"/>
      <c r="E6" s="485">
        <v>0.79700000000000004</v>
      </c>
      <c r="F6" s="485" t="s">
        <v>9306</v>
      </c>
      <c r="G6" s="485" t="s">
        <v>9358</v>
      </c>
      <c r="H6" s="485"/>
      <c r="I6" s="485"/>
      <c r="J6" s="485"/>
      <c r="K6" s="485"/>
      <c r="L6" s="485"/>
      <c r="M6" s="485"/>
      <c r="N6" s="485"/>
      <c r="O6" s="692"/>
      <c r="Q6" s="705"/>
      <c r="R6" s="597"/>
      <c r="S6" s="679"/>
      <c r="T6" s="706"/>
      <c r="U6" s="707"/>
    </row>
    <row r="7" spans="1:21" x14ac:dyDescent="0.25">
      <c r="A7" s="693" t="s">
        <v>9333</v>
      </c>
      <c r="B7" s="485"/>
      <c r="C7" s="491" t="s">
        <v>9347</v>
      </c>
      <c r="D7" s="485"/>
      <c r="E7" s="485">
        <v>3.6</v>
      </c>
      <c r="F7" s="485" t="s">
        <v>9306</v>
      </c>
      <c r="G7" s="485" t="s">
        <v>9358</v>
      </c>
      <c r="H7" s="485"/>
      <c r="I7" s="485"/>
      <c r="J7" s="485"/>
      <c r="K7" s="485"/>
      <c r="L7" s="485"/>
      <c r="M7" s="485"/>
      <c r="N7" s="485"/>
      <c r="O7" s="692"/>
      <c r="Q7" s="702"/>
      <c r="R7" s="597"/>
      <c r="S7" s="679"/>
      <c r="T7" s="706"/>
      <c r="U7" s="707"/>
    </row>
    <row r="8" spans="1:21" x14ac:dyDescent="0.25">
      <c r="A8" s="693" t="s">
        <v>9333</v>
      </c>
      <c r="B8" s="485"/>
      <c r="C8" s="491" t="s">
        <v>9346</v>
      </c>
      <c r="D8" s="485"/>
      <c r="E8" s="485">
        <v>2.52</v>
      </c>
      <c r="F8" s="485" t="s">
        <v>9306</v>
      </c>
      <c r="G8" s="485" t="s">
        <v>9358</v>
      </c>
      <c r="H8" s="485"/>
      <c r="I8" s="485"/>
      <c r="J8" s="485"/>
      <c r="K8" s="485"/>
      <c r="L8" s="485"/>
      <c r="M8" s="485"/>
      <c r="N8" s="485"/>
      <c r="O8" s="692"/>
      <c r="Q8" s="705" t="s">
        <v>8933</v>
      </c>
      <c r="R8" s="597"/>
      <c r="S8" s="679"/>
      <c r="T8" s="706">
        <v>8.7569999999999997</v>
      </c>
      <c r="U8" s="707"/>
    </row>
    <row r="9" spans="1:21" x14ac:dyDescent="0.25">
      <c r="A9" s="693" t="s">
        <v>9345</v>
      </c>
      <c r="B9" s="485"/>
      <c r="C9" s="491">
        <v>648</v>
      </c>
      <c r="D9" s="485"/>
      <c r="E9" s="485">
        <v>1.9650000000000001</v>
      </c>
      <c r="F9" s="485" t="s">
        <v>9306</v>
      </c>
      <c r="G9" s="485" t="s">
        <v>9358</v>
      </c>
      <c r="H9" s="485"/>
      <c r="I9" s="485"/>
      <c r="J9" s="485"/>
      <c r="K9" s="485"/>
      <c r="L9" s="485"/>
      <c r="M9" s="485"/>
      <c r="N9" s="485"/>
      <c r="O9" s="692"/>
      <c r="Q9" s="702"/>
      <c r="R9" s="597"/>
      <c r="S9" s="679"/>
      <c r="T9" s="706"/>
      <c r="U9" s="707"/>
    </row>
    <row r="10" spans="1:21" x14ac:dyDescent="0.25">
      <c r="A10" s="693" t="s">
        <v>9333</v>
      </c>
      <c r="B10" s="485"/>
      <c r="C10" s="491" t="s">
        <v>9332</v>
      </c>
      <c r="D10" s="485"/>
      <c r="E10" s="485">
        <v>0.19</v>
      </c>
      <c r="F10" s="485" t="s">
        <v>9306</v>
      </c>
      <c r="G10" s="485" t="s">
        <v>9358</v>
      </c>
      <c r="H10" s="485"/>
      <c r="I10" s="485"/>
      <c r="J10" s="485"/>
      <c r="K10" s="485"/>
      <c r="L10" s="485"/>
      <c r="M10" s="485"/>
      <c r="N10" s="485"/>
      <c r="O10" s="692"/>
      <c r="Q10" s="705" t="s">
        <v>8946</v>
      </c>
      <c r="R10" s="597"/>
      <c r="S10" s="679"/>
      <c r="T10" s="706">
        <v>8.6329999999999991</v>
      </c>
      <c r="U10" s="707"/>
    </row>
    <row r="11" spans="1:21" x14ac:dyDescent="0.25">
      <c r="A11" s="693" t="s">
        <v>4837</v>
      </c>
      <c r="B11" s="485"/>
      <c r="C11" s="491"/>
      <c r="D11" s="485"/>
      <c r="E11" s="485">
        <v>5.7000000000000002E-2</v>
      </c>
      <c r="F11" s="485" t="s">
        <v>9306</v>
      </c>
      <c r="G11" s="485" t="s">
        <v>9358</v>
      </c>
      <c r="H11" s="485"/>
      <c r="I11" s="485"/>
      <c r="J11" s="485"/>
      <c r="K11" s="485"/>
      <c r="L11" s="485"/>
      <c r="M11" s="485"/>
      <c r="N11" s="485"/>
      <c r="O11" s="692"/>
      <c r="Q11" s="702"/>
      <c r="R11" s="597"/>
      <c r="S11" s="679"/>
      <c r="T11" s="706"/>
      <c r="U11" s="707"/>
    </row>
    <row r="12" spans="1:21" x14ac:dyDescent="0.25">
      <c r="A12" s="693" t="s">
        <v>9344</v>
      </c>
      <c r="B12" s="485"/>
      <c r="C12" s="491" t="s">
        <v>9343</v>
      </c>
      <c r="D12" s="485"/>
      <c r="E12" s="485">
        <v>0.6</v>
      </c>
      <c r="F12" s="485" t="s">
        <v>9306</v>
      </c>
      <c r="G12" s="485" t="s">
        <v>9358</v>
      </c>
      <c r="H12" s="485"/>
      <c r="I12" s="485"/>
      <c r="J12" s="485"/>
      <c r="K12" s="485"/>
      <c r="L12" s="485"/>
      <c r="M12" s="485"/>
      <c r="N12" s="485"/>
      <c r="O12" s="692"/>
      <c r="Q12" s="705" t="s">
        <v>8939</v>
      </c>
      <c r="R12" s="597"/>
      <c r="S12" s="679"/>
      <c r="T12" s="706">
        <v>9.7710000000000008</v>
      </c>
      <c r="U12" s="707"/>
    </row>
    <row r="13" spans="1:21" x14ac:dyDescent="0.25">
      <c r="A13" s="693" t="s">
        <v>9339</v>
      </c>
      <c r="B13" s="485"/>
      <c r="C13" s="491"/>
      <c r="D13" s="485"/>
      <c r="E13" s="485">
        <v>0.25</v>
      </c>
      <c r="F13" s="485" t="s">
        <v>9306</v>
      </c>
      <c r="G13" s="485" t="s">
        <v>9358</v>
      </c>
      <c r="H13" s="485"/>
      <c r="I13" s="485"/>
      <c r="J13" s="485"/>
      <c r="K13" s="485"/>
      <c r="L13" s="485"/>
      <c r="M13" s="485"/>
      <c r="N13" s="485"/>
      <c r="O13" s="692"/>
      <c r="Q13" s="702"/>
      <c r="R13" s="597"/>
      <c r="S13" s="679"/>
      <c r="T13" s="706"/>
      <c r="U13" s="707"/>
    </row>
    <row r="14" spans="1:21" x14ac:dyDescent="0.25">
      <c r="A14" s="693" t="s">
        <v>9338</v>
      </c>
      <c r="B14" s="485" t="s">
        <v>9319</v>
      </c>
      <c r="C14" s="491" t="s">
        <v>9356</v>
      </c>
      <c r="D14" s="485" t="s">
        <v>9336</v>
      </c>
      <c r="E14" s="485">
        <v>0.221</v>
      </c>
      <c r="F14" s="485" t="s">
        <v>9306</v>
      </c>
      <c r="G14" s="485" t="s">
        <v>9365</v>
      </c>
      <c r="H14" s="485"/>
      <c r="I14" s="485"/>
      <c r="J14" s="485"/>
      <c r="K14" s="485"/>
      <c r="L14" s="485"/>
      <c r="M14" s="485"/>
      <c r="N14" s="485"/>
      <c r="O14" s="692"/>
      <c r="Q14" s="705" t="s">
        <v>8934</v>
      </c>
      <c r="R14" s="597"/>
      <c r="S14" s="679"/>
      <c r="T14" s="706">
        <v>9.7710000000000008</v>
      </c>
      <c r="U14" s="707"/>
    </row>
    <row r="15" spans="1:21" x14ac:dyDescent="0.25">
      <c r="A15" s="693" t="s">
        <v>9310</v>
      </c>
      <c r="B15" s="485" t="s">
        <v>9319</v>
      </c>
      <c r="C15" s="491" t="s">
        <v>9318</v>
      </c>
      <c r="D15" s="485" t="s">
        <v>9317</v>
      </c>
      <c r="E15" s="485">
        <v>56.558</v>
      </c>
      <c r="F15" s="485" t="s">
        <v>9306</v>
      </c>
      <c r="G15" s="485" t="s">
        <v>9364</v>
      </c>
      <c r="H15" s="485"/>
      <c r="I15" s="485"/>
      <c r="J15" s="485"/>
      <c r="K15" s="485"/>
      <c r="L15" s="485"/>
      <c r="M15" s="485"/>
      <c r="N15" s="485"/>
      <c r="O15" s="692"/>
      <c r="Q15" s="705"/>
      <c r="R15" s="597"/>
      <c r="S15" s="597"/>
      <c r="T15" s="707"/>
      <c r="U15" s="708"/>
    </row>
    <row r="16" spans="1:21" x14ac:dyDescent="0.25">
      <c r="A16" s="693" t="s">
        <v>9323</v>
      </c>
      <c r="B16" s="485" t="s">
        <v>9313</v>
      </c>
      <c r="C16" s="491" t="s">
        <v>9322</v>
      </c>
      <c r="D16" s="485" t="s">
        <v>9321</v>
      </c>
      <c r="E16" s="485">
        <v>8.4000000000000005E-2</v>
      </c>
      <c r="F16" s="485" t="s">
        <v>9306</v>
      </c>
      <c r="G16" s="485" t="s">
        <v>9320</v>
      </c>
      <c r="H16" s="485"/>
      <c r="I16" s="485"/>
      <c r="J16" s="485"/>
      <c r="K16" s="485"/>
      <c r="L16" s="485"/>
      <c r="M16" s="485"/>
      <c r="N16" s="485"/>
      <c r="O16" s="692"/>
      <c r="Q16" s="702"/>
      <c r="R16" s="597"/>
      <c r="S16" s="597"/>
      <c r="T16" s="485"/>
      <c r="U16" s="679"/>
    </row>
    <row r="17" spans="1:21" x14ac:dyDescent="0.25">
      <c r="A17" s="693" t="s">
        <v>9310</v>
      </c>
      <c r="B17" s="485" t="s">
        <v>9313</v>
      </c>
      <c r="C17" s="491" t="s">
        <v>9329</v>
      </c>
      <c r="D17" s="485" t="s">
        <v>9328</v>
      </c>
      <c r="E17" s="485">
        <v>0.13200000000000001</v>
      </c>
      <c r="F17" s="485" t="s">
        <v>9306</v>
      </c>
      <c r="G17" s="485" t="s">
        <v>9363</v>
      </c>
      <c r="H17" s="485"/>
      <c r="I17" s="485"/>
      <c r="J17" s="485"/>
      <c r="K17" s="485"/>
      <c r="L17" s="485"/>
      <c r="M17" s="485"/>
      <c r="N17" s="485"/>
      <c r="O17" s="692"/>
      <c r="Q17" s="705" t="s">
        <v>9370</v>
      </c>
      <c r="R17" s="597"/>
      <c r="S17" s="597"/>
      <c r="T17" s="707">
        <v>1.1200000000000001</v>
      </c>
      <c r="U17" s="679"/>
    </row>
    <row r="18" spans="1:21" x14ac:dyDescent="0.25">
      <c r="A18" s="693" t="s">
        <v>9310</v>
      </c>
      <c r="B18" s="485" t="s">
        <v>9319</v>
      </c>
      <c r="C18" s="491" t="s">
        <v>9362</v>
      </c>
      <c r="D18" s="485" t="s">
        <v>9361</v>
      </c>
      <c r="E18" s="485">
        <v>5.6000000000000001E-2</v>
      </c>
      <c r="F18" s="485" t="s">
        <v>9306</v>
      </c>
      <c r="G18" s="485" t="s">
        <v>4843</v>
      </c>
      <c r="H18" s="485"/>
      <c r="I18" s="485"/>
      <c r="J18" s="485"/>
      <c r="K18" s="485"/>
      <c r="L18" s="485"/>
      <c r="M18" s="485"/>
      <c r="N18" s="485"/>
      <c r="O18" s="692"/>
      <c r="Q18" s="702"/>
      <c r="R18" s="597"/>
      <c r="S18" s="597"/>
      <c r="T18" s="707"/>
      <c r="U18" s="679"/>
    </row>
    <row r="19" spans="1:21" x14ac:dyDescent="0.25">
      <c r="A19" s="693" t="s">
        <v>9310</v>
      </c>
      <c r="B19" s="485" t="s">
        <v>9319</v>
      </c>
      <c r="C19" s="491" t="s">
        <v>9318</v>
      </c>
      <c r="D19" s="485" t="s">
        <v>9307</v>
      </c>
      <c r="E19" s="485">
        <v>8.4000000000000005E-2</v>
      </c>
      <c r="F19" s="485" t="s">
        <v>9306</v>
      </c>
      <c r="G19" s="485" t="s">
        <v>9360</v>
      </c>
      <c r="H19" s="485"/>
      <c r="I19" s="485"/>
      <c r="J19" s="485"/>
      <c r="K19" s="485"/>
      <c r="L19" s="485"/>
      <c r="M19" s="485"/>
      <c r="N19" s="485"/>
      <c r="O19" s="692"/>
      <c r="Q19" s="705" t="s">
        <v>9371</v>
      </c>
      <c r="R19" s="597"/>
      <c r="S19" s="597"/>
      <c r="T19" s="707">
        <v>0.3</v>
      </c>
      <c r="U19" s="679"/>
    </row>
    <row r="20" spans="1:21" x14ac:dyDescent="0.25">
      <c r="A20" s="693"/>
      <c r="B20" s="485"/>
      <c r="C20" s="485"/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692"/>
      <c r="Q20" s="702"/>
      <c r="R20" s="597"/>
      <c r="S20" s="597"/>
      <c r="T20" s="707"/>
      <c r="U20" s="679"/>
    </row>
    <row r="21" spans="1:21" x14ac:dyDescent="0.25">
      <c r="A21" s="693" t="s">
        <v>9304</v>
      </c>
      <c r="B21" s="485"/>
      <c r="C21" s="485" t="s">
        <v>9303</v>
      </c>
      <c r="D21" s="485"/>
      <c r="E21" s="485">
        <v>12</v>
      </c>
      <c r="F21" s="485" t="s">
        <v>1516</v>
      </c>
      <c r="G21" s="485" t="s">
        <v>9358</v>
      </c>
      <c r="H21" s="485"/>
      <c r="I21" s="485"/>
      <c r="J21" s="485"/>
      <c r="K21" s="485"/>
      <c r="L21" s="485"/>
      <c r="M21" s="485"/>
      <c r="N21" s="485"/>
      <c r="O21" s="692"/>
      <c r="Q21" s="705" t="s">
        <v>9372</v>
      </c>
      <c r="R21" s="597"/>
      <c r="S21" s="597"/>
      <c r="T21" s="707">
        <v>1.1000000000000001</v>
      </c>
      <c r="U21" s="679"/>
    </row>
    <row r="22" spans="1:21" x14ac:dyDescent="0.25">
      <c r="A22" s="693" t="s">
        <v>4559</v>
      </c>
      <c r="B22" s="485"/>
      <c r="C22" s="485" t="s">
        <v>2165</v>
      </c>
      <c r="D22" s="485"/>
      <c r="E22" s="485">
        <v>12</v>
      </c>
      <c r="F22" s="485" t="s">
        <v>1516</v>
      </c>
      <c r="G22" s="485" t="s">
        <v>9358</v>
      </c>
      <c r="H22" s="485"/>
      <c r="I22" s="485"/>
      <c r="J22" s="485"/>
      <c r="K22" s="485"/>
      <c r="L22" s="485"/>
      <c r="M22" s="485"/>
      <c r="N22" s="485"/>
      <c r="O22" s="692"/>
      <c r="Q22" s="702"/>
      <c r="R22" s="597"/>
      <c r="S22" s="597"/>
      <c r="T22" s="707"/>
      <c r="U22" s="679"/>
    </row>
    <row r="23" spans="1:21" x14ac:dyDescent="0.25">
      <c r="A23" s="693" t="s">
        <v>9300</v>
      </c>
      <c r="B23" s="485"/>
      <c r="C23" s="485" t="s">
        <v>9299</v>
      </c>
      <c r="D23" s="485"/>
      <c r="E23" s="485">
        <v>12</v>
      </c>
      <c r="F23" s="485" t="s">
        <v>1516</v>
      </c>
      <c r="G23" s="485" t="s">
        <v>9358</v>
      </c>
      <c r="H23" s="485"/>
      <c r="I23" s="485"/>
      <c r="J23" s="485"/>
      <c r="K23" s="485"/>
      <c r="L23" s="485"/>
      <c r="M23" s="485"/>
      <c r="N23" s="485"/>
      <c r="O23" s="692"/>
      <c r="Q23" s="705" t="s">
        <v>9373</v>
      </c>
      <c r="R23" s="597"/>
      <c r="S23" s="597"/>
      <c r="T23" s="707">
        <v>0</v>
      </c>
      <c r="U23" s="679"/>
    </row>
    <row r="24" spans="1:21" ht="15.75" thickBot="1" x14ac:dyDescent="0.3">
      <c r="A24" s="691" t="s">
        <v>9359</v>
      </c>
      <c r="B24" s="690"/>
      <c r="C24" s="690" t="s">
        <v>9299</v>
      </c>
      <c r="D24" s="690"/>
      <c r="E24" s="690">
        <v>8</v>
      </c>
      <c r="F24" s="690" t="s">
        <v>1516</v>
      </c>
      <c r="G24" s="690" t="s">
        <v>9358</v>
      </c>
      <c r="H24" s="690"/>
      <c r="I24" s="690"/>
      <c r="J24" s="690"/>
      <c r="K24" s="690"/>
      <c r="L24" s="690"/>
      <c r="M24" s="690"/>
      <c r="N24" s="690"/>
      <c r="O24" s="689"/>
      <c r="Q24" s="702"/>
      <c r="R24" s="597"/>
      <c r="S24" s="597"/>
      <c r="T24" s="485"/>
      <c r="U24" s="679"/>
    </row>
    <row r="25" spans="1:21" x14ac:dyDescent="0.25">
      <c r="Q25" s="705" t="s">
        <v>9374</v>
      </c>
      <c r="R25" s="597"/>
      <c r="S25" s="597"/>
      <c r="T25" s="707">
        <v>1.1000000000000001</v>
      </c>
      <c r="U25" s="679"/>
    </row>
    <row r="26" spans="1:21" ht="15.75" x14ac:dyDescent="0.25">
      <c r="A26" s="697" t="s">
        <v>9357</v>
      </c>
      <c r="Q26" s="702"/>
      <c r="R26" s="597"/>
      <c r="S26" s="597"/>
      <c r="T26" s="707"/>
      <c r="U26" s="679"/>
    </row>
    <row r="27" spans="1:21" ht="32.25" customHeight="1" x14ac:dyDescent="0.25">
      <c r="A27" s="696" t="s">
        <v>9338</v>
      </c>
      <c r="B27" s="694" t="s">
        <v>9319</v>
      </c>
      <c r="C27" s="695" t="s">
        <v>9356</v>
      </c>
      <c r="D27" s="694" t="s">
        <v>9336</v>
      </c>
      <c r="E27" s="694">
        <v>0.83599999999999997</v>
      </c>
      <c r="F27" s="694" t="s">
        <v>9306</v>
      </c>
      <c r="G27" s="1046" t="s">
        <v>9355</v>
      </c>
      <c r="H27" s="1047"/>
      <c r="I27" s="1047"/>
      <c r="J27" s="1047"/>
      <c r="K27" s="1047"/>
      <c r="L27" s="1047"/>
      <c r="M27" s="1047"/>
      <c r="N27" s="1047"/>
      <c r="O27" s="1048"/>
      <c r="Q27" s="705" t="s">
        <v>9375</v>
      </c>
      <c r="R27" s="597"/>
      <c r="S27" s="597"/>
      <c r="T27" s="707">
        <v>0.8</v>
      </c>
      <c r="U27" s="679"/>
    </row>
    <row r="28" spans="1:21" ht="31.5" customHeight="1" x14ac:dyDescent="0.25">
      <c r="A28" s="696" t="s">
        <v>9354</v>
      </c>
      <c r="B28" s="694"/>
      <c r="C28" s="695" t="s">
        <v>9353</v>
      </c>
      <c r="D28" s="694"/>
      <c r="E28" s="694">
        <v>0.90800000000000003</v>
      </c>
      <c r="F28" s="694" t="s">
        <v>596</v>
      </c>
      <c r="G28" s="1046" t="s">
        <v>9352</v>
      </c>
      <c r="H28" s="1047"/>
      <c r="I28" s="1047"/>
      <c r="J28" s="1047"/>
      <c r="K28" s="1047"/>
      <c r="L28" s="1047"/>
      <c r="M28" s="1047"/>
      <c r="N28" s="1047"/>
      <c r="O28" s="1048"/>
      <c r="Q28" s="702"/>
      <c r="R28" s="597"/>
      <c r="S28" s="597"/>
      <c r="T28" s="707"/>
      <c r="U28" s="679"/>
    </row>
    <row r="29" spans="1:21" x14ac:dyDescent="0.25">
      <c r="A29" s="693" t="s">
        <v>9351</v>
      </c>
      <c r="B29" s="485"/>
      <c r="C29" s="491" t="s">
        <v>9350</v>
      </c>
      <c r="D29" s="485"/>
      <c r="E29" s="485">
        <v>1.8120000000000001</v>
      </c>
      <c r="F29" s="485" t="s">
        <v>9306</v>
      </c>
      <c r="G29" s="485" t="s">
        <v>9348</v>
      </c>
      <c r="H29" s="485"/>
      <c r="I29" s="485"/>
      <c r="J29" s="485"/>
      <c r="K29" s="485"/>
      <c r="L29" s="485"/>
      <c r="M29" s="485"/>
      <c r="N29" s="485"/>
      <c r="O29" s="692"/>
      <c r="Q29" s="705" t="s">
        <v>9376</v>
      </c>
      <c r="R29" s="597"/>
      <c r="S29" s="597"/>
      <c r="T29" s="707">
        <v>0.8</v>
      </c>
      <c r="U29" s="679"/>
    </row>
    <row r="30" spans="1:21" x14ac:dyDescent="0.25">
      <c r="A30" s="693" t="s">
        <v>9345</v>
      </c>
      <c r="B30" s="485"/>
      <c r="C30" s="491" t="s">
        <v>9349</v>
      </c>
      <c r="D30" s="485"/>
      <c r="E30" s="485">
        <v>0.53300000000000003</v>
      </c>
      <c r="F30" s="485" t="s">
        <v>9306</v>
      </c>
      <c r="G30" s="485" t="s">
        <v>9348</v>
      </c>
      <c r="H30" s="485"/>
      <c r="I30" s="485"/>
      <c r="J30" s="485"/>
      <c r="K30" s="485"/>
      <c r="L30" s="485"/>
      <c r="M30" s="485"/>
      <c r="N30" s="485"/>
      <c r="O30" s="692"/>
      <c r="Q30" s="702"/>
      <c r="R30" s="597"/>
      <c r="S30" s="597"/>
      <c r="T30" s="707"/>
      <c r="U30" s="679"/>
    </row>
    <row r="31" spans="1:21" ht="15.75" thickBot="1" x14ac:dyDescent="0.3">
      <c r="A31" s="693" t="s">
        <v>9333</v>
      </c>
      <c r="B31" s="485"/>
      <c r="C31" s="491" t="s">
        <v>9347</v>
      </c>
      <c r="D31" s="485"/>
      <c r="E31" s="485">
        <v>2.4</v>
      </c>
      <c r="F31" s="485" t="s">
        <v>9306</v>
      </c>
      <c r="G31" s="485" t="s">
        <v>9298</v>
      </c>
      <c r="H31" s="485"/>
      <c r="I31" s="485"/>
      <c r="J31" s="485"/>
      <c r="K31" s="485"/>
      <c r="L31" s="485"/>
      <c r="M31" s="485"/>
      <c r="N31" s="485"/>
      <c r="O31" s="692"/>
      <c r="Q31" s="709" t="s">
        <v>9377</v>
      </c>
      <c r="R31" s="710"/>
      <c r="S31" s="710"/>
      <c r="T31" s="711">
        <v>1.1000000000000001</v>
      </c>
      <c r="U31" s="601"/>
    </row>
    <row r="32" spans="1:21" ht="15.75" thickBot="1" x14ac:dyDescent="0.3">
      <c r="A32" s="693" t="s">
        <v>9333</v>
      </c>
      <c r="B32" s="485"/>
      <c r="C32" s="491" t="s">
        <v>9346</v>
      </c>
      <c r="D32" s="485"/>
      <c r="E32" s="485">
        <v>1.68</v>
      </c>
      <c r="F32" s="485" t="s">
        <v>9306</v>
      </c>
      <c r="G32" s="485" t="s">
        <v>9298</v>
      </c>
      <c r="H32" s="485"/>
      <c r="I32" s="485"/>
      <c r="J32" s="485"/>
      <c r="K32" s="485"/>
      <c r="L32" s="485"/>
      <c r="M32" s="485"/>
      <c r="N32" s="485"/>
      <c r="O32" s="692"/>
      <c r="Q32" s="1041" t="s">
        <v>4707</v>
      </c>
      <c r="R32" s="1049"/>
      <c r="S32" s="1050"/>
      <c r="T32" s="712">
        <f>SUM(T3:T31)</f>
        <v>78.083999999999975</v>
      </c>
      <c r="U32" s="713">
        <f>SUM(U3:U31)</f>
        <v>57.826999999999998</v>
      </c>
    </row>
    <row r="33" spans="1:15" x14ac:dyDescent="0.25">
      <c r="A33" s="693" t="s">
        <v>9345</v>
      </c>
      <c r="B33" s="485"/>
      <c r="C33" s="491">
        <v>648</v>
      </c>
      <c r="D33" s="485"/>
      <c r="E33" s="485">
        <v>1.31</v>
      </c>
      <c r="F33" s="485" t="s">
        <v>9306</v>
      </c>
      <c r="G33" s="485" t="s">
        <v>9298</v>
      </c>
      <c r="H33" s="485"/>
      <c r="I33" s="485"/>
      <c r="J33" s="485"/>
      <c r="K33" s="485"/>
      <c r="L33" s="485"/>
      <c r="M33" s="485"/>
      <c r="N33" s="485"/>
      <c r="O33" s="692"/>
    </row>
    <row r="34" spans="1:15" x14ac:dyDescent="0.25">
      <c r="A34" s="693" t="s">
        <v>9344</v>
      </c>
      <c r="B34" s="485"/>
      <c r="C34" s="491" t="s">
        <v>9343</v>
      </c>
      <c r="D34" s="485"/>
      <c r="E34" s="485">
        <v>0.4</v>
      </c>
      <c r="F34" s="485" t="s">
        <v>9306</v>
      </c>
      <c r="G34" s="485" t="s">
        <v>9298</v>
      </c>
      <c r="H34" s="485"/>
      <c r="I34" s="485"/>
      <c r="J34" s="485"/>
      <c r="K34" s="485"/>
      <c r="L34" s="485"/>
      <c r="M34" s="485"/>
      <c r="N34" s="485"/>
      <c r="O34" s="692"/>
    </row>
    <row r="35" spans="1:15" x14ac:dyDescent="0.25">
      <c r="A35" s="693" t="s">
        <v>9342</v>
      </c>
      <c r="B35" s="485" t="s">
        <v>9342</v>
      </c>
      <c r="C35" s="491" t="s">
        <v>9341</v>
      </c>
      <c r="D35" s="485"/>
      <c r="E35" s="485">
        <v>0.04</v>
      </c>
      <c r="F35" s="485" t="s">
        <v>9306</v>
      </c>
      <c r="G35" s="485" t="s">
        <v>9340</v>
      </c>
      <c r="H35" s="485"/>
      <c r="I35" s="485"/>
      <c r="J35" s="485"/>
      <c r="K35" s="485"/>
      <c r="L35" s="485"/>
      <c r="M35" s="485"/>
      <c r="N35" s="485"/>
      <c r="O35" s="692"/>
    </row>
    <row r="36" spans="1:15" x14ac:dyDescent="0.25">
      <c r="A36" s="693" t="s">
        <v>9339</v>
      </c>
      <c r="B36" s="485"/>
      <c r="C36" s="491"/>
      <c r="D36" s="485"/>
      <c r="E36" s="485">
        <v>0.25</v>
      </c>
      <c r="F36" s="485" t="s">
        <v>9306</v>
      </c>
      <c r="G36" s="485" t="s">
        <v>9298</v>
      </c>
      <c r="H36" s="485"/>
      <c r="I36" s="485"/>
      <c r="J36" s="485"/>
      <c r="K36" s="485"/>
      <c r="L36" s="485"/>
      <c r="M36" s="485"/>
      <c r="N36" s="485"/>
      <c r="O36" s="692"/>
    </row>
    <row r="37" spans="1:15" x14ac:dyDescent="0.25">
      <c r="A37" s="693" t="s">
        <v>9338</v>
      </c>
      <c r="B37" s="485" t="s">
        <v>9313</v>
      </c>
      <c r="C37" s="491" t="s">
        <v>9337</v>
      </c>
      <c r="D37" s="485" t="s">
        <v>9336</v>
      </c>
      <c r="E37" s="485">
        <v>7.0000000000000001E-3</v>
      </c>
      <c r="F37" s="485" t="s">
        <v>9306</v>
      </c>
      <c r="G37" s="485" t="s">
        <v>9334</v>
      </c>
      <c r="H37" s="485"/>
      <c r="I37" s="485"/>
      <c r="J37" s="485"/>
      <c r="K37" s="485"/>
      <c r="L37" s="485"/>
      <c r="M37" s="485"/>
      <c r="N37" s="485"/>
      <c r="O37" s="692"/>
    </row>
    <row r="38" spans="1:15" x14ac:dyDescent="0.25">
      <c r="A38" s="693" t="s">
        <v>9335</v>
      </c>
      <c r="B38" s="485" t="s">
        <v>9335</v>
      </c>
      <c r="C38" s="491"/>
      <c r="D38" s="485"/>
      <c r="E38" s="485">
        <v>1.0999999999999999E-2</v>
      </c>
      <c r="F38" s="485" t="s">
        <v>9306</v>
      </c>
      <c r="G38" s="485" t="s">
        <v>9334</v>
      </c>
      <c r="H38" s="485"/>
      <c r="I38" s="485"/>
      <c r="J38" s="485"/>
      <c r="K38" s="485"/>
      <c r="L38" s="485"/>
      <c r="M38" s="485"/>
      <c r="N38" s="485"/>
      <c r="O38" s="692"/>
    </row>
    <row r="39" spans="1:15" x14ac:dyDescent="0.25">
      <c r="A39" s="693" t="s">
        <v>9333</v>
      </c>
      <c r="B39" s="485"/>
      <c r="C39" s="491" t="s">
        <v>9332</v>
      </c>
      <c r="D39" s="485"/>
      <c r="E39" s="485">
        <v>2.5000000000000001E-2</v>
      </c>
      <c r="F39" s="485" t="s">
        <v>9306</v>
      </c>
      <c r="G39" s="485" t="s">
        <v>9331</v>
      </c>
      <c r="H39" s="485"/>
      <c r="I39" s="485"/>
      <c r="J39" s="485"/>
      <c r="K39" s="485"/>
      <c r="L39" s="485"/>
      <c r="M39" s="485"/>
      <c r="N39" s="485"/>
      <c r="O39" s="692"/>
    </row>
    <row r="40" spans="1:15" x14ac:dyDescent="0.25">
      <c r="A40" s="693" t="s">
        <v>4837</v>
      </c>
      <c r="B40" s="485"/>
      <c r="C40" s="491"/>
      <c r="D40" s="485"/>
      <c r="E40" s="485">
        <v>8.0000000000000002E-3</v>
      </c>
      <c r="F40" s="485" t="s">
        <v>9306</v>
      </c>
      <c r="G40" s="485" t="s">
        <v>9331</v>
      </c>
      <c r="H40" s="485"/>
      <c r="I40" s="485"/>
      <c r="J40" s="485"/>
      <c r="K40" s="485"/>
      <c r="L40" s="485"/>
      <c r="M40" s="485"/>
      <c r="N40" s="485"/>
      <c r="O40" s="692"/>
    </row>
    <row r="41" spans="1:15" x14ac:dyDescent="0.25">
      <c r="A41" s="693" t="s">
        <v>9310</v>
      </c>
      <c r="B41" s="485" t="s">
        <v>9319</v>
      </c>
      <c r="C41" s="491" t="s">
        <v>9318</v>
      </c>
      <c r="D41" s="485" t="s">
        <v>9307</v>
      </c>
      <c r="E41" s="485">
        <v>34.747999999999998</v>
      </c>
      <c r="F41" s="485" t="s">
        <v>9306</v>
      </c>
      <c r="G41" s="485" t="s">
        <v>9330</v>
      </c>
      <c r="H41" s="485"/>
      <c r="I41" s="485"/>
      <c r="J41" s="485"/>
      <c r="K41" s="485"/>
      <c r="L41" s="485"/>
      <c r="M41" s="485"/>
      <c r="N41" s="485"/>
      <c r="O41" s="692"/>
    </row>
    <row r="42" spans="1:15" x14ac:dyDescent="0.25">
      <c r="A42" s="693" t="s">
        <v>9310</v>
      </c>
      <c r="B42" s="485" t="s">
        <v>9313</v>
      </c>
      <c r="C42" s="491" t="s">
        <v>9329</v>
      </c>
      <c r="D42" s="485" t="s">
        <v>9328</v>
      </c>
      <c r="E42" s="485">
        <v>0.17599999999999999</v>
      </c>
      <c r="F42" s="485" t="s">
        <v>9306</v>
      </c>
      <c r="G42" s="485" t="s">
        <v>9327</v>
      </c>
      <c r="H42" s="485"/>
      <c r="I42" s="485"/>
      <c r="J42" s="485"/>
      <c r="K42" s="485"/>
      <c r="L42" s="485"/>
      <c r="M42" s="485"/>
      <c r="N42" s="485"/>
      <c r="O42" s="692"/>
    </row>
    <row r="43" spans="1:15" x14ac:dyDescent="0.25">
      <c r="A43" s="693" t="s">
        <v>9310</v>
      </c>
      <c r="B43" s="485" t="s">
        <v>9313</v>
      </c>
      <c r="C43" s="491" t="s">
        <v>9326</v>
      </c>
      <c r="D43" s="485" t="s">
        <v>9325</v>
      </c>
      <c r="E43" s="485">
        <v>7.0000000000000007E-2</v>
      </c>
      <c r="F43" s="485" t="s">
        <v>9306</v>
      </c>
      <c r="G43" s="485" t="s">
        <v>9324</v>
      </c>
      <c r="H43" s="485"/>
      <c r="I43" s="485"/>
      <c r="J43" s="485"/>
      <c r="K43" s="485"/>
      <c r="L43" s="485"/>
      <c r="M43" s="485"/>
      <c r="N43" s="485"/>
      <c r="O43" s="692"/>
    </row>
    <row r="44" spans="1:15" x14ac:dyDescent="0.25">
      <c r="A44" s="693" t="s">
        <v>9323</v>
      </c>
      <c r="B44" s="485" t="s">
        <v>9313</v>
      </c>
      <c r="C44" s="491" t="s">
        <v>9322</v>
      </c>
      <c r="D44" s="485" t="s">
        <v>9321</v>
      </c>
      <c r="E44" s="485">
        <v>0.112</v>
      </c>
      <c r="F44" s="485" t="s">
        <v>9306</v>
      </c>
      <c r="G44" s="485" t="s">
        <v>9320</v>
      </c>
      <c r="H44" s="485"/>
      <c r="I44" s="485"/>
      <c r="J44" s="485"/>
      <c r="K44" s="485"/>
      <c r="L44" s="485"/>
      <c r="M44" s="485"/>
      <c r="N44" s="485"/>
      <c r="O44" s="692"/>
    </row>
    <row r="45" spans="1:15" ht="29.25" customHeight="1" x14ac:dyDescent="0.25">
      <c r="A45" s="696" t="s">
        <v>9310</v>
      </c>
      <c r="B45" s="694" t="s">
        <v>9319</v>
      </c>
      <c r="C45" s="695" t="s">
        <v>9318</v>
      </c>
      <c r="D45" s="694" t="s">
        <v>9317</v>
      </c>
      <c r="E45" s="694">
        <v>1.2689999999999999</v>
      </c>
      <c r="F45" s="694" t="s">
        <v>9306</v>
      </c>
      <c r="G45" s="1046" t="s">
        <v>9316</v>
      </c>
      <c r="H45" s="1047"/>
      <c r="I45" s="1047"/>
      <c r="J45" s="1047"/>
      <c r="K45" s="1047"/>
      <c r="L45" s="1047"/>
      <c r="M45" s="1047"/>
      <c r="N45" s="1047"/>
      <c r="O45" s="1048"/>
    </row>
    <row r="46" spans="1:15" x14ac:dyDescent="0.25">
      <c r="A46" s="693" t="s">
        <v>2507</v>
      </c>
      <c r="B46" s="485" t="s">
        <v>9313</v>
      </c>
      <c r="C46" s="491">
        <v>20</v>
      </c>
      <c r="D46" s="485" t="s">
        <v>9315</v>
      </c>
      <c r="E46" s="485">
        <v>1.18</v>
      </c>
      <c r="F46" s="485" t="s">
        <v>9306</v>
      </c>
      <c r="G46" s="485" t="s">
        <v>9314</v>
      </c>
      <c r="H46" s="485"/>
      <c r="I46" s="485"/>
      <c r="J46" s="485"/>
      <c r="K46" s="485"/>
      <c r="L46" s="485"/>
      <c r="M46" s="485"/>
      <c r="N46" s="485"/>
      <c r="O46" s="692"/>
    </row>
    <row r="47" spans="1:15" x14ac:dyDescent="0.25">
      <c r="A47" s="693" t="s">
        <v>9310</v>
      </c>
      <c r="B47" s="485" t="s">
        <v>9313</v>
      </c>
      <c r="C47" s="491">
        <v>15</v>
      </c>
      <c r="D47" s="485" t="s">
        <v>9312</v>
      </c>
      <c r="E47" s="485">
        <v>2.5999999999999999E-2</v>
      </c>
      <c r="F47" s="485" t="s">
        <v>9306</v>
      </c>
      <c r="G47" s="485" t="s">
        <v>9311</v>
      </c>
      <c r="H47" s="485"/>
      <c r="I47" s="485"/>
      <c r="J47" s="485"/>
      <c r="K47" s="485"/>
      <c r="L47" s="485"/>
      <c r="M47" s="485"/>
      <c r="N47" s="485"/>
      <c r="O47" s="692"/>
    </row>
    <row r="48" spans="1:15" x14ac:dyDescent="0.25">
      <c r="A48" s="693" t="s">
        <v>9310</v>
      </c>
      <c r="B48" s="485" t="s">
        <v>9309</v>
      </c>
      <c r="C48" s="491" t="s">
        <v>9308</v>
      </c>
      <c r="D48" s="485" t="s">
        <v>9307</v>
      </c>
      <c r="E48" s="485">
        <v>1.5</v>
      </c>
      <c r="F48" s="485" t="s">
        <v>9306</v>
      </c>
      <c r="G48" s="485" t="s">
        <v>9305</v>
      </c>
      <c r="H48" s="485"/>
      <c r="I48" s="485"/>
      <c r="J48" s="485"/>
      <c r="K48" s="485"/>
      <c r="L48" s="485"/>
      <c r="M48" s="485"/>
      <c r="N48" s="485"/>
      <c r="O48" s="692"/>
    </row>
    <row r="49" spans="1:15" x14ac:dyDescent="0.25">
      <c r="A49" s="693"/>
      <c r="B49" s="485"/>
      <c r="C49" s="485"/>
      <c r="D49" s="485"/>
      <c r="E49" s="485"/>
      <c r="F49" s="485"/>
      <c r="G49" s="485"/>
      <c r="H49" s="485"/>
      <c r="I49" s="485"/>
      <c r="J49" s="485"/>
      <c r="K49" s="485"/>
      <c r="L49" s="485"/>
      <c r="M49" s="485"/>
      <c r="N49" s="485"/>
      <c r="O49" s="692"/>
    </row>
    <row r="50" spans="1:15" x14ac:dyDescent="0.25">
      <c r="A50" s="693" t="s">
        <v>9304</v>
      </c>
      <c r="B50" s="485"/>
      <c r="C50" s="485" t="s">
        <v>9303</v>
      </c>
      <c r="D50" s="485"/>
      <c r="E50" s="485">
        <v>16</v>
      </c>
      <c r="F50" s="485" t="s">
        <v>1516</v>
      </c>
      <c r="G50" s="485" t="s">
        <v>9298</v>
      </c>
      <c r="H50" s="485"/>
      <c r="I50" s="485"/>
      <c r="J50" s="485"/>
      <c r="K50" s="485"/>
      <c r="L50" s="485"/>
      <c r="M50" s="485"/>
      <c r="N50" s="485"/>
      <c r="O50" s="692"/>
    </row>
    <row r="51" spans="1:15" x14ac:dyDescent="0.25">
      <c r="A51" s="693" t="s">
        <v>4559</v>
      </c>
      <c r="B51" s="485"/>
      <c r="C51" s="485" t="s">
        <v>2165</v>
      </c>
      <c r="D51" s="485"/>
      <c r="E51" s="485">
        <v>16</v>
      </c>
      <c r="F51" s="485" t="s">
        <v>1516</v>
      </c>
      <c r="G51" s="485" t="s">
        <v>9298</v>
      </c>
      <c r="H51" s="485"/>
      <c r="I51" s="485"/>
      <c r="J51" s="485"/>
      <c r="K51" s="485"/>
      <c r="L51" s="485"/>
      <c r="M51" s="485"/>
      <c r="N51" s="485"/>
      <c r="O51" s="692"/>
    </row>
    <row r="52" spans="1:15" x14ac:dyDescent="0.25">
      <c r="A52" s="693" t="s">
        <v>9302</v>
      </c>
      <c r="B52" s="485"/>
      <c r="C52" s="485" t="s">
        <v>9299</v>
      </c>
      <c r="D52" s="485"/>
      <c r="E52" s="485">
        <v>1</v>
      </c>
      <c r="F52" s="485" t="s">
        <v>1516</v>
      </c>
      <c r="G52" s="485" t="s">
        <v>9298</v>
      </c>
      <c r="H52" s="485"/>
      <c r="I52" s="485"/>
      <c r="J52" s="485"/>
      <c r="K52" s="485"/>
      <c r="L52" s="485"/>
      <c r="M52" s="485"/>
      <c r="N52" s="485"/>
      <c r="O52" s="692"/>
    </row>
    <row r="53" spans="1:15" x14ac:dyDescent="0.25">
      <c r="A53" s="693" t="s">
        <v>9301</v>
      </c>
      <c r="B53" s="485"/>
      <c r="C53" s="485" t="s">
        <v>9299</v>
      </c>
      <c r="D53" s="485"/>
      <c r="E53" s="485">
        <v>2</v>
      </c>
      <c r="F53" s="485" t="s">
        <v>1516</v>
      </c>
      <c r="G53" s="485" t="s">
        <v>9298</v>
      </c>
      <c r="H53" s="485"/>
      <c r="I53" s="485"/>
      <c r="J53" s="485"/>
      <c r="K53" s="485"/>
      <c r="L53" s="485"/>
      <c r="M53" s="485"/>
      <c r="N53" s="485"/>
      <c r="O53" s="692"/>
    </row>
    <row r="54" spans="1:15" ht="15.75" thickBot="1" x14ac:dyDescent="0.3">
      <c r="A54" s="691" t="s">
        <v>9300</v>
      </c>
      <c r="B54" s="690"/>
      <c r="C54" s="690" t="s">
        <v>9299</v>
      </c>
      <c r="D54" s="690"/>
      <c r="E54" s="690">
        <v>6</v>
      </c>
      <c r="F54" s="690" t="s">
        <v>1516</v>
      </c>
      <c r="G54" s="690" t="s">
        <v>9298</v>
      </c>
      <c r="H54" s="690"/>
      <c r="I54" s="690"/>
      <c r="J54" s="690"/>
      <c r="K54" s="690"/>
      <c r="L54" s="690"/>
      <c r="M54" s="690"/>
      <c r="N54" s="690"/>
      <c r="O54" s="689"/>
    </row>
    <row r="55" spans="1:15" ht="15.75" thickBot="1" x14ac:dyDescent="0.3"/>
    <row r="56" spans="1:15" ht="16.5" thickBot="1" x14ac:dyDescent="0.3">
      <c r="A56" s="1043" t="s">
        <v>9378</v>
      </c>
      <c r="B56" s="1044"/>
      <c r="C56" s="1044"/>
      <c r="D56" s="1044"/>
      <c r="E56" s="1044"/>
      <c r="F56" s="1045"/>
    </row>
    <row r="57" spans="1:15" ht="15.75" x14ac:dyDescent="0.25">
      <c r="A57" s="714"/>
      <c r="B57" s="715"/>
      <c r="C57" s="715"/>
      <c r="D57" s="715"/>
      <c r="E57" s="715"/>
      <c r="F57" s="716"/>
    </row>
    <row r="58" spans="1:15" x14ac:dyDescent="0.25">
      <c r="A58" s="693" t="s">
        <v>9379</v>
      </c>
      <c r="B58" s="491">
        <v>648</v>
      </c>
      <c r="C58" s="485"/>
      <c r="D58" s="485" t="s">
        <v>9380</v>
      </c>
      <c r="E58" s="717">
        <v>1.536</v>
      </c>
      <c r="F58" s="692" t="s">
        <v>9306</v>
      </c>
    </row>
    <row r="59" spans="1:15" x14ac:dyDescent="0.25">
      <c r="A59" s="693" t="s">
        <v>9381</v>
      </c>
      <c r="B59" s="491" t="s">
        <v>9350</v>
      </c>
      <c r="C59" s="717"/>
      <c r="D59" s="485" t="s">
        <v>9382</v>
      </c>
      <c r="E59" s="717">
        <v>1.024</v>
      </c>
      <c r="F59" s="692" t="s">
        <v>9306</v>
      </c>
    </row>
    <row r="60" spans="1:15" x14ac:dyDescent="0.25">
      <c r="A60" s="693" t="s">
        <v>9383</v>
      </c>
      <c r="B60" s="491" t="s">
        <v>9346</v>
      </c>
      <c r="C60" s="717"/>
      <c r="D60" s="485" t="s">
        <v>9384</v>
      </c>
      <c r="E60" s="717">
        <v>0.25600000000000001</v>
      </c>
      <c r="F60" s="692" t="s">
        <v>9306</v>
      </c>
    </row>
    <row r="61" spans="1:15" x14ac:dyDescent="0.25">
      <c r="A61" s="693" t="s">
        <v>9379</v>
      </c>
      <c r="B61" s="491" t="s">
        <v>9349</v>
      </c>
      <c r="C61" s="717"/>
      <c r="D61" s="485" t="s">
        <v>9385</v>
      </c>
      <c r="E61" s="717">
        <v>0.307</v>
      </c>
      <c r="F61" s="692" t="s">
        <v>9306</v>
      </c>
    </row>
    <row r="62" spans="1:15" x14ac:dyDescent="0.25">
      <c r="A62" s="693" t="s">
        <v>9386</v>
      </c>
      <c r="B62" s="491" t="s">
        <v>9353</v>
      </c>
      <c r="C62" s="717"/>
      <c r="D62" s="485" t="s">
        <v>9387</v>
      </c>
      <c r="E62" s="717">
        <v>0.54700000000000004</v>
      </c>
      <c r="F62" s="692" t="s">
        <v>9388</v>
      </c>
    </row>
    <row r="63" spans="1:15" x14ac:dyDescent="0.25">
      <c r="A63" s="693" t="s">
        <v>9389</v>
      </c>
      <c r="B63" s="491" t="s">
        <v>9343</v>
      </c>
      <c r="C63" s="717"/>
      <c r="D63" s="485" t="s">
        <v>9390</v>
      </c>
      <c r="E63" s="717">
        <v>0.44</v>
      </c>
      <c r="F63" s="692" t="s">
        <v>9306</v>
      </c>
    </row>
    <row r="64" spans="1:15" x14ac:dyDescent="0.25">
      <c r="A64" s="693" t="s">
        <v>9391</v>
      </c>
      <c r="B64" s="491"/>
      <c r="C64" s="717"/>
      <c r="D64" s="485" t="s">
        <v>9392</v>
      </c>
      <c r="E64" s="717">
        <v>2E-3</v>
      </c>
      <c r="F64" s="692" t="s">
        <v>9306</v>
      </c>
    </row>
    <row r="65" spans="1:6" x14ac:dyDescent="0.25">
      <c r="A65" s="693" t="s">
        <v>9393</v>
      </c>
      <c r="B65" s="491" t="s">
        <v>9318</v>
      </c>
      <c r="C65" s="717" t="s">
        <v>9317</v>
      </c>
      <c r="D65" s="485" t="s">
        <v>9394</v>
      </c>
      <c r="E65" s="717">
        <v>0.80700000000000005</v>
      </c>
      <c r="F65" s="692" t="s">
        <v>9306</v>
      </c>
    </row>
    <row r="66" spans="1:6" x14ac:dyDescent="0.25">
      <c r="A66" s="693" t="s">
        <v>9383</v>
      </c>
      <c r="B66" s="491" t="s">
        <v>9347</v>
      </c>
      <c r="C66" s="717"/>
      <c r="D66" s="485" t="s">
        <v>9395</v>
      </c>
      <c r="E66" s="717">
        <v>0.25600000000000001</v>
      </c>
      <c r="F66" s="692" t="s">
        <v>9306</v>
      </c>
    </row>
    <row r="67" spans="1:6" x14ac:dyDescent="0.25">
      <c r="A67" s="693" t="s">
        <v>9393</v>
      </c>
      <c r="B67" s="491" t="s">
        <v>9318</v>
      </c>
      <c r="C67" s="717" t="s">
        <v>9307</v>
      </c>
      <c r="D67" s="485" t="s">
        <v>9394</v>
      </c>
      <c r="E67" s="717">
        <v>29.686</v>
      </c>
      <c r="F67" s="692" t="s">
        <v>9306</v>
      </c>
    </row>
    <row r="68" spans="1:6" x14ac:dyDescent="0.25">
      <c r="A68" s="718" t="s">
        <v>9478</v>
      </c>
      <c r="B68" s="695" t="s">
        <v>9396</v>
      </c>
      <c r="C68" s="719"/>
      <c r="D68" s="695" t="s">
        <v>9397</v>
      </c>
      <c r="E68" s="720">
        <v>1.4999999999999999E-2</v>
      </c>
      <c r="F68" s="721" t="s">
        <v>9388</v>
      </c>
    </row>
    <row r="69" spans="1:6" x14ac:dyDescent="0.25">
      <c r="A69" s="718" t="s">
        <v>9398</v>
      </c>
      <c r="B69" s="491" t="s">
        <v>9326</v>
      </c>
      <c r="C69" s="717" t="s">
        <v>9307</v>
      </c>
      <c r="D69" s="485" t="s">
        <v>9399</v>
      </c>
      <c r="E69" s="717">
        <v>0.11</v>
      </c>
      <c r="F69" s="692" t="s">
        <v>9306</v>
      </c>
    </row>
    <row r="70" spans="1:6" x14ac:dyDescent="0.25">
      <c r="A70" s="693" t="s">
        <v>9400</v>
      </c>
      <c r="B70" s="491" t="s">
        <v>9341</v>
      </c>
      <c r="C70" s="717"/>
      <c r="D70" s="485" t="s">
        <v>9401</v>
      </c>
      <c r="E70" s="717">
        <v>0.05</v>
      </c>
      <c r="F70" s="692" t="s">
        <v>9306</v>
      </c>
    </row>
    <row r="71" spans="1:6" x14ac:dyDescent="0.25">
      <c r="A71" s="693" t="s">
        <v>9402</v>
      </c>
      <c r="B71" s="491" t="s">
        <v>9403</v>
      </c>
      <c r="C71" s="717"/>
      <c r="D71" s="485" t="s">
        <v>9404</v>
      </c>
      <c r="E71" s="717">
        <v>8.0000000000000002E-3</v>
      </c>
      <c r="F71" s="692" t="s">
        <v>9306</v>
      </c>
    </row>
    <row r="72" spans="1:6" x14ac:dyDescent="0.25">
      <c r="A72" s="693" t="s">
        <v>9398</v>
      </c>
      <c r="B72" s="491">
        <v>15</v>
      </c>
      <c r="C72" s="717" t="s">
        <v>9307</v>
      </c>
      <c r="D72" s="485" t="s">
        <v>9399</v>
      </c>
      <c r="E72" s="717">
        <v>0.84</v>
      </c>
      <c r="F72" s="692" t="s">
        <v>9306</v>
      </c>
    </row>
    <row r="73" spans="1:6" x14ac:dyDescent="0.25">
      <c r="A73" s="693" t="s">
        <v>9405</v>
      </c>
      <c r="B73" s="491" t="s">
        <v>9356</v>
      </c>
      <c r="C73" s="717" t="s">
        <v>9336</v>
      </c>
      <c r="D73" s="485" t="s">
        <v>9406</v>
      </c>
      <c r="E73" s="717">
        <v>0.501</v>
      </c>
      <c r="F73" s="692" t="s">
        <v>9306</v>
      </c>
    </row>
    <row r="74" spans="1:6" x14ac:dyDescent="0.25">
      <c r="A74" s="693" t="s">
        <v>9398</v>
      </c>
      <c r="B74" s="491" t="s">
        <v>9407</v>
      </c>
      <c r="C74" s="717" t="s">
        <v>9408</v>
      </c>
      <c r="D74" s="485" t="s">
        <v>9399</v>
      </c>
      <c r="E74" s="717">
        <v>5.0000000000000001E-3</v>
      </c>
      <c r="F74" s="692" t="s">
        <v>9306</v>
      </c>
    </row>
    <row r="75" spans="1:6" ht="15.75" thickBot="1" x14ac:dyDescent="0.3">
      <c r="A75" s="691" t="s">
        <v>9398</v>
      </c>
      <c r="B75" s="722" t="s">
        <v>9329</v>
      </c>
      <c r="C75" s="723" t="s">
        <v>9409</v>
      </c>
      <c r="D75" s="690" t="s">
        <v>9410</v>
      </c>
      <c r="E75" s="723">
        <v>0.06</v>
      </c>
      <c r="F75" s="689" t="s">
        <v>9306</v>
      </c>
    </row>
    <row r="76" spans="1:6" ht="15.75" thickBot="1" x14ac:dyDescent="0.3">
      <c r="D76" s="2"/>
    </row>
    <row r="77" spans="1:6" ht="16.5" thickBot="1" x14ac:dyDescent="0.3">
      <c r="A77" s="1043" t="s">
        <v>9411</v>
      </c>
      <c r="B77" s="1044"/>
      <c r="C77" s="1044"/>
      <c r="D77" s="1044"/>
      <c r="E77" s="1044"/>
      <c r="F77" s="1045"/>
    </row>
    <row r="78" spans="1:6" x14ac:dyDescent="0.25">
      <c r="A78" s="724" t="s">
        <v>4298</v>
      </c>
      <c r="B78" s="725"/>
      <c r="C78" s="725"/>
      <c r="D78" s="725"/>
      <c r="E78" s="725"/>
      <c r="F78" s="726"/>
    </row>
    <row r="79" spans="1:6" x14ac:dyDescent="0.25">
      <c r="A79" s="693" t="s">
        <v>9379</v>
      </c>
      <c r="B79" s="491">
        <v>648</v>
      </c>
      <c r="C79" s="485"/>
      <c r="D79" s="485" t="s">
        <v>9380</v>
      </c>
      <c r="E79" s="717">
        <v>0.35</v>
      </c>
      <c r="F79" s="692" t="s">
        <v>9306</v>
      </c>
    </row>
    <row r="80" spans="1:6" x14ac:dyDescent="0.25">
      <c r="A80" s="693" t="s">
        <v>9381</v>
      </c>
      <c r="B80" s="491" t="s">
        <v>9350</v>
      </c>
      <c r="C80" s="485"/>
      <c r="D80" s="485" t="s">
        <v>9382</v>
      </c>
      <c r="E80" s="717">
        <v>1.3</v>
      </c>
      <c r="F80" s="692" t="s">
        <v>9306</v>
      </c>
    </row>
    <row r="81" spans="1:6" x14ac:dyDescent="0.25">
      <c r="A81" s="693" t="s">
        <v>9389</v>
      </c>
      <c r="B81" s="491" t="s">
        <v>9343</v>
      </c>
      <c r="C81" s="485"/>
      <c r="D81" s="485" t="s">
        <v>9390</v>
      </c>
      <c r="E81" s="717">
        <v>0.67</v>
      </c>
      <c r="F81" s="692" t="s">
        <v>9306</v>
      </c>
    </row>
    <row r="82" spans="1:6" x14ac:dyDescent="0.25">
      <c r="A82" s="693" t="s">
        <v>9379</v>
      </c>
      <c r="B82" s="491" t="s">
        <v>9349</v>
      </c>
      <c r="C82" s="485"/>
      <c r="D82" s="485" t="s">
        <v>9385</v>
      </c>
      <c r="E82" s="717">
        <v>0.39</v>
      </c>
      <c r="F82" s="692" t="s">
        <v>9306</v>
      </c>
    </row>
    <row r="83" spans="1:6" x14ac:dyDescent="0.25">
      <c r="A83" s="693" t="s">
        <v>9400</v>
      </c>
      <c r="B83" s="491" t="s">
        <v>9341</v>
      </c>
      <c r="C83" s="485"/>
      <c r="D83" s="485" t="s">
        <v>9401</v>
      </c>
      <c r="E83" s="717">
        <v>0.05</v>
      </c>
      <c r="F83" s="692" t="s">
        <v>9306</v>
      </c>
    </row>
    <row r="84" spans="1:6" x14ac:dyDescent="0.25">
      <c r="A84" s="718" t="s">
        <v>9478</v>
      </c>
      <c r="B84" s="491" t="s">
        <v>9396</v>
      </c>
      <c r="C84" s="485"/>
      <c r="D84" s="485" t="s">
        <v>9397</v>
      </c>
      <c r="E84" s="717">
        <v>0.105</v>
      </c>
      <c r="F84" s="692" t="s">
        <v>9388</v>
      </c>
    </row>
    <row r="85" spans="1:6" x14ac:dyDescent="0.25">
      <c r="A85" s="693" t="s">
        <v>9391</v>
      </c>
      <c r="B85" s="491"/>
      <c r="C85" s="485"/>
      <c r="D85" s="485" t="s">
        <v>9392</v>
      </c>
      <c r="E85" s="717">
        <v>1.4E-2</v>
      </c>
      <c r="F85" s="692" t="s">
        <v>9306</v>
      </c>
    </row>
    <row r="86" spans="1:6" x14ac:dyDescent="0.25">
      <c r="A86" s="693" t="s">
        <v>9393</v>
      </c>
      <c r="B86" s="491" t="s">
        <v>9318</v>
      </c>
      <c r="C86" s="485" t="s">
        <v>9317</v>
      </c>
      <c r="D86" s="485" t="s">
        <v>9394</v>
      </c>
      <c r="E86" s="717">
        <v>0.30599999999999999</v>
      </c>
      <c r="F86" s="692" t="s">
        <v>9306</v>
      </c>
    </row>
    <row r="87" spans="1:6" x14ac:dyDescent="0.25">
      <c r="A87" s="693" t="s">
        <v>9383</v>
      </c>
      <c r="B87" s="491" t="s">
        <v>9347</v>
      </c>
      <c r="C87" s="485"/>
      <c r="D87" s="485" t="s">
        <v>9395</v>
      </c>
      <c r="E87" s="717">
        <v>0.35</v>
      </c>
      <c r="F87" s="692" t="s">
        <v>9306</v>
      </c>
    </row>
    <row r="88" spans="1:6" x14ac:dyDescent="0.25">
      <c r="A88" s="693" t="s">
        <v>9393</v>
      </c>
      <c r="B88" s="491" t="s">
        <v>9318</v>
      </c>
      <c r="C88" s="485" t="s">
        <v>9307</v>
      </c>
      <c r="D88" s="485" t="s">
        <v>9394</v>
      </c>
      <c r="E88" s="717">
        <v>34.700000000000003</v>
      </c>
      <c r="F88" s="692" t="s">
        <v>9306</v>
      </c>
    </row>
    <row r="89" spans="1:6" x14ac:dyDescent="0.25">
      <c r="A89" s="693" t="s">
        <v>9383</v>
      </c>
      <c r="B89" s="491" t="s">
        <v>9346</v>
      </c>
      <c r="C89" s="485"/>
      <c r="D89" s="485" t="s">
        <v>9384</v>
      </c>
      <c r="E89" s="717">
        <v>0.35</v>
      </c>
      <c r="F89" s="692" t="s">
        <v>9306</v>
      </c>
    </row>
    <row r="90" spans="1:6" x14ac:dyDescent="0.25">
      <c r="A90" s="693" t="s">
        <v>9402</v>
      </c>
      <c r="B90" s="491" t="s">
        <v>9403</v>
      </c>
      <c r="C90" s="485"/>
      <c r="D90" s="485" t="s">
        <v>9404</v>
      </c>
      <c r="E90" s="717">
        <v>5.6000000000000001E-2</v>
      </c>
      <c r="F90" s="692" t="s">
        <v>9306</v>
      </c>
    </row>
    <row r="91" spans="1:6" x14ac:dyDescent="0.25">
      <c r="A91" s="693" t="s">
        <v>9386</v>
      </c>
      <c r="B91" s="491" t="s">
        <v>9353</v>
      </c>
      <c r="C91" s="485"/>
      <c r="D91" s="485" t="s">
        <v>9387</v>
      </c>
      <c r="E91" s="717">
        <v>0.57899999999999996</v>
      </c>
      <c r="F91" s="692" t="s">
        <v>9388</v>
      </c>
    </row>
    <row r="92" spans="1:6" x14ac:dyDescent="0.25">
      <c r="A92" s="693" t="s">
        <v>9398</v>
      </c>
      <c r="B92" s="491">
        <v>15</v>
      </c>
      <c r="C92" s="485" t="s">
        <v>9307</v>
      </c>
      <c r="D92" s="485" t="s">
        <v>9399</v>
      </c>
      <c r="E92" s="717">
        <v>0.84</v>
      </c>
      <c r="F92" s="692" t="s">
        <v>9306</v>
      </c>
    </row>
    <row r="93" spans="1:6" x14ac:dyDescent="0.25">
      <c r="A93" s="693" t="s">
        <v>9393</v>
      </c>
      <c r="B93" s="491" t="s">
        <v>9318</v>
      </c>
      <c r="C93" s="485" t="s">
        <v>9325</v>
      </c>
      <c r="D93" s="485" t="s">
        <v>9394</v>
      </c>
      <c r="E93" s="717">
        <v>0.37</v>
      </c>
      <c r="F93" s="692" t="s">
        <v>9306</v>
      </c>
    </row>
    <row r="94" spans="1:6" x14ac:dyDescent="0.25">
      <c r="A94" s="693" t="s">
        <v>9398</v>
      </c>
      <c r="B94" s="491" t="s">
        <v>9407</v>
      </c>
      <c r="C94" s="485" t="s">
        <v>9408</v>
      </c>
      <c r="D94" s="485" t="s">
        <v>9399</v>
      </c>
      <c r="E94" s="717">
        <v>5.0000000000000001E-3</v>
      </c>
      <c r="F94" s="692" t="s">
        <v>9306</v>
      </c>
    </row>
    <row r="95" spans="1:6" x14ac:dyDescent="0.25">
      <c r="A95" s="693" t="s">
        <v>9405</v>
      </c>
      <c r="B95" s="491" t="s">
        <v>9356</v>
      </c>
      <c r="C95" s="485" t="s">
        <v>9336</v>
      </c>
      <c r="D95" s="485" t="s">
        <v>9406</v>
      </c>
      <c r="E95" s="717">
        <v>0.53200000000000003</v>
      </c>
      <c r="F95" s="692" t="s">
        <v>9306</v>
      </c>
    </row>
    <row r="96" spans="1:6" x14ac:dyDescent="0.25">
      <c r="A96" s="693" t="s">
        <v>9398</v>
      </c>
      <c r="B96" s="491" t="s">
        <v>9326</v>
      </c>
      <c r="C96" s="485" t="s">
        <v>9307</v>
      </c>
      <c r="D96" s="485" t="s">
        <v>9399</v>
      </c>
      <c r="E96" s="717">
        <v>0.22</v>
      </c>
      <c r="F96" s="692" t="s">
        <v>9306</v>
      </c>
    </row>
    <row r="97" spans="1:6" ht="15.75" thickBot="1" x14ac:dyDescent="0.3">
      <c r="A97" s="691" t="s">
        <v>9398</v>
      </c>
      <c r="B97" s="722" t="s">
        <v>9412</v>
      </c>
      <c r="C97" s="690" t="s">
        <v>9408</v>
      </c>
      <c r="D97" s="690"/>
      <c r="E97" s="723">
        <v>0.114</v>
      </c>
      <c r="F97" s="689" t="s">
        <v>9306</v>
      </c>
    </row>
    <row r="98" spans="1:6" ht="15.75" thickBot="1" x14ac:dyDescent="0.3">
      <c r="A98" s="73"/>
      <c r="B98" s="96"/>
      <c r="C98" s="73"/>
      <c r="D98" s="73"/>
      <c r="E98" s="99"/>
      <c r="F98" s="73"/>
    </row>
    <row r="99" spans="1:6" ht="16.5" thickBot="1" x14ac:dyDescent="0.3">
      <c r="A99" s="1043" t="s">
        <v>9413</v>
      </c>
      <c r="B99" s="1044"/>
      <c r="C99" s="1044"/>
      <c r="D99" s="1044"/>
      <c r="E99" s="1044"/>
      <c r="F99" s="1045"/>
    </row>
    <row r="100" spans="1:6" x14ac:dyDescent="0.25">
      <c r="A100" s="724"/>
      <c r="B100" s="725"/>
      <c r="C100" s="725"/>
      <c r="D100" s="725"/>
      <c r="E100" s="725"/>
      <c r="F100" s="726"/>
    </row>
    <row r="101" spans="1:6" x14ac:dyDescent="0.25">
      <c r="A101" s="693" t="s">
        <v>9379</v>
      </c>
      <c r="B101" s="491">
        <v>648</v>
      </c>
      <c r="C101" s="485"/>
      <c r="D101" s="485" t="s">
        <v>9380</v>
      </c>
      <c r="E101" s="485">
        <v>0.373</v>
      </c>
      <c r="F101" s="692" t="s">
        <v>9306</v>
      </c>
    </row>
    <row r="102" spans="1:6" x14ac:dyDescent="0.25">
      <c r="A102" s="693" t="s">
        <v>9381</v>
      </c>
      <c r="B102" s="491" t="s">
        <v>9350</v>
      </c>
      <c r="C102" s="485"/>
      <c r="D102" s="485" t="s">
        <v>9382</v>
      </c>
      <c r="E102" s="485">
        <v>1.492</v>
      </c>
      <c r="F102" s="692" t="s">
        <v>9306</v>
      </c>
    </row>
    <row r="103" spans="1:6" x14ac:dyDescent="0.25">
      <c r="A103" s="693" t="s">
        <v>9383</v>
      </c>
      <c r="B103" s="491" t="s">
        <v>9346</v>
      </c>
      <c r="C103" s="485"/>
      <c r="D103" s="485" t="s">
        <v>9384</v>
      </c>
      <c r="E103" s="485">
        <v>0.373</v>
      </c>
      <c r="F103" s="692" t="s">
        <v>9306</v>
      </c>
    </row>
    <row r="104" spans="1:6" x14ac:dyDescent="0.25">
      <c r="A104" s="693" t="s">
        <v>9379</v>
      </c>
      <c r="B104" s="491" t="s">
        <v>9349</v>
      </c>
      <c r="C104" s="485"/>
      <c r="D104" s="485" t="s">
        <v>9385</v>
      </c>
      <c r="E104" s="485">
        <v>0.44800000000000001</v>
      </c>
      <c r="F104" s="692" t="s">
        <v>9306</v>
      </c>
    </row>
    <row r="105" spans="1:6" x14ac:dyDescent="0.25">
      <c r="A105" s="693" t="s">
        <v>9386</v>
      </c>
      <c r="B105" s="491" t="s">
        <v>9353</v>
      </c>
      <c r="C105" s="485"/>
      <c r="D105" s="485" t="s">
        <v>9387</v>
      </c>
      <c r="E105" s="485">
        <v>0.65</v>
      </c>
      <c r="F105" s="692" t="s">
        <v>9388</v>
      </c>
    </row>
    <row r="106" spans="1:6" x14ac:dyDescent="0.25">
      <c r="A106" s="693" t="s">
        <v>9400</v>
      </c>
      <c r="B106" s="491" t="s">
        <v>9341</v>
      </c>
      <c r="C106" s="485"/>
      <c r="D106" s="485" t="s">
        <v>9401</v>
      </c>
      <c r="E106" s="485">
        <v>0.1</v>
      </c>
      <c r="F106" s="692" t="s">
        <v>9306</v>
      </c>
    </row>
    <row r="107" spans="1:6" x14ac:dyDescent="0.25">
      <c r="A107" s="693" t="s">
        <v>9391</v>
      </c>
      <c r="B107" s="491"/>
      <c r="C107" s="485"/>
      <c r="D107" s="485" t="s">
        <v>9392</v>
      </c>
      <c r="E107" s="485">
        <v>1.4E-2</v>
      </c>
      <c r="F107" s="692" t="s">
        <v>9306</v>
      </c>
    </row>
    <row r="108" spans="1:6" x14ac:dyDescent="0.25">
      <c r="A108" s="693" t="s">
        <v>9393</v>
      </c>
      <c r="B108" s="491" t="s">
        <v>9318</v>
      </c>
      <c r="C108" s="485" t="s">
        <v>9317</v>
      </c>
      <c r="D108" s="485" t="s">
        <v>9394</v>
      </c>
      <c r="E108" s="485">
        <v>0.65700000000000003</v>
      </c>
      <c r="F108" s="692" t="s">
        <v>9306</v>
      </c>
    </row>
    <row r="109" spans="1:6" x14ac:dyDescent="0.25">
      <c r="A109" s="693" t="s">
        <v>9383</v>
      </c>
      <c r="B109" s="491" t="s">
        <v>9347</v>
      </c>
      <c r="C109" s="485"/>
      <c r="D109" s="485" t="s">
        <v>9395</v>
      </c>
      <c r="E109" s="485">
        <v>0.373</v>
      </c>
      <c r="F109" s="692" t="s">
        <v>9306</v>
      </c>
    </row>
    <row r="110" spans="1:6" x14ac:dyDescent="0.25">
      <c r="A110" s="693" t="s">
        <v>9393</v>
      </c>
      <c r="B110" s="491" t="s">
        <v>9318</v>
      </c>
      <c r="C110" s="485" t="s">
        <v>9307</v>
      </c>
      <c r="D110" s="485" t="s">
        <v>9394</v>
      </c>
      <c r="E110" s="485">
        <v>30.146999999999998</v>
      </c>
      <c r="F110" s="692" t="s">
        <v>9306</v>
      </c>
    </row>
    <row r="111" spans="1:6" x14ac:dyDescent="0.25">
      <c r="A111" s="718" t="s">
        <v>9478</v>
      </c>
      <c r="B111" s="695" t="s">
        <v>9396</v>
      </c>
      <c r="C111" s="694"/>
      <c r="D111" s="694" t="s">
        <v>9397</v>
      </c>
      <c r="E111" s="694">
        <v>0.105</v>
      </c>
      <c r="F111" s="727" t="s">
        <v>9388</v>
      </c>
    </row>
    <row r="112" spans="1:6" x14ac:dyDescent="0.25">
      <c r="A112" s="693" t="s">
        <v>9398</v>
      </c>
      <c r="B112" s="491" t="s">
        <v>9326</v>
      </c>
      <c r="C112" s="485" t="s">
        <v>9307</v>
      </c>
      <c r="D112" s="485" t="s">
        <v>9399</v>
      </c>
      <c r="E112" s="485">
        <v>0.22</v>
      </c>
      <c r="F112" s="692" t="s">
        <v>9306</v>
      </c>
    </row>
    <row r="113" spans="1:6" x14ac:dyDescent="0.25">
      <c r="A113" s="693" t="s">
        <v>9389</v>
      </c>
      <c r="B113" s="491" t="s">
        <v>9343</v>
      </c>
      <c r="C113" s="485"/>
      <c r="D113" s="485" t="s">
        <v>9390</v>
      </c>
      <c r="E113" s="485">
        <v>0.67</v>
      </c>
      <c r="F113" s="692" t="s">
        <v>9306</v>
      </c>
    </row>
    <row r="114" spans="1:6" x14ac:dyDescent="0.25">
      <c r="A114" s="693" t="s">
        <v>9402</v>
      </c>
      <c r="B114" s="491" t="s">
        <v>9403</v>
      </c>
      <c r="C114" s="485"/>
      <c r="D114" s="485" t="s">
        <v>9404</v>
      </c>
      <c r="E114" s="485">
        <v>5.6000000000000001E-2</v>
      </c>
      <c r="F114" s="692" t="s">
        <v>9306</v>
      </c>
    </row>
    <row r="115" spans="1:6" x14ac:dyDescent="0.25">
      <c r="A115" s="693" t="s">
        <v>9398</v>
      </c>
      <c r="B115" s="491">
        <v>15</v>
      </c>
      <c r="C115" s="485" t="s">
        <v>9307</v>
      </c>
      <c r="D115" s="485" t="s">
        <v>9399</v>
      </c>
      <c r="E115" s="485">
        <v>0.84</v>
      </c>
      <c r="F115" s="692" t="s">
        <v>9306</v>
      </c>
    </row>
    <row r="116" spans="1:6" x14ac:dyDescent="0.25">
      <c r="A116" s="693" t="s">
        <v>9405</v>
      </c>
      <c r="B116" s="491" t="s">
        <v>9356</v>
      </c>
      <c r="C116" s="485" t="s">
        <v>9336</v>
      </c>
      <c r="D116" s="485" t="s">
        <v>9406</v>
      </c>
      <c r="E116" s="485">
        <v>0.64400000000000002</v>
      </c>
      <c r="F116" s="692" t="s">
        <v>9306</v>
      </c>
    </row>
    <row r="117" spans="1:6" x14ac:dyDescent="0.25">
      <c r="A117" s="693" t="s">
        <v>9398</v>
      </c>
      <c r="B117" s="491" t="s">
        <v>9407</v>
      </c>
      <c r="C117" s="485" t="s">
        <v>9408</v>
      </c>
      <c r="D117" s="485" t="s">
        <v>9399</v>
      </c>
      <c r="E117" s="485">
        <v>5.0000000000000001E-3</v>
      </c>
      <c r="F117" s="692" t="s">
        <v>9306</v>
      </c>
    </row>
    <row r="118" spans="1:6" ht="15.75" thickBot="1" x14ac:dyDescent="0.3">
      <c r="A118" s="691" t="s">
        <v>9398</v>
      </c>
      <c r="B118" s="722" t="s">
        <v>9329</v>
      </c>
      <c r="C118" s="690" t="s">
        <v>9409</v>
      </c>
      <c r="D118" s="690" t="s">
        <v>9410</v>
      </c>
      <c r="E118" s="690">
        <v>0.06</v>
      </c>
      <c r="F118" s="689" t="s">
        <v>9306</v>
      </c>
    </row>
  </sheetData>
  <mergeCells count="7">
    <mergeCell ref="A99:F99"/>
    <mergeCell ref="G27:O27"/>
    <mergeCell ref="G28:O28"/>
    <mergeCell ref="G45:O45"/>
    <mergeCell ref="Q32:S32"/>
    <mergeCell ref="A56:F56"/>
    <mergeCell ref="A77:F77"/>
  </mergeCells>
  <conditionalFormatting sqref="Q3">
    <cfRule type="containsText" dxfId="3" priority="4" operator="containsText" text="КД">
      <formula>NOT(ISERROR(SEARCH("КД",Q3)))</formula>
    </cfRule>
  </conditionalFormatting>
  <conditionalFormatting sqref="Q3">
    <cfRule type="containsText" dxfId="2" priority="3" stopIfTrue="1" operator="containsText" text="сб ">
      <formula>NOT(ISERROR(SEARCH("сб ",Q3)))</formula>
    </cfRule>
  </conditionalFormatting>
  <conditionalFormatting sqref="Q5:Q6">
    <cfRule type="containsText" dxfId="1" priority="1" stopIfTrue="1" operator="containsText" text="сб ">
      <formula>NOT(ISERROR(SEARCH("сб ",Q5)))</formula>
    </cfRule>
  </conditionalFormatting>
  <conditionalFormatting sqref="Q5:Q6">
    <cfRule type="containsText" dxfId="0" priority="2" operator="containsText" text="КД">
      <formula>NOT(ISERROR(SEARCH("КД",Q5)))</formula>
    </cfRule>
  </conditionalFormatting>
  <pageMargins left="0.59055118110236227" right="0.31496062992125984" top="0.15748031496062992" bottom="0.15748031496062992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09"/>
  <sheetViews>
    <sheetView topLeftCell="A70" zoomScale="85" zoomScaleNormal="85" workbookViewId="0">
      <selection activeCell="E37" sqref="E37"/>
    </sheetView>
  </sheetViews>
  <sheetFormatPr defaultRowHeight="15" x14ac:dyDescent="0.25"/>
  <cols>
    <col min="1" max="1" width="9.140625" style="326"/>
    <col min="2" max="2" width="7.7109375" style="326" customWidth="1"/>
    <col min="3" max="3" width="1.7109375" style="326" customWidth="1"/>
    <col min="4" max="4" width="7.7109375" style="326" customWidth="1"/>
    <col min="5" max="5" width="13" style="326" customWidth="1"/>
    <col min="6" max="6" width="6.7109375" style="326" customWidth="1"/>
    <col min="7" max="7" width="1.7109375" style="326" customWidth="1"/>
    <col min="8" max="13" width="8.140625" style="326" customWidth="1"/>
    <col min="14" max="15" width="6.140625" style="11" customWidth="1"/>
    <col min="16" max="16" width="10.140625" style="11" customWidth="1"/>
    <col min="17" max="17" width="6.140625" style="11" customWidth="1"/>
    <col min="18" max="18" width="7.7109375" style="11" customWidth="1"/>
    <col min="19" max="24" width="6.140625" style="11" customWidth="1"/>
    <col min="25" max="39" width="9.140625" style="11"/>
    <col min="40" max="16384" width="9.140625" style="326"/>
  </cols>
  <sheetData>
    <row r="1" spans="2:23" ht="23.25" x14ac:dyDescent="0.35">
      <c r="D1" s="907" t="s">
        <v>10701</v>
      </c>
    </row>
    <row r="2" spans="2:23" ht="15.75" thickBot="1" x14ac:dyDescent="0.3"/>
    <row r="3" spans="2:23" ht="15.75" x14ac:dyDescent="0.25">
      <c r="B3" s="906" t="s">
        <v>10702</v>
      </c>
      <c r="C3" s="906"/>
      <c r="H3" s="903" t="s">
        <v>3</v>
      </c>
      <c r="I3" s="903"/>
      <c r="J3" s="904" t="s">
        <v>195</v>
      </c>
      <c r="L3" s="974"/>
      <c r="M3" s="975" t="s">
        <v>11703</v>
      </c>
      <c r="N3" s="1019"/>
      <c r="O3" s="1019"/>
      <c r="P3" s="1019"/>
      <c r="Q3" s="1019"/>
      <c r="R3" s="1019"/>
      <c r="S3" s="1019"/>
      <c r="T3" s="1027" t="s">
        <v>12449</v>
      </c>
      <c r="U3" s="1027"/>
      <c r="V3" s="1027"/>
      <c r="W3" s="1028"/>
    </row>
    <row r="4" spans="2:23" x14ac:dyDescent="0.25">
      <c r="B4" s="485" t="s">
        <v>10659</v>
      </c>
      <c r="C4" s="485"/>
      <c r="D4" s="485" t="s">
        <v>9313</v>
      </c>
      <c r="E4" s="485" t="s">
        <v>10653</v>
      </c>
      <c r="F4" s="487" t="s">
        <v>10660</v>
      </c>
      <c r="G4" s="488"/>
      <c r="H4" s="908">
        <v>1.1579999999999999</v>
      </c>
      <c r="I4" s="485"/>
      <c r="J4" s="717">
        <f>H4/0.173</f>
        <v>6.6936416184971099</v>
      </c>
      <c r="L4" s="1053" t="s">
        <v>11693</v>
      </c>
      <c r="M4" s="1054"/>
      <c r="N4" s="1020" t="s">
        <v>11695</v>
      </c>
      <c r="O4" s="580"/>
      <c r="P4" s="1055" t="s">
        <v>11694</v>
      </c>
      <c r="Q4" s="1055"/>
      <c r="R4" s="1020" t="s">
        <v>11695</v>
      </c>
      <c r="S4" s="580"/>
      <c r="T4" s="1055" t="s">
        <v>11696</v>
      </c>
      <c r="U4" s="1055"/>
      <c r="V4" s="1020" t="s">
        <v>11695</v>
      </c>
      <c r="W4" s="1021"/>
    </row>
    <row r="5" spans="2:23" x14ac:dyDescent="0.25">
      <c r="B5" s="485" t="s">
        <v>2507</v>
      </c>
      <c r="C5" s="485"/>
      <c r="D5" s="485" t="s">
        <v>9313</v>
      </c>
      <c r="E5" s="485" t="s">
        <v>10653</v>
      </c>
      <c r="F5" s="487" t="s">
        <v>10654</v>
      </c>
      <c r="G5" s="488"/>
      <c r="H5" s="908">
        <v>9.718</v>
      </c>
      <c r="I5" s="909"/>
      <c r="J5" s="717">
        <f>H5/0.271</f>
        <v>35.859778597785976</v>
      </c>
      <c r="L5" s="976">
        <v>0.17</v>
      </c>
      <c r="M5" s="99">
        <v>0.09</v>
      </c>
      <c r="N5" s="1020">
        <f t="shared" ref="N5:N12" si="0">L5+M5</f>
        <v>0.26</v>
      </c>
      <c r="O5" s="580"/>
      <c r="P5" s="580">
        <v>0.38</v>
      </c>
      <c r="Q5" s="580">
        <v>0.06</v>
      </c>
      <c r="R5" s="1020">
        <f t="shared" ref="R5:R14" si="1">P5+Q5</f>
        <v>0.44</v>
      </c>
      <c r="S5" s="580"/>
      <c r="T5" s="580">
        <v>0.34</v>
      </c>
      <c r="U5" s="580">
        <v>0.04</v>
      </c>
      <c r="V5" s="1020">
        <f t="shared" ref="V5:V13" si="2">T5+U5</f>
        <v>0.38</v>
      </c>
      <c r="W5" s="1021"/>
    </row>
    <row r="6" spans="2:23" x14ac:dyDescent="0.25">
      <c r="B6" s="485" t="s">
        <v>10659</v>
      </c>
      <c r="C6" s="485"/>
      <c r="D6" s="485" t="s">
        <v>9313</v>
      </c>
      <c r="E6" s="485" t="s">
        <v>10653</v>
      </c>
      <c r="F6" s="487" t="s">
        <v>10661</v>
      </c>
      <c r="G6" s="488"/>
      <c r="H6" s="908">
        <v>4.0650000000000004</v>
      </c>
      <c r="I6" s="485"/>
      <c r="J6" s="717">
        <f>H6/0.321</f>
        <v>12.66355140186916</v>
      </c>
      <c r="L6" s="976">
        <v>0.26</v>
      </c>
      <c r="M6" s="99">
        <v>0.04</v>
      </c>
      <c r="N6" s="1020">
        <f t="shared" si="0"/>
        <v>0.3</v>
      </c>
      <c r="O6" s="580"/>
      <c r="P6" s="580">
        <v>7.0000000000000007E-2</v>
      </c>
      <c r="Q6" s="580">
        <v>1.4999999999999999E-2</v>
      </c>
      <c r="R6" s="1020">
        <f t="shared" si="1"/>
        <v>8.5000000000000006E-2</v>
      </c>
      <c r="S6" s="580"/>
      <c r="T6" s="580">
        <v>1.24</v>
      </c>
      <c r="U6" s="580">
        <v>0.06</v>
      </c>
      <c r="V6" s="1020">
        <f t="shared" si="2"/>
        <v>1.3</v>
      </c>
      <c r="W6" s="1021"/>
    </row>
    <row r="7" spans="2:23" x14ac:dyDescent="0.25">
      <c r="B7" s="485" t="s">
        <v>2507</v>
      </c>
      <c r="C7" s="485"/>
      <c r="D7" s="485" t="s">
        <v>10656</v>
      </c>
      <c r="E7" s="485" t="s">
        <v>10653</v>
      </c>
      <c r="F7" s="487" t="s">
        <v>10657</v>
      </c>
      <c r="G7" s="488"/>
      <c r="H7" s="908">
        <v>1.159</v>
      </c>
      <c r="I7" s="485"/>
      <c r="J7" s="717">
        <f>H7/0.591</f>
        <v>1.9610829103214891</v>
      </c>
      <c r="L7" s="976">
        <v>0.22</v>
      </c>
      <c r="M7" s="99">
        <v>0.04</v>
      </c>
      <c r="N7" s="1020">
        <f t="shared" si="0"/>
        <v>0.26</v>
      </c>
      <c r="O7" s="580"/>
      <c r="P7" s="580">
        <v>0.54</v>
      </c>
      <c r="Q7" s="580">
        <v>0.11</v>
      </c>
      <c r="R7" s="1020">
        <f t="shared" si="1"/>
        <v>0.65</v>
      </c>
      <c r="S7" s="580"/>
      <c r="T7" s="580">
        <v>0.3</v>
      </c>
      <c r="U7" s="580">
        <v>0.1</v>
      </c>
      <c r="V7" s="1020">
        <f t="shared" si="2"/>
        <v>0.4</v>
      </c>
      <c r="W7" s="1021"/>
    </row>
    <row r="8" spans="2:23" x14ac:dyDescent="0.25">
      <c r="B8" s="485" t="s">
        <v>2507</v>
      </c>
      <c r="C8" s="485"/>
      <c r="D8" s="485" t="s">
        <v>9313</v>
      </c>
      <c r="E8" s="485" t="s">
        <v>10653</v>
      </c>
      <c r="F8" s="487" t="s">
        <v>10658</v>
      </c>
      <c r="G8" s="488"/>
      <c r="H8" s="908">
        <v>1.3149999999999999</v>
      </c>
      <c r="I8" s="485"/>
      <c r="J8" s="717">
        <f>H8/1.616</f>
        <v>0.81373762376237613</v>
      </c>
      <c r="L8" s="976">
        <v>0.14000000000000001</v>
      </c>
      <c r="M8" s="99">
        <v>7.0000000000000007E-2</v>
      </c>
      <c r="N8" s="1020">
        <f t="shared" si="0"/>
        <v>0.21000000000000002</v>
      </c>
      <c r="O8" s="580"/>
      <c r="P8" s="580">
        <v>0.39</v>
      </c>
      <c r="Q8" s="580">
        <v>0.1</v>
      </c>
      <c r="R8" s="1020">
        <f t="shared" si="1"/>
        <v>0.49</v>
      </c>
      <c r="S8" s="580"/>
      <c r="T8" s="580">
        <v>0.9</v>
      </c>
      <c r="U8" s="580">
        <v>0.1</v>
      </c>
      <c r="V8" s="1020">
        <f t="shared" si="2"/>
        <v>1</v>
      </c>
      <c r="W8" s="1021"/>
    </row>
    <row r="9" spans="2:23" x14ac:dyDescent="0.25">
      <c r="L9" s="976">
        <v>0.92</v>
      </c>
      <c r="M9" s="99">
        <v>0.08</v>
      </c>
      <c r="N9" s="1020">
        <f t="shared" si="0"/>
        <v>1</v>
      </c>
      <c r="O9" s="580"/>
      <c r="P9" s="580">
        <v>0.39</v>
      </c>
      <c r="Q9" s="580">
        <v>0.06</v>
      </c>
      <c r="R9" s="1020">
        <f t="shared" si="1"/>
        <v>0.45</v>
      </c>
      <c r="S9" s="580"/>
      <c r="T9" s="580">
        <v>0.25</v>
      </c>
      <c r="U9" s="580">
        <v>0.11</v>
      </c>
      <c r="V9" s="1020">
        <f t="shared" si="2"/>
        <v>0.36</v>
      </c>
      <c r="W9" s="1021"/>
    </row>
    <row r="10" spans="2:23" ht="15.75" x14ac:dyDescent="0.25">
      <c r="B10" s="906" t="s">
        <v>10695</v>
      </c>
      <c r="C10" s="906"/>
      <c r="H10" s="903" t="s">
        <v>3</v>
      </c>
      <c r="I10" s="903"/>
      <c r="J10" s="904" t="s">
        <v>195</v>
      </c>
      <c r="L10" s="976">
        <v>0.24</v>
      </c>
      <c r="M10" s="99">
        <v>0.06</v>
      </c>
      <c r="N10" s="1020">
        <f t="shared" si="0"/>
        <v>0.3</v>
      </c>
      <c r="O10" s="580"/>
      <c r="P10" s="580">
        <v>0.43</v>
      </c>
      <c r="Q10" s="580">
        <v>7.0000000000000007E-2</v>
      </c>
      <c r="R10" s="1020">
        <f t="shared" si="1"/>
        <v>0.5</v>
      </c>
      <c r="S10" s="580"/>
      <c r="T10" s="580">
        <v>0.6</v>
      </c>
      <c r="U10" s="580">
        <v>0.1</v>
      </c>
      <c r="V10" s="1020">
        <f t="shared" si="2"/>
        <v>0.7</v>
      </c>
      <c r="W10" s="1021"/>
    </row>
    <row r="11" spans="2:23" x14ac:dyDescent="0.25">
      <c r="B11" s="909" t="s">
        <v>2507</v>
      </c>
      <c r="C11" s="909"/>
      <c r="D11" s="909" t="s">
        <v>9313</v>
      </c>
      <c r="E11" s="909" t="s">
        <v>5150</v>
      </c>
      <c r="F11" s="910" t="s">
        <v>10660</v>
      </c>
      <c r="G11" s="909"/>
      <c r="H11" s="908">
        <v>0.02</v>
      </c>
      <c r="I11" s="972"/>
      <c r="J11" s="717">
        <f>H11/0.173</f>
        <v>0.11560693641618498</v>
      </c>
      <c r="K11" s="973"/>
      <c r="L11" s="976">
        <v>0.44</v>
      </c>
      <c r="M11" s="99">
        <v>0.06</v>
      </c>
      <c r="N11" s="1020">
        <f t="shared" si="0"/>
        <v>0.5</v>
      </c>
      <c r="O11" s="580"/>
      <c r="P11" s="580">
        <v>0.19</v>
      </c>
      <c r="Q11" s="580">
        <v>0.1</v>
      </c>
      <c r="R11" s="1020">
        <f t="shared" si="1"/>
        <v>0.29000000000000004</v>
      </c>
      <c r="S11" s="580"/>
      <c r="T11" s="580">
        <v>0.92</v>
      </c>
      <c r="U11" s="580">
        <v>0.12</v>
      </c>
      <c r="V11" s="1020">
        <f t="shared" si="2"/>
        <v>1.04</v>
      </c>
      <c r="W11" s="1021"/>
    </row>
    <row r="12" spans="2:23" x14ac:dyDescent="0.25">
      <c r="B12" s="909" t="s">
        <v>10659</v>
      </c>
      <c r="C12" s="909"/>
      <c r="D12" s="909" t="s">
        <v>9313</v>
      </c>
      <c r="E12" s="909" t="s">
        <v>10653</v>
      </c>
      <c r="F12" s="910" t="s">
        <v>10660</v>
      </c>
      <c r="G12" s="909"/>
      <c r="H12" s="908" t="s">
        <v>10699</v>
      </c>
      <c r="I12" s="972" t="s">
        <v>11697</v>
      </c>
      <c r="J12" s="717">
        <f>H12/0.173</f>
        <v>6.6589595375722546</v>
      </c>
      <c r="K12" s="973" t="s">
        <v>11698</v>
      </c>
      <c r="L12" s="976">
        <v>0.78</v>
      </c>
      <c r="M12" s="99">
        <v>0.12</v>
      </c>
      <c r="N12" s="1020">
        <f t="shared" si="0"/>
        <v>0.9</v>
      </c>
      <c r="O12" s="580"/>
      <c r="P12" s="580">
        <v>0.42</v>
      </c>
      <c r="Q12" s="580">
        <v>0.1</v>
      </c>
      <c r="R12" s="1020">
        <f t="shared" si="1"/>
        <v>0.52</v>
      </c>
      <c r="S12" s="580"/>
      <c r="T12" s="580">
        <v>0.05</v>
      </c>
      <c r="U12" s="580">
        <v>0.01</v>
      </c>
      <c r="V12" s="1020">
        <f t="shared" si="2"/>
        <v>6.0000000000000005E-2</v>
      </c>
      <c r="W12" s="1021"/>
    </row>
    <row r="13" spans="2:23" x14ac:dyDescent="0.25">
      <c r="B13" s="485" t="s">
        <v>2507</v>
      </c>
      <c r="C13" s="485"/>
      <c r="D13" s="485" t="s">
        <v>9313</v>
      </c>
      <c r="E13" s="485" t="s">
        <v>10653</v>
      </c>
      <c r="F13" s="487" t="s">
        <v>10654</v>
      </c>
      <c r="G13" s="909"/>
      <c r="H13" s="908" t="s">
        <v>10696</v>
      </c>
      <c r="I13" s="972" t="s">
        <v>11699</v>
      </c>
      <c r="J13" s="717">
        <f>H13/0.271</f>
        <v>9.391143911439114</v>
      </c>
      <c r="K13" s="973" t="s">
        <v>11700</v>
      </c>
      <c r="L13" s="977"/>
      <c r="M13" s="341"/>
      <c r="N13" s="580"/>
      <c r="O13" s="580"/>
      <c r="P13" s="580">
        <v>0.32</v>
      </c>
      <c r="Q13" s="580">
        <v>0.15</v>
      </c>
      <c r="R13" s="1020">
        <f t="shared" si="1"/>
        <v>0.47</v>
      </c>
      <c r="S13" s="580"/>
      <c r="T13" s="580">
        <v>0.32</v>
      </c>
      <c r="U13" s="580">
        <v>0.12</v>
      </c>
      <c r="V13" s="1020">
        <f t="shared" si="2"/>
        <v>0.44</v>
      </c>
      <c r="W13" s="1021"/>
    </row>
    <row r="14" spans="2:23" x14ac:dyDescent="0.25">
      <c r="B14" s="909" t="s">
        <v>10659</v>
      </c>
      <c r="C14" s="909"/>
      <c r="D14" s="909" t="s">
        <v>9313</v>
      </c>
      <c r="E14" s="909" t="s">
        <v>10653</v>
      </c>
      <c r="F14" s="487" t="s">
        <v>10661</v>
      </c>
      <c r="G14" s="909"/>
      <c r="H14" s="908" t="s">
        <v>10700</v>
      </c>
      <c r="I14" s="972" t="s">
        <v>11701</v>
      </c>
      <c r="J14" s="717">
        <f>H14/0.321</f>
        <v>26.61370716510903</v>
      </c>
      <c r="K14" s="973" t="s">
        <v>11702</v>
      </c>
      <c r="L14" s="977"/>
      <c r="M14" s="341"/>
      <c r="N14" s="580"/>
      <c r="O14" s="580"/>
      <c r="P14" s="580">
        <v>2.75</v>
      </c>
      <c r="Q14" s="580">
        <v>0.15</v>
      </c>
      <c r="R14" s="1020">
        <f t="shared" si="1"/>
        <v>2.9</v>
      </c>
      <c r="S14" s="580"/>
      <c r="T14" s="580"/>
      <c r="U14" s="580"/>
      <c r="V14" s="580"/>
      <c r="W14" s="1021"/>
    </row>
    <row r="15" spans="2:23" x14ac:dyDescent="0.25">
      <c r="B15" s="909" t="s">
        <v>2507</v>
      </c>
      <c r="C15" s="909"/>
      <c r="D15" s="909" t="s">
        <v>9313</v>
      </c>
      <c r="E15" s="909" t="s">
        <v>5150</v>
      </c>
      <c r="F15" s="910" t="s">
        <v>10697</v>
      </c>
      <c r="G15" s="909"/>
      <c r="H15" s="908" t="s">
        <v>10698</v>
      </c>
      <c r="I15" s="972"/>
      <c r="J15" s="911"/>
      <c r="K15" s="973"/>
      <c r="L15" s="977"/>
      <c r="M15" s="341"/>
      <c r="N15" s="580"/>
      <c r="O15" s="580"/>
      <c r="P15" s="580">
        <v>3.3</v>
      </c>
      <c r="Q15" s="580">
        <v>0.15</v>
      </c>
      <c r="R15" s="1020">
        <f>P15+Q15</f>
        <v>3.4499999999999997</v>
      </c>
      <c r="S15" s="580"/>
      <c r="T15" s="580"/>
      <c r="U15" s="580"/>
      <c r="V15" s="580"/>
      <c r="W15" s="1021"/>
    </row>
    <row r="16" spans="2:23" x14ac:dyDescent="0.25">
      <c r="F16" s="242"/>
      <c r="H16" s="61"/>
      <c r="J16" s="11"/>
      <c r="L16" s="977"/>
      <c r="M16" s="341"/>
      <c r="N16" s="1022">
        <f>SUM(N5:N12)</f>
        <v>3.73</v>
      </c>
      <c r="O16" s="580" t="s">
        <v>195</v>
      </c>
      <c r="P16" s="580"/>
      <c r="Q16" s="580"/>
      <c r="R16" s="1022">
        <f>SUM(R5:R15)</f>
        <v>10.244999999999999</v>
      </c>
      <c r="S16" s="580" t="s">
        <v>195</v>
      </c>
      <c r="T16" s="580"/>
      <c r="U16" s="580"/>
      <c r="V16" s="1022">
        <f>SUM(V5:V13)</f>
        <v>5.68</v>
      </c>
      <c r="W16" s="1021" t="s">
        <v>195</v>
      </c>
    </row>
    <row r="17" spans="2:23" ht="15.75" thickBot="1" x14ac:dyDescent="0.3">
      <c r="B17" s="905"/>
      <c r="C17" s="905"/>
      <c r="D17" s="905"/>
      <c r="E17" s="905"/>
      <c r="F17" s="905"/>
      <c r="G17" s="905"/>
      <c r="H17" s="905"/>
      <c r="I17" s="905"/>
      <c r="J17" s="905"/>
      <c r="L17" s="977"/>
      <c r="M17" s="341"/>
      <c r="N17" s="580">
        <f>0.173* N16</f>
        <v>0.64528999999999992</v>
      </c>
      <c r="O17" s="580"/>
      <c r="P17" s="580"/>
      <c r="Q17" s="580"/>
      <c r="R17" s="580">
        <f>0.271* R16</f>
        <v>2.7763949999999999</v>
      </c>
      <c r="S17" s="580" t="s">
        <v>3</v>
      </c>
      <c r="T17" s="580"/>
      <c r="U17" s="580"/>
      <c r="V17" s="580">
        <f>0.321* V16</f>
        <v>1.82328</v>
      </c>
      <c r="W17" s="1021" t="s">
        <v>3</v>
      </c>
    </row>
    <row r="18" spans="2:23" ht="15.75" thickBot="1" x14ac:dyDescent="0.3">
      <c r="B18" s="912" t="s">
        <v>4707</v>
      </c>
      <c r="C18" s="912"/>
      <c r="D18" s="909"/>
      <c r="E18" s="909"/>
      <c r="F18" s="909"/>
      <c r="G18" s="909"/>
      <c r="H18" s="913" t="s">
        <v>3</v>
      </c>
      <c r="I18" s="913"/>
      <c r="J18" s="914" t="s">
        <v>195</v>
      </c>
      <c r="L18" s="978"/>
      <c r="M18" s="905"/>
      <c r="N18" s="1023"/>
      <c r="O18" s="1023"/>
      <c r="P18" s="1023"/>
      <c r="Q18" s="1023"/>
      <c r="R18" s="1023"/>
      <c r="S18" s="1023"/>
      <c r="T18" s="1023"/>
      <c r="U18" s="1023"/>
      <c r="V18" s="1023"/>
      <c r="W18" s="1024"/>
    </row>
    <row r="19" spans="2:23" ht="15.75" thickBot="1" x14ac:dyDescent="0.3">
      <c r="B19" s="909"/>
      <c r="C19" s="909"/>
      <c r="D19" s="909"/>
      <c r="E19" s="485" t="s">
        <v>10653</v>
      </c>
      <c r="F19" s="487" t="s">
        <v>10660</v>
      </c>
      <c r="G19" s="909"/>
      <c r="H19" s="908">
        <f>H4+H12</f>
        <v>2.3099999999999996</v>
      </c>
      <c r="I19" s="911"/>
      <c r="J19" s="717">
        <f>H19/0.173</f>
        <v>13.352601156069364</v>
      </c>
    </row>
    <row r="20" spans="2:23" x14ac:dyDescent="0.25">
      <c r="B20" s="909"/>
      <c r="C20" s="909"/>
      <c r="D20" s="909"/>
      <c r="E20" s="485" t="s">
        <v>10653</v>
      </c>
      <c r="F20" s="487" t="s">
        <v>10654</v>
      </c>
      <c r="G20" s="909"/>
      <c r="H20" s="908">
        <f>H5+H13</f>
        <v>12.263</v>
      </c>
      <c r="I20" s="911"/>
      <c r="J20" s="717">
        <f>H20/0.271</f>
        <v>45.250922509225092</v>
      </c>
      <c r="L20" s="974"/>
      <c r="M20" s="975" t="s">
        <v>11703</v>
      </c>
      <c r="N20" s="1019"/>
      <c r="O20" s="1019"/>
      <c r="P20" s="1019"/>
      <c r="Q20" s="1019"/>
      <c r="R20" s="1019"/>
      <c r="S20" s="1019"/>
      <c r="T20" s="1027" t="s">
        <v>12450</v>
      </c>
      <c r="U20" s="1027"/>
      <c r="V20" s="1027"/>
      <c r="W20" s="1028"/>
    </row>
    <row r="21" spans="2:23" x14ac:dyDescent="0.25">
      <c r="B21" s="909"/>
      <c r="C21" s="909"/>
      <c r="D21" s="909"/>
      <c r="E21" s="485" t="s">
        <v>10653</v>
      </c>
      <c r="F21" s="487" t="s">
        <v>10661</v>
      </c>
      <c r="G21" s="909"/>
      <c r="H21" s="908">
        <f>H6+H14</f>
        <v>12.608000000000001</v>
      </c>
      <c r="I21" s="911"/>
      <c r="J21" s="717">
        <f>H21/0.321</f>
        <v>39.27725856697819</v>
      </c>
      <c r="L21" s="1053" t="s">
        <v>11693</v>
      </c>
      <c r="M21" s="1054"/>
      <c r="N21" s="1020" t="s">
        <v>11695</v>
      </c>
      <c r="O21" s="580"/>
      <c r="P21" s="1055" t="s">
        <v>11694</v>
      </c>
      <c r="Q21" s="1055"/>
      <c r="R21" s="1020" t="s">
        <v>11695</v>
      </c>
      <c r="S21" s="580"/>
      <c r="T21" s="1055" t="s">
        <v>11696</v>
      </c>
      <c r="U21" s="1055"/>
      <c r="V21" s="1020" t="s">
        <v>11695</v>
      </c>
      <c r="W21" s="1021"/>
    </row>
    <row r="22" spans="2:23" x14ac:dyDescent="0.25">
      <c r="H22" s="11"/>
      <c r="I22" s="11"/>
      <c r="J22" s="11"/>
      <c r="L22" s="976">
        <v>0.17</v>
      </c>
      <c r="M22" s="99">
        <v>0.09</v>
      </c>
      <c r="N22" s="1020">
        <f t="shared" ref="N22:N29" si="3">L22+M22</f>
        <v>0.26</v>
      </c>
      <c r="O22" s="580"/>
      <c r="P22" s="580">
        <v>0.38</v>
      </c>
      <c r="Q22" s="580">
        <v>0.06</v>
      </c>
      <c r="R22" s="1020">
        <f t="shared" ref="R22:R30" si="4">P22+Q22</f>
        <v>0.44</v>
      </c>
      <c r="S22" s="580"/>
      <c r="T22" s="580">
        <v>0.34</v>
      </c>
      <c r="U22" s="580">
        <v>0.04</v>
      </c>
      <c r="V22" s="1020">
        <f t="shared" ref="V22:V30" si="5">T22+U22</f>
        <v>0.38</v>
      </c>
      <c r="W22" s="1021"/>
    </row>
    <row r="23" spans="2:23" ht="15.75" x14ac:dyDescent="0.25">
      <c r="B23" s="906" t="s">
        <v>10695</v>
      </c>
      <c r="C23" s="906"/>
      <c r="H23" s="903" t="s">
        <v>3</v>
      </c>
      <c r="I23" s="903"/>
      <c r="J23" s="904" t="s">
        <v>195</v>
      </c>
      <c r="L23" s="976">
        <v>0.26</v>
      </c>
      <c r="M23" s="99">
        <v>0.04</v>
      </c>
      <c r="N23" s="1020">
        <f t="shared" si="3"/>
        <v>0.3</v>
      </c>
      <c r="O23" s="580"/>
      <c r="P23" s="580">
        <v>7.0000000000000007E-2</v>
      </c>
      <c r="Q23" s="580">
        <v>1.4999999999999999E-2</v>
      </c>
      <c r="R23" s="1020">
        <f t="shared" si="4"/>
        <v>8.5000000000000006E-2</v>
      </c>
      <c r="S23" s="580"/>
      <c r="T23" s="580">
        <v>1.24</v>
      </c>
      <c r="U23" s="580">
        <v>0.06</v>
      </c>
      <c r="V23" s="1020">
        <f t="shared" si="5"/>
        <v>1.3</v>
      </c>
      <c r="W23" s="1021"/>
    </row>
    <row r="24" spans="2:23" x14ac:dyDescent="0.25">
      <c r="B24" s="909" t="s">
        <v>2507</v>
      </c>
      <c r="C24" s="909"/>
      <c r="D24" s="909" t="s">
        <v>9313</v>
      </c>
      <c r="E24" s="909" t="s">
        <v>5150</v>
      </c>
      <c r="F24" s="910" t="s">
        <v>10660</v>
      </c>
      <c r="G24" s="909"/>
      <c r="H24" s="908">
        <v>0.02</v>
      </c>
      <c r="I24" s="972"/>
      <c r="J24" s="717">
        <f>H24/0.173</f>
        <v>0.11560693641618498</v>
      </c>
      <c r="K24" s="973"/>
      <c r="L24" s="976">
        <v>0.22</v>
      </c>
      <c r="M24" s="99">
        <v>0.04</v>
      </c>
      <c r="N24" s="1020">
        <f t="shared" si="3"/>
        <v>0.26</v>
      </c>
      <c r="O24" s="580"/>
      <c r="P24" s="580">
        <v>0.54</v>
      </c>
      <c r="Q24" s="580">
        <v>0.11</v>
      </c>
      <c r="R24" s="1020">
        <f t="shared" si="4"/>
        <v>0.65</v>
      </c>
      <c r="S24" s="580"/>
      <c r="T24" s="580">
        <v>0.3</v>
      </c>
      <c r="U24" s="580">
        <v>0.1</v>
      </c>
      <c r="V24" s="1020">
        <f t="shared" si="5"/>
        <v>0.4</v>
      </c>
      <c r="W24" s="1021"/>
    </row>
    <row r="25" spans="2:23" x14ac:dyDescent="0.25">
      <c r="B25" s="909" t="s">
        <v>10659</v>
      </c>
      <c r="C25" s="909"/>
      <c r="D25" s="909" t="s">
        <v>9313</v>
      </c>
      <c r="E25" s="909" t="s">
        <v>10653</v>
      </c>
      <c r="F25" s="910" t="s">
        <v>10660</v>
      </c>
      <c r="G25" s="909"/>
      <c r="H25" s="908" t="s">
        <v>10699</v>
      </c>
      <c r="I25" s="972" t="s">
        <v>11697</v>
      </c>
      <c r="J25" s="717">
        <f>H25/0.173</f>
        <v>6.6589595375722546</v>
      </c>
      <c r="K25" s="973" t="s">
        <v>11698</v>
      </c>
      <c r="L25" s="976">
        <v>0.14000000000000001</v>
      </c>
      <c r="M25" s="99">
        <v>7.0000000000000007E-2</v>
      </c>
      <c r="N25" s="1020">
        <f t="shared" si="3"/>
        <v>0.21000000000000002</v>
      </c>
      <c r="O25" s="580"/>
      <c r="P25" s="580">
        <v>0.39</v>
      </c>
      <c r="Q25" s="580">
        <v>0.1</v>
      </c>
      <c r="R25" s="1020">
        <f t="shared" si="4"/>
        <v>0.49</v>
      </c>
      <c r="S25" s="580"/>
      <c r="T25" s="580">
        <v>0.9</v>
      </c>
      <c r="U25" s="580">
        <v>0.1</v>
      </c>
      <c r="V25" s="1020">
        <f t="shared" si="5"/>
        <v>1</v>
      </c>
      <c r="W25" s="1021"/>
    </row>
    <row r="26" spans="2:23" x14ac:dyDescent="0.25">
      <c r="B26" s="485" t="s">
        <v>2507</v>
      </c>
      <c r="C26" s="485"/>
      <c r="D26" s="485" t="s">
        <v>9313</v>
      </c>
      <c r="E26" s="485" t="s">
        <v>10653</v>
      </c>
      <c r="F26" s="487" t="s">
        <v>10654</v>
      </c>
      <c r="G26" s="909"/>
      <c r="H26" s="908">
        <v>0.74</v>
      </c>
      <c r="I26" s="972" t="s">
        <v>11699</v>
      </c>
      <c r="J26" s="717">
        <f>H26/0.271</f>
        <v>2.7306273062730626</v>
      </c>
      <c r="K26" s="973" t="s">
        <v>11700</v>
      </c>
      <c r="L26" s="976">
        <v>0.92</v>
      </c>
      <c r="M26" s="99">
        <v>0.08</v>
      </c>
      <c r="N26" s="1020">
        <f t="shared" si="3"/>
        <v>1</v>
      </c>
      <c r="O26" s="580"/>
      <c r="P26" s="580">
        <v>0.39</v>
      </c>
      <c r="Q26" s="580">
        <v>0.06</v>
      </c>
      <c r="R26" s="1020">
        <f t="shared" si="4"/>
        <v>0.45</v>
      </c>
      <c r="S26" s="580"/>
      <c r="T26" s="580">
        <v>0.25</v>
      </c>
      <c r="U26" s="580">
        <v>0.11</v>
      </c>
      <c r="V26" s="1020">
        <f t="shared" si="5"/>
        <v>0.36</v>
      </c>
      <c r="W26" s="1021"/>
    </row>
    <row r="27" spans="2:23" x14ac:dyDescent="0.25">
      <c r="B27" s="909" t="s">
        <v>10659</v>
      </c>
      <c r="C27" s="909"/>
      <c r="D27" s="909" t="s">
        <v>9313</v>
      </c>
      <c r="E27" s="909" t="s">
        <v>10653</v>
      </c>
      <c r="F27" s="487" t="s">
        <v>10661</v>
      </c>
      <c r="G27" s="909"/>
      <c r="H27" s="908">
        <v>4.282</v>
      </c>
      <c r="I27" s="972" t="s">
        <v>11701</v>
      </c>
      <c r="J27" s="717">
        <f>H27/0.321</f>
        <v>13.339563862928349</v>
      </c>
      <c r="K27" s="973" t="s">
        <v>11702</v>
      </c>
      <c r="L27" s="976">
        <v>0.24</v>
      </c>
      <c r="M27" s="99">
        <v>0.06</v>
      </c>
      <c r="N27" s="1020">
        <f t="shared" si="3"/>
        <v>0.3</v>
      </c>
      <c r="O27" s="580"/>
      <c r="P27" s="580">
        <v>0.43</v>
      </c>
      <c r="Q27" s="580">
        <v>7.0000000000000007E-2</v>
      </c>
      <c r="R27" s="1020">
        <f t="shared" si="4"/>
        <v>0.5</v>
      </c>
      <c r="S27" s="580"/>
      <c r="T27" s="580">
        <v>0.6</v>
      </c>
      <c r="U27" s="580">
        <v>0.1</v>
      </c>
      <c r="V27" s="1020">
        <f t="shared" si="5"/>
        <v>0.7</v>
      </c>
      <c r="W27" s="1021"/>
    </row>
    <row r="28" spans="2:23" x14ac:dyDescent="0.25">
      <c r="B28" s="909" t="s">
        <v>2507</v>
      </c>
      <c r="C28" s="909"/>
      <c r="D28" s="909" t="s">
        <v>9313</v>
      </c>
      <c r="E28" s="909" t="s">
        <v>5150</v>
      </c>
      <c r="F28" s="910" t="s">
        <v>10697</v>
      </c>
      <c r="G28" s="909"/>
      <c r="H28" s="908" t="s">
        <v>10698</v>
      </c>
      <c r="I28" s="972"/>
      <c r="J28" s="911"/>
      <c r="K28" s="973"/>
      <c r="L28" s="976">
        <v>0.44</v>
      </c>
      <c r="M28" s="99">
        <v>0.06</v>
      </c>
      <c r="N28" s="1020">
        <f t="shared" si="3"/>
        <v>0.5</v>
      </c>
      <c r="O28" s="580"/>
      <c r="P28" s="580">
        <v>0.19</v>
      </c>
      <c r="Q28" s="580">
        <v>0.1</v>
      </c>
      <c r="R28" s="1020">
        <f t="shared" si="4"/>
        <v>0.29000000000000004</v>
      </c>
      <c r="S28" s="580"/>
      <c r="T28" s="580">
        <v>0.92</v>
      </c>
      <c r="U28" s="580">
        <v>0.12</v>
      </c>
      <c r="V28" s="1020">
        <f t="shared" si="5"/>
        <v>1.04</v>
      </c>
      <c r="W28" s="1021"/>
    </row>
    <row r="29" spans="2:23" x14ac:dyDescent="0.25">
      <c r="H29" s="11"/>
      <c r="I29" s="11"/>
      <c r="J29" s="11"/>
      <c r="L29" s="976">
        <v>0.78</v>
      </c>
      <c r="M29" s="99">
        <v>0.12</v>
      </c>
      <c r="N29" s="1020">
        <f t="shared" si="3"/>
        <v>0.9</v>
      </c>
      <c r="O29" s="580"/>
      <c r="P29" s="580">
        <v>0.42</v>
      </c>
      <c r="Q29" s="580">
        <v>0.1</v>
      </c>
      <c r="R29" s="1020">
        <f t="shared" si="4"/>
        <v>0.52</v>
      </c>
      <c r="S29" s="580"/>
      <c r="T29" s="580">
        <v>0.05</v>
      </c>
      <c r="U29" s="580">
        <v>0.01</v>
      </c>
      <c r="V29" s="1020">
        <f t="shared" si="5"/>
        <v>6.0000000000000005E-2</v>
      </c>
      <c r="W29" s="1021"/>
    </row>
    <row r="30" spans="2:23" x14ac:dyDescent="0.25">
      <c r="H30" s="11"/>
      <c r="I30" s="11"/>
      <c r="J30" s="11"/>
      <c r="L30" s="977"/>
      <c r="M30" s="341"/>
      <c r="N30" s="580"/>
      <c r="O30" s="580"/>
      <c r="P30" s="580">
        <v>0.32</v>
      </c>
      <c r="Q30" s="580">
        <v>0.15</v>
      </c>
      <c r="R30" s="1020">
        <f t="shared" si="4"/>
        <v>0.47</v>
      </c>
      <c r="S30" s="580"/>
      <c r="T30" s="580">
        <v>0.32</v>
      </c>
      <c r="U30" s="580">
        <v>0.12</v>
      </c>
      <c r="V30" s="1020">
        <f t="shared" si="5"/>
        <v>0.44</v>
      </c>
      <c r="W30" s="1021"/>
    </row>
    <row r="31" spans="2:23" x14ac:dyDescent="0.25">
      <c r="H31" s="11"/>
      <c r="I31" s="11"/>
      <c r="J31" s="11"/>
      <c r="L31" s="977"/>
      <c r="M31" s="341"/>
      <c r="N31" s="580"/>
      <c r="O31" s="580"/>
      <c r="S31" s="580"/>
      <c r="T31" s="580">
        <v>2.75</v>
      </c>
      <c r="U31" s="580">
        <v>0.15</v>
      </c>
      <c r="V31" s="1020">
        <f>T31+U31</f>
        <v>2.9</v>
      </c>
      <c r="W31" s="1021"/>
    </row>
    <row r="32" spans="2:23" ht="15.75" x14ac:dyDescent="0.25">
      <c r="B32" s="906" t="s">
        <v>10720</v>
      </c>
      <c r="C32" s="906"/>
      <c r="H32" s="11"/>
      <c r="I32" s="11"/>
      <c r="J32" s="11"/>
      <c r="L32" s="977"/>
      <c r="M32" s="341"/>
      <c r="N32" s="580"/>
      <c r="O32" s="580"/>
      <c r="S32" s="580"/>
      <c r="T32" s="580">
        <v>3.3</v>
      </c>
      <c r="U32" s="580">
        <v>0.15</v>
      </c>
      <c r="V32" s="1020">
        <f>T32+U32</f>
        <v>3.4499999999999997</v>
      </c>
      <c r="W32" s="1021"/>
    </row>
    <row r="33" spans="2:23" x14ac:dyDescent="0.25">
      <c r="H33" s="11"/>
      <c r="I33" s="11"/>
      <c r="J33" s="11"/>
      <c r="L33" s="977"/>
      <c r="M33" s="341"/>
      <c r="N33" s="1022">
        <f>SUM(N22:N29)</f>
        <v>3.73</v>
      </c>
      <c r="O33" s="580" t="s">
        <v>195</v>
      </c>
      <c r="P33" s="580"/>
      <c r="Q33" s="580"/>
      <c r="R33" s="1022">
        <f>SUM(R22:R32)</f>
        <v>3.8950000000000005</v>
      </c>
      <c r="S33" s="580" t="s">
        <v>195</v>
      </c>
      <c r="T33" s="580"/>
      <c r="U33" s="580"/>
      <c r="V33" s="1022">
        <f>SUM(V22:V32)</f>
        <v>12.03</v>
      </c>
      <c r="W33" s="1021" t="s">
        <v>195</v>
      </c>
    </row>
    <row r="34" spans="2:23" x14ac:dyDescent="0.25">
      <c r="B34" s="909" t="s">
        <v>9333</v>
      </c>
      <c r="C34" s="909"/>
      <c r="D34" s="909"/>
      <c r="E34" s="909" t="s">
        <v>9332</v>
      </c>
      <c r="F34" s="909"/>
      <c r="G34" s="909"/>
      <c r="H34" s="717">
        <v>0.95</v>
      </c>
      <c r="I34" s="909" t="s">
        <v>9306</v>
      </c>
      <c r="L34" s="977"/>
      <c r="M34" s="341"/>
      <c r="N34" s="580">
        <f>0.173* N33</f>
        <v>0.64528999999999992</v>
      </c>
      <c r="O34" s="580"/>
      <c r="P34" s="580"/>
      <c r="Q34" s="580"/>
      <c r="R34" s="580">
        <f>0.271* R33</f>
        <v>1.0555450000000002</v>
      </c>
      <c r="S34" s="580" t="s">
        <v>3</v>
      </c>
      <c r="T34" s="580"/>
      <c r="U34" s="580"/>
      <c r="V34" s="580">
        <f>0.321* V33</f>
        <v>3.8616299999999999</v>
      </c>
      <c r="W34" s="1021" t="s">
        <v>3</v>
      </c>
    </row>
    <row r="35" spans="2:23" ht="15.75" thickBot="1" x14ac:dyDescent="0.3">
      <c r="B35" s="909" t="s">
        <v>9344</v>
      </c>
      <c r="C35" s="909"/>
      <c r="D35" s="909" t="s">
        <v>9344</v>
      </c>
      <c r="E35" s="909" t="s">
        <v>9343</v>
      </c>
      <c r="F35" s="909" t="s">
        <v>10668</v>
      </c>
      <c r="G35" s="909"/>
      <c r="H35" s="717">
        <v>0.15</v>
      </c>
      <c r="I35" s="909" t="s">
        <v>9306</v>
      </c>
      <c r="L35" s="978"/>
      <c r="M35" s="905"/>
      <c r="N35" s="1023"/>
      <c r="O35" s="1023"/>
      <c r="P35" s="1023"/>
      <c r="Q35" s="1023"/>
      <c r="R35" s="1023"/>
      <c r="S35" s="1023"/>
      <c r="T35" s="1023"/>
      <c r="U35" s="1023"/>
      <c r="V35" s="1023"/>
      <c r="W35" s="1024"/>
    </row>
    <row r="36" spans="2:23" x14ac:dyDescent="0.25">
      <c r="B36" s="909" t="s">
        <v>10714</v>
      </c>
      <c r="C36" s="909"/>
      <c r="D36" s="909" t="s">
        <v>9313</v>
      </c>
      <c r="E36" s="909" t="s">
        <v>10715</v>
      </c>
      <c r="F36" s="909" t="s">
        <v>10709</v>
      </c>
      <c r="G36" s="909"/>
      <c r="H36" s="717">
        <v>0.11</v>
      </c>
      <c r="I36" s="909" t="s">
        <v>9306</v>
      </c>
    </row>
    <row r="37" spans="2:23" x14ac:dyDescent="0.25">
      <c r="B37" s="909" t="s">
        <v>10710</v>
      </c>
      <c r="C37" s="909"/>
      <c r="D37" s="909" t="s">
        <v>9313</v>
      </c>
      <c r="E37" s="909" t="s">
        <v>9337</v>
      </c>
      <c r="F37" s="909" t="s">
        <v>9336</v>
      </c>
      <c r="G37" s="909"/>
      <c r="H37" s="717">
        <v>0.48499999999999999</v>
      </c>
      <c r="I37" s="909" t="s">
        <v>9306</v>
      </c>
    </row>
    <row r="38" spans="2:23" x14ac:dyDescent="0.25">
      <c r="B38" s="909" t="s">
        <v>10711</v>
      </c>
      <c r="C38" s="909"/>
      <c r="D38" s="909" t="s">
        <v>10711</v>
      </c>
      <c r="E38" s="909" t="s">
        <v>10673</v>
      </c>
      <c r="F38" s="909"/>
      <c r="G38" s="909"/>
      <c r="H38" s="717">
        <v>0.98</v>
      </c>
      <c r="I38" s="909" t="s">
        <v>9306</v>
      </c>
    </row>
    <row r="39" spans="2:23" x14ac:dyDescent="0.25">
      <c r="B39" s="909" t="s">
        <v>9310</v>
      </c>
      <c r="C39" s="909"/>
      <c r="D39" s="909" t="s">
        <v>9313</v>
      </c>
      <c r="E39" s="909" t="s">
        <v>9326</v>
      </c>
      <c r="F39" s="909" t="s">
        <v>9307</v>
      </c>
      <c r="G39" s="909"/>
      <c r="H39" s="717">
        <v>0.09</v>
      </c>
      <c r="I39" s="909" t="s">
        <v>9306</v>
      </c>
    </row>
    <row r="40" spans="2:23" x14ac:dyDescent="0.25">
      <c r="B40" s="909" t="s">
        <v>9310</v>
      </c>
      <c r="C40" s="909"/>
      <c r="D40" s="909" t="s">
        <v>9313</v>
      </c>
      <c r="E40" s="909" t="s">
        <v>9329</v>
      </c>
      <c r="F40" s="909" t="s">
        <v>9328</v>
      </c>
      <c r="G40" s="909"/>
      <c r="H40" s="717">
        <v>57.787999999999997</v>
      </c>
      <c r="I40" s="909" t="s">
        <v>9306</v>
      </c>
    </row>
    <row r="41" spans="2:23" x14ac:dyDescent="0.25">
      <c r="B41" s="909" t="s">
        <v>10712</v>
      </c>
      <c r="C41" s="909"/>
      <c r="D41" s="909"/>
      <c r="E41" s="909" t="s">
        <v>10713</v>
      </c>
      <c r="F41" s="909"/>
      <c r="G41" s="909"/>
      <c r="H41" s="717">
        <v>3.0000000000000001E-3</v>
      </c>
      <c r="I41" s="909" t="s">
        <v>9306</v>
      </c>
    </row>
    <row r="42" spans="2:23" x14ac:dyDescent="0.25">
      <c r="B42" s="909" t="s">
        <v>4837</v>
      </c>
      <c r="C42" s="909"/>
      <c r="D42" s="909"/>
      <c r="E42" s="909"/>
      <c r="F42" s="909"/>
      <c r="G42" s="909"/>
      <c r="H42" s="717">
        <v>0.57899999999999996</v>
      </c>
      <c r="I42" s="909" t="s">
        <v>9306</v>
      </c>
    </row>
    <row r="43" spans="2:23" x14ac:dyDescent="0.25">
      <c r="B43" s="909" t="s">
        <v>10716</v>
      </c>
      <c r="C43" s="909"/>
      <c r="D43" s="909"/>
      <c r="E43" s="909" t="s">
        <v>10717</v>
      </c>
      <c r="F43" s="909"/>
      <c r="G43" s="909"/>
      <c r="H43" s="717">
        <v>0.48499999999999999</v>
      </c>
      <c r="I43" s="909" t="s">
        <v>9388</v>
      </c>
    </row>
    <row r="46" spans="2:23" ht="15.75" thickBot="1" x14ac:dyDescent="0.3">
      <c r="H46" s="928" t="s">
        <v>10721</v>
      </c>
      <c r="I46" s="928" t="s">
        <v>10722</v>
      </c>
      <c r="J46" s="917" t="s">
        <v>10723</v>
      </c>
    </row>
    <row r="47" spans="2:23" x14ac:dyDescent="0.25">
      <c r="B47" s="918" t="s">
        <v>9333</v>
      </c>
      <c r="C47" s="1012"/>
      <c r="D47" s="919"/>
      <c r="E47" s="919" t="s">
        <v>9332</v>
      </c>
      <c r="F47" s="919"/>
      <c r="G47" s="919" t="s">
        <v>9306</v>
      </c>
      <c r="H47" s="920">
        <v>0.95</v>
      </c>
      <c r="I47" s="920">
        <v>0.74</v>
      </c>
      <c r="J47" s="921">
        <f t="shared" ref="J47:J57" si="6">H47+I47</f>
        <v>1.69</v>
      </c>
    </row>
    <row r="48" spans="2:23" x14ac:dyDescent="0.25">
      <c r="B48" s="922" t="s">
        <v>9344</v>
      </c>
      <c r="C48" s="1013"/>
      <c r="D48" s="909" t="s">
        <v>9344</v>
      </c>
      <c r="E48" s="909" t="s">
        <v>9343</v>
      </c>
      <c r="F48" s="909" t="s">
        <v>10668</v>
      </c>
      <c r="G48" s="909" t="s">
        <v>9306</v>
      </c>
      <c r="H48" s="916">
        <v>0.15</v>
      </c>
      <c r="I48" s="916">
        <v>0.15</v>
      </c>
      <c r="J48" s="923">
        <f t="shared" si="6"/>
        <v>0.3</v>
      </c>
    </row>
    <row r="49" spans="2:10" x14ac:dyDescent="0.25">
      <c r="B49" s="922" t="s">
        <v>10710</v>
      </c>
      <c r="C49" s="1013"/>
      <c r="D49" s="909" t="s">
        <v>9313</v>
      </c>
      <c r="E49" s="909" t="s">
        <v>9337</v>
      </c>
      <c r="F49" s="909" t="s">
        <v>9336</v>
      </c>
      <c r="G49" s="909" t="s">
        <v>9306</v>
      </c>
      <c r="H49" s="916">
        <v>0.48499999999999999</v>
      </c>
      <c r="I49" s="916">
        <v>0.46500000000000002</v>
      </c>
      <c r="J49" s="923">
        <f t="shared" si="6"/>
        <v>0.95</v>
      </c>
    </row>
    <row r="50" spans="2:10" x14ac:dyDescent="0.25">
      <c r="B50" s="922" t="s">
        <v>10718</v>
      </c>
      <c r="C50" s="1013"/>
      <c r="D50" s="909" t="s">
        <v>9309</v>
      </c>
      <c r="E50" s="909" t="s">
        <v>5138</v>
      </c>
      <c r="F50" s="909" t="s">
        <v>10719</v>
      </c>
      <c r="G50" s="909" t="s">
        <v>9306</v>
      </c>
      <c r="H50" s="916" t="s">
        <v>1565</v>
      </c>
      <c r="I50" s="916">
        <v>0.11</v>
      </c>
      <c r="J50" s="923">
        <f>I50</f>
        <v>0.11</v>
      </c>
    </row>
    <row r="51" spans="2:10" x14ac:dyDescent="0.25">
      <c r="B51" s="922" t="s">
        <v>10714</v>
      </c>
      <c r="C51" s="1013"/>
      <c r="D51" s="909" t="s">
        <v>9313</v>
      </c>
      <c r="E51" s="909" t="s">
        <v>10715</v>
      </c>
      <c r="F51" s="909" t="s">
        <v>10709</v>
      </c>
      <c r="G51" s="909"/>
      <c r="H51" s="916">
        <v>0.11</v>
      </c>
      <c r="I51" s="910" t="s">
        <v>1565</v>
      </c>
      <c r="J51" s="923">
        <f>H51</f>
        <v>0.11</v>
      </c>
    </row>
    <row r="52" spans="2:10" x14ac:dyDescent="0.25">
      <c r="B52" s="922" t="s">
        <v>10711</v>
      </c>
      <c r="C52" s="1013"/>
      <c r="D52" s="909" t="s">
        <v>10724</v>
      </c>
      <c r="E52" s="909" t="s">
        <v>10673</v>
      </c>
      <c r="F52" s="909"/>
      <c r="G52" s="909" t="s">
        <v>9306</v>
      </c>
      <c r="H52" s="916">
        <v>0.98</v>
      </c>
      <c r="I52" s="916">
        <v>0.76</v>
      </c>
      <c r="J52" s="923">
        <f t="shared" si="6"/>
        <v>1.74</v>
      </c>
    </row>
    <row r="53" spans="2:10" x14ac:dyDescent="0.25">
      <c r="B53" s="922" t="s">
        <v>9310</v>
      </c>
      <c r="C53" s="1013"/>
      <c r="D53" s="909" t="s">
        <v>9313</v>
      </c>
      <c r="E53" s="909" t="s">
        <v>9326</v>
      </c>
      <c r="F53" s="909" t="s">
        <v>9307</v>
      </c>
      <c r="G53" s="909" t="s">
        <v>9306</v>
      </c>
      <c r="H53" s="916">
        <v>0.09</v>
      </c>
      <c r="I53" s="916">
        <v>0.09</v>
      </c>
      <c r="J53" s="923">
        <f t="shared" si="6"/>
        <v>0.18</v>
      </c>
    </row>
    <row r="54" spans="2:10" x14ac:dyDescent="0.25">
      <c r="B54" s="922" t="s">
        <v>9310</v>
      </c>
      <c r="C54" s="1013"/>
      <c r="D54" s="909" t="s">
        <v>9313</v>
      </c>
      <c r="E54" s="909" t="s">
        <v>9329</v>
      </c>
      <c r="F54" s="909" t="s">
        <v>9328</v>
      </c>
      <c r="G54" s="909" t="s">
        <v>9306</v>
      </c>
      <c r="H54" s="916">
        <v>57.787999999999997</v>
      </c>
      <c r="I54" s="916">
        <v>41.62</v>
      </c>
      <c r="J54" s="923">
        <f t="shared" si="6"/>
        <v>99.407999999999987</v>
      </c>
    </row>
    <row r="55" spans="2:10" x14ac:dyDescent="0.25">
      <c r="B55" s="922" t="s">
        <v>10712</v>
      </c>
      <c r="C55" s="1013"/>
      <c r="D55" s="909"/>
      <c r="E55" s="909" t="s">
        <v>10713</v>
      </c>
      <c r="F55" s="909"/>
      <c r="G55" s="909" t="s">
        <v>9306</v>
      </c>
      <c r="H55" s="916">
        <v>3.0000000000000001E-3</v>
      </c>
      <c r="I55" s="916">
        <v>3.0000000000000001E-3</v>
      </c>
      <c r="J55" s="923">
        <f t="shared" si="6"/>
        <v>6.0000000000000001E-3</v>
      </c>
    </row>
    <row r="56" spans="2:10" x14ac:dyDescent="0.25">
      <c r="B56" s="922" t="s">
        <v>4837</v>
      </c>
      <c r="C56" s="1013"/>
      <c r="D56" s="909"/>
      <c r="E56" s="909"/>
      <c r="F56" s="909"/>
      <c r="G56" s="909" t="s">
        <v>9306</v>
      </c>
      <c r="H56" s="916">
        <v>0.57899999999999996</v>
      </c>
      <c r="I56" s="916">
        <v>0.45</v>
      </c>
      <c r="J56" s="923">
        <f t="shared" si="6"/>
        <v>1.0289999999999999</v>
      </c>
    </row>
    <row r="57" spans="2:10" ht="18" thickBot="1" x14ac:dyDescent="0.3">
      <c r="B57" s="924" t="s">
        <v>10716</v>
      </c>
      <c r="C57" s="1014"/>
      <c r="D57" s="925"/>
      <c r="E57" s="925" t="s">
        <v>10717</v>
      </c>
      <c r="F57" s="925"/>
      <c r="G57" s="925" t="s">
        <v>596</v>
      </c>
      <c r="H57" s="926">
        <v>0.48499999999999999</v>
      </c>
      <c r="I57" s="926">
        <v>0.45800000000000002</v>
      </c>
      <c r="J57" s="927">
        <f t="shared" si="6"/>
        <v>0.94300000000000006</v>
      </c>
    </row>
    <row r="59" spans="2:10" x14ac:dyDescent="0.25">
      <c r="B59" s="326" t="s">
        <v>9695</v>
      </c>
      <c r="F59" s="2">
        <v>0.89786999999999995</v>
      </c>
    </row>
    <row r="60" spans="2:10" x14ac:dyDescent="0.25">
      <c r="B60" s="326" t="s">
        <v>6587</v>
      </c>
      <c r="F60" s="2">
        <v>9.2268400000000028</v>
      </c>
    </row>
    <row r="61" spans="2:10" x14ac:dyDescent="0.25">
      <c r="B61" s="326" t="s">
        <v>9693</v>
      </c>
      <c r="F61" s="2">
        <v>3.4194399999999994</v>
      </c>
    </row>
    <row r="62" spans="2:10" x14ac:dyDescent="0.25">
      <c r="B62" s="326" t="s">
        <v>10155</v>
      </c>
      <c r="F62" s="2">
        <v>1.159788</v>
      </c>
    </row>
    <row r="63" spans="2:10" x14ac:dyDescent="0.25">
      <c r="F63" s="2"/>
    </row>
    <row r="64" spans="2:10" x14ac:dyDescent="0.25">
      <c r="F64" s="2"/>
    </row>
    <row r="65" spans="2:16" ht="23.25" x14ac:dyDescent="0.35">
      <c r="D65" s="979" t="s">
        <v>11707</v>
      </c>
      <c r="F65" s="2"/>
    </row>
    <row r="66" spans="2:16" x14ac:dyDescent="0.25">
      <c r="F66" s="2"/>
    </row>
    <row r="68" spans="2:16" ht="18.75" customHeight="1" x14ac:dyDescent="0.25">
      <c r="B68" s="980"/>
      <c r="C68" s="980"/>
      <c r="D68" s="980"/>
      <c r="E68" s="980"/>
      <c r="F68" s="980"/>
      <c r="G68" s="980"/>
      <c r="H68" s="1056" t="s">
        <v>11704</v>
      </c>
      <c r="I68" s="1056"/>
      <c r="J68" s="1056" t="s">
        <v>11705</v>
      </c>
      <c r="K68" s="1056"/>
      <c r="L68" s="1057" t="s">
        <v>11706</v>
      </c>
      <c r="M68" s="1057"/>
    </row>
    <row r="69" spans="2:16" ht="18.75" customHeight="1" x14ac:dyDescent="0.25">
      <c r="B69" s="981"/>
      <c r="C69" s="981"/>
      <c r="D69" s="980"/>
      <c r="E69" s="980"/>
      <c r="F69" s="980"/>
      <c r="G69" s="980"/>
      <c r="H69" s="982" t="s">
        <v>3</v>
      </c>
      <c r="I69" s="982" t="s">
        <v>195</v>
      </c>
      <c r="J69" s="983" t="s">
        <v>3</v>
      </c>
      <c r="K69" s="982" t="s">
        <v>195</v>
      </c>
      <c r="L69" s="983" t="s">
        <v>3</v>
      </c>
      <c r="M69" s="982" t="s">
        <v>195</v>
      </c>
    </row>
    <row r="70" spans="2:16" ht="18.75" customHeight="1" x14ac:dyDescent="0.25">
      <c r="B70" s="984" t="s">
        <v>2507</v>
      </c>
      <c r="C70" s="984"/>
      <c r="D70" s="985" t="s">
        <v>9313</v>
      </c>
      <c r="E70" s="985" t="s">
        <v>10653</v>
      </c>
      <c r="F70" s="986" t="s">
        <v>10660</v>
      </c>
      <c r="G70" s="985"/>
      <c r="H70" s="987">
        <v>0.89800000000000002</v>
      </c>
      <c r="I70" s="988">
        <f t="shared" ref="I70" si="7">H70/0.173</f>
        <v>5.1907514450867058</v>
      </c>
      <c r="J70" s="987">
        <f>0.173*K70</f>
        <v>0.64528999999999992</v>
      </c>
      <c r="K70" s="988">
        <v>3.73</v>
      </c>
      <c r="L70" s="989">
        <f>H70+J70</f>
        <v>1.5432899999999998</v>
      </c>
      <c r="M70" s="990">
        <f t="shared" ref="M70:M72" si="8">I70+K70</f>
        <v>8.9207514450867063</v>
      </c>
      <c r="N70" s="1025" t="s">
        <v>10660</v>
      </c>
    </row>
    <row r="71" spans="2:16" ht="18.75" customHeight="1" x14ac:dyDescent="0.25">
      <c r="B71" s="984" t="s">
        <v>2507</v>
      </c>
      <c r="C71" s="984"/>
      <c r="D71" s="984" t="s">
        <v>9313</v>
      </c>
      <c r="E71" s="984" t="s">
        <v>10653</v>
      </c>
      <c r="F71" s="991" t="s">
        <v>10654</v>
      </c>
      <c r="G71" s="985"/>
      <c r="H71" s="987">
        <v>9.2270000000000003</v>
      </c>
      <c r="I71" s="988">
        <f>H71/0.271</f>
        <v>34.047970479704794</v>
      </c>
      <c r="J71" s="987">
        <f>0.271*K71</f>
        <v>2.7763949999999999</v>
      </c>
      <c r="K71" s="988">
        <v>10.244999999999999</v>
      </c>
      <c r="L71" s="989">
        <f>H71+J71</f>
        <v>12.003395000000001</v>
      </c>
      <c r="M71" s="990">
        <f t="shared" si="8"/>
        <v>44.292970479704792</v>
      </c>
      <c r="N71" s="1025" t="s">
        <v>10654</v>
      </c>
    </row>
    <row r="72" spans="2:16" ht="18.75" customHeight="1" x14ac:dyDescent="0.25">
      <c r="B72" s="984" t="s">
        <v>2507</v>
      </c>
      <c r="C72" s="984"/>
      <c r="D72" s="985" t="s">
        <v>9313</v>
      </c>
      <c r="E72" s="985" t="s">
        <v>10653</v>
      </c>
      <c r="F72" s="991" t="s">
        <v>10661</v>
      </c>
      <c r="G72" s="985"/>
      <c r="H72" s="987">
        <v>3.419</v>
      </c>
      <c r="I72" s="988">
        <f>H72/0.321</f>
        <v>10.651090342679128</v>
      </c>
      <c r="J72" s="987">
        <f>0.321* K72</f>
        <v>1.82328</v>
      </c>
      <c r="K72" s="988">
        <v>5.68</v>
      </c>
      <c r="L72" s="989">
        <f t="shared" ref="L72" si="9">H72+J72</f>
        <v>5.2422800000000001</v>
      </c>
      <c r="M72" s="990">
        <f t="shared" si="8"/>
        <v>16.331090342679126</v>
      </c>
      <c r="N72" s="1025" t="s">
        <v>10661</v>
      </c>
    </row>
    <row r="73" spans="2:16" ht="18.75" customHeight="1" x14ac:dyDescent="0.25">
      <c r="B73" s="984" t="s">
        <v>2507</v>
      </c>
      <c r="C73" s="984"/>
      <c r="D73" s="985" t="s">
        <v>9313</v>
      </c>
      <c r="E73" s="985" t="s">
        <v>10653</v>
      </c>
      <c r="F73" s="986" t="s">
        <v>10657</v>
      </c>
      <c r="G73" s="985"/>
      <c r="H73" s="987">
        <f>I73*0.592</f>
        <v>2.1903999999999999</v>
      </c>
      <c r="I73" s="988">
        <v>3.7</v>
      </c>
      <c r="J73" s="992" t="s">
        <v>1565</v>
      </c>
      <c r="K73" s="992" t="s">
        <v>1565</v>
      </c>
      <c r="L73" s="989">
        <f>H73</f>
        <v>2.1903999999999999</v>
      </c>
      <c r="M73" s="993">
        <f>I73</f>
        <v>3.7</v>
      </c>
      <c r="N73" s="1025" t="s">
        <v>10657</v>
      </c>
    </row>
    <row r="74" spans="2:16" x14ac:dyDescent="0.25">
      <c r="H74" s="547"/>
      <c r="I74" s="547"/>
      <c r="J74" s="547"/>
      <c r="K74" s="547"/>
    </row>
    <row r="75" spans="2:16" ht="23.25" x14ac:dyDescent="0.35">
      <c r="D75" s="979" t="s">
        <v>11707</v>
      </c>
      <c r="F75" s="2"/>
      <c r="P75" s="253" t="s">
        <v>12451</v>
      </c>
    </row>
    <row r="76" spans="2:16" x14ac:dyDescent="0.25">
      <c r="F76" s="2"/>
    </row>
    <row r="78" spans="2:16" ht="15.75" x14ac:dyDescent="0.25">
      <c r="B78" s="980"/>
      <c r="C78" s="980"/>
      <c r="D78" s="980"/>
      <c r="E78" s="980"/>
      <c r="F78" s="980"/>
      <c r="G78" s="980"/>
      <c r="H78" s="1056" t="s">
        <v>11704</v>
      </c>
      <c r="I78" s="1056"/>
      <c r="J78" s="1056" t="s">
        <v>11705</v>
      </c>
      <c r="K78" s="1056"/>
      <c r="L78" s="1057" t="s">
        <v>11706</v>
      </c>
      <c r="M78" s="1057"/>
    </row>
    <row r="79" spans="2:16" ht="15.75" x14ac:dyDescent="0.25">
      <c r="B79" s="981"/>
      <c r="C79" s="981"/>
      <c r="D79" s="980"/>
      <c r="E79" s="980"/>
      <c r="F79" s="980"/>
      <c r="G79" s="980"/>
      <c r="H79" s="982" t="s">
        <v>3</v>
      </c>
      <c r="I79" s="982" t="s">
        <v>195</v>
      </c>
      <c r="J79" s="983" t="s">
        <v>3</v>
      </c>
      <c r="K79" s="982" t="s">
        <v>195</v>
      </c>
      <c r="L79" s="983" t="s">
        <v>3</v>
      </c>
      <c r="M79" s="982" t="s">
        <v>195</v>
      </c>
    </row>
    <row r="80" spans="2:16" ht="15.75" x14ac:dyDescent="0.25">
      <c r="B80" s="984" t="s">
        <v>2507</v>
      </c>
      <c r="C80" s="984"/>
      <c r="D80" s="985" t="s">
        <v>9313</v>
      </c>
      <c r="E80" s="985" t="s">
        <v>10653</v>
      </c>
      <c r="F80" s="1017" t="s">
        <v>10660</v>
      </c>
      <c r="G80" s="985"/>
      <c r="H80" s="987">
        <v>0.89800000000000002</v>
      </c>
      <c r="I80" s="988">
        <f t="shared" ref="I80" si="10">H80/0.173</f>
        <v>5.1907514450867058</v>
      </c>
      <c r="J80" s="987">
        <f>0.173*K80</f>
        <v>0.64528999999999992</v>
      </c>
      <c r="K80" s="988">
        <v>3.73</v>
      </c>
      <c r="L80" s="989">
        <f>H80+J80</f>
        <v>1.5432899999999998</v>
      </c>
      <c r="M80" s="990">
        <f t="shared" ref="M80:M82" si="11">I80+K80</f>
        <v>8.9207514450867063</v>
      </c>
      <c r="N80" s="1025" t="s">
        <v>10660</v>
      </c>
    </row>
    <row r="81" spans="2:14" ht="15.75" x14ac:dyDescent="0.25">
      <c r="B81" s="984" t="s">
        <v>2507</v>
      </c>
      <c r="C81" s="984"/>
      <c r="D81" s="984" t="s">
        <v>9313</v>
      </c>
      <c r="E81" s="984" t="s">
        <v>10653</v>
      </c>
      <c r="F81" s="991" t="s">
        <v>10654</v>
      </c>
      <c r="G81" s="985"/>
      <c r="H81" s="987">
        <v>9.2270000000000003</v>
      </c>
      <c r="I81" s="988">
        <f>H81/0.271</f>
        <v>34.047970479704794</v>
      </c>
      <c r="J81" s="987">
        <f>0.271*K81</f>
        <v>1.0569</v>
      </c>
      <c r="K81" s="988">
        <v>3.9</v>
      </c>
      <c r="L81" s="989">
        <f>H81+J81</f>
        <v>10.283900000000001</v>
      </c>
      <c r="M81" s="990">
        <f t="shared" si="11"/>
        <v>37.947970479704793</v>
      </c>
      <c r="N81" s="1025" t="s">
        <v>10654</v>
      </c>
    </row>
    <row r="82" spans="2:14" ht="15.75" x14ac:dyDescent="0.25">
      <c r="B82" s="984" t="s">
        <v>2507</v>
      </c>
      <c r="C82" s="984"/>
      <c r="D82" s="985" t="s">
        <v>9313</v>
      </c>
      <c r="E82" s="985" t="s">
        <v>10653</v>
      </c>
      <c r="F82" s="991" t="s">
        <v>10661</v>
      </c>
      <c r="G82" s="985"/>
      <c r="H82" s="987">
        <v>3.419</v>
      </c>
      <c r="I82" s="988">
        <f>H82/0.321</f>
        <v>10.651090342679128</v>
      </c>
      <c r="J82" s="987">
        <f>0.321* K82</f>
        <v>3.8616299999999999</v>
      </c>
      <c r="K82" s="988">
        <v>12.03</v>
      </c>
      <c r="L82" s="989">
        <f t="shared" ref="L82" si="12">H82+J82</f>
        <v>7.2806300000000004</v>
      </c>
      <c r="M82" s="990">
        <f t="shared" si="11"/>
        <v>22.681090342679127</v>
      </c>
      <c r="N82" s="1025" t="s">
        <v>10661</v>
      </c>
    </row>
    <row r="83" spans="2:14" ht="15.75" x14ac:dyDescent="0.25">
      <c r="B83" s="984" t="s">
        <v>2507</v>
      </c>
      <c r="C83" s="984"/>
      <c r="D83" s="985" t="s">
        <v>9313</v>
      </c>
      <c r="E83" s="985" t="s">
        <v>10653</v>
      </c>
      <c r="F83" s="1017" t="s">
        <v>10657</v>
      </c>
      <c r="G83" s="985"/>
      <c r="H83" s="987">
        <f>I83*0.592</f>
        <v>2.1903999999999999</v>
      </c>
      <c r="I83" s="988">
        <v>3.7</v>
      </c>
      <c r="J83" s="992" t="s">
        <v>1565</v>
      </c>
      <c r="K83" s="992" t="s">
        <v>1565</v>
      </c>
      <c r="L83" s="989">
        <f>H83</f>
        <v>2.1903999999999999</v>
      </c>
      <c r="M83" s="993">
        <f>I83</f>
        <v>3.7</v>
      </c>
      <c r="N83" s="1025" t="s">
        <v>10657</v>
      </c>
    </row>
    <row r="84" spans="2:14" x14ac:dyDescent="0.25">
      <c r="H84" s="547"/>
      <c r="I84" s="547"/>
      <c r="J84" s="547"/>
      <c r="K84" s="547"/>
    </row>
    <row r="85" spans="2:14" x14ac:dyDescent="0.25">
      <c r="K85" s="11"/>
    </row>
    <row r="86" spans="2:14" x14ac:dyDescent="0.25">
      <c r="B86" s="326" t="s">
        <v>12387</v>
      </c>
    </row>
    <row r="87" spans="2:14" x14ac:dyDescent="0.25">
      <c r="B87" s="326" t="s">
        <v>12388</v>
      </c>
    </row>
    <row r="88" spans="2:14" x14ac:dyDescent="0.25">
      <c r="B88" s="326" t="s">
        <v>12389</v>
      </c>
    </row>
    <row r="90" spans="2:14" ht="18.75" x14ac:dyDescent="0.3">
      <c r="C90" s="1016" t="s">
        <v>9555</v>
      </c>
    </row>
    <row r="92" spans="2:14" x14ac:dyDescent="0.25">
      <c r="B92" s="767"/>
      <c r="C92" s="767"/>
      <c r="D92" s="767"/>
      <c r="E92" s="1011" t="s">
        <v>12420</v>
      </c>
      <c r="F92" s="1011" t="s">
        <v>12414</v>
      </c>
      <c r="G92" s="1011" t="s">
        <v>12427</v>
      </c>
    </row>
    <row r="93" spans="2:14" x14ac:dyDescent="0.25">
      <c r="B93" s="909" t="s">
        <v>12407</v>
      </c>
      <c r="C93" s="909" t="s">
        <v>12421</v>
      </c>
      <c r="D93" s="910" t="s">
        <v>3</v>
      </c>
      <c r="E93" s="916"/>
      <c r="F93" s="916">
        <v>0.8</v>
      </c>
      <c r="G93" s="916"/>
    </row>
    <row r="94" spans="2:14" x14ac:dyDescent="0.25">
      <c r="B94" s="909" t="s">
        <v>12408</v>
      </c>
      <c r="C94" s="909" t="s">
        <v>12422</v>
      </c>
      <c r="D94" s="910" t="s">
        <v>3</v>
      </c>
      <c r="E94" s="916"/>
      <c r="F94" s="916">
        <v>1.77</v>
      </c>
      <c r="G94" s="916"/>
    </row>
    <row r="95" spans="2:14" x14ac:dyDescent="0.25">
      <c r="B95" s="909" t="s">
        <v>12409</v>
      </c>
      <c r="C95" s="909" t="s">
        <v>12423</v>
      </c>
      <c r="D95" s="910" t="s">
        <v>3</v>
      </c>
      <c r="E95" s="916"/>
      <c r="F95" s="916">
        <v>1.99</v>
      </c>
      <c r="G95" s="916"/>
    </row>
    <row r="96" spans="2:14" x14ac:dyDescent="0.25">
      <c r="B96" s="909" t="s">
        <v>12410</v>
      </c>
      <c r="C96" s="909" t="s">
        <v>11039</v>
      </c>
      <c r="D96" s="910" t="s">
        <v>3</v>
      </c>
      <c r="E96" s="916"/>
      <c r="F96" s="916">
        <v>0.8</v>
      </c>
      <c r="G96" s="916"/>
    </row>
    <row r="97" spans="2:12" x14ac:dyDescent="0.25">
      <c r="B97" s="909" t="s">
        <v>12411</v>
      </c>
      <c r="C97" s="909" t="s">
        <v>12442</v>
      </c>
      <c r="D97" s="910" t="s">
        <v>3</v>
      </c>
      <c r="E97" s="916"/>
      <c r="F97" s="916">
        <f>22.3</f>
        <v>22.3</v>
      </c>
      <c r="G97" s="916">
        <f>0.406+1</f>
        <v>1.4060000000000001</v>
      </c>
    </row>
    <row r="98" spans="2:12" x14ac:dyDescent="0.25">
      <c r="B98" s="909" t="s">
        <v>12438</v>
      </c>
      <c r="C98" s="909" t="s">
        <v>12439</v>
      </c>
      <c r="D98" s="910" t="s">
        <v>3</v>
      </c>
      <c r="E98" s="916"/>
      <c r="F98" s="916">
        <v>12.1</v>
      </c>
      <c r="G98" s="916"/>
    </row>
    <row r="99" spans="2:12" x14ac:dyDescent="0.25">
      <c r="B99" s="909" t="s">
        <v>12436</v>
      </c>
      <c r="C99" s="909" t="s">
        <v>12437</v>
      </c>
      <c r="D99" s="910" t="s">
        <v>3</v>
      </c>
      <c r="E99" s="916"/>
      <c r="F99" s="916">
        <v>9.6999999999999993</v>
      </c>
      <c r="G99" s="916">
        <v>0.47</v>
      </c>
    </row>
    <row r="100" spans="2:12" x14ac:dyDescent="0.25">
      <c r="B100" s="909" t="s">
        <v>12434</v>
      </c>
      <c r="C100" s="909" t="s">
        <v>12435</v>
      </c>
      <c r="D100" s="910" t="s">
        <v>3</v>
      </c>
      <c r="E100" s="916"/>
      <c r="F100" s="916">
        <v>14.365</v>
      </c>
      <c r="G100" s="916">
        <v>0.16800000000000001</v>
      </c>
    </row>
    <row r="101" spans="2:12" x14ac:dyDescent="0.25">
      <c r="B101" s="909" t="s">
        <v>12412</v>
      </c>
      <c r="C101" s="909" t="s">
        <v>12425</v>
      </c>
      <c r="D101" s="910" t="s">
        <v>3</v>
      </c>
      <c r="E101" s="916"/>
      <c r="F101" s="916">
        <f>68.6+0.13</f>
        <v>68.72999999999999</v>
      </c>
      <c r="G101" s="916">
        <f>0.45+0.76</f>
        <v>1.21</v>
      </c>
    </row>
    <row r="102" spans="2:12" x14ac:dyDescent="0.25">
      <c r="B102" s="909" t="s">
        <v>12413</v>
      </c>
      <c r="C102" s="909" t="s">
        <v>12424</v>
      </c>
      <c r="D102" s="910" t="s">
        <v>3</v>
      </c>
      <c r="E102" s="916"/>
      <c r="F102" s="916">
        <f>54.4+0.13</f>
        <v>54.53</v>
      </c>
      <c r="G102" s="916">
        <f>0.18+0.32</f>
        <v>0.5</v>
      </c>
      <c r="L102"/>
    </row>
    <row r="103" spans="2:12" x14ac:dyDescent="0.25">
      <c r="B103" s="909" t="s">
        <v>11080</v>
      </c>
      <c r="C103" s="909" t="s">
        <v>12426</v>
      </c>
      <c r="D103" s="910" t="s">
        <v>3</v>
      </c>
      <c r="E103" s="916">
        <f>12.92+3.38+0.75</f>
        <v>17.05</v>
      </c>
      <c r="F103" s="916"/>
      <c r="G103" s="916">
        <f>0.023*2*2</f>
        <v>9.1999999999999998E-2</v>
      </c>
    </row>
    <row r="104" spans="2:12" x14ac:dyDescent="0.25">
      <c r="B104" s="909" t="s">
        <v>12444</v>
      </c>
      <c r="C104" s="909" t="s">
        <v>12421</v>
      </c>
      <c r="D104" s="910" t="s">
        <v>3</v>
      </c>
      <c r="E104" s="916"/>
      <c r="F104" s="916"/>
      <c r="G104" s="916"/>
    </row>
    <row r="105" spans="2:12" x14ac:dyDescent="0.25">
      <c r="B105" s="909" t="s">
        <v>12443</v>
      </c>
      <c r="C105" s="909" t="s">
        <v>12422</v>
      </c>
      <c r="D105" s="910" t="s">
        <v>3</v>
      </c>
      <c r="E105" s="916"/>
      <c r="F105" s="916"/>
      <c r="G105" s="916"/>
    </row>
    <row r="106" spans="2:12" x14ac:dyDescent="0.25">
      <c r="B106" s="909"/>
      <c r="C106" s="909"/>
      <c r="D106" s="1015"/>
      <c r="E106" s="911"/>
      <c r="F106" s="911"/>
      <c r="G106" s="717"/>
    </row>
    <row r="107" spans="2:12" x14ac:dyDescent="0.25">
      <c r="B107" s="1051" t="s">
        <v>12419</v>
      </c>
      <c r="C107" s="1052"/>
      <c r="D107" s="910" t="s">
        <v>3</v>
      </c>
      <c r="E107" s="916">
        <f>SUM(E93:E106)</f>
        <v>17.05</v>
      </c>
      <c r="F107" s="916">
        <f>SUM(F93:F106)</f>
        <v>187.08499999999998</v>
      </c>
      <c r="G107" s="916">
        <f>SUM(G93:G106)</f>
        <v>3.8460000000000001</v>
      </c>
    </row>
    <row r="108" spans="2:12" x14ac:dyDescent="0.25">
      <c r="B108" s="253"/>
      <c r="C108" s="253"/>
      <c r="D108" s="242"/>
      <c r="E108" s="6"/>
      <c r="F108" s="6"/>
    </row>
    <row r="109" spans="2:12" x14ac:dyDescent="0.25">
      <c r="B109" s="253"/>
      <c r="C109" s="253"/>
      <c r="D109" s="1010"/>
      <c r="E109" s="6"/>
      <c r="F109" s="6"/>
    </row>
  </sheetData>
  <sortState ref="D59:G199">
    <sortCondition ref="D59"/>
  </sortState>
  <mergeCells count="13">
    <mergeCell ref="B107:C107"/>
    <mergeCell ref="L4:M4"/>
    <mergeCell ref="P4:Q4"/>
    <mergeCell ref="T4:U4"/>
    <mergeCell ref="J68:K68"/>
    <mergeCell ref="H68:I68"/>
    <mergeCell ref="L68:M68"/>
    <mergeCell ref="H78:I78"/>
    <mergeCell ref="J78:K78"/>
    <mergeCell ref="L78:M78"/>
    <mergeCell ref="L21:M21"/>
    <mergeCell ref="P21:Q21"/>
    <mergeCell ref="T21:U21"/>
  </mergeCells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opLeftCell="A541" zoomScaleNormal="100" workbookViewId="0">
      <selection activeCell="G146" sqref="G146"/>
    </sheetView>
  </sheetViews>
  <sheetFormatPr defaultRowHeight="15" x14ac:dyDescent="0.25"/>
  <cols>
    <col min="1" max="1" width="27.140625" style="8" customWidth="1"/>
    <col min="2" max="2" width="23.28515625" style="8" customWidth="1"/>
    <col min="7" max="7" width="9.140625" customWidth="1"/>
  </cols>
  <sheetData>
    <row r="1" spans="1:6" x14ac:dyDescent="0.25">
      <c r="A1" s="8" t="s">
        <v>11252</v>
      </c>
      <c r="B1" s="8" t="s">
        <v>11253</v>
      </c>
      <c r="C1" t="s">
        <v>9506</v>
      </c>
      <c r="E1" s="217"/>
      <c r="F1" t="s">
        <v>9716</v>
      </c>
    </row>
    <row r="2" spans="1:6" x14ac:dyDescent="0.25">
      <c r="A2" s="8" t="s">
        <v>11057</v>
      </c>
      <c r="B2" s="8" t="s">
        <v>11058</v>
      </c>
      <c r="C2" t="s">
        <v>9506</v>
      </c>
      <c r="E2" s="274"/>
      <c r="F2" t="s">
        <v>9715</v>
      </c>
    </row>
    <row r="3" spans="1:6" x14ac:dyDescent="0.25">
      <c r="A3" s="8" t="s">
        <v>10953</v>
      </c>
      <c r="B3" s="8" t="s">
        <v>9926</v>
      </c>
      <c r="C3" t="s">
        <v>9506</v>
      </c>
    </row>
    <row r="4" spans="1:6" x14ac:dyDescent="0.25">
      <c r="A4" s="8" t="s">
        <v>10888</v>
      </c>
      <c r="B4" s="8" t="s">
        <v>9926</v>
      </c>
      <c r="C4" t="s">
        <v>9506</v>
      </c>
    </row>
    <row r="5" spans="1:6" x14ac:dyDescent="0.25">
      <c r="A5" s="8" t="s">
        <v>10893</v>
      </c>
      <c r="B5" s="8" t="s">
        <v>10890</v>
      </c>
      <c r="C5" t="s">
        <v>9506</v>
      </c>
    </row>
    <row r="6" spans="1:6" x14ac:dyDescent="0.25">
      <c r="A6" s="8" t="s">
        <v>10922</v>
      </c>
      <c r="B6" s="8" t="s">
        <v>10910</v>
      </c>
      <c r="C6" t="s">
        <v>9506</v>
      </c>
    </row>
    <row r="7" spans="1:6" x14ac:dyDescent="0.25">
      <c r="A7" s="8" t="s">
        <v>10894</v>
      </c>
      <c r="B7" s="8" t="s">
        <v>10895</v>
      </c>
      <c r="C7" t="s">
        <v>9506</v>
      </c>
    </row>
    <row r="8" spans="1:6" x14ac:dyDescent="0.25">
      <c r="A8" s="8" t="s">
        <v>10933</v>
      </c>
      <c r="B8" s="8" t="s">
        <v>9926</v>
      </c>
      <c r="C8" t="s">
        <v>9506</v>
      </c>
    </row>
    <row r="9" spans="1:6" x14ac:dyDescent="0.25">
      <c r="A9" s="8" t="s">
        <v>10946</v>
      </c>
      <c r="B9" s="8" t="s">
        <v>10919</v>
      </c>
      <c r="C9" t="s">
        <v>9506</v>
      </c>
    </row>
    <row r="10" spans="1:6" x14ac:dyDescent="0.25">
      <c r="A10" s="8" t="s">
        <v>10920</v>
      </c>
      <c r="B10" s="8" t="s">
        <v>9926</v>
      </c>
      <c r="C10" t="s">
        <v>9506</v>
      </c>
    </row>
    <row r="11" spans="1:6" x14ac:dyDescent="0.25">
      <c r="A11" s="8" t="s">
        <v>11054</v>
      </c>
      <c r="B11" s="8" t="s">
        <v>10919</v>
      </c>
      <c r="C11" s="767" t="s">
        <v>9506</v>
      </c>
    </row>
    <row r="12" spans="1:6" x14ac:dyDescent="0.25">
      <c r="A12" s="8" t="s">
        <v>10871</v>
      </c>
      <c r="B12" s="8" t="s">
        <v>10872</v>
      </c>
      <c r="C12" s="767" t="s">
        <v>9506</v>
      </c>
    </row>
    <row r="13" spans="1:6" x14ac:dyDescent="0.25">
      <c r="A13" s="8" t="s">
        <v>10918</v>
      </c>
      <c r="B13" s="8" t="s">
        <v>10919</v>
      </c>
      <c r="C13" s="767" t="s">
        <v>9506</v>
      </c>
    </row>
    <row r="14" spans="1:6" x14ac:dyDescent="0.25">
      <c r="A14" s="8" t="s">
        <v>10936</v>
      </c>
      <c r="B14" s="8" t="s">
        <v>10919</v>
      </c>
      <c r="C14" s="767" t="s">
        <v>9506</v>
      </c>
      <c r="E14" s="643"/>
    </row>
    <row r="15" spans="1:6" x14ac:dyDescent="0.25">
      <c r="A15" s="8" t="s">
        <v>10937</v>
      </c>
      <c r="B15" s="8" t="s">
        <v>10919</v>
      </c>
      <c r="C15" s="767" t="s">
        <v>9506</v>
      </c>
    </row>
    <row r="16" spans="1:6" x14ac:dyDescent="0.25">
      <c r="A16" s="8" t="s">
        <v>11213</v>
      </c>
      <c r="B16" s="8" t="s">
        <v>10900</v>
      </c>
      <c r="C16" s="767" t="s">
        <v>9506</v>
      </c>
    </row>
    <row r="17" spans="1:5" x14ac:dyDescent="0.25">
      <c r="A17" s="8" t="s">
        <v>11262</v>
      </c>
      <c r="B17" s="8" t="s">
        <v>11263</v>
      </c>
      <c r="C17" s="767" t="s">
        <v>9506</v>
      </c>
    </row>
    <row r="18" spans="1:5" x14ac:dyDescent="0.25">
      <c r="A18" s="8" t="s">
        <v>11052</v>
      </c>
      <c r="B18" s="8" t="s">
        <v>11053</v>
      </c>
      <c r="C18" s="767" t="s">
        <v>9506</v>
      </c>
    </row>
    <row r="19" spans="1:5" x14ac:dyDescent="0.25">
      <c r="A19" s="8" t="s">
        <v>10931</v>
      </c>
      <c r="B19" s="8" t="s">
        <v>10932</v>
      </c>
      <c r="C19" s="767" t="s">
        <v>9506</v>
      </c>
    </row>
    <row r="20" spans="1:5" x14ac:dyDescent="0.25">
      <c r="A20" s="8" t="s">
        <v>10908</v>
      </c>
      <c r="B20" s="8" t="s">
        <v>9926</v>
      </c>
      <c r="C20" s="767" t="s">
        <v>9506</v>
      </c>
      <c r="D20" s="767"/>
      <c r="E20" s="767"/>
    </row>
    <row r="21" spans="1:5" x14ac:dyDescent="0.25">
      <c r="A21" s="8" t="s">
        <v>10904</v>
      </c>
      <c r="B21" s="8" t="s">
        <v>9704</v>
      </c>
      <c r="C21" t="s">
        <v>9506</v>
      </c>
    </row>
    <row r="22" spans="1:5" x14ac:dyDescent="0.25">
      <c r="A22" s="217" t="s">
        <v>10845</v>
      </c>
      <c r="B22" s="8" t="s">
        <v>9704</v>
      </c>
      <c r="C22" t="s">
        <v>9506</v>
      </c>
    </row>
    <row r="23" spans="1:5" x14ac:dyDescent="0.25">
      <c r="A23" s="217" t="s">
        <v>10846</v>
      </c>
      <c r="B23" s="8" t="s">
        <v>9704</v>
      </c>
      <c r="C23" t="s">
        <v>9506</v>
      </c>
    </row>
    <row r="24" spans="1:5" x14ac:dyDescent="0.25">
      <c r="A24" s="217" t="s">
        <v>10847</v>
      </c>
      <c r="B24" s="8" t="s">
        <v>9704</v>
      </c>
      <c r="C24" t="s">
        <v>9506</v>
      </c>
    </row>
    <row r="25" spans="1:5" x14ac:dyDescent="0.25">
      <c r="A25" s="217" t="s">
        <v>10860</v>
      </c>
      <c r="B25" s="8" t="s">
        <v>10861</v>
      </c>
      <c r="C25" t="s">
        <v>9506</v>
      </c>
    </row>
    <row r="26" spans="1:5" x14ac:dyDescent="0.25">
      <c r="A26" s="217" t="s">
        <v>10835</v>
      </c>
      <c r="B26" s="8" t="s">
        <v>10836</v>
      </c>
      <c r="C26" t="s">
        <v>9506</v>
      </c>
    </row>
    <row r="27" spans="1:5" x14ac:dyDescent="0.25">
      <c r="A27" s="217" t="s">
        <v>11074</v>
      </c>
      <c r="B27" s="8" t="s">
        <v>11075</v>
      </c>
      <c r="C27" t="s">
        <v>9506</v>
      </c>
    </row>
    <row r="28" spans="1:5" x14ac:dyDescent="0.25">
      <c r="A28" s="217" t="s">
        <v>11092</v>
      </c>
      <c r="B28" s="8" t="s">
        <v>9926</v>
      </c>
      <c r="C28" t="s">
        <v>9506</v>
      </c>
    </row>
    <row r="29" spans="1:5" x14ac:dyDescent="0.25">
      <c r="A29" s="217" t="s">
        <v>10902</v>
      </c>
      <c r="B29" s="8" t="s">
        <v>10903</v>
      </c>
      <c r="C29" t="s">
        <v>9506</v>
      </c>
    </row>
    <row r="30" spans="1:5" x14ac:dyDescent="0.25">
      <c r="A30" s="217" t="s">
        <v>11086</v>
      </c>
      <c r="B30" s="8" t="s">
        <v>11087</v>
      </c>
      <c r="C30" t="s">
        <v>9506</v>
      </c>
    </row>
    <row r="31" spans="1:5" x14ac:dyDescent="0.25">
      <c r="A31" s="217" t="s">
        <v>11220</v>
      </c>
      <c r="B31" s="8" t="s">
        <v>11221</v>
      </c>
      <c r="C31" t="s">
        <v>9506</v>
      </c>
    </row>
    <row r="32" spans="1:5" x14ac:dyDescent="0.25">
      <c r="A32" s="217" t="s">
        <v>10833</v>
      </c>
      <c r="B32" s="8" t="s">
        <v>10834</v>
      </c>
      <c r="C32" t="s">
        <v>9506</v>
      </c>
    </row>
    <row r="33" spans="1:3" x14ac:dyDescent="0.25">
      <c r="A33" s="217" t="s">
        <v>10939</v>
      </c>
      <c r="B33" s="8" t="s">
        <v>9885</v>
      </c>
      <c r="C33" t="s">
        <v>9506</v>
      </c>
    </row>
    <row r="34" spans="1:3" x14ac:dyDescent="0.25">
      <c r="A34" s="217" t="s">
        <v>10911</v>
      </c>
      <c r="B34" s="8" t="s">
        <v>10912</v>
      </c>
      <c r="C34" t="s">
        <v>9506</v>
      </c>
    </row>
    <row r="35" spans="1:3" x14ac:dyDescent="0.25">
      <c r="A35" s="217" t="s">
        <v>10876</v>
      </c>
      <c r="B35" s="8" t="s">
        <v>10877</v>
      </c>
      <c r="C35" t="s">
        <v>9506</v>
      </c>
    </row>
    <row r="36" spans="1:3" x14ac:dyDescent="0.25">
      <c r="A36" s="217" t="s">
        <v>11073</v>
      </c>
      <c r="B36" s="8" t="s">
        <v>10900</v>
      </c>
      <c r="C36" t="s">
        <v>9506</v>
      </c>
    </row>
    <row r="37" spans="1:3" x14ac:dyDescent="0.25">
      <c r="A37" s="217" t="s">
        <v>11051</v>
      </c>
      <c r="B37" s="8" t="s">
        <v>9926</v>
      </c>
      <c r="C37" t="s">
        <v>9506</v>
      </c>
    </row>
    <row r="38" spans="1:3" x14ac:dyDescent="0.25">
      <c r="A38" s="217" t="s">
        <v>11049</v>
      </c>
      <c r="B38" s="8" t="s">
        <v>11050</v>
      </c>
      <c r="C38" t="s">
        <v>9506</v>
      </c>
    </row>
    <row r="39" spans="1:3" x14ac:dyDescent="0.25">
      <c r="A39" s="217" t="s">
        <v>10863</v>
      </c>
      <c r="B39" s="8" t="s">
        <v>10854</v>
      </c>
      <c r="C39" t="s">
        <v>9506</v>
      </c>
    </row>
    <row r="40" spans="1:3" x14ac:dyDescent="0.25">
      <c r="A40" s="217" t="s">
        <v>11233</v>
      </c>
      <c r="B40" s="8" t="s">
        <v>9926</v>
      </c>
      <c r="C40" t="s">
        <v>9506</v>
      </c>
    </row>
    <row r="41" spans="1:3" x14ac:dyDescent="0.25">
      <c r="A41" s="217" t="s">
        <v>11232</v>
      </c>
      <c r="B41" s="8" t="s">
        <v>9926</v>
      </c>
      <c r="C41" t="s">
        <v>9506</v>
      </c>
    </row>
    <row r="42" spans="1:3" x14ac:dyDescent="0.25">
      <c r="A42" s="217" t="s">
        <v>11095</v>
      </c>
      <c r="B42" s="8" t="s">
        <v>11096</v>
      </c>
      <c r="C42" t="s">
        <v>9506</v>
      </c>
    </row>
    <row r="43" spans="1:3" x14ac:dyDescent="0.25">
      <c r="A43" s="217" t="s">
        <v>11228</v>
      </c>
      <c r="B43" s="8" t="s">
        <v>9926</v>
      </c>
      <c r="C43" t="s">
        <v>9506</v>
      </c>
    </row>
    <row r="44" spans="1:3" x14ac:dyDescent="0.25">
      <c r="A44" s="217" t="s">
        <v>10853</v>
      </c>
      <c r="B44" s="8" t="s">
        <v>10854</v>
      </c>
      <c r="C44" t="s">
        <v>9506</v>
      </c>
    </row>
    <row r="45" spans="1:3" x14ac:dyDescent="0.25">
      <c r="A45" s="217" t="s">
        <v>11259</v>
      </c>
      <c r="B45" s="8" t="s">
        <v>11260</v>
      </c>
      <c r="C45" t="s">
        <v>9506</v>
      </c>
    </row>
    <row r="46" spans="1:3" x14ac:dyDescent="0.25">
      <c r="A46" s="217" t="s">
        <v>10929</v>
      </c>
      <c r="B46" s="8" t="s">
        <v>9926</v>
      </c>
      <c r="C46" t="s">
        <v>9506</v>
      </c>
    </row>
    <row r="47" spans="1:3" x14ac:dyDescent="0.25">
      <c r="A47" s="217" t="s">
        <v>10897</v>
      </c>
      <c r="B47" s="8" t="s">
        <v>10898</v>
      </c>
      <c r="C47" t="s">
        <v>9506</v>
      </c>
    </row>
    <row r="48" spans="1:3" x14ac:dyDescent="0.25">
      <c r="A48" s="217" t="s">
        <v>10856</v>
      </c>
      <c r="B48" s="8" t="s">
        <v>9926</v>
      </c>
      <c r="C48" t="s">
        <v>9506</v>
      </c>
    </row>
    <row r="49" spans="1:3" x14ac:dyDescent="0.25">
      <c r="A49" s="217" t="s">
        <v>10866</v>
      </c>
      <c r="B49" s="8" t="s">
        <v>9926</v>
      </c>
      <c r="C49" t="s">
        <v>9506</v>
      </c>
    </row>
    <row r="50" spans="1:3" x14ac:dyDescent="0.25">
      <c r="A50" s="217" t="s">
        <v>10855</v>
      </c>
      <c r="B50" s="8" t="s">
        <v>9926</v>
      </c>
      <c r="C50" t="s">
        <v>9506</v>
      </c>
    </row>
    <row r="51" spans="1:3" x14ac:dyDescent="0.25">
      <c r="A51" s="217" t="s">
        <v>11227</v>
      </c>
      <c r="B51" s="8" t="s">
        <v>9926</v>
      </c>
      <c r="C51" t="s">
        <v>9506</v>
      </c>
    </row>
    <row r="52" spans="1:3" x14ac:dyDescent="0.25">
      <c r="A52" s="217" t="s">
        <v>11258</v>
      </c>
      <c r="B52" s="8" t="s">
        <v>9926</v>
      </c>
      <c r="C52" t="s">
        <v>9506</v>
      </c>
    </row>
    <row r="53" spans="1:3" x14ac:dyDescent="0.25">
      <c r="A53" s="217" t="s">
        <v>11266</v>
      </c>
      <c r="B53" s="8" t="s">
        <v>9926</v>
      </c>
      <c r="C53" t="s">
        <v>9506</v>
      </c>
    </row>
    <row r="54" spans="1:3" x14ac:dyDescent="0.25">
      <c r="A54" s="217" t="s">
        <v>10949</v>
      </c>
      <c r="B54" s="8" t="s">
        <v>9926</v>
      </c>
      <c r="C54" t="s">
        <v>9506</v>
      </c>
    </row>
    <row r="55" spans="1:3" x14ac:dyDescent="0.25">
      <c r="A55" s="217" t="s">
        <v>10943</v>
      </c>
      <c r="B55" s="8" t="s">
        <v>9887</v>
      </c>
      <c r="C55" t="s">
        <v>9506</v>
      </c>
    </row>
    <row r="56" spans="1:3" x14ac:dyDescent="0.25">
      <c r="A56" s="8" t="s">
        <v>10942</v>
      </c>
      <c r="B56" s="8" t="s">
        <v>9709</v>
      </c>
      <c r="C56" t="s">
        <v>9506</v>
      </c>
    </row>
    <row r="57" spans="1:3" x14ac:dyDescent="0.25">
      <c r="A57" s="217" t="s">
        <v>10899</v>
      </c>
      <c r="B57" s="8" t="s">
        <v>10900</v>
      </c>
      <c r="C57" t="s">
        <v>9506</v>
      </c>
    </row>
    <row r="58" spans="1:3" x14ac:dyDescent="0.25">
      <c r="A58" s="217" t="s">
        <v>10928</v>
      </c>
      <c r="B58" s="8" t="s">
        <v>9887</v>
      </c>
      <c r="C58" t="s">
        <v>9506</v>
      </c>
    </row>
    <row r="59" spans="1:3" x14ac:dyDescent="0.25">
      <c r="A59" s="8" t="s">
        <v>11064</v>
      </c>
      <c r="B59" s="8" t="s">
        <v>11065</v>
      </c>
      <c r="C59" t="s">
        <v>9506</v>
      </c>
    </row>
    <row r="60" spans="1:3" x14ac:dyDescent="0.25">
      <c r="A60" s="8" t="s">
        <v>11062</v>
      </c>
      <c r="B60" s="8" t="s">
        <v>11063</v>
      </c>
      <c r="C60" t="s">
        <v>9506</v>
      </c>
    </row>
    <row r="61" spans="1:3" x14ac:dyDescent="0.25">
      <c r="A61" s="8" t="s">
        <v>11068</v>
      </c>
      <c r="B61" s="8" t="s">
        <v>9710</v>
      </c>
      <c r="C61" t="s">
        <v>9506</v>
      </c>
    </row>
    <row r="62" spans="1:3" x14ac:dyDescent="0.25">
      <c r="A62" s="8" t="s">
        <v>10916</v>
      </c>
      <c r="B62" s="8" t="s">
        <v>9704</v>
      </c>
      <c r="C62" t="s">
        <v>9506</v>
      </c>
    </row>
    <row r="63" spans="1:3" x14ac:dyDescent="0.25">
      <c r="A63" s="8" t="s">
        <v>10940</v>
      </c>
      <c r="B63" s="8" t="s">
        <v>9709</v>
      </c>
      <c r="C63" t="s">
        <v>9506</v>
      </c>
    </row>
    <row r="64" spans="1:3" x14ac:dyDescent="0.25">
      <c r="A64" s="8" t="s">
        <v>10941</v>
      </c>
      <c r="B64" s="8" t="s">
        <v>9709</v>
      </c>
      <c r="C64" t="s">
        <v>9506</v>
      </c>
    </row>
    <row r="65" spans="1:3" x14ac:dyDescent="0.25">
      <c r="A65" s="8" t="s">
        <v>10883</v>
      </c>
      <c r="B65" s="8" t="s">
        <v>9926</v>
      </c>
      <c r="C65" t="s">
        <v>9506</v>
      </c>
    </row>
    <row r="66" spans="1:3" x14ac:dyDescent="0.25">
      <c r="A66" s="8" t="s">
        <v>10851</v>
      </c>
      <c r="B66" s="8" t="s">
        <v>10852</v>
      </c>
      <c r="C66" t="s">
        <v>9506</v>
      </c>
    </row>
    <row r="67" spans="1:3" x14ac:dyDescent="0.25">
      <c r="A67" s="8" t="s">
        <v>10880</v>
      </c>
      <c r="B67" s="8" t="s">
        <v>10865</v>
      </c>
      <c r="C67" t="s">
        <v>9506</v>
      </c>
    </row>
    <row r="68" spans="1:3" x14ac:dyDescent="0.25">
      <c r="A68" s="8" t="s">
        <v>10878</v>
      </c>
      <c r="B68" s="8" t="s">
        <v>10879</v>
      </c>
      <c r="C68" t="s">
        <v>9506</v>
      </c>
    </row>
    <row r="69" spans="1:3" x14ac:dyDescent="0.25">
      <c r="A69" s="8" t="s">
        <v>11100</v>
      </c>
      <c r="B69" s="8" t="s">
        <v>11101</v>
      </c>
      <c r="C69" t="s">
        <v>9506</v>
      </c>
    </row>
    <row r="70" spans="1:3" x14ac:dyDescent="0.25">
      <c r="A70" s="8" t="s">
        <v>10869</v>
      </c>
      <c r="B70" s="8" t="s">
        <v>10870</v>
      </c>
      <c r="C70" t="s">
        <v>9506</v>
      </c>
    </row>
    <row r="71" spans="1:3" x14ac:dyDescent="0.25">
      <c r="A71" s="8" t="s">
        <v>10955</v>
      </c>
      <c r="B71" s="8" t="s">
        <v>10956</v>
      </c>
      <c r="C71" t="s">
        <v>9506</v>
      </c>
    </row>
    <row r="72" spans="1:3" x14ac:dyDescent="0.25">
      <c r="A72" s="8" t="s">
        <v>11002</v>
      </c>
      <c r="B72" s="8" t="s">
        <v>11003</v>
      </c>
      <c r="C72" t="s">
        <v>9506</v>
      </c>
    </row>
    <row r="73" spans="1:3" x14ac:dyDescent="0.25">
      <c r="A73" s="8" t="s">
        <v>11044</v>
      </c>
      <c r="B73" s="8" t="s">
        <v>11045</v>
      </c>
      <c r="C73" t="s">
        <v>9506</v>
      </c>
    </row>
    <row r="74" spans="1:3" x14ac:dyDescent="0.25">
      <c r="A74" s="8" t="s">
        <v>10839</v>
      </c>
      <c r="B74" s="8" t="s">
        <v>2167</v>
      </c>
      <c r="C74" t="s">
        <v>9506</v>
      </c>
    </row>
    <row r="75" spans="1:3" x14ac:dyDescent="0.25">
      <c r="A75" s="8" t="s">
        <v>10868</v>
      </c>
      <c r="B75" s="8" t="s">
        <v>2167</v>
      </c>
      <c r="C75" t="s">
        <v>9506</v>
      </c>
    </row>
    <row r="76" spans="1:3" x14ac:dyDescent="0.25">
      <c r="A76" s="8" t="s">
        <v>10850</v>
      </c>
      <c r="B76" s="8" t="s">
        <v>9709</v>
      </c>
      <c r="C76" t="s">
        <v>9506</v>
      </c>
    </row>
    <row r="77" spans="1:3" x14ac:dyDescent="0.25">
      <c r="A77" s="8" t="s">
        <v>10840</v>
      </c>
      <c r="B77" s="8" t="s">
        <v>10841</v>
      </c>
      <c r="C77" t="s">
        <v>9506</v>
      </c>
    </row>
    <row r="78" spans="1:3" x14ac:dyDescent="0.25">
      <c r="A78" s="217" t="s">
        <v>11046</v>
      </c>
      <c r="B78" s="8" t="s">
        <v>9707</v>
      </c>
      <c r="C78" t="s">
        <v>9506</v>
      </c>
    </row>
    <row r="79" spans="1:3" x14ac:dyDescent="0.25">
      <c r="A79" s="8" t="s">
        <v>11237</v>
      </c>
      <c r="B79" s="8" t="s">
        <v>9704</v>
      </c>
      <c r="C79" t="s">
        <v>9506</v>
      </c>
    </row>
    <row r="80" spans="1:3" x14ac:dyDescent="0.25">
      <c r="A80" s="8" t="s">
        <v>11222</v>
      </c>
      <c r="B80" s="8" t="s">
        <v>11223</v>
      </c>
      <c r="C80" t="s">
        <v>9506</v>
      </c>
    </row>
    <row r="81" spans="1:3" x14ac:dyDescent="0.25">
      <c r="A81" s="217" t="s">
        <v>10837</v>
      </c>
      <c r="B81" s="8" t="s">
        <v>10838</v>
      </c>
      <c r="C81" t="s">
        <v>9506</v>
      </c>
    </row>
    <row r="82" spans="1:3" x14ac:dyDescent="0.25">
      <c r="A82" s="8" t="s">
        <v>11224</v>
      </c>
      <c r="B82" s="8" t="s">
        <v>9704</v>
      </c>
      <c r="C82" t="s">
        <v>9506</v>
      </c>
    </row>
    <row r="83" spans="1:3" x14ac:dyDescent="0.25">
      <c r="A83" s="217" t="s">
        <v>11235</v>
      </c>
      <c r="B83" s="8" t="s">
        <v>11236</v>
      </c>
      <c r="C83" t="s">
        <v>9506</v>
      </c>
    </row>
    <row r="84" spans="1:3" x14ac:dyDescent="0.25">
      <c r="A84" s="8" t="s">
        <v>10867</v>
      </c>
      <c r="B84" s="8" t="s">
        <v>9704</v>
      </c>
      <c r="C84" t="s">
        <v>9506</v>
      </c>
    </row>
    <row r="85" spans="1:3" x14ac:dyDescent="0.25">
      <c r="A85" s="217" t="s">
        <v>10901</v>
      </c>
      <c r="B85" s="8" t="s">
        <v>9709</v>
      </c>
      <c r="C85" t="s">
        <v>9506</v>
      </c>
    </row>
    <row r="86" spans="1:3" x14ac:dyDescent="0.25">
      <c r="A86" s="217" t="s">
        <v>10844</v>
      </c>
      <c r="B86" s="8" t="s">
        <v>9709</v>
      </c>
      <c r="C86" t="s">
        <v>9506</v>
      </c>
    </row>
    <row r="87" spans="1:3" x14ac:dyDescent="0.25">
      <c r="A87" s="217" t="s">
        <v>10848</v>
      </c>
      <c r="B87" s="8" t="s">
        <v>10849</v>
      </c>
      <c r="C87" t="s">
        <v>9506</v>
      </c>
    </row>
    <row r="88" spans="1:3" x14ac:dyDescent="0.25">
      <c r="A88" s="217" t="s">
        <v>10896</v>
      </c>
      <c r="B88" s="8" t="s">
        <v>9705</v>
      </c>
      <c r="C88" t="s">
        <v>9506</v>
      </c>
    </row>
    <row r="89" spans="1:3" x14ac:dyDescent="0.25">
      <c r="A89" s="217" t="s">
        <v>10843</v>
      </c>
      <c r="B89" s="8" t="s">
        <v>9323</v>
      </c>
      <c r="C89" t="s">
        <v>9506</v>
      </c>
    </row>
    <row r="90" spans="1:3" x14ac:dyDescent="0.25">
      <c r="A90" s="217" t="s">
        <v>10944</v>
      </c>
      <c r="B90" s="8" t="s">
        <v>10945</v>
      </c>
      <c r="C90" t="s">
        <v>9506</v>
      </c>
    </row>
    <row r="91" spans="1:3" x14ac:dyDescent="0.25">
      <c r="A91" s="217" t="s">
        <v>10884</v>
      </c>
      <c r="B91" s="8" t="s">
        <v>9884</v>
      </c>
      <c r="C91" t="s">
        <v>9506</v>
      </c>
    </row>
    <row r="92" spans="1:3" x14ac:dyDescent="0.25">
      <c r="A92" s="8" t="s">
        <v>11215</v>
      </c>
      <c r="B92" s="8" t="s">
        <v>11216</v>
      </c>
      <c r="C92" t="s">
        <v>9506</v>
      </c>
    </row>
    <row r="93" spans="1:3" x14ac:dyDescent="0.25">
      <c r="A93" s="217" t="s">
        <v>11102</v>
      </c>
      <c r="B93" s="8" t="s">
        <v>11103</v>
      </c>
      <c r="C93" t="s">
        <v>9506</v>
      </c>
    </row>
    <row r="94" spans="1:3" x14ac:dyDescent="0.25">
      <c r="A94" s="217" t="s">
        <v>11088</v>
      </c>
      <c r="B94" s="8" t="s">
        <v>11089</v>
      </c>
      <c r="C94" t="s">
        <v>9506</v>
      </c>
    </row>
    <row r="95" spans="1:3" x14ac:dyDescent="0.25">
      <c r="A95" s="217" t="s">
        <v>11090</v>
      </c>
      <c r="B95" s="8" t="s">
        <v>11091</v>
      </c>
      <c r="C95" t="s">
        <v>9506</v>
      </c>
    </row>
    <row r="96" spans="1:3" x14ac:dyDescent="0.25">
      <c r="A96" s="217" t="s">
        <v>11084</v>
      </c>
      <c r="B96" s="8" t="s">
        <v>11085</v>
      </c>
      <c r="C96" t="s">
        <v>9506</v>
      </c>
    </row>
    <row r="97" spans="1:5" x14ac:dyDescent="0.25">
      <c r="A97" s="217" t="s">
        <v>11264</v>
      </c>
      <c r="B97" s="8" t="s">
        <v>11031</v>
      </c>
      <c r="C97" t="s">
        <v>9506</v>
      </c>
    </row>
    <row r="98" spans="1:5" x14ac:dyDescent="0.25">
      <c r="A98" s="56" t="s">
        <v>11257</v>
      </c>
      <c r="B98" s="8" t="s">
        <v>9885</v>
      </c>
      <c r="C98" t="s">
        <v>9506</v>
      </c>
      <c r="E98" t="s">
        <v>625</v>
      </c>
    </row>
    <row r="99" spans="1:5" x14ac:dyDescent="0.25">
      <c r="A99" s="217" t="s">
        <v>11261</v>
      </c>
      <c r="B99" s="8" t="s">
        <v>10890</v>
      </c>
      <c r="C99" t="s">
        <v>9506</v>
      </c>
    </row>
    <row r="100" spans="1:5" x14ac:dyDescent="0.25">
      <c r="A100" s="217" t="s">
        <v>10954</v>
      </c>
      <c r="B100" s="8" t="s">
        <v>10879</v>
      </c>
      <c r="C100" t="s">
        <v>9506</v>
      </c>
    </row>
    <row r="101" spans="1:5" x14ac:dyDescent="0.25">
      <c r="A101" s="217" t="s">
        <v>11229</v>
      </c>
      <c r="B101" s="8" t="s">
        <v>11230</v>
      </c>
      <c r="C101" t="s">
        <v>9506</v>
      </c>
    </row>
    <row r="102" spans="1:5" x14ac:dyDescent="0.25">
      <c r="A102" s="217" t="s">
        <v>11061</v>
      </c>
      <c r="B102" s="8" t="s">
        <v>10900</v>
      </c>
      <c r="C102" t="s">
        <v>9506</v>
      </c>
    </row>
    <row r="103" spans="1:5" x14ac:dyDescent="0.25">
      <c r="A103" s="8" t="s">
        <v>11080</v>
      </c>
      <c r="B103" s="8" t="s">
        <v>11081</v>
      </c>
      <c r="C103" t="s">
        <v>9506</v>
      </c>
    </row>
    <row r="104" spans="1:5" x14ac:dyDescent="0.25">
      <c r="A104" s="217" t="s">
        <v>11030</v>
      </c>
      <c r="B104" s="8" t="s">
        <v>11031</v>
      </c>
      <c r="C104" t="s">
        <v>9506</v>
      </c>
    </row>
    <row r="105" spans="1:5" x14ac:dyDescent="0.25">
      <c r="A105" s="217" t="s">
        <v>11214</v>
      </c>
      <c r="B105" s="8" t="s">
        <v>10890</v>
      </c>
      <c r="C105" t="s">
        <v>9506</v>
      </c>
    </row>
    <row r="106" spans="1:5" x14ac:dyDescent="0.25">
      <c r="A106" s="217" t="s">
        <v>11012</v>
      </c>
      <c r="B106" s="8" t="s">
        <v>11013</v>
      </c>
      <c r="C106" t="s">
        <v>9506</v>
      </c>
    </row>
    <row r="107" spans="1:5" x14ac:dyDescent="0.25">
      <c r="A107" s="217" t="s">
        <v>11026</v>
      </c>
      <c r="B107" s="8" t="s">
        <v>11027</v>
      </c>
      <c r="C107" t="s">
        <v>9506</v>
      </c>
    </row>
    <row r="108" spans="1:5" x14ac:dyDescent="0.25">
      <c r="A108" s="217" t="s">
        <v>11028</v>
      </c>
      <c r="B108" s="8" t="s">
        <v>11029</v>
      </c>
      <c r="C108" t="s">
        <v>9506</v>
      </c>
    </row>
    <row r="109" spans="1:5" x14ac:dyDescent="0.25">
      <c r="A109" s="217" t="s">
        <v>11217</v>
      </c>
      <c r="B109" s="8" t="s">
        <v>11218</v>
      </c>
      <c r="C109" t="s">
        <v>9506</v>
      </c>
    </row>
    <row r="110" spans="1:5" x14ac:dyDescent="0.25">
      <c r="A110" s="217" t="s">
        <v>10864</v>
      </c>
      <c r="B110" s="8" t="s">
        <v>10865</v>
      </c>
      <c r="C110" t="s">
        <v>9506</v>
      </c>
    </row>
    <row r="111" spans="1:5" x14ac:dyDescent="0.25">
      <c r="A111" s="217" t="s">
        <v>11082</v>
      </c>
      <c r="B111" s="8" t="s">
        <v>9709</v>
      </c>
      <c r="C111" t="s">
        <v>9506</v>
      </c>
    </row>
    <row r="112" spans="1:5" x14ac:dyDescent="0.25">
      <c r="A112" s="217" t="s">
        <v>11094</v>
      </c>
      <c r="B112" s="8" t="s">
        <v>9709</v>
      </c>
      <c r="C112" t="s">
        <v>9506</v>
      </c>
    </row>
    <row r="113" spans="1:3" x14ac:dyDescent="0.25">
      <c r="A113" s="217" t="s">
        <v>11251</v>
      </c>
      <c r="B113" s="8" t="s">
        <v>9885</v>
      </c>
      <c r="C113" t="s">
        <v>9506</v>
      </c>
    </row>
    <row r="114" spans="1:3" x14ac:dyDescent="0.25">
      <c r="A114" s="217" t="s">
        <v>11083</v>
      </c>
      <c r="B114" s="8" t="s">
        <v>9885</v>
      </c>
      <c r="C114" t="s">
        <v>9506</v>
      </c>
    </row>
    <row r="115" spans="1:3" x14ac:dyDescent="0.25">
      <c r="A115" s="217" t="s">
        <v>11234</v>
      </c>
      <c r="B115" s="8" t="s">
        <v>9885</v>
      </c>
      <c r="C115" t="s">
        <v>9506</v>
      </c>
    </row>
    <row r="116" spans="1:3" x14ac:dyDescent="0.25">
      <c r="A116" s="217" t="s">
        <v>10924</v>
      </c>
      <c r="B116" s="8" t="s">
        <v>10872</v>
      </c>
      <c r="C116" t="s">
        <v>9506</v>
      </c>
    </row>
    <row r="117" spans="1:3" x14ac:dyDescent="0.25">
      <c r="A117" s="8" t="s">
        <v>10906</v>
      </c>
      <c r="B117" s="8" t="s">
        <v>9926</v>
      </c>
      <c r="C117" t="s">
        <v>9506</v>
      </c>
    </row>
    <row r="118" spans="1:3" x14ac:dyDescent="0.25">
      <c r="A118" s="8" t="s">
        <v>10935</v>
      </c>
      <c r="B118" s="8" t="s">
        <v>9926</v>
      </c>
      <c r="C118" t="s">
        <v>9506</v>
      </c>
    </row>
    <row r="119" spans="1:3" x14ac:dyDescent="0.25">
      <c r="A119" s="8" t="s">
        <v>10930</v>
      </c>
      <c r="B119" s="8" t="s">
        <v>9926</v>
      </c>
      <c r="C119" t="s">
        <v>9506</v>
      </c>
    </row>
    <row r="120" spans="1:3" x14ac:dyDescent="0.25">
      <c r="A120" s="8" t="s">
        <v>11066</v>
      </c>
      <c r="B120" s="8" t="s">
        <v>9885</v>
      </c>
      <c r="C120" t="s">
        <v>9506</v>
      </c>
    </row>
    <row r="121" spans="1:3" x14ac:dyDescent="0.25">
      <c r="A121" s="8" t="s">
        <v>11067</v>
      </c>
      <c r="B121" s="8" t="s">
        <v>9710</v>
      </c>
      <c r="C121" t="s">
        <v>9506</v>
      </c>
    </row>
    <row r="122" spans="1:3" x14ac:dyDescent="0.25">
      <c r="A122" s="8" t="s">
        <v>10961</v>
      </c>
      <c r="B122" s="8" t="s">
        <v>10962</v>
      </c>
      <c r="C122" t="s">
        <v>9506</v>
      </c>
    </row>
    <row r="123" spans="1:3" x14ac:dyDescent="0.25">
      <c r="A123" s="8" t="s">
        <v>11069</v>
      </c>
      <c r="B123" s="8" t="s">
        <v>9926</v>
      </c>
      <c r="C123" t="s">
        <v>9506</v>
      </c>
    </row>
    <row r="124" spans="1:3" x14ac:dyDescent="0.25">
      <c r="A124" s="8" t="s">
        <v>10959</v>
      </c>
      <c r="B124" s="8" t="s">
        <v>10960</v>
      </c>
      <c r="C124" t="s">
        <v>9506</v>
      </c>
    </row>
    <row r="125" spans="1:3" x14ac:dyDescent="0.25">
      <c r="A125" s="8" t="s">
        <v>10938</v>
      </c>
      <c r="B125" s="8" t="s">
        <v>9323</v>
      </c>
      <c r="C125" t="s">
        <v>9506</v>
      </c>
    </row>
    <row r="126" spans="1:3" x14ac:dyDescent="0.25">
      <c r="A126" s="8" t="s">
        <v>10859</v>
      </c>
      <c r="B126" s="8" t="s">
        <v>9704</v>
      </c>
      <c r="C126" t="s">
        <v>9506</v>
      </c>
    </row>
    <row r="127" spans="1:3" x14ac:dyDescent="0.25">
      <c r="A127" s="8" t="s">
        <v>10917</v>
      </c>
      <c r="B127" s="8" t="s">
        <v>9704</v>
      </c>
      <c r="C127" t="s">
        <v>9506</v>
      </c>
    </row>
    <row r="128" spans="1:3" x14ac:dyDescent="0.25">
      <c r="A128" s="8" t="s">
        <v>10862</v>
      </c>
      <c r="B128" s="8" t="s">
        <v>9709</v>
      </c>
      <c r="C128" t="s">
        <v>9506</v>
      </c>
    </row>
    <row r="129" spans="1:3" x14ac:dyDescent="0.25">
      <c r="A129" s="8" t="s">
        <v>10914</v>
      </c>
      <c r="B129" s="8" t="s">
        <v>9926</v>
      </c>
      <c r="C129" t="s">
        <v>9506</v>
      </c>
    </row>
    <row r="130" spans="1:3" x14ac:dyDescent="0.25">
      <c r="A130" s="8" t="s">
        <v>10842</v>
      </c>
      <c r="B130" s="8" t="s">
        <v>2507</v>
      </c>
      <c r="C130" t="s">
        <v>9506</v>
      </c>
    </row>
    <row r="131" spans="1:3" x14ac:dyDescent="0.25">
      <c r="A131" s="8" t="s">
        <v>10881</v>
      </c>
      <c r="B131" s="8" t="s">
        <v>10882</v>
      </c>
      <c r="C131" t="s">
        <v>9506</v>
      </c>
    </row>
    <row r="132" spans="1:3" x14ac:dyDescent="0.25">
      <c r="A132" s="8" t="s">
        <v>11059</v>
      </c>
      <c r="B132" s="8" t="s">
        <v>11060</v>
      </c>
      <c r="C132" t="s">
        <v>9506</v>
      </c>
    </row>
    <row r="133" spans="1:3" x14ac:dyDescent="0.25">
      <c r="A133" s="8" t="s">
        <v>10909</v>
      </c>
      <c r="B133" s="8" t="s">
        <v>10910</v>
      </c>
      <c r="C133" t="s">
        <v>9506</v>
      </c>
    </row>
    <row r="134" spans="1:3" x14ac:dyDescent="0.25">
      <c r="A134" s="8" t="s">
        <v>11265</v>
      </c>
      <c r="B134" s="8" t="s">
        <v>10875</v>
      </c>
      <c r="C134" t="s">
        <v>9506</v>
      </c>
    </row>
    <row r="135" spans="1:3" x14ac:dyDescent="0.25">
      <c r="A135" s="8" t="s">
        <v>10923</v>
      </c>
      <c r="B135" s="8" t="s">
        <v>9925</v>
      </c>
      <c r="C135" t="s">
        <v>9506</v>
      </c>
    </row>
    <row r="136" spans="1:3" x14ac:dyDescent="0.25">
      <c r="A136" s="8" t="s">
        <v>10889</v>
      </c>
      <c r="B136" s="8" t="s">
        <v>10890</v>
      </c>
      <c r="C136" t="s">
        <v>9506</v>
      </c>
    </row>
    <row r="137" spans="1:3" x14ac:dyDescent="0.25">
      <c r="A137" s="8" t="s">
        <v>10913</v>
      </c>
      <c r="B137" s="8" t="s">
        <v>9926</v>
      </c>
      <c r="C137" t="s">
        <v>9506</v>
      </c>
    </row>
    <row r="138" spans="1:3" x14ac:dyDescent="0.25">
      <c r="A138" s="8" t="s">
        <v>10857</v>
      </c>
      <c r="B138" s="8" t="s">
        <v>9926</v>
      </c>
      <c r="C138" t="s">
        <v>9506</v>
      </c>
    </row>
    <row r="139" spans="1:3" x14ac:dyDescent="0.25">
      <c r="A139" s="8" t="s">
        <v>10858</v>
      </c>
      <c r="B139" s="8" t="s">
        <v>9926</v>
      </c>
      <c r="C139" t="s">
        <v>9506</v>
      </c>
    </row>
    <row r="140" spans="1:3" x14ac:dyDescent="0.25">
      <c r="A140" s="8" t="s">
        <v>10907</v>
      </c>
      <c r="B140" s="8" t="s">
        <v>9926</v>
      </c>
      <c r="C140" t="s">
        <v>9506</v>
      </c>
    </row>
    <row r="141" spans="1:3" x14ac:dyDescent="0.25">
      <c r="A141" s="8" t="s">
        <v>11219</v>
      </c>
      <c r="B141" s="8" t="s">
        <v>9926</v>
      </c>
      <c r="C141" t="s">
        <v>9506</v>
      </c>
    </row>
    <row r="142" spans="1:3" x14ac:dyDescent="0.25">
      <c r="A142" s="8" t="s">
        <v>10947</v>
      </c>
      <c r="B142" s="8" t="s">
        <v>9926</v>
      </c>
      <c r="C142" t="s">
        <v>9506</v>
      </c>
    </row>
    <row r="143" spans="1:3" x14ac:dyDescent="0.25">
      <c r="A143" s="8" t="s">
        <v>10948</v>
      </c>
      <c r="B143" s="8" t="s">
        <v>9926</v>
      </c>
      <c r="C143" t="s">
        <v>9506</v>
      </c>
    </row>
    <row r="144" spans="1:3" x14ac:dyDescent="0.25">
      <c r="A144" s="8" t="s">
        <v>10905</v>
      </c>
      <c r="B144" s="8" t="s">
        <v>9926</v>
      </c>
      <c r="C144" t="s">
        <v>9506</v>
      </c>
    </row>
    <row r="145" spans="1:3" x14ac:dyDescent="0.25">
      <c r="A145" s="8" t="s">
        <v>10934</v>
      </c>
      <c r="B145" s="8" t="s">
        <v>9926</v>
      </c>
      <c r="C145" t="s">
        <v>9506</v>
      </c>
    </row>
    <row r="146" spans="1:3" x14ac:dyDescent="0.25">
      <c r="A146" s="8" t="s">
        <v>10873</v>
      </c>
      <c r="B146" s="8" t="s">
        <v>9926</v>
      </c>
      <c r="C146" t="s">
        <v>9506</v>
      </c>
    </row>
    <row r="147" spans="1:3" x14ac:dyDescent="0.25">
      <c r="A147" s="8" t="s">
        <v>11231</v>
      </c>
      <c r="B147" s="8" t="s">
        <v>11008</v>
      </c>
      <c r="C147" t="s">
        <v>9506</v>
      </c>
    </row>
    <row r="148" spans="1:3" x14ac:dyDescent="0.25">
      <c r="A148" s="8" t="s">
        <v>11047</v>
      </c>
      <c r="B148" s="8" t="s">
        <v>11048</v>
      </c>
      <c r="C148" t="s">
        <v>9506</v>
      </c>
    </row>
    <row r="149" spans="1:3" x14ac:dyDescent="0.25">
      <c r="A149" s="8" t="s">
        <v>10874</v>
      </c>
      <c r="B149" s="8" t="s">
        <v>10875</v>
      </c>
      <c r="C149" t="s">
        <v>9506</v>
      </c>
    </row>
    <row r="150" spans="1:3" x14ac:dyDescent="0.25">
      <c r="A150" s="8" t="s">
        <v>10891</v>
      </c>
      <c r="B150" s="8" t="s">
        <v>10892</v>
      </c>
      <c r="C150" t="s">
        <v>9506</v>
      </c>
    </row>
    <row r="151" spans="1:3" x14ac:dyDescent="0.25">
      <c r="A151" s="8" t="s">
        <v>11093</v>
      </c>
      <c r="B151" s="8" t="s">
        <v>10865</v>
      </c>
      <c r="C151" t="s">
        <v>9506</v>
      </c>
    </row>
    <row r="152" spans="1:3" x14ac:dyDescent="0.25">
      <c r="A152" s="8" t="s">
        <v>10915</v>
      </c>
      <c r="B152" s="8" t="s">
        <v>9704</v>
      </c>
      <c r="C152" t="s">
        <v>9506</v>
      </c>
    </row>
    <row r="153" spans="1:3" x14ac:dyDescent="0.25">
      <c r="A153" s="8" t="s">
        <v>11070</v>
      </c>
      <c r="B153" s="8" t="s">
        <v>2165</v>
      </c>
      <c r="C153" t="s">
        <v>9506</v>
      </c>
    </row>
    <row r="154" spans="1:3" x14ac:dyDescent="0.25">
      <c r="A154" s="8" t="s">
        <v>11071</v>
      </c>
      <c r="B154" s="8" t="s">
        <v>9925</v>
      </c>
      <c r="C154" t="s">
        <v>9506</v>
      </c>
    </row>
    <row r="155" spans="1:3" x14ac:dyDescent="0.25">
      <c r="A155" s="8" t="s">
        <v>11072</v>
      </c>
      <c r="B155" s="8" t="s">
        <v>2165</v>
      </c>
      <c r="C155" t="s">
        <v>9506</v>
      </c>
    </row>
    <row r="156" spans="1:3" x14ac:dyDescent="0.25">
      <c r="A156" s="8" t="s">
        <v>11055</v>
      </c>
      <c r="B156" s="8" t="s">
        <v>11056</v>
      </c>
      <c r="C156" t="s">
        <v>9506</v>
      </c>
    </row>
    <row r="157" spans="1:3" x14ac:dyDescent="0.25">
      <c r="A157" s="8" t="s">
        <v>11254</v>
      </c>
      <c r="B157" s="8" t="s">
        <v>9926</v>
      </c>
      <c r="C157" t="s">
        <v>9506</v>
      </c>
    </row>
    <row r="158" spans="1:3" x14ac:dyDescent="0.25">
      <c r="A158" s="8" t="s">
        <v>10927</v>
      </c>
      <c r="B158" s="8" t="s">
        <v>10879</v>
      </c>
      <c r="C158" t="s">
        <v>9506</v>
      </c>
    </row>
    <row r="159" spans="1:3" x14ac:dyDescent="0.25">
      <c r="A159" s="8" t="s">
        <v>10925</v>
      </c>
      <c r="B159" s="8" t="s">
        <v>10926</v>
      </c>
      <c r="C159" t="s">
        <v>9506</v>
      </c>
    </row>
    <row r="160" spans="1:3" x14ac:dyDescent="0.25">
      <c r="A160" s="8" t="s">
        <v>10950</v>
      </c>
      <c r="B160" s="8" t="s">
        <v>9926</v>
      </c>
      <c r="C160" t="s">
        <v>9506</v>
      </c>
    </row>
    <row r="161" spans="1:3" x14ac:dyDescent="0.25">
      <c r="A161" s="8" t="s">
        <v>10921</v>
      </c>
      <c r="B161" s="8" t="s">
        <v>9706</v>
      </c>
      <c r="C161" t="s">
        <v>9506</v>
      </c>
    </row>
    <row r="162" spans="1:3" x14ac:dyDescent="0.25">
      <c r="A162" s="8" t="s">
        <v>10951</v>
      </c>
      <c r="B162" s="8" t="s">
        <v>10952</v>
      </c>
      <c r="C162" t="s">
        <v>9506</v>
      </c>
    </row>
    <row r="163" spans="1:3" x14ac:dyDescent="0.25">
      <c r="A163" s="8" t="s">
        <v>11255</v>
      </c>
      <c r="B163" s="8" t="s">
        <v>10962</v>
      </c>
      <c r="C163" t="s">
        <v>9506</v>
      </c>
    </row>
    <row r="164" spans="1:3" x14ac:dyDescent="0.25">
      <c r="A164" s="8" t="s">
        <v>10887</v>
      </c>
      <c r="B164" s="8" t="s">
        <v>2507</v>
      </c>
      <c r="C164" t="s">
        <v>9506</v>
      </c>
    </row>
    <row r="165" spans="1:3" x14ac:dyDescent="0.25">
      <c r="A165" s="8" t="s">
        <v>10885</v>
      </c>
      <c r="B165" s="8" t="s">
        <v>10886</v>
      </c>
      <c r="C165" t="s">
        <v>9506</v>
      </c>
    </row>
    <row r="166" spans="1:3" x14ac:dyDescent="0.25">
      <c r="A166" s="8" t="s">
        <v>11256</v>
      </c>
      <c r="B166" s="8" t="s">
        <v>11250</v>
      </c>
      <c r="C166" t="s">
        <v>9506</v>
      </c>
    </row>
    <row r="167" spans="1:3" x14ac:dyDescent="0.25">
      <c r="A167" s="8" t="s">
        <v>11020</v>
      </c>
      <c r="B167" s="8" t="s">
        <v>11021</v>
      </c>
      <c r="C167" t="s">
        <v>9612</v>
      </c>
    </row>
    <row r="168" spans="1:3" x14ac:dyDescent="0.25">
      <c r="A168" s="8" t="s">
        <v>11015</v>
      </c>
      <c r="B168" s="8" t="s">
        <v>9926</v>
      </c>
      <c r="C168" t="s">
        <v>9612</v>
      </c>
    </row>
    <row r="169" spans="1:3" x14ac:dyDescent="0.25">
      <c r="A169" s="8" t="s">
        <v>11014</v>
      </c>
      <c r="B169" s="8" t="s">
        <v>9926</v>
      </c>
      <c r="C169" t="s">
        <v>9612</v>
      </c>
    </row>
    <row r="170" spans="1:3" x14ac:dyDescent="0.25">
      <c r="A170" s="8" t="s">
        <v>11016</v>
      </c>
      <c r="B170" s="8" t="s">
        <v>11017</v>
      </c>
      <c r="C170" t="s">
        <v>9612</v>
      </c>
    </row>
    <row r="171" spans="1:3" x14ac:dyDescent="0.25">
      <c r="A171" s="8" t="s">
        <v>11018</v>
      </c>
      <c r="B171" s="8" t="s">
        <v>11017</v>
      </c>
      <c r="C171" t="s">
        <v>9612</v>
      </c>
    </row>
    <row r="172" spans="1:3" x14ac:dyDescent="0.25">
      <c r="A172" s="8" t="s">
        <v>11019</v>
      </c>
      <c r="B172" s="8" t="s">
        <v>10865</v>
      </c>
      <c r="C172" t="s">
        <v>9612</v>
      </c>
    </row>
    <row r="173" spans="1:3" x14ac:dyDescent="0.25">
      <c r="A173" s="8" t="s">
        <v>11022</v>
      </c>
      <c r="B173" s="8" t="s">
        <v>11023</v>
      </c>
      <c r="C173" t="s">
        <v>9612</v>
      </c>
    </row>
    <row r="174" spans="1:3" x14ac:dyDescent="0.25">
      <c r="A174" s="8" t="s">
        <v>11024</v>
      </c>
      <c r="B174" s="8" t="s">
        <v>11025</v>
      </c>
      <c r="C174" t="s">
        <v>9612</v>
      </c>
    </row>
    <row r="175" spans="1:3" x14ac:dyDescent="0.25">
      <c r="A175" s="8" t="s">
        <v>10998</v>
      </c>
      <c r="B175" s="8" t="s">
        <v>2507</v>
      </c>
      <c r="C175" t="s">
        <v>9612</v>
      </c>
    </row>
    <row r="176" spans="1:3" x14ac:dyDescent="0.25">
      <c r="A176" s="8" t="s">
        <v>11006</v>
      </c>
      <c r="B176" s="8" t="s">
        <v>9704</v>
      </c>
      <c r="C176" t="s">
        <v>9612</v>
      </c>
    </row>
    <row r="177" spans="1:6" x14ac:dyDescent="0.25">
      <c r="A177" s="8" t="s">
        <v>11007</v>
      </c>
      <c r="B177" s="8" t="s">
        <v>11008</v>
      </c>
      <c r="C177" t="s">
        <v>9612</v>
      </c>
    </row>
    <row r="178" spans="1:6" x14ac:dyDescent="0.25">
      <c r="A178" s="8" t="s">
        <v>11009</v>
      </c>
      <c r="B178" s="8" t="s">
        <v>9704</v>
      </c>
      <c r="C178" t="s">
        <v>9612</v>
      </c>
    </row>
    <row r="179" spans="1:6" x14ac:dyDescent="0.25">
      <c r="A179" s="8" t="s">
        <v>11004</v>
      </c>
      <c r="B179" s="8" t="s">
        <v>11005</v>
      </c>
      <c r="C179" t="s">
        <v>9612</v>
      </c>
    </row>
    <row r="180" spans="1:6" x14ac:dyDescent="0.25">
      <c r="A180" s="8" t="s">
        <v>11001</v>
      </c>
      <c r="B180" s="8" t="s">
        <v>9886</v>
      </c>
      <c r="C180" t="s">
        <v>9612</v>
      </c>
    </row>
    <row r="181" spans="1:6" x14ac:dyDescent="0.25">
      <c r="A181" s="8" t="s">
        <v>10995</v>
      </c>
      <c r="B181" s="8" t="s">
        <v>9704</v>
      </c>
      <c r="C181" t="s">
        <v>9612</v>
      </c>
    </row>
    <row r="182" spans="1:6" x14ac:dyDescent="0.25">
      <c r="A182" s="8" t="s">
        <v>10996</v>
      </c>
      <c r="B182" s="8" t="s">
        <v>9704</v>
      </c>
      <c r="C182" t="s">
        <v>9612</v>
      </c>
    </row>
    <row r="183" spans="1:6" x14ac:dyDescent="0.25">
      <c r="A183" s="8" t="s">
        <v>10997</v>
      </c>
      <c r="B183" s="8" t="s">
        <v>9704</v>
      </c>
      <c r="C183" t="s">
        <v>9612</v>
      </c>
    </row>
    <row r="184" spans="1:6" x14ac:dyDescent="0.25">
      <c r="A184" s="8" t="s">
        <v>11011</v>
      </c>
      <c r="B184" s="8" t="s">
        <v>11000</v>
      </c>
      <c r="C184" t="s">
        <v>9612</v>
      </c>
    </row>
    <row r="185" spans="1:6" x14ac:dyDescent="0.25">
      <c r="A185" s="8" t="s">
        <v>10999</v>
      </c>
      <c r="B185" s="8" t="s">
        <v>11000</v>
      </c>
      <c r="C185" t="s">
        <v>9612</v>
      </c>
    </row>
    <row r="186" spans="1:6" x14ac:dyDescent="0.25">
      <c r="A186" s="8" t="s">
        <v>11010</v>
      </c>
      <c r="B186" s="8" t="s">
        <v>9925</v>
      </c>
      <c r="C186" t="s">
        <v>9612</v>
      </c>
    </row>
    <row r="187" spans="1:6" x14ac:dyDescent="0.25">
      <c r="A187" s="8" t="s">
        <v>11247</v>
      </c>
      <c r="B187" s="8" t="s">
        <v>9705</v>
      </c>
      <c r="C187" t="s">
        <v>10965</v>
      </c>
      <c r="F187" t="str">
        <f>A187&amp;"  "&amp;B187</f>
        <v>219-96сб-176  трубка</v>
      </c>
    </row>
    <row r="188" spans="1:6" x14ac:dyDescent="0.25">
      <c r="A188" s="8" t="s">
        <v>10973</v>
      </c>
      <c r="B188" s="8" t="s">
        <v>10865</v>
      </c>
      <c r="C188" t="s">
        <v>10965</v>
      </c>
      <c r="F188" s="767" t="str">
        <f t="shared" ref="F188:F251" si="0">A188&amp;"  "&amp;B188</f>
        <v>432.31.028сб  Хомут</v>
      </c>
    </row>
    <row r="189" spans="1:6" x14ac:dyDescent="0.25">
      <c r="A189" s="8" t="s">
        <v>11108</v>
      </c>
      <c r="B189" s="8" t="s">
        <v>10865</v>
      </c>
      <c r="C189" t="s">
        <v>10965</v>
      </c>
      <c r="F189" s="767" t="str">
        <f t="shared" si="0"/>
        <v>432.31.049сб  Хомут</v>
      </c>
    </row>
    <row r="190" spans="1:6" x14ac:dyDescent="0.25">
      <c r="A190" s="8" t="s">
        <v>10978</v>
      </c>
      <c r="B190" s="8" t="s">
        <v>9323</v>
      </c>
      <c r="C190" t="s">
        <v>10965</v>
      </c>
      <c r="F190" s="767" t="str">
        <f t="shared" si="0"/>
        <v>432.32.048сб  Стрічка</v>
      </c>
    </row>
    <row r="191" spans="1:6" x14ac:dyDescent="0.25">
      <c r="A191" s="8" t="s">
        <v>10979</v>
      </c>
      <c r="B191" s="8" t="s">
        <v>10980</v>
      </c>
      <c r="C191" t="s">
        <v>10965</v>
      </c>
      <c r="F191" s="767" t="str">
        <f t="shared" si="0"/>
        <v>432.32.060сб-1  Труба від двигуна до баку</v>
      </c>
    </row>
    <row r="192" spans="1:6" x14ac:dyDescent="0.25">
      <c r="A192" s="8" t="s">
        <v>10981</v>
      </c>
      <c r="B192" s="8" t="s">
        <v>10982</v>
      </c>
      <c r="C192" t="s">
        <v>10965</v>
      </c>
      <c r="F192" s="767" t="str">
        <f t="shared" si="0"/>
        <v>432.32.061сб-1  Труба дренажна</v>
      </c>
    </row>
    <row r="193" spans="1:6" x14ac:dyDescent="0.25">
      <c r="A193" s="8" t="s">
        <v>11127</v>
      </c>
      <c r="B193" s="8" t="s">
        <v>9709</v>
      </c>
      <c r="C193" t="s">
        <v>10965</v>
      </c>
      <c r="F193" s="767" t="str">
        <f t="shared" si="0"/>
        <v>432.32.225-1  Прокладка</v>
      </c>
    </row>
    <row r="194" spans="1:6" x14ac:dyDescent="0.25">
      <c r="A194" s="8" t="s">
        <v>10983</v>
      </c>
      <c r="B194" s="8" t="s">
        <v>10984</v>
      </c>
      <c r="C194" t="s">
        <v>10965</v>
      </c>
      <c r="F194" s="767" t="str">
        <f t="shared" si="0"/>
        <v>432.32.268-1  Фланець</v>
      </c>
    </row>
    <row r="195" spans="1:6" x14ac:dyDescent="0.25">
      <c r="A195" s="8" t="s">
        <v>10985</v>
      </c>
      <c r="B195" s="8" t="s">
        <v>2507</v>
      </c>
      <c r="C195" t="s">
        <v>10965</v>
      </c>
      <c r="F195" s="767" t="str">
        <f t="shared" si="0"/>
        <v>432.32.386-2  Труба</v>
      </c>
    </row>
    <row r="196" spans="1:6" x14ac:dyDescent="0.25">
      <c r="A196" s="8" t="s">
        <v>10986</v>
      </c>
      <c r="B196" s="8" t="s">
        <v>9704</v>
      </c>
      <c r="C196" t="s">
        <v>10965</v>
      </c>
      <c r="F196" s="767" t="str">
        <f t="shared" si="0"/>
        <v>432.32.429  Щиток</v>
      </c>
    </row>
    <row r="197" spans="1:6" x14ac:dyDescent="0.25">
      <c r="A197" s="8" t="s">
        <v>11141</v>
      </c>
      <c r="B197" s="8" t="s">
        <v>9323</v>
      </c>
      <c r="C197" t="s">
        <v>10965</v>
      </c>
      <c r="F197" s="767" t="str">
        <f t="shared" si="0"/>
        <v>432.33.031сб-1  Стрічка</v>
      </c>
    </row>
    <row r="198" spans="1:6" x14ac:dyDescent="0.25">
      <c r="A198" s="8" t="s">
        <v>11121</v>
      </c>
      <c r="B198" s="8" t="s">
        <v>11122</v>
      </c>
      <c r="C198" t="s">
        <v>10965</v>
      </c>
      <c r="F198" s="767" t="str">
        <f t="shared" si="0"/>
        <v>432.33.042сб-4  Фільтр паливний грубої очистки</v>
      </c>
    </row>
    <row r="199" spans="1:6" x14ac:dyDescent="0.25">
      <c r="A199" s="8" t="s">
        <v>11142</v>
      </c>
      <c r="B199" s="8" t="s">
        <v>2507</v>
      </c>
      <c r="C199" t="s">
        <v>10965</v>
      </c>
      <c r="F199" s="767" t="str">
        <f t="shared" si="0"/>
        <v>432.33.051сб-1  Труба</v>
      </c>
    </row>
    <row r="200" spans="1:6" x14ac:dyDescent="0.25">
      <c r="A200" s="8" t="s">
        <v>11143</v>
      </c>
      <c r="B200" s="8" t="s">
        <v>2507</v>
      </c>
      <c r="C200" t="s">
        <v>10965</v>
      </c>
      <c r="F200" s="767" t="str">
        <f t="shared" si="0"/>
        <v>432.33.067сб-2  Труба</v>
      </c>
    </row>
    <row r="201" spans="1:6" x14ac:dyDescent="0.25">
      <c r="A201" s="8" t="s">
        <v>11144</v>
      </c>
      <c r="B201" s="8" t="s">
        <v>9926</v>
      </c>
      <c r="C201" t="s">
        <v>10965</v>
      </c>
      <c r="F201" s="767" t="str">
        <f t="shared" si="0"/>
        <v>432.33.069сб-1  Трубка</v>
      </c>
    </row>
    <row r="202" spans="1:6" x14ac:dyDescent="0.25">
      <c r="A202" s="8" t="s">
        <v>11145</v>
      </c>
      <c r="B202" s="8" t="s">
        <v>11146</v>
      </c>
      <c r="C202" t="s">
        <v>10965</v>
      </c>
      <c r="F202" s="767" t="str">
        <f t="shared" si="0"/>
        <v>432.33.072сб-2  Клапан відключення підігрівача</v>
      </c>
    </row>
    <row r="203" spans="1:6" x14ac:dyDescent="0.25">
      <c r="A203" s="8" t="s">
        <v>11240</v>
      </c>
      <c r="B203" s="8" t="s">
        <v>9709</v>
      </c>
      <c r="C203" t="s">
        <v>10965</v>
      </c>
      <c r="F203" s="767" t="str">
        <f t="shared" si="0"/>
        <v>432.33.112-1  Прокладка</v>
      </c>
    </row>
    <row r="204" spans="1:6" x14ac:dyDescent="0.25">
      <c r="A204" s="8" t="s">
        <v>11128</v>
      </c>
      <c r="B204" s="8" t="s">
        <v>11129</v>
      </c>
      <c r="C204" t="s">
        <v>10965</v>
      </c>
      <c r="F204" s="767" t="str">
        <f t="shared" si="0"/>
        <v>432.33.195-1  Пробка</v>
      </c>
    </row>
    <row r="205" spans="1:6" x14ac:dyDescent="0.25">
      <c r="A205" s="8" t="s">
        <v>11106</v>
      </c>
      <c r="B205" s="8" t="s">
        <v>11085</v>
      </c>
      <c r="C205" t="s">
        <v>10965</v>
      </c>
      <c r="F205" s="767" t="str">
        <f t="shared" si="0"/>
        <v>432.34.009сб  Патрубок</v>
      </c>
    </row>
    <row r="206" spans="1:6" x14ac:dyDescent="0.25">
      <c r="A206" s="8" t="s">
        <v>11107</v>
      </c>
      <c r="B206" s="8" t="s">
        <v>10865</v>
      </c>
      <c r="C206" t="s">
        <v>10965</v>
      </c>
      <c r="F206" s="767" t="str">
        <f t="shared" si="0"/>
        <v>432.34.010сб-4  Хомут</v>
      </c>
    </row>
    <row r="207" spans="1:6" x14ac:dyDescent="0.25">
      <c r="A207" s="8" t="s">
        <v>11109</v>
      </c>
      <c r="B207" s="8" t="s">
        <v>9709</v>
      </c>
      <c r="C207" t="s">
        <v>10965</v>
      </c>
      <c r="F207" s="767" t="str">
        <f t="shared" si="0"/>
        <v>432.35.022сб  Прокладка</v>
      </c>
    </row>
    <row r="208" spans="1:6" x14ac:dyDescent="0.25">
      <c r="A208" s="8" t="s">
        <v>11110</v>
      </c>
      <c r="B208" s="8" t="s">
        <v>9709</v>
      </c>
      <c r="C208" t="s">
        <v>10965</v>
      </c>
      <c r="F208" s="767" t="str">
        <f t="shared" si="0"/>
        <v>432.35.023сб-1  Прокладка</v>
      </c>
    </row>
    <row r="209" spans="1:6" x14ac:dyDescent="0.25">
      <c r="A209" s="8" t="s">
        <v>11078</v>
      </c>
      <c r="B209" s="8" t="s">
        <v>11079</v>
      </c>
      <c r="C209" t="s">
        <v>10965</v>
      </c>
      <c r="F209" s="767" t="str">
        <f t="shared" si="0"/>
        <v>432.37.001сб-2  Електроперемикач ТДА</v>
      </c>
    </row>
    <row r="210" spans="1:6" x14ac:dyDescent="0.25">
      <c r="A210" s="8" t="s">
        <v>11111</v>
      </c>
      <c r="B210" s="8" t="s">
        <v>2507</v>
      </c>
      <c r="C210" t="s">
        <v>10965</v>
      </c>
      <c r="F210" s="767" t="str">
        <f t="shared" si="0"/>
        <v>432.37.002сб-3  Труба</v>
      </c>
    </row>
    <row r="211" spans="1:6" x14ac:dyDescent="0.25">
      <c r="A211" s="8" t="s">
        <v>11112</v>
      </c>
      <c r="B211" s="8" t="s">
        <v>11113</v>
      </c>
      <c r="C211" t="s">
        <v>10965</v>
      </c>
      <c r="F211" s="767" t="str">
        <f t="shared" si="0"/>
        <v>432.37.007сб  Трубка з гайкою</v>
      </c>
    </row>
    <row r="212" spans="1:6" x14ac:dyDescent="0.25">
      <c r="A212" s="8" t="s">
        <v>11114</v>
      </c>
      <c r="B212" s="8" t="s">
        <v>2507</v>
      </c>
      <c r="C212" t="s">
        <v>10965</v>
      </c>
      <c r="F212" s="767" t="str">
        <f t="shared" si="0"/>
        <v>432.37.011-3  Труба</v>
      </c>
    </row>
    <row r="213" spans="1:6" x14ac:dyDescent="0.25">
      <c r="A213" s="8" t="s">
        <v>11115</v>
      </c>
      <c r="B213" s="8" t="s">
        <v>2507</v>
      </c>
      <c r="C213" t="s">
        <v>10965</v>
      </c>
      <c r="F213" s="767" t="str">
        <f t="shared" si="0"/>
        <v>432.37.020-2  Труба</v>
      </c>
    </row>
    <row r="214" spans="1:6" x14ac:dyDescent="0.25">
      <c r="A214" s="8" t="s">
        <v>11120</v>
      </c>
      <c r="B214" s="8" t="s">
        <v>9704</v>
      </c>
      <c r="C214" t="s">
        <v>10965</v>
      </c>
      <c r="F214" s="767" t="str">
        <f t="shared" si="0"/>
        <v>432.39.014сб-4  Щиток</v>
      </c>
    </row>
    <row r="215" spans="1:6" x14ac:dyDescent="0.25">
      <c r="A215" s="8" t="s">
        <v>11186</v>
      </c>
      <c r="B215" s="8" t="s">
        <v>9705</v>
      </c>
      <c r="C215" t="s">
        <v>10965</v>
      </c>
      <c r="F215" s="767" t="str">
        <f t="shared" si="0"/>
        <v>432.60.009сб-2  трубка</v>
      </c>
    </row>
    <row r="216" spans="1:6" x14ac:dyDescent="0.25">
      <c r="A216" s="8" t="s">
        <v>11157</v>
      </c>
      <c r="B216" s="8" t="s">
        <v>9705</v>
      </c>
      <c r="C216" t="s">
        <v>10965</v>
      </c>
      <c r="F216" s="767" t="str">
        <f t="shared" si="0"/>
        <v>432.66.005сб-3  трубка</v>
      </c>
    </row>
    <row r="217" spans="1:6" x14ac:dyDescent="0.25">
      <c r="A217" s="8" t="s">
        <v>11159</v>
      </c>
      <c r="B217" s="8" t="s">
        <v>9705</v>
      </c>
      <c r="C217" t="s">
        <v>10965</v>
      </c>
      <c r="F217" s="767" t="str">
        <f t="shared" si="0"/>
        <v>432.66.018сб-2  трубка</v>
      </c>
    </row>
    <row r="218" spans="1:6" x14ac:dyDescent="0.25">
      <c r="A218" s="8" t="s">
        <v>11161</v>
      </c>
      <c r="B218" s="8" t="s">
        <v>9709</v>
      </c>
      <c r="C218" t="s">
        <v>10965</v>
      </c>
      <c r="F218" s="767" t="str">
        <f t="shared" si="0"/>
        <v>432.66.075-1  Прокладка</v>
      </c>
    </row>
    <row r="219" spans="1:6" x14ac:dyDescent="0.25">
      <c r="A219" s="8" t="s">
        <v>10992</v>
      </c>
      <c r="B219" s="8" t="s">
        <v>10993</v>
      </c>
      <c r="C219" t="s">
        <v>10965</v>
      </c>
      <c r="F219" s="767" t="str">
        <f t="shared" si="0"/>
        <v>434.22.011сб  Уловлювач</v>
      </c>
    </row>
    <row r="220" spans="1:6" x14ac:dyDescent="0.25">
      <c r="A220" s="8" t="s">
        <v>11035</v>
      </c>
      <c r="B220" s="8" t="s">
        <v>11036</v>
      </c>
      <c r="C220" t="s">
        <v>10965</v>
      </c>
      <c r="F220" s="767" t="str">
        <f t="shared" si="0"/>
        <v>434.22.017сб  Лоток</v>
      </c>
    </row>
    <row r="221" spans="1:6" x14ac:dyDescent="0.25">
      <c r="A221" s="8" t="s">
        <v>11037</v>
      </c>
      <c r="B221" s="8" t="s">
        <v>9885</v>
      </c>
      <c r="C221" t="s">
        <v>10965</v>
      </c>
      <c r="F221" s="767" t="str">
        <f t="shared" si="0"/>
        <v>434.22.063  Планка</v>
      </c>
    </row>
    <row r="222" spans="1:6" x14ac:dyDescent="0.25">
      <c r="A222" s="8" t="s">
        <v>10963</v>
      </c>
      <c r="B222" s="8" t="s">
        <v>10964</v>
      </c>
      <c r="C222" t="s">
        <v>10965</v>
      </c>
      <c r="F222" s="767" t="str">
        <f t="shared" si="0"/>
        <v>434.27.014сб  Привід тросовий</v>
      </c>
    </row>
    <row r="223" spans="1:6" x14ac:dyDescent="0.25">
      <c r="A223" s="8" t="s">
        <v>11033</v>
      </c>
      <c r="B223" s="8" t="s">
        <v>2507</v>
      </c>
      <c r="C223" t="s">
        <v>10965</v>
      </c>
      <c r="F223" s="767" t="str">
        <f t="shared" si="0"/>
        <v>434.31.015сб-1  Труба</v>
      </c>
    </row>
    <row r="224" spans="1:6" x14ac:dyDescent="0.25">
      <c r="A224" s="8" t="s">
        <v>10966</v>
      </c>
      <c r="B224" s="8" t="s">
        <v>9887</v>
      </c>
      <c r="C224" t="s">
        <v>10965</v>
      </c>
      <c r="F224" s="767" t="str">
        <f t="shared" si="0"/>
        <v>434.31.019сб  Шланг</v>
      </c>
    </row>
    <row r="225" spans="1:6" x14ac:dyDescent="0.25">
      <c r="A225" s="8" t="s">
        <v>10967</v>
      </c>
      <c r="B225" s="8" t="s">
        <v>9887</v>
      </c>
      <c r="C225" t="s">
        <v>10965</v>
      </c>
      <c r="F225" s="767" t="str">
        <f t="shared" si="0"/>
        <v>434.31.023сб  Шланг</v>
      </c>
    </row>
    <row r="226" spans="1:6" x14ac:dyDescent="0.25">
      <c r="A226" s="8" t="s">
        <v>10968</v>
      </c>
      <c r="B226" s="8" t="s">
        <v>9926</v>
      </c>
      <c r="C226" t="s">
        <v>10965</v>
      </c>
      <c r="F226" s="767" t="str">
        <f t="shared" si="0"/>
        <v>434.31.038сб  Трубка</v>
      </c>
    </row>
    <row r="227" spans="1:6" x14ac:dyDescent="0.25">
      <c r="A227" s="8" t="s">
        <v>10969</v>
      </c>
      <c r="B227" s="8" t="s">
        <v>9926</v>
      </c>
      <c r="C227" t="s">
        <v>10965</v>
      </c>
      <c r="F227" s="767" t="str">
        <f t="shared" si="0"/>
        <v>434.31.041сб  Трубка</v>
      </c>
    </row>
    <row r="228" spans="1:6" x14ac:dyDescent="0.25">
      <c r="A228" s="8" t="s">
        <v>10974</v>
      </c>
      <c r="B228" s="8" t="s">
        <v>10975</v>
      </c>
      <c r="C228" t="s">
        <v>10965</v>
      </c>
      <c r="F228" s="767" t="str">
        <f t="shared" si="0"/>
        <v>434.31.125  Фланец</v>
      </c>
    </row>
    <row r="229" spans="1:6" x14ac:dyDescent="0.25">
      <c r="A229" s="8" t="s">
        <v>10970</v>
      </c>
      <c r="B229" s="8" t="s">
        <v>9887</v>
      </c>
      <c r="C229" t="s">
        <v>10965</v>
      </c>
      <c r="F229" s="767" t="str">
        <f t="shared" si="0"/>
        <v>434.31.309сб-1  Шланг</v>
      </c>
    </row>
    <row r="230" spans="1:6" x14ac:dyDescent="0.25">
      <c r="A230" s="8" t="s">
        <v>11123</v>
      </c>
      <c r="B230" s="8" t="s">
        <v>11124</v>
      </c>
      <c r="C230" t="s">
        <v>10965</v>
      </c>
      <c r="F230" s="767" t="str">
        <f t="shared" si="0"/>
        <v>434.32.002сб  Клапан предохранительный</v>
      </c>
    </row>
    <row r="231" spans="1:6" x14ac:dyDescent="0.25">
      <c r="A231" s="8" t="s">
        <v>10976</v>
      </c>
      <c r="B231" s="8" t="s">
        <v>10977</v>
      </c>
      <c r="C231" t="s">
        <v>10965</v>
      </c>
      <c r="F231" s="767" t="str">
        <f t="shared" si="0"/>
        <v>434.32.009сб-1  Корпус заливной горловины</v>
      </c>
    </row>
    <row r="232" spans="1:6" x14ac:dyDescent="0.25">
      <c r="A232" s="8" t="s">
        <v>11038</v>
      </c>
      <c r="B232" s="8" t="s">
        <v>11039</v>
      </c>
      <c r="C232" t="s">
        <v>10965</v>
      </c>
      <c r="F232" s="767" t="str">
        <f t="shared" si="0"/>
        <v>434.32.029сб  Щиток передній</v>
      </c>
    </row>
    <row r="233" spans="1:6" x14ac:dyDescent="0.25">
      <c r="A233" s="8" t="s">
        <v>11040</v>
      </c>
      <c r="B233" s="8" t="s">
        <v>11041</v>
      </c>
      <c r="C233" t="s">
        <v>10965</v>
      </c>
      <c r="F233" s="767" t="str">
        <f t="shared" si="0"/>
        <v>434.32.030сб  Щиток задній</v>
      </c>
    </row>
    <row r="234" spans="1:6" x14ac:dyDescent="0.25">
      <c r="A234" s="8" t="s">
        <v>11042</v>
      </c>
      <c r="B234" s="8" t="s">
        <v>11039</v>
      </c>
      <c r="C234" t="s">
        <v>10965</v>
      </c>
      <c r="F234" s="767" t="str">
        <f t="shared" si="0"/>
        <v>434.32.031сб  Щиток передній</v>
      </c>
    </row>
    <row r="235" spans="1:6" x14ac:dyDescent="0.25">
      <c r="A235" s="8" t="s">
        <v>11043</v>
      </c>
      <c r="B235" s="8" t="s">
        <v>11041</v>
      </c>
      <c r="C235" t="s">
        <v>10965</v>
      </c>
      <c r="F235" s="767" t="str">
        <f t="shared" si="0"/>
        <v>434.32.032сб  Щиток задній</v>
      </c>
    </row>
    <row r="236" spans="1:6" x14ac:dyDescent="0.25">
      <c r="A236" s="8" t="s">
        <v>11125</v>
      </c>
      <c r="B236" s="8" t="s">
        <v>11126</v>
      </c>
      <c r="C236" t="s">
        <v>10965</v>
      </c>
      <c r="F236" s="767" t="str">
        <f t="shared" si="0"/>
        <v>434.32.135-1  Манжета</v>
      </c>
    </row>
    <row r="237" spans="1:6" x14ac:dyDescent="0.25">
      <c r="A237" s="8" t="s">
        <v>11131</v>
      </c>
      <c r="B237" s="8" t="s">
        <v>9323</v>
      </c>
      <c r="C237" t="s">
        <v>10965</v>
      </c>
      <c r="F237" s="767" t="str">
        <f t="shared" si="0"/>
        <v>434.33.032сб-4  Стрічка</v>
      </c>
    </row>
    <row r="238" spans="1:6" x14ac:dyDescent="0.25">
      <c r="A238" s="8" t="s">
        <v>11132</v>
      </c>
      <c r="B238" s="8" t="s">
        <v>9323</v>
      </c>
      <c r="C238" t="s">
        <v>10965</v>
      </c>
      <c r="F238" s="767" t="str">
        <f t="shared" si="0"/>
        <v>434.33.033сб-4  Стрічка</v>
      </c>
    </row>
    <row r="239" spans="1:6" x14ac:dyDescent="0.25">
      <c r="A239" s="8" t="s">
        <v>11133</v>
      </c>
      <c r="B239" s="8" t="s">
        <v>2507</v>
      </c>
      <c r="C239" t="s">
        <v>10965</v>
      </c>
      <c r="F239" s="767" t="str">
        <f t="shared" si="0"/>
        <v>434.33.088сб  Труба</v>
      </c>
    </row>
    <row r="240" spans="1:6" x14ac:dyDescent="0.25">
      <c r="A240" s="8" t="s">
        <v>11134</v>
      </c>
      <c r="B240" s="8" t="s">
        <v>2507</v>
      </c>
      <c r="C240" t="s">
        <v>10965</v>
      </c>
      <c r="F240" s="767" t="str">
        <f t="shared" si="0"/>
        <v>434.33.089сб  Труба</v>
      </c>
    </row>
    <row r="241" spans="1:6" x14ac:dyDescent="0.25">
      <c r="A241" s="8" t="s">
        <v>11135</v>
      </c>
      <c r="B241" s="8" t="s">
        <v>9323</v>
      </c>
      <c r="C241" t="s">
        <v>10965</v>
      </c>
      <c r="F241" s="767" t="str">
        <f t="shared" si="0"/>
        <v>434.33.106сб  Стрічка</v>
      </c>
    </row>
    <row r="242" spans="1:6" x14ac:dyDescent="0.25">
      <c r="A242" s="8" t="s">
        <v>11136</v>
      </c>
      <c r="B242" s="8" t="s">
        <v>9323</v>
      </c>
      <c r="C242" t="s">
        <v>10965</v>
      </c>
      <c r="F242" s="767" t="str">
        <f t="shared" si="0"/>
        <v>434.33.108сб  Стрічка</v>
      </c>
    </row>
    <row r="243" spans="1:6" x14ac:dyDescent="0.25">
      <c r="A243" s="8" t="s">
        <v>11137</v>
      </c>
      <c r="B243" s="8" t="s">
        <v>9704</v>
      </c>
      <c r="C243" t="s">
        <v>10965</v>
      </c>
      <c r="F243" s="767" t="str">
        <f t="shared" si="0"/>
        <v>434.33.110сб  Щиток</v>
      </c>
    </row>
    <row r="244" spans="1:6" x14ac:dyDescent="0.25">
      <c r="A244" s="8" t="s">
        <v>11138</v>
      </c>
      <c r="B244" s="8" t="s">
        <v>9704</v>
      </c>
      <c r="C244" t="s">
        <v>10965</v>
      </c>
      <c r="F244" s="767" t="str">
        <f t="shared" si="0"/>
        <v>434.33.111сб  Щиток</v>
      </c>
    </row>
    <row r="245" spans="1:6" x14ac:dyDescent="0.25">
      <c r="A245" s="8" t="s">
        <v>11139</v>
      </c>
      <c r="B245" s="8" t="s">
        <v>9704</v>
      </c>
      <c r="C245" t="s">
        <v>10965</v>
      </c>
      <c r="F245" s="767" t="str">
        <f t="shared" si="0"/>
        <v>434.33.112сб  Щиток</v>
      </c>
    </row>
    <row r="246" spans="1:6" x14ac:dyDescent="0.25">
      <c r="A246" s="8" t="s">
        <v>11140</v>
      </c>
      <c r="B246" s="8" t="s">
        <v>9704</v>
      </c>
      <c r="C246" t="s">
        <v>10965</v>
      </c>
      <c r="F246" s="767" t="str">
        <f t="shared" si="0"/>
        <v>434.33.113сб  Щиток</v>
      </c>
    </row>
    <row r="247" spans="1:6" x14ac:dyDescent="0.25">
      <c r="A247" s="8" t="s">
        <v>11147</v>
      </c>
      <c r="B247" s="8" t="s">
        <v>2507</v>
      </c>
      <c r="C247" t="s">
        <v>10965</v>
      </c>
      <c r="F247" s="767" t="str">
        <f t="shared" si="0"/>
        <v>434.33.253-1  Труба</v>
      </c>
    </row>
    <row r="248" spans="1:6" x14ac:dyDescent="0.25">
      <c r="A248" s="8" t="s">
        <v>11148</v>
      </c>
      <c r="B248" s="8" t="s">
        <v>2507</v>
      </c>
      <c r="C248" t="s">
        <v>10965</v>
      </c>
      <c r="F248" s="767" t="str">
        <f t="shared" si="0"/>
        <v>434.33.255-1  Труба</v>
      </c>
    </row>
    <row r="249" spans="1:6" x14ac:dyDescent="0.25">
      <c r="A249" s="8" t="s">
        <v>11149</v>
      </c>
      <c r="B249" s="8" t="s">
        <v>2507</v>
      </c>
      <c r="C249" t="s">
        <v>10965</v>
      </c>
      <c r="F249" s="767" t="str">
        <f t="shared" si="0"/>
        <v>434.33.258-2  Труба</v>
      </c>
    </row>
    <row r="250" spans="1:6" x14ac:dyDescent="0.25">
      <c r="A250" s="8" t="s">
        <v>11150</v>
      </c>
      <c r="B250" s="8" t="s">
        <v>9926</v>
      </c>
      <c r="C250" t="s">
        <v>10965</v>
      </c>
      <c r="F250" s="767" t="str">
        <f t="shared" si="0"/>
        <v>434.33.260-1  Трубка</v>
      </c>
    </row>
    <row r="251" spans="1:6" x14ac:dyDescent="0.25">
      <c r="A251" s="8" t="s">
        <v>11151</v>
      </c>
      <c r="B251" s="8" t="s">
        <v>2507</v>
      </c>
      <c r="C251" t="s">
        <v>10965</v>
      </c>
      <c r="F251" s="767" t="str">
        <f t="shared" si="0"/>
        <v>434.33.262-2  Труба</v>
      </c>
    </row>
    <row r="252" spans="1:6" x14ac:dyDescent="0.25">
      <c r="A252" s="8" t="s">
        <v>11152</v>
      </c>
      <c r="B252" s="8" t="s">
        <v>2507</v>
      </c>
      <c r="C252" t="s">
        <v>10965</v>
      </c>
      <c r="F252" s="767" t="str">
        <f t="shared" ref="F252:F315" si="1">A252&amp;"  "&amp;B252</f>
        <v>434.33.276-1  Труба</v>
      </c>
    </row>
    <row r="253" spans="1:6" x14ac:dyDescent="0.25">
      <c r="A253" s="8" t="s">
        <v>11153</v>
      </c>
      <c r="B253" s="8" t="s">
        <v>2507</v>
      </c>
      <c r="C253" t="s">
        <v>10965</v>
      </c>
      <c r="F253" s="767" t="str">
        <f t="shared" si="1"/>
        <v>434.33.342-1  Труба</v>
      </c>
    </row>
    <row r="254" spans="1:6" x14ac:dyDescent="0.25">
      <c r="A254" s="8" t="s">
        <v>11156</v>
      </c>
      <c r="B254" s="8" t="s">
        <v>2507</v>
      </c>
      <c r="C254" t="s">
        <v>10965</v>
      </c>
      <c r="F254" s="767" t="str">
        <f t="shared" si="1"/>
        <v>434.33.379  Труба</v>
      </c>
    </row>
    <row r="255" spans="1:6" x14ac:dyDescent="0.25">
      <c r="A255" s="8" t="s">
        <v>11158</v>
      </c>
      <c r="B255" s="8" t="s">
        <v>9704</v>
      </c>
      <c r="C255" t="s">
        <v>10965</v>
      </c>
      <c r="F255" s="767" t="str">
        <f t="shared" si="1"/>
        <v>434.33.553  Щиток</v>
      </c>
    </row>
    <row r="256" spans="1:6" x14ac:dyDescent="0.25">
      <c r="A256" s="8" t="s">
        <v>11160</v>
      </c>
      <c r="B256" s="8" t="s">
        <v>2507</v>
      </c>
      <c r="C256" t="s">
        <v>10965</v>
      </c>
      <c r="F256" s="767" t="str">
        <f t="shared" si="1"/>
        <v>434.33.677-1  Труба</v>
      </c>
    </row>
    <row r="257" spans="1:6" x14ac:dyDescent="0.25">
      <c r="A257" s="8" t="s">
        <v>11118</v>
      </c>
      <c r="B257" s="8" t="s">
        <v>11119</v>
      </c>
      <c r="C257" t="s">
        <v>10965</v>
      </c>
      <c r="F257" s="767" t="str">
        <f t="shared" si="1"/>
        <v>434.39.011сб  Кільце</v>
      </c>
    </row>
    <row r="258" spans="1:6" x14ac:dyDescent="0.25">
      <c r="A258" s="8" t="s">
        <v>11162</v>
      </c>
      <c r="B258" s="8" t="s">
        <v>11163</v>
      </c>
      <c r="C258" t="s">
        <v>10965</v>
      </c>
      <c r="F258" s="767" t="str">
        <f t="shared" si="1"/>
        <v>434.60.002сб-4  ТРУБКА</v>
      </c>
    </row>
    <row r="259" spans="1:6" x14ac:dyDescent="0.25">
      <c r="A259" s="8" t="s">
        <v>11170</v>
      </c>
      <c r="B259" s="8" t="s">
        <v>9705</v>
      </c>
      <c r="C259" t="s">
        <v>10965</v>
      </c>
      <c r="F259" s="767" t="str">
        <f t="shared" si="1"/>
        <v>434.60.003сб-3  трубка</v>
      </c>
    </row>
    <row r="260" spans="1:6" x14ac:dyDescent="0.25">
      <c r="A260" s="8" t="s">
        <v>11171</v>
      </c>
      <c r="B260" s="8" t="s">
        <v>9705</v>
      </c>
      <c r="C260" t="s">
        <v>10965</v>
      </c>
      <c r="F260" s="767" t="str">
        <f t="shared" si="1"/>
        <v>434.60.004сб-4  трубка</v>
      </c>
    </row>
    <row r="261" spans="1:6" x14ac:dyDescent="0.25">
      <c r="A261" s="8" t="s">
        <v>11172</v>
      </c>
      <c r="B261" s="8" t="s">
        <v>9705</v>
      </c>
      <c r="C261" t="s">
        <v>10965</v>
      </c>
      <c r="F261" s="767" t="str">
        <f t="shared" si="1"/>
        <v>434.60.005сб-2  трубка</v>
      </c>
    </row>
    <row r="262" spans="1:6" x14ac:dyDescent="0.25">
      <c r="A262" s="8" t="s">
        <v>11173</v>
      </c>
      <c r="B262" s="8" t="s">
        <v>11174</v>
      </c>
      <c r="C262" t="s">
        <v>10965</v>
      </c>
      <c r="F262" s="767" t="str">
        <f t="shared" si="1"/>
        <v>434.60.011сб-1  трубка з монометра</v>
      </c>
    </row>
    <row r="263" spans="1:6" x14ac:dyDescent="0.25">
      <c r="A263" s="8" t="s">
        <v>11175</v>
      </c>
      <c r="B263" s="8" t="s">
        <v>9705</v>
      </c>
      <c r="C263" t="s">
        <v>10965</v>
      </c>
      <c r="F263" s="767" t="str">
        <f t="shared" si="1"/>
        <v>434.60.013сб-2  трубка</v>
      </c>
    </row>
    <row r="264" spans="1:6" x14ac:dyDescent="0.25">
      <c r="A264" s="8" t="s">
        <v>11176</v>
      </c>
      <c r="B264" s="8" t="s">
        <v>9705</v>
      </c>
      <c r="C264" t="s">
        <v>10965</v>
      </c>
      <c r="F264" s="767" t="str">
        <f t="shared" si="1"/>
        <v>434.60.014сб-2  трубка</v>
      </c>
    </row>
    <row r="265" spans="1:6" x14ac:dyDescent="0.25">
      <c r="A265" s="8" t="s">
        <v>11178</v>
      </c>
      <c r="B265" s="8" t="s">
        <v>9705</v>
      </c>
      <c r="C265" t="s">
        <v>10965</v>
      </c>
      <c r="F265" s="767" t="str">
        <f t="shared" si="1"/>
        <v>434.60.053сб-4  трубка</v>
      </c>
    </row>
    <row r="266" spans="1:6" x14ac:dyDescent="0.25">
      <c r="A266" s="8" t="s">
        <v>11179</v>
      </c>
      <c r="B266" s="8" t="s">
        <v>9705</v>
      </c>
      <c r="C266" t="s">
        <v>10965</v>
      </c>
      <c r="F266" s="767" t="str">
        <f t="shared" si="1"/>
        <v>434.60.059сб  трубка</v>
      </c>
    </row>
    <row r="267" spans="1:6" x14ac:dyDescent="0.25">
      <c r="A267" s="8" t="s">
        <v>11180</v>
      </c>
      <c r="B267" s="8" t="s">
        <v>9705</v>
      </c>
      <c r="C267" t="s">
        <v>10965</v>
      </c>
      <c r="F267" s="767" t="str">
        <f t="shared" si="1"/>
        <v>434.60.105сб-1  трубка</v>
      </c>
    </row>
    <row r="268" spans="1:6" x14ac:dyDescent="0.25">
      <c r="A268" s="8" t="s">
        <v>11181</v>
      </c>
      <c r="B268" s="8" t="s">
        <v>9705</v>
      </c>
      <c r="C268" t="s">
        <v>10965</v>
      </c>
      <c r="F268" s="767" t="str">
        <f t="shared" si="1"/>
        <v>434.60.113сб  трубка</v>
      </c>
    </row>
    <row r="269" spans="1:6" x14ac:dyDescent="0.25">
      <c r="A269" s="8" t="s">
        <v>11182</v>
      </c>
      <c r="B269" s="8" t="s">
        <v>9705</v>
      </c>
      <c r="C269" t="s">
        <v>10965</v>
      </c>
      <c r="F269" s="767" t="str">
        <f t="shared" si="1"/>
        <v>434.60.114сб  трубка</v>
      </c>
    </row>
    <row r="270" spans="1:6" x14ac:dyDescent="0.25">
      <c r="A270" s="8" t="s">
        <v>11183</v>
      </c>
      <c r="B270" s="8" t="s">
        <v>9705</v>
      </c>
      <c r="C270" t="s">
        <v>10965</v>
      </c>
      <c r="F270" s="767" t="str">
        <f t="shared" si="1"/>
        <v>434.60.115сб  трубка</v>
      </c>
    </row>
    <row r="271" spans="1:6" x14ac:dyDescent="0.25">
      <c r="A271" s="8" t="s">
        <v>11184</v>
      </c>
      <c r="B271" s="8" t="s">
        <v>9705</v>
      </c>
      <c r="C271" t="s">
        <v>10965</v>
      </c>
      <c r="F271" s="767" t="str">
        <f t="shared" si="1"/>
        <v>434.60.117сб  трубка</v>
      </c>
    </row>
    <row r="272" spans="1:6" x14ac:dyDescent="0.25">
      <c r="A272" s="8" t="s">
        <v>11185</v>
      </c>
      <c r="B272" s="8" t="s">
        <v>9705</v>
      </c>
      <c r="C272" t="s">
        <v>10965</v>
      </c>
      <c r="F272" s="767" t="str">
        <f t="shared" si="1"/>
        <v>434.60.118сб  трубка</v>
      </c>
    </row>
    <row r="273" spans="1:6" x14ac:dyDescent="0.25">
      <c r="A273" s="8" t="s">
        <v>11154</v>
      </c>
      <c r="B273" s="8" t="s">
        <v>9926</v>
      </c>
      <c r="C273" t="s">
        <v>10965</v>
      </c>
      <c r="F273" s="767" t="str">
        <f t="shared" si="1"/>
        <v>434.66.008сб  Трубка</v>
      </c>
    </row>
    <row r="274" spans="1:6" x14ac:dyDescent="0.25">
      <c r="A274" s="8" t="s">
        <v>11155</v>
      </c>
      <c r="B274" s="8" t="s">
        <v>9926</v>
      </c>
      <c r="C274" t="s">
        <v>10965</v>
      </c>
      <c r="F274" s="767" t="str">
        <f t="shared" si="1"/>
        <v>434.66.016сб  Трубка</v>
      </c>
    </row>
    <row r="275" spans="1:6" x14ac:dyDescent="0.25">
      <c r="A275" s="8" t="s">
        <v>10987</v>
      </c>
      <c r="B275" s="8" t="s">
        <v>9926</v>
      </c>
      <c r="C275" t="s">
        <v>10965</v>
      </c>
      <c r="F275" s="767" t="str">
        <f t="shared" si="1"/>
        <v>434.67.001сб  Трубка</v>
      </c>
    </row>
    <row r="276" spans="1:6" x14ac:dyDescent="0.25">
      <c r="A276" s="8" t="s">
        <v>10988</v>
      </c>
      <c r="B276" s="8" t="s">
        <v>9926</v>
      </c>
      <c r="C276" t="s">
        <v>10965</v>
      </c>
      <c r="F276" s="767" t="str">
        <f t="shared" si="1"/>
        <v>434.67.003сб-3  Трубка</v>
      </c>
    </row>
    <row r="277" spans="1:6" x14ac:dyDescent="0.25">
      <c r="A277" s="8" t="s">
        <v>10989</v>
      </c>
      <c r="B277" s="8" t="s">
        <v>9926</v>
      </c>
      <c r="C277" t="s">
        <v>10965</v>
      </c>
      <c r="F277" s="767" t="str">
        <f t="shared" si="1"/>
        <v>434.67.004сб-2  Трубка</v>
      </c>
    </row>
    <row r="278" spans="1:6" x14ac:dyDescent="0.25">
      <c r="A278" s="8" t="s">
        <v>10990</v>
      </c>
      <c r="B278" s="8" t="s">
        <v>9926</v>
      </c>
      <c r="C278" t="s">
        <v>10965</v>
      </c>
      <c r="F278" s="767" t="str">
        <f t="shared" si="1"/>
        <v>434.67.007сб  Трубка</v>
      </c>
    </row>
    <row r="279" spans="1:6" x14ac:dyDescent="0.25">
      <c r="A279" s="8" t="s">
        <v>10991</v>
      </c>
      <c r="B279" s="8" t="s">
        <v>9926</v>
      </c>
      <c r="C279" t="s">
        <v>10965</v>
      </c>
      <c r="F279" s="767" t="str">
        <f t="shared" si="1"/>
        <v>434.67.008сб  Трубка</v>
      </c>
    </row>
    <row r="280" spans="1:6" x14ac:dyDescent="0.25">
      <c r="A280" s="8" t="s">
        <v>11116</v>
      </c>
      <c r="B280" s="8" t="s">
        <v>11117</v>
      </c>
      <c r="C280" t="s">
        <v>10965</v>
      </c>
      <c r="F280" s="767" t="str">
        <f t="shared" si="1"/>
        <v>434.70.194сб  корзина аккумулятора</v>
      </c>
    </row>
    <row r="281" spans="1:6" x14ac:dyDescent="0.25">
      <c r="A281" s="8" t="s">
        <v>11207</v>
      </c>
      <c r="B281" s="8" t="s">
        <v>11208</v>
      </c>
      <c r="C281" t="s">
        <v>10965</v>
      </c>
      <c r="F281" s="767" t="str">
        <f t="shared" si="1"/>
        <v>434.71.179  Кронштейн правий</v>
      </c>
    </row>
    <row r="282" spans="1:6" x14ac:dyDescent="0.25">
      <c r="A282" s="8" t="s">
        <v>11209</v>
      </c>
      <c r="B282" s="8" t="s">
        <v>11210</v>
      </c>
      <c r="C282" t="s">
        <v>10965</v>
      </c>
      <c r="F282" s="767" t="str">
        <f t="shared" si="1"/>
        <v>434.71.180  Кронштейн лівий</v>
      </c>
    </row>
    <row r="283" spans="1:6" x14ac:dyDescent="0.25">
      <c r="A283" s="8" t="s">
        <v>11238</v>
      </c>
      <c r="B283" s="8" t="s">
        <v>11239</v>
      </c>
      <c r="C283" t="s">
        <v>10965</v>
      </c>
      <c r="F283" s="767" t="str">
        <f t="shared" si="1"/>
        <v>434.82.015сб-3  Стелаж</v>
      </c>
    </row>
    <row r="284" spans="1:6" x14ac:dyDescent="0.25">
      <c r="A284" s="8" t="s">
        <v>11241</v>
      </c>
      <c r="B284" s="8" t="s">
        <v>11242</v>
      </c>
      <c r="C284" t="s">
        <v>10965</v>
      </c>
      <c r="F284" s="767" t="str">
        <f t="shared" si="1"/>
        <v>434.82.017сб-5  Лента</v>
      </c>
    </row>
    <row r="285" spans="1:6" x14ac:dyDescent="0.25">
      <c r="A285" s="8" t="s">
        <v>11243</v>
      </c>
      <c r="B285" s="8" t="s">
        <v>9926</v>
      </c>
      <c r="C285" t="s">
        <v>10965</v>
      </c>
      <c r="F285" s="767" t="str">
        <f t="shared" si="1"/>
        <v>434.82.137сб  Трубка</v>
      </c>
    </row>
    <row r="286" spans="1:6" x14ac:dyDescent="0.25">
      <c r="A286" s="8" t="s">
        <v>11076</v>
      </c>
      <c r="B286" s="8" t="s">
        <v>11077</v>
      </c>
      <c r="C286" t="s">
        <v>10965</v>
      </c>
      <c r="F286" s="767" t="str">
        <f t="shared" si="1"/>
        <v>434.83.028сб  Ящик</v>
      </c>
    </row>
    <row r="287" spans="1:6" x14ac:dyDescent="0.25">
      <c r="A287" s="8" t="s">
        <v>11130</v>
      </c>
      <c r="B287" s="8" t="s">
        <v>9323</v>
      </c>
      <c r="C287" t="s">
        <v>10965</v>
      </c>
      <c r="F287" s="767" t="str">
        <f t="shared" si="1"/>
        <v>434.83.033сб  Стрічка</v>
      </c>
    </row>
    <row r="288" spans="1:6" x14ac:dyDescent="0.25">
      <c r="A288" s="8" t="s">
        <v>11246</v>
      </c>
      <c r="B288" s="8" t="s">
        <v>10854</v>
      </c>
      <c r="C288" t="s">
        <v>10965</v>
      </c>
      <c r="F288" s="767" t="str">
        <f t="shared" si="1"/>
        <v>434.85.002сб-3  сопло</v>
      </c>
    </row>
    <row r="289" spans="1:6" x14ac:dyDescent="0.25">
      <c r="A289" s="8" t="s">
        <v>11164</v>
      </c>
      <c r="B289" s="8" t="s">
        <v>9926</v>
      </c>
      <c r="C289" t="s">
        <v>10965</v>
      </c>
      <c r="F289" s="767" t="str">
        <f t="shared" si="1"/>
        <v>434.85.003сб-3  Трубка</v>
      </c>
    </row>
    <row r="290" spans="1:6" x14ac:dyDescent="0.25">
      <c r="A290" s="8" t="s">
        <v>11165</v>
      </c>
      <c r="B290" s="8" t="s">
        <v>11166</v>
      </c>
      <c r="C290" t="s">
        <v>10965</v>
      </c>
      <c r="F290" s="767" t="str">
        <f t="shared" si="1"/>
        <v>434.85.008сб-4  Трубка с тройником</v>
      </c>
    </row>
    <row r="291" spans="1:6" x14ac:dyDescent="0.25">
      <c r="A291" s="8" t="s">
        <v>11167</v>
      </c>
      <c r="B291" s="8" t="s">
        <v>11168</v>
      </c>
      <c r="C291" t="s">
        <v>10965</v>
      </c>
      <c r="F291" s="767" t="str">
        <f t="shared" si="1"/>
        <v>434.85.010сб-2  Трубка (від клапана до  дозатора)</v>
      </c>
    </row>
    <row r="292" spans="1:6" x14ac:dyDescent="0.25">
      <c r="A292" s="8" t="s">
        <v>11169</v>
      </c>
      <c r="B292" s="8" t="s">
        <v>11103</v>
      </c>
      <c r="C292" t="s">
        <v>10965</v>
      </c>
      <c r="F292" s="767" t="str">
        <f t="shared" si="1"/>
        <v>434.85.012сб  Фільтр</v>
      </c>
    </row>
    <row r="293" spans="1:6" x14ac:dyDescent="0.25">
      <c r="A293" s="8" t="s">
        <v>11177</v>
      </c>
      <c r="B293" s="8" t="s">
        <v>9709</v>
      </c>
      <c r="C293" t="s">
        <v>10965</v>
      </c>
      <c r="F293" s="767" t="str">
        <f t="shared" si="1"/>
        <v>434.85.038  Прокладка</v>
      </c>
    </row>
    <row r="294" spans="1:6" x14ac:dyDescent="0.25">
      <c r="A294" s="8" t="s">
        <v>11187</v>
      </c>
      <c r="B294" s="8" t="s">
        <v>9926</v>
      </c>
      <c r="C294" t="s">
        <v>10965</v>
      </c>
      <c r="F294" s="767" t="str">
        <f t="shared" si="1"/>
        <v>434.86.250сб-3  Трубка</v>
      </c>
    </row>
    <row r="295" spans="1:6" x14ac:dyDescent="0.25">
      <c r="A295" s="8" t="s">
        <v>10994</v>
      </c>
      <c r="B295" s="8" t="s">
        <v>9323</v>
      </c>
      <c r="C295" t="s">
        <v>10965</v>
      </c>
      <c r="F295" s="767" t="str">
        <f t="shared" si="1"/>
        <v>434.91.109сб  Стрічка</v>
      </c>
    </row>
    <row r="296" spans="1:6" x14ac:dyDescent="0.25">
      <c r="A296" s="8" t="s">
        <v>11188</v>
      </c>
      <c r="B296" s="8" t="s">
        <v>9704</v>
      </c>
      <c r="C296" t="s">
        <v>10965</v>
      </c>
      <c r="F296" s="767" t="str">
        <f t="shared" si="1"/>
        <v>437.86.014сб  Щиток</v>
      </c>
    </row>
    <row r="297" spans="1:6" x14ac:dyDescent="0.25">
      <c r="A297" s="8" t="s">
        <v>11248</v>
      </c>
      <c r="B297" s="8" t="s">
        <v>10910</v>
      </c>
      <c r="C297" t="s">
        <v>10965</v>
      </c>
      <c r="F297" s="767" t="str">
        <f t="shared" si="1"/>
        <v>447.70.014-1  Наконечник</v>
      </c>
    </row>
    <row r="298" spans="1:6" x14ac:dyDescent="0.25">
      <c r="A298" s="8" t="s">
        <v>11249</v>
      </c>
      <c r="B298" s="8" t="s">
        <v>11250</v>
      </c>
      <c r="C298" t="s">
        <v>10965</v>
      </c>
      <c r="F298" s="767" t="str">
        <f t="shared" si="1"/>
        <v>447.77.060сб-2  Панель</v>
      </c>
    </row>
    <row r="299" spans="1:6" x14ac:dyDescent="0.25">
      <c r="A299" s="8" t="s">
        <v>11193</v>
      </c>
      <c r="B299" s="8" t="s">
        <v>9926</v>
      </c>
      <c r="C299" t="s">
        <v>10965</v>
      </c>
      <c r="F299" s="767" t="str">
        <f t="shared" si="1"/>
        <v>447.86.090сб-2  Трубка</v>
      </c>
    </row>
    <row r="300" spans="1:6" x14ac:dyDescent="0.25">
      <c r="A300" s="8" t="s">
        <v>11034</v>
      </c>
      <c r="B300" s="8" t="s">
        <v>2507</v>
      </c>
      <c r="C300" t="s">
        <v>10965</v>
      </c>
      <c r="F300" s="767" t="str">
        <f t="shared" si="1"/>
        <v>447А.31.030сб  Труба</v>
      </c>
    </row>
    <row r="301" spans="1:6" x14ac:dyDescent="0.25">
      <c r="A301" s="8" t="s">
        <v>11211</v>
      </c>
      <c r="B301" s="8" t="s">
        <v>10900</v>
      </c>
      <c r="C301" t="s">
        <v>10965</v>
      </c>
      <c r="F301" s="767" t="str">
        <f t="shared" si="1"/>
        <v>447А.71.002  Кронштейн</v>
      </c>
    </row>
    <row r="302" spans="1:6" x14ac:dyDescent="0.25">
      <c r="A302" s="8" t="s">
        <v>11244</v>
      </c>
      <c r="B302" s="8" t="s">
        <v>9926</v>
      </c>
      <c r="C302" t="s">
        <v>10965</v>
      </c>
      <c r="F302" s="767" t="str">
        <f t="shared" si="1"/>
        <v>447А.82.010сб  Трубка</v>
      </c>
    </row>
    <row r="303" spans="1:6" x14ac:dyDescent="0.25">
      <c r="A303" s="8" t="s">
        <v>11245</v>
      </c>
      <c r="B303" s="8" t="s">
        <v>9926</v>
      </c>
      <c r="C303" t="s">
        <v>10965</v>
      </c>
      <c r="F303" s="767" t="str">
        <f t="shared" si="1"/>
        <v>447А.82.020сб  Трубка</v>
      </c>
    </row>
    <row r="304" spans="1:6" x14ac:dyDescent="0.25">
      <c r="A304" s="8" t="s">
        <v>11189</v>
      </c>
      <c r="B304" s="8" t="s">
        <v>9926</v>
      </c>
      <c r="C304" t="s">
        <v>10965</v>
      </c>
      <c r="F304" s="767" t="str">
        <f t="shared" si="1"/>
        <v>447А.86.010сб-2  Трубка</v>
      </c>
    </row>
    <row r="305" spans="1:6" x14ac:dyDescent="0.25">
      <c r="A305" s="8" t="s">
        <v>11190</v>
      </c>
      <c r="B305" s="8" t="s">
        <v>9926</v>
      </c>
      <c r="C305" t="s">
        <v>10965</v>
      </c>
      <c r="F305" s="767" t="str">
        <f t="shared" si="1"/>
        <v>447А.86.020сб-2  Трубка</v>
      </c>
    </row>
    <row r="306" spans="1:6" x14ac:dyDescent="0.25">
      <c r="A306" s="8" t="s">
        <v>11191</v>
      </c>
      <c r="B306" s="8" t="s">
        <v>9926</v>
      </c>
      <c r="C306" t="s">
        <v>10965</v>
      </c>
      <c r="F306" s="767" t="str">
        <f t="shared" si="1"/>
        <v>447А.86.030сб-2  Трубка</v>
      </c>
    </row>
    <row r="307" spans="1:6" x14ac:dyDescent="0.25">
      <c r="A307" s="8" t="s">
        <v>11192</v>
      </c>
      <c r="B307" s="8" t="s">
        <v>9926</v>
      </c>
      <c r="C307" t="s">
        <v>10965</v>
      </c>
      <c r="F307" s="767" t="str">
        <f t="shared" si="1"/>
        <v>447А.86.040сб-1  Трубка</v>
      </c>
    </row>
    <row r="308" spans="1:6" x14ac:dyDescent="0.25">
      <c r="A308" s="8" t="s">
        <v>11194</v>
      </c>
      <c r="B308" s="8" t="s">
        <v>9926</v>
      </c>
      <c r="C308" t="s">
        <v>10965</v>
      </c>
      <c r="F308" s="767" t="str">
        <f t="shared" si="1"/>
        <v>447А.86.430сб-1  Трубка</v>
      </c>
    </row>
    <row r="309" spans="1:6" x14ac:dyDescent="0.25">
      <c r="A309" s="8" t="s">
        <v>11195</v>
      </c>
      <c r="B309" s="8" t="s">
        <v>9926</v>
      </c>
      <c r="C309" t="s">
        <v>10965</v>
      </c>
      <c r="F309" s="767" t="str">
        <f t="shared" si="1"/>
        <v>447А.86.660сб  Трубка</v>
      </c>
    </row>
    <row r="310" spans="1:6" x14ac:dyDescent="0.25">
      <c r="A310" s="8" t="s">
        <v>11196</v>
      </c>
      <c r="B310" s="8" t="s">
        <v>9926</v>
      </c>
      <c r="C310" t="s">
        <v>10965</v>
      </c>
      <c r="F310" s="767" t="str">
        <f t="shared" si="1"/>
        <v>447А.86.670сб  Трубка</v>
      </c>
    </row>
    <row r="311" spans="1:6" x14ac:dyDescent="0.25">
      <c r="A311" s="8" t="s">
        <v>11197</v>
      </c>
      <c r="B311" s="8" t="s">
        <v>9926</v>
      </c>
      <c r="C311" t="s">
        <v>10965</v>
      </c>
      <c r="F311" s="767" t="str">
        <f t="shared" si="1"/>
        <v>447А.86.690сб  Трубка</v>
      </c>
    </row>
    <row r="312" spans="1:6" x14ac:dyDescent="0.25">
      <c r="A312" s="8" t="s">
        <v>11198</v>
      </c>
      <c r="B312" s="8" t="s">
        <v>9926</v>
      </c>
      <c r="C312" t="s">
        <v>10965</v>
      </c>
      <c r="F312" s="767" t="str">
        <f t="shared" si="1"/>
        <v>447А.86.700сб  Трубка</v>
      </c>
    </row>
    <row r="313" spans="1:6" x14ac:dyDescent="0.25">
      <c r="A313" s="8" t="s">
        <v>11199</v>
      </c>
      <c r="B313" s="8" t="s">
        <v>9926</v>
      </c>
      <c r="C313" t="s">
        <v>10965</v>
      </c>
      <c r="F313" s="767" t="str">
        <f t="shared" si="1"/>
        <v>447А.86.710сб  Трубка</v>
      </c>
    </row>
    <row r="314" spans="1:6" x14ac:dyDescent="0.25">
      <c r="A314" s="8" t="s">
        <v>11200</v>
      </c>
      <c r="B314" s="8" t="s">
        <v>9926</v>
      </c>
      <c r="C314" t="s">
        <v>10965</v>
      </c>
      <c r="F314" s="767" t="str">
        <f t="shared" si="1"/>
        <v>447А.86.720сб  Трубка</v>
      </c>
    </row>
    <row r="315" spans="1:6" x14ac:dyDescent="0.25">
      <c r="A315" s="8" t="s">
        <v>11201</v>
      </c>
      <c r="B315" s="8" t="s">
        <v>9926</v>
      </c>
      <c r="C315" t="s">
        <v>10965</v>
      </c>
      <c r="F315" s="767" t="str">
        <f t="shared" si="1"/>
        <v>447А.86.730сб  Трубка</v>
      </c>
    </row>
    <row r="316" spans="1:6" x14ac:dyDescent="0.25">
      <c r="A316" s="8" t="s">
        <v>11202</v>
      </c>
      <c r="B316" s="8" t="s">
        <v>9926</v>
      </c>
      <c r="C316" t="s">
        <v>10965</v>
      </c>
      <c r="F316" s="767" t="str">
        <f t="shared" ref="F316:F327" si="2">A316&amp;"  "&amp;B316</f>
        <v>447А.86.740сб-1  Трубка</v>
      </c>
    </row>
    <row r="317" spans="1:6" x14ac:dyDescent="0.25">
      <c r="A317" s="8" t="s">
        <v>11203</v>
      </c>
      <c r="B317" s="8" t="s">
        <v>9926</v>
      </c>
      <c r="C317" t="s">
        <v>10965</v>
      </c>
      <c r="F317" s="767" t="str">
        <f t="shared" si="2"/>
        <v>447А.86.750сб  Трубка</v>
      </c>
    </row>
    <row r="318" spans="1:6" x14ac:dyDescent="0.25">
      <c r="A318" s="8" t="s">
        <v>11204</v>
      </c>
      <c r="B318" s="8" t="s">
        <v>9926</v>
      </c>
      <c r="C318" t="s">
        <v>10965</v>
      </c>
      <c r="F318" s="767" t="str">
        <f t="shared" si="2"/>
        <v>447А.86.760сб  Трубка</v>
      </c>
    </row>
    <row r="319" spans="1:6" x14ac:dyDescent="0.25">
      <c r="A319" s="8" t="s">
        <v>11205</v>
      </c>
      <c r="B319" s="8" t="s">
        <v>9926</v>
      </c>
      <c r="C319" t="s">
        <v>10965</v>
      </c>
      <c r="F319" s="767" t="str">
        <f t="shared" si="2"/>
        <v>447А.86.770сб  Трубка</v>
      </c>
    </row>
    <row r="320" spans="1:6" x14ac:dyDescent="0.25">
      <c r="A320" s="8" t="s">
        <v>11206</v>
      </c>
      <c r="B320" s="8" t="s">
        <v>9926</v>
      </c>
      <c r="C320" t="s">
        <v>10965</v>
      </c>
      <c r="F320" s="767" t="str">
        <f t="shared" si="2"/>
        <v>447А.86.780сб  Трубка</v>
      </c>
    </row>
    <row r="321" spans="1:7" x14ac:dyDescent="0.25">
      <c r="A321" s="8" t="s">
        <v>10971</v>
      </c>
      <c r="B321" s="8" t="s">
        <v>10972</v>
      </c>
      <c r="C321" t="s">
        <v>10965</v>
      </c>
      <c r="F321" s="767" t="str">
        <f t="shared" si="2"/>
        <v>476.31.150сб  Клапан паровоздушный</v>
      </c>
    </row>
    <row r="322" spans="1:7" x14ac:dyDescent="0.25">
      <c r="A322" s="8" t="s">
        <v>11212</v>
      </c>
      <c r="B322" s="8" t="s">
        <v>9925</v>
      </c>
      <c r="C322" t="s">
        <v>10965</v>
      </c>
      <c r="F322" s="767" t="str">
        <f t="shared" si="2"/>
        <v>8.01.019 ГОСТ 11371-78  Шайба</v>
      </c>
    </row>
    <row r="323" spans="1:7" x14ac:dyDescent="0.25">
      <c r="A323" s="8" t="s">
        <v>11097</v>
      </c>
      <c r="B323" s="8" t="s">
        <v>11098</v>
      </c>
      <c r="C323" t="s">
        <v>10965</v>
      </c>
      <c r="F323" s="767" t="str">
        <f t="shared" si="2"/>
        <v>ОСТ3-408-70 СХ  стрічка хомута 3м</v>
      </c>
    </row>
    <row r="324" spans="1:7" x14ac:dyDescent="0.25">
      <c r="A324" s="8" t="s">
        <v>11032</v>
      </c>
      <c r="B324" s="8" t="s">
        <v>10865</v>
      </c>
      <c r="C324" t="s">
        <v>10965</v>
      </c>
      <c r="F324" s="767" t="str">
        <f t="shared" si="2"/>
        <v>Х01 24х9  Хомут</v>
      </c>
    </row>
    <row r="325" spans="1:7" x14ac:dyDescent="0.25">
      <c r="A325" s="8" t="s">
        <v>11104</v>
      </c>
      <c r="B325" s="8" t="s">
        <v>11105</v>
      </c>
      <c r="C325" t="s">
        <v>11099</v>
      </c>
      <c r="F325" s="767" t="str">
        <f t="shared" si="2"/>
        <v>307-12  Замок</v>
      </c>
    </row>
    <row r="326" spans="1:7" x14ac:dyDescent="0.25">
      <c r="A326" s="8" t="s">
        <v>11225</v>
      </c>
      <c r="B326" s="8" t="s">
        <v>11226</v>
      </c>
      <c r="C326" t="s">
        <v>11099</v>
      </c>
      <c r="F326" s="767" t="str">
        <f t="shared" si="2"/>
        <v>353-20-2  Шайба пластинчаста</v>
      </c>
    </row>
    <row r="327" spans="1:7" x14ac:dyDescent="0.25">
      <c r="A327" s="8" t="s">
        <v>10957</v>
      </c>
      <c r="B327" s="8" t="s">
        <v>10958</v>
      </c>
      <c r="C327" t="s">
        <v>11099</v>
      </c>
      <c r="F327" s="767" t="str">
        <f t="shared" si="2"/>
        <v>355-10  Кільце ущільнююче 24х30 МН 4152-62</v>
      </c>
    </row>
    <row r="329" spans="1:7" x14ac:dyDescent="0.25">
      <c r="A329"/>
      <c r="B329"/>
    </row>
    <row r="330" spans="1:7" x14ac:dyDescent="0.25">
      <c r="A330"/>
      <c r="B330"/>
    </row>
    <row r="331" spans="1:7" x14ac:dyDescent="0.25">
      <c r="A331"/>
      <c r="B331"/>
    </row>
    <row r="332" spans="1:7" x14ac:dyDescent="0.25">
      <c r="A332" t="s">
        <v>11247</v>
      </c>
      <c r="B332" t="s">
        <v>9705</v>
      </c>
      <c r="E332" t="s">
        <v>10655</v>
      </c>
      <c r="G332" t="str">
        <f>A332&amp;"  "&amp;B332</f>
        <v>219-96сб-176  трубка</v>
      </c>
    </row>
    <row r="333" spans="1:7" x14ac:dyDescent="0.25">
      <c r="A333" t="s">
        <v>11108</v>
      </c>
      <c r="B333" t="s">
        <v>10865</v>
      </c>
      <c r="E333" t="s">
        <v>10655</v>
      </c>
      <c r="G333" s="767" t="str">
        <f t="shared" ref="G333:G396" si="3">A333&amp;"  "&amp;B333</f>
        <v>432.31.049сб  Хомут</v>
      </c>
    </row>
    <row r="334" spans="1:7" x14ac:dyDescent="0.25">
      <c r="A334" t="s">
        <v>11743</v>
      </c>
      <c r="B334" t="s">
        <v>11744</v>
      </c>
      <c r="E334" t="s">
        <v>10655</v>
      </c>
      <c r="G334" s="767" t="str">
        <f t="shared" si="3"/>
        <v>432.31.244  Муфта</v>
      </c>
    </row>
    <row r="335" spans="1:7" x14ac:dyDescent="0.25">
      <c r="A335" t="s">
        <v>11754</v>
      </c>
      <c r="B335" t="s">
        <v>11755</v>
      </c>
      <c r="E335" t="s">
        <v>10655</v>
      </c>
      <c r="G335" s="767" t="str">
        <f t="shared" si="3"/>
        <v>432.31.356сб-1  Ніпель</v>
      </c>
    </row>
    <row r="336" spans="1:7" x14ac:dyDescent="0.25">
      <c r="A336" t="s">
        <v>11769</v>
      </c>
      <c r="B336" t="s">
        <v>11770</v>
      </c>
      <c r="E336" t="s">
        <v>10655</v>
      </c>
      <c r="G336" s="767" t="str">
        <f t="shared" si="3"/>
        <v>432.32.052сб  Сапун</v>
      </c>
    </row>
    <row r="337" spans="1:7" x14ac:dyDescent="0.25">
      <c r="A337" t="s">
        <v>11737</v>
      </c>
      <c r="B337" t="s">
        <v>10865</v>
      </c>
      <c r="E337" t="s">
        <v>10655</v>
      </c>
      <c r="G337" s="767" t="str">
        <f t="shared" si="3"/>
        <v>432.32.078сб  Хомут</v>
      </c>
    </row>
    <row r="338" spans="1:7" x14ac:dyDescent="0.25">
      <c r="A338" t="s">
        <v>11737</v>
      </c>
      <c r="B338" t="s">
        <v>10865</v>
      </c>
      <c r="E338" t="s">
        <v>10655</v>
      </c>
      <c r="G338" s="767" t="str">
        <f t="shared" si="3"/>
        <v>432.32.078сб  Хомут</v>
      </c>
    </row>
    <row r="339" spans="1:7" x14ac:dyDescent="0.25">
      <c r="A339" t="s">
        <v>11768</v>
      </c>
      <c r="B339" t="s">
        <v>11126</v>
      </c>
      <c r="E339" t="s">
        <v>10655</v>
      </c>
      <c r="G339" s="767" t="str">
        <f t="shared" si="3"/>
        <v>432.32.269-1  Манжета</v>
      </c>
    </row>
    <row r="340" spans="1:7" x14ac:dyDescent="0.25">
      <c r="A340" t="s">
        <v>11711</v>
      </c>
      <c r="B340" t="s">
        <v>11712</v>
      </c>
      <c r="E340" t="s">
        <v>10655</v>
      </c>
      <c r="G340" s="767" t="str">
        <f t="shared" si="3"/>
        <v>432.32.314-1  Рукав</v>
      </c>
    </row>
    <row r="341" spans="1:7" x14ac:dyDescent="0.25">
      <c r="A341" t="s">
        <v>11121</v>
      </c>
      <c r="B341" t="s">
        <v>11122</v>
      </c>
      <c r="E341" t="s">
        <v>10655</v>
      </c>
      <c r="G341" s="767" t="str">
        <f t="shared" si="3"/>
        <v>432.33.042сб-4  Фільтр паливний грубої очистки</v>
      </c>
    </row>
    <row r="342" spans="1:7" x14ac:dyDescent="0.25">
      <c r="A342" t="s">
        <v>11145</v>
      </c>
      <c r="B342" t="s">
        <v>11146</v>
      </c>
      <c r="E342" t="s">
        <v>10655</v>
      </c>
      <c r="G342" s="767" t="str">
        <f t="shared" si="3"/>
        <v>432.33.072сб-2  Клапан відключення підігрівача</v>
      </c>
    </row>
    <row r="343" spans="1:7" x14ac:dyDescent="0.25">
      <c r="A343" t="s">
        <v>11767</v>
      </c>
      <c r="B343" t="s">
        <v>9709</v>
      </c>
      <c r="E343" t="s">
        <v>10655</v>
      </c>
      <c r="G343" s="767" t="str">
        <f t="shared" si="3"/>
        <v>432.33.142-1  Прокладка</v>
      </c>
    </row>
    <row r="344" spans="1:7" x14ac:dyDescent="0.25">
      <c r="A344" t="s">
        <v>11726</v>
      </c>
      <c r="B344" t="s">
        <v>9709</v>
      </c>
      <c r="E344" t="s">
        <v>10655</v>
      </c>
      <c r="G344" s="767" t="str">
        <f t="shared" si="3"/>
        <v>432.33.175-1  Прокладка</v>
      </c>
    </row>
    <row r="345" spans="1:7" x14ac:dyDescent="0.25">
      <c r="A345" t="s">
        <v>11128</v>
      </c>
      <c r="B345" t="s">
        <v>11129</v>
      </c>
      <c r="E345" t="s">
        <v>10655</v>
      </c>
      <c r="G345" s="767" t="str">
        <f t="shared" si="3"/>
        <v>432.33.195-1  Пробка</v>
      </c>
    </row>
    <row r="346" spans="1:7" x14ac:dyDescent="0.25">
      <c r="A346" t="s">
        <v>11128</v>
      </c>
      <c r="B346" t="s">
        <v>11129</v>
      </c>
      <c r="E346" t="s">
        <v>10655</v>
      </c>
      <c r="G346" s="767" t="str">
        <f t="shared" si="3"/>
        <v>432.33.195-1  Пробка</v>
      </c>
    </row>
    <row r="347" spans="1:7" x14ac:dyDescent="0.25">
      <c r="A347" t="s">
        <v>11128</v>
      </c>
      <c r="B347" t="s">
        <v>11129</v>
      </c>
      <c r="E347" t="s">
        <v>10655</v>
      </c>
      <c r="G347" s="767" t="str">
        <f t="shared" si="3"/>
        <v>432.33.195-1  Пробка</v>
      </c>
    </row>
    <row r="348" spans="1:7" x14ac:dyDescent="0.25">
      <c r="A348" t="s">
        <v>11727</v>
      </c>
      <c r="B348" t="s">
        <v>9709</v>
      </c>
      <c r="E348" t="s">
        <v>10655</v>
      </c>
      <c r="G348" s="767" t="str">
        <f t="shared" si="3"/>
        <v>432.33.383-1  Прокладка</v>
      </c>
    </row>
    <row r="349" spans="1:7" x14ac:dyDescent="0.25">
      <c r="A349" t="s">
        <v>11758</v>
      </c>
      <c r="B349" t="s">
        <v>10962</v>
      </c>
      <c r="E349" t="s">
        <v>10655</v>
      </c>
      <c r="G349" s="767" t="str">
        <f t="shared" si="3"/>
        <v>432.33.415-1  Скоба</v>
      </c>
    </row>
    <row r="350" spans="1:7" x14ac:dyDescent="0.25">
      <c r="A350" t="s">
        <v>11738</v>
      </c>
      <c r="B350" t="s">
        <v>11119</v>
      </c>
      <c r="E350" t="s">
        <v>10655</v>
      </c>
      <c r="G350" s="767" t="str">
        <f t="shared" si="3"/>
        <v>432.33.551  Кільце</v>
      </c>
    </row>
    <row r="351" spans="1:7" x14ac:dyDescent="0.25">
      <c r="A351" t="s">
        <v>11728</v>
      </c>
      <c r="B351" t="s">
        <v>9709</v>
      </c>
      <c r="E351" t="s">
        <v>10655</v>
      </c>
      <c r="G351" s="767" t="str">
        <f t="shared" si="3"/>
        <v>432.33.597  Прокладка</v>
      </c>
    </row>
    <row r="352" spans="1:7" x14ac:dyDescent="0.25">
      <c r="A352" t="s">
        <v>11728</v>
      </c>
      <c r="B352" t="s">
        <v>9709</v>
      </c>
      <c r="E352" t="s">
        <v>10655</v>
      </c>
      <c r="G352" s="767" t="str">
        <f t="shared" si="3"/>
        <v>432.33.597  Прокладка</v>
      </c>
    </row>
    <row r="353" spans="1:7" x14ac:dyDescent="0.25">
      <c r="A353" t="s">
        <v>11110</v>
      </c>
      <c r="B353" t="s">
        <v>9709</v>
      </c>
      <c r="E353" t="s">
        <v>10655</v>
      </c>
      <c r="G353" s="767" t="str">
        <f t="shared" si="3"/>
        <v>432.35.023сб-1  Прокладка</v>
      </c>
    </row>
    <row r="354" spans="1:7" x14ac:dyDescent="0.25">
      <c r="A354" t="s">
        <v>11714</v>
      </c>
      <c r="B354" t="s">
        <v>11715</v>
      </c>
      <c r="E354" t="s">
        <v>10655</v>
      </c>
      <c r="G354" s="767" t="str">
        <f t="shared" si="3"/>
        <v>432.37.004сб-1  Корпус з патрубками</v>
      </c>
    </row>
    <row r="355" spans="1:7" x14ac:dyDescent="0.25">
      <c r="A355" t="s">
        <v>11716</v>
      </c>
      <c r="B355" t="s">
        <v>11717</v>
      </c>
      <c r="E355" t="s">
        <v>10655</v>
      </c>
      <c r="G355" s="767" t="str">
        <f t="shared" si="3"/>
        <v>432.37.005сб  Пробка з патрубком</v>
      </c>
    </row>
    <row r="356" spans="1:7" x14ac:dyDescent="0.25">
      <c r="A356" t="s">
        <v>11718</v>
      </c>
      <c r="B356" t="s">
        <v>10900</v>
      </c>
      <c r="E356" t="s">
        <v>10655</v>
      </c>
      <c r="G356" s="767" t="str">
        <f t="shared" si="3"/>
        <v>432.37.006сб-1  Кронштейн</v>
      </c>
    </row>
    <row r="357" spans="1:7" x14ac:dyDescent="0.25">
      <c r="A357" t="s">
        <v>11112</v>
      </c>
      <c r="B357" t="s">
        <v>11113</v>
      </c>
      <c r="E357" t="s">
        <v>10655</v>
      </c>
      <c r="G357" s="767" t="str">
        <f t="shared" si="3"/>
        <v>432.37.007сб  Трубка з гайкою</v>
      </c>
    </row>
    <row r="358" spans="1:7" x14ac:dyDescent="0.25">
      <c r="A358" t="s">
        <v>11114</v>
      </c>
      <c r="B358" t="s">
        <v>2507</v>
      </c>
      <c r="E358" t="s">
        <v>10655</v>
      </c>
      <c r="G358" s="767" t="str">
        <f t="shared" si="3"/>
        <v>432.37.011-3  Труба</v>
      </c>
    </row>
    <row r="359" spans="1:7" x14ac:dyDescent="0.25">
      <c r="A359" t="s">
        <v>11115</v>
      </c>
      <c r="B359" t="s">
        <v>2507</v>
      </c>
      <c r="E359" t="s">
        <v>10655</v>
      </c>
      <c r="G359" s="767" t="str">
        <f t="shared" si="3"/>
        <v>432.37.020-2  Труба</v>
      </c>
    </row>
    <row r="360" spans="1:7" x14ac:dyDescent="0.25">
      <c r="A360" t="s">
        <v>11120</v>
      </c>
      <c r="B360" t="s">
        <v>9704</v>
      </c>
      <c r="E360" t="s">
        <v>10655</v>
      </c>
      <c r="G360" s="767" t="str">
        <f t="shared" si="3"/>
        <v>432.39.014сб-4  Щиток</v>
      </c>
    </row>
    <row r="361" spans="1:7" x14ac:dyDescent="0.25">
      <c r="A361" t="s">
        <v>11186</v>
      </c>
      <c r="B361" t="s">
        <v>9705</v>
      </c>
      <c r="E361" t="s">
        <v>10655</v>
      </c>
      <c r="G361" s="767" t="str">
        <f t="shared" si="3"/>
        <v>432.60.009сб-2  трубка</v>
      </c>
    </row>
    <row r="362" spans="1:7" x14ac:dyDescent="0.25">
      <c r="A362" t="s">
        <v>11157</v>
      </c>
      <c r="B362" t="s">
        <v>9705</v>
      </c>
      <c r="E362" t="s">
        <v>10655</v>
      </c>
      <c r="G362" s="767" t="str">
        <f t="shared" si="3"/>
        <v>432.66.005сб-3  трубка</v>
      </c>
    </row>
    <row r="363" spans="1:7" x14ac:dyDescent="0.25">
      <c r="A363" t="s">
        <v>11159</v>
      </c>
      <c r="B363" t="s">
        <v>9705</v>
      </c>
      <c r="E363" t="s">
        <v>10655</v>
      </c>
      <c r="G363" s="767" t="str">
        <f t="shared" si="3"/>
        <v>432.66.018сб-2  трубка</v>
      </c>
    </row>
    <row r="364" spans="1:7" x14ac:dyDescent="0.25">
      <c r="A364" t="s">
        <v>11708</v>
      </c>
      <c r="B364" t="s">
        <v>11709</v>
      </c>
      <c r="E364" t="s">
        <v>10655</v>
      </c>
      <c r="G364" s="767" t="str">
        <f t="shared" si="3"/>
        <v>432.73.007сб-1  Кришка</v>
      </c>
    </row>
    <row r="365" spans="1:7" x14ac:dyDescent="0.25">
      <c r="A365" t="s">
        <v>11756</v>
      </c>
      <c r="B365" t="s">
        <v>11757</v>
      </c>
      <c r="E365" t="s">
        <v>10655</v>
      </c>
      <c r="G365" s="767" t="str">
        <f t="shared" si="3"/>
        <v>432.83.080сб  Стяжки з тросом</v>
      </c>
    </row>
    <row r="366" spans="1:7" x14ac:dyDescent="0.25">
      <c r="A366" t="s">
        <v>11771</v>
      </c>
      <c r="B366" t="s">
        <v>10984</v>
      </c>
      <c r="E366" t="s">
        <v>10655</v>
      </c>
      <c r="G366" s="767" t="str">
        <f t="shared" si="3"/>
        <v>432.85.016сб  Фланець</v>
      </c>
    </row>
    <row r="367" spans="1:7" x14ac:dyDescent="0.25">
      <c r="A367" t="s">
        <v>10992</v>
      </c>
      <c r="B367" t="s">
        <v>10993</v>
      </c>
      <c r="E367" t="s">
        <v>10655</v>
      </c>
      <c r="G367" s="767" t="str">
        <f t="shared" si="3"/>
        <v>434.22.011сб  Уловлювач</v>
      </c>
    </row>
    <row r="368" spans="1:7" x14ac:dyDescent="0.25">
      <c r="A368" t="s">
        <v>11035</v>
      </c>
      <c r="B368" t="s">
        <v>11036</v>
      </c>
      <c r="E368" t="s">
        <v>10655</v>
      </c>
      <c r="G368" s="767" t="str">
        <f t="shared" si="3"/>
        <v>434.22.017сб  Лоток</v>
      </c>
    </row>
    <row r="369" spans="1:7" x14ac:dyDescent="0.25">
      <c r="A369" t="s">
        <v>11037</v>
      </c>
      <c r="B369" t="s">
        <v>9885</v>
      </c>
      <c r="E369" t="s">
        <v>10655</v>
      </c>
      <c r="G369" s="767" t="str">
        <f t="shared" si="3"/>
        <v>434.22.063  Планка</v>
      </c>
    </row>
    <row r="370" spans="1:7" x14ac:dyDescent="0.25">
      <c r="A370" t="s">
        <v>11033</v>
      </c>
      <c r="B370" t="s">
        <v>2507</v>
      </c>
      <c r="E370" t="s">
        <v>10655</v>
      </c>
      <c r="G370" s="767" t="str">
        <f t="shared" si="3"/>
        <v>434.31.015сб-1  Труба</v>
      </c>
    </row>
    <row r="371" spans="1:7" x14ac:dyDescent="0.25">
      <c r="A371" t="s">
        <v>4991</v>
      </c>
      <c r="B371" t="s">
        <v>2507</v>
      </c>
      <c r="E371" t="s">
        <v>10655</v>
      </c>
      <c r="G371" s="767" t="str">
        <f t="shared" si="3"/>
        <v>434.31.024сб-1  Труба</v>
      </c>
    </row>
    <row r="372" spans="1:7" x14ac:dyDescent="0.25">
      <c r="A372" t="s">
        <v>11721</v>
      </c>
      <c r="B372" t="s">
        <v>11722</v>
      </c>
      <c r="E372" t="s">
        <v>10655</v>
      </c>
      <c r="G372" s="767" t="str">
        <f t="shared" si="3"/>
        <v>434.31.075-1  Корпус</v>
      </c>
    </row>
    <row r="373" spans="1:7" x14ac:dyDescent="0.25">
      <c r="A373" t="s">
        <v>11740</v>
      </c>
      <c r="B373" t="s">
        <v>10984</v>
      </c>
      <c r="E373" t="s">
        <v>10655</v>
      </c>
      <c r="G373" s="767" t="str">
        <f t="shared" si="3"/>
        <v>434.31.096  Фланець</v>
      </c>
    </row>
    <row r="374" spans="1:7" x14ac:dyDescent="0.25">
      <c r="A374" t="s">
        <v>11723</v>
      </c>
      <c r="B374" t="s">
        <v>9709</v>
      </c>
      <c r="E374" t="s">
        <v>10655</v>
      </c>
      <c r="G374" s="767" t="str">
        <f t="shared" si="3"/>
        <v>434.31.127  Прокладка</v>
      </c>
    </row>
    <row r="375" spans="1:7" x14ac:dyDescent="0.25">
      <c r="A375" t="s">
        <v>11742</v>
      </c>
      <c r="B375" t="s">
        <v>9926</v>
      </c>
      <c r="E375" t="s">
        <v>10655</v>
      </c>
      <c r="G375" s="767" t="str">
        <f t="shared" si="3"/>
        <v>434.31.136-1  Трубка</v>
      </c>
    </row>
    <row r="376" spans="1:7" x14ac:dyDescent="0.25">
      <c r="A376" t="s">
        <v>11750</v>
      </c>
      <c r="B376" t="s">
        <v>11751</v>
      </c>
      <c r="E376" t="s">
        <v>10655</v>
      </c>
      <c r="G376" s="767" t="str">
        <f t="shared" si="3"/>
        <v>434.31.153  Трубка (б/к)</v>
      </c>
    </row>
    <row r="377" spans="1:7" x14ac:dyDescent="0.25">
      <c r="A377" t="s">
        <v>11753</v>
      </c>
      <c r="B377" t="s">
        <v>2507</v>
      </c>
      <c r="E377" t="s">
        <v>10655</v>
      </c>
      <c r="G377" s="767" t="str">
        <f t="shared" si="3"/>
        <v>434.31.310сб-1  Труба</v>
      </c>
    </row>
    <row r="378" spans="1:7" x14ac:dyDescent="0.25">
      <c r="A378" t="s">
        <v>11123</v>
      </c>
      <c r="B378" t="s">
        <v>11124</v>
      </c>
      <c r="E378" t="s">
        <v>10655</v>
      </c>
      <c r="G378" s="767" t="str">
        <f t="shared" si="3"/>
        <v>434.32.002сб  Клапан предохранительный</v>
      </c>
    </row>
    <row r="379" spans="1:7" x14ac:dyDescent="0.25">
      <c r="A379" t="s">
        <v>10976</v>
      </c>
      <c r="B379" t="s">
        <v>10977</v>
      </c>
      <c r="E379" t="s">
        <v>10655</v>
      </c>
      <c r="G379" s="767" t="str">
        <f t="shared" si="3"/>
        <v>434.32.009сб-1  Корпус заливной горловины</v>
      </c>
    </row>
    <row r="380" spans="1:7" x14ac:dyDescent="0.25">
      <c r="A380" t="s">
        <v>11038</v>
      </c>
      <c r="B380" t="s">
        <v>11039</v>
      </c>
      <c r="E380" t="s">
        <v>10655</v>
      </c>
      <c r="G380" s="767" t="str">
        <f t="shared" si="3"/>
        <v>434.32.029сб  Щиток передній</v>
      </c>
    </row>
    <row r="381" spans="1:7" x14ac:dyDescent="0.25">
      <c r="A381" t="s">
        <v>11040</v>
      </c>
      <c r="B381" t="s">
        <v>11041</v>
      </c>
      <c r="E381" t="s">
        <v>10655</v>
      </c>
      <c r="G381" s="767" t="str">
        <f t="shared" si="3"/>
        <v>434.32.030сб  Щиток задній</v>
      </c>
    </row>
    <row r="382" spans="1:7" x14ac:dyDescent="0.25">
      <c r="A382" t="s">
        <v>11042</v>
      </c>
      <c r="B382" t="s">
        <v>11039</v>
      </c>
      <c r="E382" t="s">
        <v>10655</v>
      </c>
      <c r="G382" s="767" t="str">
        <f t="shared" si="3"/>
        <v>434.32.031сб  Щиток передній</v>
      </c>
    </row>
    <row r="383" spans="1:7" x14ac:dyDescent="0.25">
      <c r="A383" t="s">
        <v>11043</v>
      </c>
      <c r="B383" t="s">
        <v>11041</v>
      </c>
      <c r="E383" t="s">
        <v>10655</v>
      </c>
      <c r="G383" s="767" t="str">
        <f t="shared" si="3"/>
        <v>434.32.032сб  Щиток задній</v>
      </c>
    </row>
    <row r="384" spans="1:7" x14ac:dyDescent="0.25">
      <c r="A384" t="s">
        <v>11125</v>
      </c>
      <c r="B384" t="s">
        <v>11126</v>
      </c>
      <c r="E384" t="s">
        <v>10655</v>
      </c>
      <c r="G384" s="767" t="str">
        <f t="shared" si="3"/>
        <v>434.32.135-1  Манжета</v>
      </c>
    </row>
    <row r="385" spans="1:7" x14ac:dyDescent="0.25">
      <c r="A385" t="s">
        <v>11710</v>
      </c>
      <c r="B385" t="s">
        <v>11126</v>
      </c>
      <c r="E385" t="s">
        <v>10655</v>
      </c>
      <c r="G385" s="767" t="str">
        <f t="shared" si="3"/>
        <v>434.32.155  Манжета</v>
      </c>
    </row>
    <row r="386" spans="1:7" x14ac:dyDescent="0.25">
      <c r="A386" t="s">
        <v>11131</v>
      </c>
      <c r="B386" t="s">
        <v>9323</v>
      </c>
      <c r="E386" t="s">
        <v>10655</v>
      </c>
      <c r="G386" s="767" t="str">
        <f t="shared" si="3"/>
        <v>434.33.032сб-4  Стрічка</v>
      </c>
    </row>
    <row r="387" spans="1:7" x14ac:dyDescent="0.25">
      <c r="A387" t="s">
        <v>11132</v>
      </c>
      <c r="B387" t="s">
        <v>9323</v>
      </c>
      <c r="E387" t="s">
        <v>10655</v>
      </c>
      <c r="G387" s="767" t="str">
        <f t="shared" si="3"/>
        <v>434.33.033сб-4  Стрічка</v>
      </c>
    </row>
    <row r="388" spans="1:7" x14ac:dyDescent="0.25">
      <c r="A388" t="s">
        <v>11133</v>
      </c>
      <c r="B388" t="s">
        <v>2507</v>
      </c>
      <c r="E388" t="s">
        <v>10655</v>
      </c>
      <c r="G388" s="767" t="str">
        <f t="shared" si="3"/>
        <v>434.33.088сб  Труба</v>
      </c>
    </row>
    <row r="389" spans="1:7" x14ac:dyDescent="0.25">
      <c r="A389" t="s">
        <v>11134</v>
      </c>
      <c r="B389" t="s">
        <v>2507</v>
      </c>
      <c r="E389" t="s">
        <v>10655</v>
      </c>
      <c r="G389" s="767" t="str">
        <f t="shared" si="3"/>
        <v>434.33.089сб  Труба</v>
      </c>
    </row>
    <row r="390" spans="1:7" x14ac:dyDescent="0.25">
      <c r="A390" t="s">
        <v>11135</v>
      </c>
      <c r="B390" t="s">
        <v>9323</v>
      </c>
      <c r="E390" t="s">
        <v>10655</v>
      </c>
      <c r="G390" s="767" t="str">
        <f t="shared" si="3"/>
        <v>434.33.106сб  Стрічка</v>
      </c>
    </row>
    <row r="391" spans="1:7" x14ac:dyDescent="0.25">
      <c r="A391" t="s">
        <v>11136</v>
      </c>
      <c r="B391" t="s">
        <v>9323</v>
      </c>
      <c r="E391" t="s">
        <v>10655</v>
      </c>
      <c r="G391" s="767" t="str">
        <f t="shared" si="3"/>
        <v>434.33.108сб  Стрічка</v>
      </c>
    </row>
    <row r="392" spans="1:7" x14ac:dyDescent="0.25">
      <c r="A392" t="s">
        <v>11137</v>
      </c>
      <c r="B392" t="s">
        <v>9704</v>
      </c>
      <c r="E392" t="s">
        <v>10655</v>
      </c>
      <c r="G392" s="767" t="str">
        <f t="shared" si="3"/>
        <v>434.33.110сб  Щиток</v>
      </c>
    </row>
    <row r="393" spans="1:7" x14ac:dyDescent="0.25">
      <c r="A393" t="s">
        <v>11138</v>
      </c>
      <c r="B393" t="s">
        <v>9704</v>
      </c>
      <c r="E393" t="s">
        <v>10655</v>
      </c>
      <c r="G393" s="767" t="str">
        <f t="shared" si="3"/>
        <v>434.33.111сб  Щиток</v>
      </c>
    </row>
    <row r="394" spans="1:7" x14ac:dyDescent="0.25">
      <c r="A394" t="s">
        <v>11139</v>
      </c>
      <c r="B394" t="s">
        <v>9704</v>
      </c>
      <c r="E394" t="s">
        <v>10655</v>
      </c>
      <c r="G394" s="767" t="str">
        <f t="shared" si="3"/>
        <v>434.33.112сб  Щиток</v>
      </c>
    </row>
    <row r="395" spans="1:7" x14ac:dyDescent="0.25">
      <c r="A395" t="s">
        <v>11140</v>
      </c>
      <c r="B395" t="s">
        <v>9704</v>
      </c>
      <c r="E395" t="s">
        <v>10655</v>
      </c>
      <c r="G395" s="767" t="str">
        <f t="shared" si="3"/>
        <v>434.33.113сб  Щиток</v>
      </c>
    </row>
    <row r="396" spans="1:7" x14ac:dyDescent="0.25">
      <c r="A396" t="s">
        <v>11724</v>
      </c>
      <c r="B396" t="s">
        <v>9709</v>
      </c>
      <c r="E396" t="s">
        <v>10655</v>
      </c>
      <c r="G396" s="767" t="str">
        <f t="shared" si="3"/>
        <v>434.33.205  Прокладка</v>
      </c>
    </row>
    <row r="397" spans="1:7" x14ac:dyDescent="0.25">
      <c r="A397" t="s">
        <v>11724</v>
      </c>
      <c r="B397" t="s">
        <v>9709</v>
      </c>
      <c r="E397" t="s">
        <v>10655</v>
      </c>
      <c r="G397" s="767" t="str">
        <f t="shared" ref="G397:G460" si="4">A397&amp;"  "&amp;B397</f>
        <v>434.33.205  Прокладка</v>
      </c>
    </row>
    <row r="398" spans="1:7" x14ac:dyDescent="0.25">
      <c r="A398" t="s">
        <v>11147</v>
      </c>
      <c r="B398" t="s">
        <v>2507</v>
      </c>
      <c r="E398" t="s">
        <v>10655</v>
      </c>
      <c r="G398" s="767" t="str">
        <f t="shared" si="4"/>
        <v>434.33.253-1  Труба</v>
      </c>
    </row>
    <row r="399" spans="1:7" x14ac:dyDescent="0.25">
      <c r="A399" t="s">
        <v>11148</v>
      </c>
      <c r="B399" t="s">
        <v>2507</v>
      </c>
      <c r="E399" t="s">
        <v>10655</v>
      </c>
      <c r="G399" s="767" t="str">
        <f t="shared" si="4"/>
        <v>434.33.255-1  Труба</v>
      </c>
    </row>
    <row r="400" spans="1:7" x14ac:dyDescent="0.25">
      <c r="A400" t="s">
        <v>11149</v>
      </c>
      <c r="B400" t="s">
        <v>2507</v>
      </c>
      <c r="E400" t="s">
        <v>10655</v>
      </c>
      <c r="G400" s="767" t="str">
        <f t="shared" si="4"/>
        <v>434.33.258-2  Труба</v>
      </c>
    </row>
    <row r="401" spans="1:7" x14ac:dyDescent="0.25">
      <c r="A401" t="s">
        <v>11150</v>
      </c>
      <c r="B401" t="s">
        <v>9926</v>
      </c>
      <c r="E401" t="s">
        <v>10655</v>
      </c>
      <c r="G401" s="767" t="str">
        <f t="shared" si="4"/>
        <v>434.33.260-1  Трубка</v>
      </c>
    </row>
    <row r="402" spans="1:7" x14ac:dyDescent="0.25">
      <c r="A402" t="s">
        <v>11151</v>
      </c>
      <c r="B402" t="s">
        <v>2507</v>
      </c>
      <c r="E402" t="s">
        <v>10655</v>
      </c>
      <c r="G402" s="767" t="str">
        <f t="shared" si="4"/>
        <v>434.33.262-2  Труба</v>
      </c>
    </row>
    <row r="403" spans="1:7" x14ac:dyDescent="0.25">
      <c r="A403" t="s">
        <v>11152</v>
      </c>
      <c r="B403" t="s">
        <v>2507</v>
      </c>
      <c r="E403" t="s">
        <v>10655</v>
      </c>
      <c r="G403" s="767" t="str">
        <f t="shared" si="4"/>
        <v>434.33.276-1  Труба</v>
      </c>
    </row>
    <row r="404" spans="1:7" x14ac:dyDescent="0.25">
      <c r="A404" t="s">
        <v>11153</v>
      </c>
      <c r="B404" t="s">
        <v>2507</v>
      </c>
      <c r="E404" t="s">
        <v>10655</v>
      </c>
      <c r="G404" s="767" t="str">
        <f t="shared" si="4"/>
        <v>434.33.342-1  Труба</v>
      </c>
    </row>
    <row r="405" spans="1:7" x14ac:dyDescent="0.25">
      <c r="A405" t="s">
        <v>11725</v>
      </c>
      <c r="B405" t="s">
        <v>9709</v>
      </c>
      <c r="E405" t="s">
        <v>10655</v>
      </c>
      <c r="G405" s="767" t="str">
        <f t="shared" si="4"/>
        <v>434.33.343  Прокладка</v>
      </c>
    </row>
    <row r="406" spans="1:7" x14ac:dyDescent="0.25">
      <c r="A406" t="s">
        <v>11156</v>
      </c>
      <c r="B406" t="s">
        <v>2507</v>
      </c>
      <c r="E406" t="s">
        <v>10655</v>
      </c>
      <c r="G406" s="767" t="str">
        <f t="shared" si="4"/>
        <v>434.33.379  Труба</v>
      </c>
    </row>
    <row r="407" spans="1:7" x14ac:dyDescent="0.25">
      <c r="A407" t="s">
        <v>11158</v>
      </c>
      <c r="B407" t="s">
        <v>9704</v>
      </c>
      <c r="E407" t="s">
        <v>10655</v>
      </c>
      <c r="G407" s="767" t="str">
        <f t="shared" si="4"/>
        <v>434.33.553  Щиток</v>
      </c>
    </row>
    <row r="408" spans="1:7" x14ac:dyDescent="0.25">
      <c r="A408" t="s">
        <v>11160</v>
      </c>
      <c r="B408" t="s">
        <v>2507</v>
      </c>
      <c r="E408" t="s">
        <v>10655</v>
      </c>
      <c r="G408" s="767" t="str">
        <f t="shared" si="4"/>
        <v>434.33.677-1  Труба</v>
      </c>
    </row>
    <row r="409" spans="1:7" x14ac:dyDescent="0.25">
      <c r="A409" t="s">
        <v>11118</v>
      </c>
      <c r="B409" t="s">
        <v>11119</v>
      </c>
      <c r="E409" t="s">
        <v>10655</v>
      </c>
      <c r="G409" s="767" t="str">
        <f t="shared" si="4"/>
        <v>434.39.011сб  Кільце</v>
      </c>
    </row>
    <row r="410" spans="1:7" x14ac:dyDescent="0.25">
      <c r="A410" t="s">
        <v>11162</v>
      </c>
      <c r="B410" t="s">
        <v>11163</v>
      </c>
      <c r="E410" t="s">
        <v>10655</v>
      </c>
      <c r="G410" s="767" t="str">
        <f t="shared" si="4"/>
        <v>434.60.002сб-4  ТРУБКА</v>
      </c>
    </row>
    <row r="411" spans="1:7" x14ac:dyDescent="0.25">
      <c r="A411" t="s">
        <v>11170</v>
      </c>
      <c r="B411" t="s">
        <v>9705</v>
      </c>
      <c r="E411" t="s">
        <v>10655</v>
      </c>
      <c r="G411" s="767" t="str">
        <f t="shared" si="4"/>
        <v>434.60.003сб-3  трубка</v>
      </c>
    </row>
    <row r="412" spans="1:7" x14ac:dyDescent="0.25">
      <c r="A412" t="s">
        <v>11171</v>
      </c>
      <c r="B412" t="s">
        <v>9705</v>
      </c>
      <c r="E412" t="s">
        <v>10655</v>
      </c>
      <c r="G412" s="767" t="str">
        <f t="shared" si="4"/>
        <v>434.60.004сб-4  трубка</v>
      </c>
    </row>
    <row r="413" spans="1:7" x14ac:dyDescent="0.25">
      <c r="A413" t="s">
        <v>11172</v>
      </c>
      <c r="B413" t="s">
        <v>9705</v>
      </c>
      <c r="E413" t="s">
        <v>10655</v>
      </c>
      <c r="G413" s="767" t="str">
        <f t="shared" si="4"/>
        <v>434.60.005сб-2  трубка</v>
      </c>
    </row>
    <row r="414" spans="1:7" x14ac:dyDescent="0.25">
      <c r="A414" t="s">
        <v>11173</v>
      </c>
      <c r="B414" t="s">
        <v>11174</v>
      </c>
      <c r="E414" t="s">
        <v>10655</v>
      </c>
      <c r="G414" s="767" t="str">
        <f t="shared" si="4"/>
        <v>434.60.011сб-1  трубка з монометра</v>
      </c>
    </row>
    <row r="415" spans="1:7" x14ac:dyDescent="0.25">
      <c r="A415" t="s">
        <v>11175</v>
      </c>
      <c r="B415" t="s">
        <v>9705</v>
      </c>
      <c r="E415" t="s">
        <v>10655</v>
      </c>
      <c r="G415" s="767" t="str">
        <f t="shared" si="4"/>
        <v>434.60.013сб-2  трубка</v>
      </c>
    </row>
    <row r="416" spans="1:7" x14ac:dyDescent="0.25">
      <c r="A416" t="s">
        <v>11176</v>
      </c>
      <c r="B416" t="s">
        <v>9705</v>
      </c>
      <c r="E416" t="s">
        <v>10655</v>
      </c>
      <c r="G416" s="767" t="str">
        <f t="shared" si="4"/>
        <v>434.60.014сб-2  трубка</v>
      </c>
    </row>
    <row r="417" spans="1:7" x14ac:dyDescent="0.25">
      <c r="A417" t="s">
        <v>11178</v>
      </c>
      <c r="B417" t="s">
        <v>9705</v>
      </c>
      <c r="E417" t="s">
        <v>10655</v>
      </c>
      <c r="G417" s="767" t="str">
        <f t="shared" si="4"/>
        <v>434.60.053сб-4  трубка</v>
      </c>
    </row>
    <row r="418" spans="1:7" x14ac:dyDescent="0.25">
      <c r="A418" t="s">
        <v>11179</v>
      </c>
      <c r="B418" t="s">
        <v>9705</v>
      </c>
      <c r="E418" t="s">
        <v>10655</v>
      </c>
      <c r="G418" s="767" t="str">
        <f t="shared" si="4"/>
        <v>434.60.059сб  трубка</v>
      </c>
    </row>
    <row r="419" spans="1:7" x14ac:dyDescent="0.25">
      <c r="A419" t="s">
        <v>11180</v>
      </c>
      <c r="B419" t="s">
        <v>9705</v>
      </c>
      <c r="E419" t="s">
        <v>10655</v>
      </c>
      <c r="G419" s="767" t="str">
        <f t="shared" si="4"/>
        <v>434.60.105сб-1  трубка</v>
      </c>
    </row>
    <row r="420" spans="1:7" x14ac:dyDescent="0.25">
      <c r="A420" t="s">
        <v>11181</v>
      </c>
      <c r="B420" t="s">
        <v>9705</v>
      </c>
      <c r="E420" t="s">
        <v>10655</v>
      </c>
      <c r="G420" s="767" t="str">
        <f t="shared" si="4"/>
        <v>434.60.113сб  трубка</v>
      </c>
    </row>
    <row r="421" spans="1:7" x14ac:dyDescent="0.25">
      <c r="A421" t="s">
        <v>11182</v>
      </c>
      <c r="B421" t="s">
        <v>9705</v>
      </c>
      <c r="E421" t="s">
        <v>10655</v>
      </c>
      <c r="G421" s="767" t="str">
        <f t="shared" si="4"/>
        <v>434.60.114сб  трубка</v>
      </c>
    </row>
    <row r="422" spans="1:7" x14ac:dyDescent="0.25">
      <c r="A422" t="s">
        <v>11183</v>
      </c>
      <c r="B422" t="s">
        <v>9705</v>
      </c>
      <c r="E422" t="s">
        <v>10655</v>
      </c>
      <c r="G422" s="767" t="str">
        <f t="shared" si="4"/>
        <v>434.60.115сб  трубка</v>
      </c>
    </row>
    <row r="423" spans="1:7" x14ac:dyDescent="0.25">
      <c r="A423" t="s">
        <v>11184</v>
      </c>
      <c r="B423" t="s">
        <v>9705</v>
      </c>
      <c r="E423" t="s">
        <v>10655</v>
      </c>
      <c r="G423" s="767" t="str">
        <f t="shared" si="4"/>
        <v>434.60.117сб  трубка</v>
      </c>
    </row>
    <row r="424" spans="1:7" x14ac:dyDescent="0.25">
      <c r="A424" t="s">
        <v>11185</v>
      </c>
      <c r="B424" t="s">
        <v>9705</v>
      </c>
      <c r="E424" t="s">
        <v>10655</v>
      </c>
      <c r="G424" s="767" t="str">
        <f t="shared" si="4"/>
        <v>434.60.118сб  трубка</v>
      </c>
    </row>
    <row r="425" spans="1:7" x14ac:dyDescent="0.25">
      <c r="A425" t="s">
        <v>11154</v>
      </c>
      <c r="B425" t="s">
        <v>9926</v>
      </c>
      <c r="E425" t="s">
        <v>10655</v>
      </c>
      <c r="G425" s="767" t="str">
        <f t="shared" si="4"/>
        <v>434.66.008сб  Трубка</v>
      </c>
    </row>
    <row r="426" spans="1:7" x14ac:dyDescent="0.25">
      <c r="A426" t="s">
        <v>11155</v>
      </c>
      <c r="B426" t="s">
        <v>9926</v>
      </c>
      <c r="E426" t="s">
        <v>10655</v>
      </c>
      <c r="G426" s="767" t="str">
        <f t="shared" si="4"/>
        <v>434.66.016сб  Трубка</v>
      </c>
    </row>
    <row r="427" spans="1:7" x14ac:dyDescent="0.25">
      <c r="A427" t="s">
        <v>10987</v>
      </c>
      <c r="B427" t="s">
        <v>9926</v>
      </c>
      <c r="E427" t="s">
        <v>10655</v>
      </c>
      <c r="G427" s="767" t="str">
        <f t="shared" si="4"/>
        <v>434.67.001сб  Трубка</v>
      </c>
    </row>
    <row r="428" spans="1:7" x14ac:dyDescent="0.25">
      <c r="A428" t="s">
        <v>10988</v>
      </c>
      <c r="B428" t="s">
        <v>9926</v>
      </c>
      <c r="E428" t="s">
        <v>10655</v>
      </c>
      <c r="G428" s="767" t="str">
        <f t="shared" si="4"/>
        <v>434.67.003сб-3  Трубка</v>
      </c>
    </row>
    <row r="429" spans="1:7" x14ac:dyDescent="0.25">
      <c r="A429" t="s">
        <v>10989</v>
      </c>
      <c r="B429" t="s">
        <v>9926</v>
      </c>
      <c r="E429" t="s">
        <v>10655</v>
      </c>
      <c r="G429" s="767" t="str">
        <f t="shared" si="4"/>
        <v>434.67.004сб-2  Трубка</v>
      </c>
    </row>
    <row r="430" spans="1:7" x14ac:dyDescent="0.25">
      <c r="A430" t="s">
        <v>10990</v>
      </c>
      <c r="B430" t="s">
        <v>9926</v>
      </c>
      <c r="E430" t="s">
        <v>10655</v>
      </c>
      <c r="G430" s="767" t="str">
        <f t="shared" si="4"/>
        <v>434.67.007сб  Трубка</v>
      </c>
    </row>
    <row r="431" spans="1:7" x14ac:dyDescent="0.25">
      <c r="A431" t="s">
        <v>10991</v>
      </c>
      <c r="B431" t="s">
        <v>9926</v>
      </c>
      <c r="E431" t="s">
        <v>10655</v>
      </c>
      <c r="G431" s="767" t="str">
        <f t="shared" si="4"/>
        <v>434.67.008сб  Трубка</v>
      </c>
    </row>
    <row r="432" spans="1:7" x14ac:dyDescent="0.25">
      <c r="A432" t="s">
        <v>11116</v>
      </c>
      <c r="B432" t="s">
        <v>11117</v>
      </c>
      <c r="E432" t="s">
        <v>10655</v>
      </c>
      <c r="G432" s="767" t="str">
        <f t="shared" si="4"/>
        <v>434.70.194сб  корзина аккумулятора</v>
      </c>
    </row>
    <row r="433" spans="1:7" x14ac:dyDescent="0.25">
      <c r="A433" t="s">
        <v>11238</v>
      </c>
      <c r="B433" t="s">
        <v>11239</v>
      </c>
      <c r="E433" t="s">
        <v>10655</v>
      </c>
      <c r="G433" s="767" t="str">
        <f t="shared" si="4"/>
        <v>434.82.015сб-3  Стелаж</v>
      </c>
    </row>
    <row r="434" spans="1:7" x14ac:dyDescent="0.25">
      <c r="A434" t="s">
        <v>11241</v>
      </c>
      <c r="B434" t="s">
        <v>11242</v>
      </c>
      <c r="E434" t="s">
        <v>10655</v>
      </c>
      <c r="G434" s="767" t="str">
        <f t="shared" si="4"/>
        <v>434.82.017сб-5  Лента</v>
      </c>
    </row>
    <row r="435" spans="1:7" x14ac:dyDescent="0.25">
      <c r="A435" t="s">
        <v>11243</v>
      </c>
      <c r="B435" t="s">
        <v>9926</v>
      </c>
      <c r="E435" t="s">
        <v>10655</v>
      </c>
      <c r="G435" s="767" t="str">
        <f t="shared" si="4"/>
        <v>434.82.137сб  Трубка</v>
      </c>
    </row>
    <row r="436" spans="1:7" x14ac:dyDescent="0.25">
      <c r="A436" t="s">
        <v>11076</v>
      </c>
      <c r="B436" t="s">
        <v>11077</v>
      </c>
      <c r="E436" t="s">
        <v>10655</v>
      </c>
      <c r="G436" s="767" t="str">
        <f t="shared" si="4"/>
        <v>434.83.028сб  Ящик</v>
      </c>
    </row>
    <row r="437" spans="1:7" x14ac:dyDescent="0.25">
      <c r="A437" t="s">
        <v>11130</v>
      </c>
      <c r="B437" t="s">
        <v>9323</v>
      </c>
      <c r="E437" t="s">
        <v>10655</v>
      </c>
      <c r="G437" s="767" t="str">
        <f t="shared" si="4"/>
        <v>434.83.033сб  Стрічка</v>
      </c>
    </row>
    <row r="438" spans="1:7" x14ac:dyDescent="0.25">
      <c r="A438" t="s">
        <v>11246</v>
      </c>
      <c r="B438" t="s">
        <v>10854</v>
      </c>
      <c r="E438" t="s">
        <v>10655</v>
      </c>
      <c r="G438" s="767" t="str">
        <f t="shared" si="4"/>
        <v>434.85.002сб-3  сопло</v>
      </c>
    </row>
    <row r="439" spans="1:7" x14ac:dyDescent="0.25">
      <c r="A439" t="s">
        <v>11164</v>
      </c>
      <c r="B439" t="s">
        <v>9926</v>
      </c>
      <c r="E439" t="s">
        <v>10655</v>
      </c>
      <c r="G439" s="767" t="str">
        <f t="shared" si="4"/>
        <v>434.85.003сб-3  Трубка</v>
      </c>
    </row>
    <row r="440" spans="1:7" x14ac:dyDescent="0.25">
      <c r="A440" t="s">
        <v>11165</v>
      </c>
      <c r="B440" t="s">
        <v>11166</v>
      </c>
      <c r="E440" t="s">
        <v>10655</v>
      </c>
      <c r="G440" s="767" t="str">
        <f t="shared" si="4"/>
        <v>434.85.008сб-4  Трубка с тройником</v>
      </c>
    </row>
    <row r="441" spans="1:7" x14ac:dyDescent="0.25">
      <c r="A441" t="s">
        <v>11167</v>
      </c>
      <c r="B441" t="s">
        <v>11168</v>
      </c>
      <c r="E441" t="s">
        <v>10655</v>
      </c>
      <c r="G441" s="767" t="str">
        <f t="shared" si="4"/>
        <v>434.85.010сб-2  Трубка (від клапана до  дозатора)</v>
      </c>
    </row>
    <row r="442" spans="1:7" x14ac:dyDescent="0.25">
      <c r="A442" t="s">
        <v>11169</v>
      </c>
      <c r="B442" t="s">
        <v>11103</v>
      </c>
      <c r="E442" t="s">
        <v>10655</v>
      </c>
      <c r="G442" s="767" t="str">
        <f t="shared" si="4"/>
        <v>434.85.012сб  Фільтр</v>
      </c>
    </row>
    <row r="443" spans="1:7" x14ac:dyDescent="0.25">
      <c r="A443" t="s">
        <v>11169</v>
      </c>
      <c r="B443" t="s">
        <v>11103</v>
      </c>
      <c r="E443" t="s">
        <v>10655</v>
      </c>
      <c r="G443" s="767" t="str">
        <f t="shared" si="4"/>
        <v>434.85.012сб  Фільтр</v>
      </c>
    </row>
    <row r="444" spans="1:7" x14ac:dyDescent="0.25">
      <c r="A444" t="s">
        <v>11177</v>
      </c>
      <c r="B444" t="s">
        <v>9709</v>
      </c>
      <c r="E444" t="s">
        <v>10655</v>
      </c>
      <c r="G444" s="767" t="str">
        <f t="shared" si="4"/>
        <v>434.85.038  Прокладка</v>
      </c>
    </row>
    <row r="445" spans="1:7" x14ac:dyDescent="0.25">
      <c r="A445" t="s">
        <v>11187</v>
      </c>
      <c r="B445" t="s">
        <v>9926</v>
      </c>
      <c r="E445" t="s">
        <v>10655</v>
      </c>
      <c r="G445" s="767" t="str">
        <f t="shared" si="4"/>
        <v>434.86.250сб-3  Трубка</v>
      </c>
    </row>
    <row r="446" spans="1:7" x14ac:dyDescent="0.25">
      <c r="A446" t="s">
        <v>11766</v>
      </c>
      <c r="B446" t="s">
        <v>11000</v>
      </c>
      <c r="E446" t="s">
        <v>10655</v>
      </c>
      <c r="G446" s="767" t="str">
        <f t="shared" si="4"/>
        <v>434.87.032сб  Трос</v>
      </c>
    </row>
    <row r="447" spans="1:7" x14ac:dyDescent="0.25">
      <c r="A447" t="s">
        <v>10994</v>
      </c>
      <c r="B447" t="s">
        <v>9323</v>
      </c>
      <c r="E447" t="s">
        <v>10655</v>
      </c>
      <c r="G447" s="767" t="str">
        <f t="shared" si="4"/>
        <v>434.91.109сб  Стрічка</v>
      </c>
    </row>
    <row r="448" spans="1:7" x14ac:dyDescent="0.25">
      <c r="A448" t="s">
        <v>11719</v>
      </c>
      <c r="B448" t="s">
        <v>11720</v>
      </c>
      <c r="E448" t="s">
        <v>10655</v>
      </c>
      <c r="G448" s="767" t="str">
        <f t="shared" si="4"/>
        <v>434.94.160сб-1  Магазин для стрічок НСВ</v>
      </c>
    </row>
    <row r="449" spans="1:7" x14ac:dyDescent="0.25">
      <c r="A449" t="s">
        <v>11188</v>
      </c>
      <c r="B449" t="s">
        <v>9704</v>
      </c>
      <c r="E449" t="s">
        <v>10655</v>
      </c>
      <c r="G449" s="767" t="str">
        <f t="shared" si="4"/>
        <v>437.86.014сб  Щиток</v>
      </c>
    </row>
    <row r="450" spans="1:7" x14ac:dyDescent="0.25">
      <c r="A450" t="s">
        <v>11193</v>
      </c>
      <c r="B450" t="s">
        <v>9926</v>
      </c>
      <c r="E450" t="s">
        <v>10655</v>
      </c>
      <c r="G450" s="767" t="str">
        <f t="shared" si="4"/>
        <v>447.86.090сб-2  Трубка</v>
      </c>
    </row>
    <row r="451" spans="1:7" x14ac:dyDescent="0.25">
      <c r="A451" t="s">
        <v>11729</v>
      </c>
      <c r="B451" t="s">
        <v>11730</v>
      </c>
      <c r="E451" t="s">
        <v>10655</v>
      </c>
      <c r="G451" s="767" t="str">
        <f t="shared" si="4"/>
        <v>447А.14.050сб  Каркас нижній правий</v>
      </c>
    </row>
    <row r="452" spans="1:7" x14ac:dyDescent="0.25">
      <c r="A452" t="s">
        <v>11731</v>
      </c>
      <c r="B452" t="s">
        <v>11732</v>
      </c>
      <c r="E452" t="s">
        <v>10655</v>
      </c>
      <c r="G452" s="767" t="str">
        <f t="shared" si="4"/>
        <v>447А.14.060сб  Каркас верхній правий</v>
      </c>
    </row>
    <row r="453" spans="1:7" x14ac:dyDescent="0.25">
      <c r="A453" t="s">
        <v>11733</v>
      </c>
      <c r="B453" t="s">
        <v>11734</v>
      </c>
      <c r="E453" t="s">
        <v>10655</v>
      </c>
      <c r="G453" s="767" t="str">
        <f t="shared" si="4"/>
        <v>447А.14.070сб  Каркас верхній лівий</v>
      </c>
    </row>
    <row r="454" spans="1:7" x14ac:dyDescent="0.25">
      <c r="A454" t="s">
        <v>11735</v>
      </c>
      <c r="B454" t="s">
        <v>11736</v>
      </c>
      <c r="E454" t="s">
        <v>10655</v>
      </c>
      <c r="G454" s="767" t="str">
        <f t="shared" si="4"/>
        <v>447А.14.080сб  Каркас нижній лівий</v>
      </c>
    </row>
    <row r="455" spans="1:7" x14ac:dyDescent="0.25">
      <c r="A455" t="s">
        <v>11739</v>
      </c>
      <c r="B455" t="s">
        <v>11000</v>
      </c>
      <c r="E455" t="s">
        <v>10655</v>
      </c>
      <c r="G455" s="767" t="str">
        <f t="shared" si="4"/>
        <v>447А.20.110сб  Трос</v>
      </c>
    </row>
    <row r="456" spans="1:7" x14ac:dyDescent="0.25">
      <c r="A456" t="s">
        <v>11713</v>
      </c>
      <c r="B456" t="s">
        <v>11065</v>
      </c>
      <c r="E456" t="s">
        <v>10655</v>
      </c>
      <c r="G456" s="767" t="str">
        <f t="shared" si="4"/>
        <v>447А.23.070сб  Плита</v>
      </c>
    </row>
    <row r="457" spans="1:7" x14ac:dyDescent="0.25">
      <c r="A457" t="s">
        <v>11747</v>
      </c>
      <c r="B457" t="s">
        <v>11036</v>
      </c>
      <c r="E457" t="s">
        <v>10655</v>
      </c>
      <c r="G457" s="767" t="str">
        <f t="shared" si="4"/>
        <v>447А.28.010сб-1  Лоток</v>
      </c>
    </row>
    <row r="458" spans="1:7" x14ac:dyDescent="0.25">
      <c r="A458" t="s">
        <v>11741</v>
      </c>
      <c r="B458" t="s">
        <v>2507</v>
      </c>
      <c r="E458" t="s">
        <v>10655</v>
      </c>
      <c r="G458" s="767" t="str">
        <f t="shared" si="4"/>
        <v>447А.31.004  Труба</v>
      </c>
    </row>
    <row r="459" spans="1:7" x14ac:dyDescent="0.25">
      <c r="A459" t="s">
        <v>11760</v>
      </c>
      <c r="B459" t="s">
        <v>11761</v>
      </c>
      <c r="E459" t="s">
        <v>10655</v>
      </c>
      <c r="G459" s="767" t="str">
        <f t="shared" si="4"/>
        <v>447А.65.040сб  Подушка сидіння</v>
      </c>
    </row>
    <row r="460" spans="1:7" x14ac:dyDescent="0.25">
      <c r="A460" t="s">
        <v>11762</v>
      </c>
      <c r="B460" t="s">
        <v>11763</v>
      </c>
      <c r="E460" t="s">
        <v>10655</v>
      </c>
      <c r="G460" s="767" t="str">
        <f t="shared" si="4"/>
        <v>447А.65.130сб  Дужка</v>
      </c>
    </row>
    <row r="461" spans="1:7" x14ac:dyDescent="0.25">
      <c r="A461" t="s">
        <v>11764</v>
      </c>
      <c r="B461" t="s">
        <v>11765</v>
      </c>
      <c r="E461" t="s">
        <v>10655</v>
      </c>
      <c r="G461" s="767" t="str">
        <f t="shared" ref="G461:G486" si="5">A461&amp;"  "&amp;B461</f>
        <v>447А.65.150сб  Спинка сидіння</v>
      </c>
    </row>
    <row r="462" spans="1:7" x14ac:dyDescent="0.25">
      <c r="A462" t="s">
        <v>11748</v>
      </c>
      <c r="B462" t="s">
        <v>11749</v>
      </c>
      <c r="E462" t="s">
        <v>10655</v>
      </c>
      <c r="G462" s="767" t="str">
        <f t="shared" si="5"/>
        <v>447А.77.337  Кожух</v>
      </c>
    </row>
    <row r="463" spans="1:7" x14ac:dyDescent="0.25">
      <c r="A463" t="s">
        <v>11752</v>
      </c>
      <c r="B463" t="s">
        <v>10865</v>
      </c>
      <c r="E463" t="s">
        <v>10655</v>
      </c>
      <c r="G463" s="767" t="str">
        <f t="shared" si="5"/>
        <v>447А.77.338  Хомут</v>
      </c>
    </row>
    <row r="464" spans="1:7" x14ac:dyDescent="0.25">
      <c r="A464" t="s">
        <v>11244</v>
      </c>
      <c r="B464" t="s">
        <v>9926</v>
      </c>
      <c r="E464" t="s">
        <v>10655</v>
      </c>
      <c r="G464" s="767" t="str">
        <f t="shared" si="5"/>
        <v>447А.82.010сб  Трубка</v>
      </c>
    </row>
    <row r="465" spans="1:7" x14ac:dyDescent="0.25">
      <c r="A465" t="s">
        <v>11245</v>
      </c>
      <c r="B465" t="s">
        <v>9926</v>
      </c>
      <c r="E465" t="s">
        <v>10655</v>
      </c>
      <c r="G465" s="767" t="str">
        <f t="shared" si="5"/>
        <v>447А.82.020сб  Трубка</v>
      </c>
    </row>
    <row r="466" spans="1:7" x14ac:dyDescent="0.25">
      <c r="A466" t="s">
        <v>11189</v>
      </c>
      <c r="B466" t="s">
        <v>9926</v>
      </c>
      <c r="E466" t="s">
        <v>10655</v>
      </c>
      <c r="G466" s="767" t="str">
        <f t="shared" si="5"/>
        <v>447А.86.010сб-2  Трубка</v>
      </c>
    </row>
    <row r="467" spans="1:7" x14ac:dyDescent="0.25">
      <c r="A467" t="s">
        <v>11190</v>
      </c>
      <c r="B467" t="s">
        <v>9926</v>
      </c>
      <c r="E467" t="s">
        <v>10655</v>
      </c>
      <c r="G467" s="767" t="str">
        <f t="shared" si="5"/>
        <v>447А.86.020сб-2  Трубка</v>
      </c>
    </row>
    <row r="468" spans="1:7" x14ac:dyDescent="0.25">
      <c r="A468" t="s">
        <v>11191</v>
      </c>
      <c r="B468" t="s">
        <v>9926</v>
      </c>
      <c r="E468" t="s">
        <v>10655</v>
      </c>
      <c r="G468" s="767" t="str">
        <f t="shared" si="5"/>
        <v>447А.86.030сб-2  Трубка</v>
      </c>
    </row>
    <row r="469" spans="1:7" x14ac:dyDescent="0.25">
      <c r="A469" t="s">
        <v>11192</v>
      </c>
      <c r="B469" t="s">
        <v>9926</v>
      </c>
      <c r="E469" t="s">
        <v>10655</v>
      </c>
      <c r="G469" s="767" t="str">
        <f t="shared" si="5"/>
        <v>447А.86.040сб-1  Трубка</v>
      </c>
    </row>
    <row r="470" spans="1:7" x14ac:dyDescent="0.25">
      <c r="A470" t="s">
        <v>11194</v>
      </c>
      <c r="B470" t="s">
        <v>9926</v>
      </c>
      <c r="E470" t="s">
        <v>10655</v>
      </c>
      <c r="G470" s="767" t="str">
        <f t="shared" si="5"/>
        <v>447А.86.430сб-1  Трубка</v>
      </c>
    </row>
    <row r="471" spans="1:7" x14ac:dyDescent="0.25">
      <c r="A471" t="s">
        <v>11195</v>
      </c>
      <c r="B471" t="s">
        <v>9926</v>
      </c>
      <c r="E471" t="s">
        <v>10655</v>
      </c>
      <c r="G471" s="767" t="str">
        <f t="shared" si="5"/>
        <v>447А.86.660сб  Трубка</v>
      </c>
    </row>
    <row r="472" spans="1:7" x14ac:dyDescent="0.25">
      <c r="A472" t="s">
        <v>11196</v>
      </c>
      <c r="B472" t="s">
        <v>9926</v>
      </c>
      <c r="E472" t="s">
        <v>10655</v>
      </c>
      <c r="G472" s="767" t="str">
        <f t="shared" si="5"/>
        <v>447А.86.670сб  Трубка</v>
      </c>
    </row>
    <row r="473" spans="1:7" x14ac:dyDescent="0.25">
      <c r="A473" t="s">
        <v>11197</v>
      </c>
      <c r="B473" t="s">
        <v>9926</v>
      </c>
      <c r="E473" t="s">
        <v>10655</v>
      </c>
      <c r="G473" s="767" t="str">
        <f t="shared" si="5"/>
        <v>447А.86.690сб  Трубка</v>
      </c>
    </row>
    <row r="474" spans="1:7" x14ac:dyDescent="0.25">
      <c r="A474" t="s">
        <v>11198</v>
      </c>
      <c r="B474" t="s">
        <v>9926</v>
      </c>
      <c r="E474" t="s">
        <v>10655</v>
      </c>
      <c r="G474" s="767" t="str">
        <f t="shared" si="5"/>
        <v>447А.86.700сб  Трубка</v>
      </c>
    </row>
    <row r="475" spans="1:7" x14ac:dyDescent="0.25">
      <c r="A475" t="s">
        <v>11199</v>
      </c>
      <c r="B475" t="s">
        <v>9926</v>
      </c>
      <c r="E475" t="s">
        <v>10655</v>
      </c>
      <c r="G475" s="767" t="str">
        <f t="shared" si="5"/>
        <v>447А.86.710сб  Трубка</v>
      </c>
    </row>
    <row r="476" spans="1:7" x14ac:dyDescent="0.25">
      <c r="A476" t="s">
        <v>11200</v>
      </c>
      <c r="B476" t="s">
        <v>9926</v>
      </c>
      <c r="E476" t="s">
        <v>10655</v>
      </c>
      <c r="G476" s="767" t="str">
        <f t="shared" si="5"/>
        <v>447А.86.720сб  Трубка</v>
      </c>
    </row>
    <row r="477" spans="1:7" x14ac:dyDescent="0.25">
      <c r="A477" t="s">
        <v>11201</v>
      </c>
      <c r="B477" t="s">
        <v>9926</v>
      </c>
      <c r="E477" t="s">
        <v>10655</v>
      </c>
      <c r="G477" s="767" t="str">
        <f t="shared" si="5"/>
        <v>447А.86.730сб  Трубка</v>
      </c>
    </row>
    <row r="478" spans="1:7" x14ac:dyDescent="0.25">
      <c r="A478" t="s">
        <v>11202</v>
      </c>
      <c r="B478" t="s">
        <v>9926</v>
      </c>
      <c r="E478" t="s">
        <v>10655</v>
      </c>
      <c r="G478" s="767" t="str">
        <f t="shared" si="5"/>
        <v>447А.86.740сб-1  Трубка</v>
      </c>
    </row>
    <row r="479" spans="1:7" x14ac:dyDescent="0.25">
      <c r="A479" t="s">
        <v>11203</v>
      </c>
      <c r="B479" t="s">
        <v>9926</v>
      </c>
      <c r="E479" t="s">
        <v>10655</v>
      </c>
      <c r="G479" s="767" t="str">
        <f t="shared" si="5"/>
        <v>447А.86.750сб  Трубка</v>
      </c>
    </row>
    <row r="480" spans="1:7" x14ac:dyDescent="0.25">
      <c r="A480" t="s">
        <v>11204</v>
      </c>
      <c r="B480" t="s">
        <v>9926</v>
      </c>
      <c r="E480" t="s">
        <v>10655</v>
      </c>
      <c r="G480" s="767" t="str">
        <f t="shared" si="5"/>
        <v>447А.86.760сб  Трубка</v>
      </c>
    </row>
    <row r="481" spans="1:7" x14ac:dyDescent="0.25">
      <c r="A481" t="s">
        <v>11205</v>
      </c>
      <c r="B481" t="s">
        <v>9926</v>
      </c>
      <c r="E481" t="s">
        <v>10655</v>
      </c>
      <c r="G481" s="767" t="str">
        <f t="shared" si="5"/>
        <v>447А.86.770сб  Трубка</v>
      </c>
    </row>
    <row r="482" spans="1:7" x14ac:dyDescent="0.25">
      <c r="A482" t="s">
        <v>11206</v>
      </c>
      <c r="B482" t="s">
        <v>9926</v>
      </c>
      <c r="E482" t="s">
        <v>10655</v>
      </c>
      <c r="G482" s="767" t="str">
        <f t="shared" si="5"/>
        <v>447А.86.780сб  Трубка</v>
      </c>
    </row>
    <row r="483" spans="1:7" x14ac:dyDescent="0.25">
      <c r="A483" t="s">
        <v>11759</v>
      </c>
      <c r="B483" t="s">
        <v>10865</v>
      </c>
      <c r="E483" t="s">
        <v>10655</v>
      </c>
      <c r="G483" s="767" t="str">
        <f t="shared" si="5"/>
        <v>60.42.264  Хомут</v>
      </c>
    </row>
    <row r="484" spans="1:7" x14ac:dyDescent="0.25">
      <c r="A484" t="s">
        <v>11097</v>
      </c>
      <c r="B484" t="s">
        <v>11098</v>
      </c>
      <c r="E484" t="s">
        <v>10655</v>
      </c>
      <c r="G484" s="767" t="str">
        <f t="shared" si="5"/>
        <v>ОСТ3-408-70 СХ  стрічка хомута 3м</v>
      </c>
    </row>
    <row r="485" spans="1:7" x14ac:dyDescent="0.25">
      <c r="A485" t="s">
        <v>11745</v>
      </c>
      <c r="B485" t="s">
        <v>11746</v>
      </c>
      <c r="E485" t="s">
        <v>10655</v>
      </c>
      <c r="G485" s="767" t="str">
        <f t="shared" si="5"/>
        <v>ОСТ3-409-70  Накладка хомута 42</v>
      </c>
    </row>
    <row r="486" spans="1:7" x14ac:dyDescent="0.25">
      <c r="A486" t="s">
        <v>11032</v>
      </c>
      <c r="B486" t="s">
        <v>10865</v>
      </c>
      <c r="E486" t="s">
        <v>10655</v>
      </c>
      <c r="G486" s="767" t="str">
        <f t="shared" si="5"/>
        <v>Х01 24х9  Хомут</v>
      </c>
    </row>
    <row r="487" spans="1:7" x14ac:dyDescent="0.25">
      <c r="A487"/>
      <c r="B487"/>
    </row>
    <row r="488" spans="1:7" x14ac:dyDescent="0.25">
      <c r="A488"/>
      <c r="B488"/>
    </row>
    <row r="489" spans="1:7" x14ac:dyDescent="0.25">
      <c r="A489" s="547" t="s">
        <v>11877</v>
      </c>
      <c r="B489" s="547" t="s">
        <v>11878</v>
      </c>
      <c r="C489" s="326" t="s">
        <v>5898</v>
      </c>
      <c r="D489" s="326" t="s">
        <v>5757</v>
      </c>
      <c r="E489" t="str">
        <f>A489&amp;"  "&amp;B489</f>
        <v>65.ГПМ-54.29.290сб  Лист правий</v>
      </c>
    </row>
    <row r="490" spans="1:7" x14ac:dyDescent="0.25">
      <c r="A490" s="547" t="s">
        <v>11879</v>
      </c>
      <c r="B490" s="547" t="s">
        <v>11878</v>
      </c>
      <c r="C490" s="326" t="s">
        <v>5898</v>
      </c>
      <c r="D490" s="326" t="s">
        <v>5757</v>
      </c>
      <c r="E490" s="767" t="str">
        <f t="shared" ref="E490:E553" si="6">A490&amp;"  "&amp;B490</f>
        <v>65.ГПМ-54.29.291  Лист правий</v>
      </c>
    </row>
    <row r="491" spans="1:7" x14ac:dyDescent="0.25">
      <c r="A491" s="547" t="s">
        <v>11880</v>
      </c>
      <c r="B491" s="547" t="s">
        <v>11881</v>
      </c>
      <c r="C491" s="326" t="s">
        <v>5898</v>
      </c>
      <c r="D491" s="326" t="s">
        <v>5757</v>
      </c>
      <c r="E491" s="767" t="str">
        <f t="shared" si="6"/>
        <v>65.ГПМ-54.29.320сб  Лист лівий</v>
      </c>
    </row>
    <row r="492" spans="1:7" x14ac:dyDescent="0.25">
      <c r="A492" s="547" t="s">
        <v>11882</v>
      </c>
      <c r="B492" s="547" t="s">
        <v>11881</v>
      </c>
      <c r="C492" s="326" t="s">
        <v>5898</v>
      </c>
      <c r="D492" s="326" t="s">
        <v>5757</v>
      </c>
      <c r="E492" s="767" t="str">
        <f t="shared" si="6"/>
        <v>65.ГПМ-54.29.321  Лист лівий</v>
      </c>
    </row>
    <row r="493" spans="1:7" x14ac:dyDescent="0.25">
      <c r="A493" s="547" t="s">
        <v>11884</v>
      </c>
      <c r="B493" s="547" t="s">
        <v>11031</v>
      </c>
      <c r="C493" s="326" t="s">
        <v>5898</v>
      </c>
      <c r="D493" s="326" t="s">
        <v>5757</v>
      </c>
      <c r="E493" s="767" t="str">
        <f t="shared" si="6"/>
        <v>65.ГПМ-54.29.351  Кутник</v>
      </c>
    </row>
    <row r="494" spans="1:7" x14ac:dyDescent="0.25">
      <c r="A494" s="547" t="s">
        <v>11885</v>
      </c>
      <c r="B494" s="547" t="s">
        <v>9886</v>
      </c>
      <c r="C494" s="326" t="s">
        <v>5898</v>
      </c>
      <c r="D494" s="326" t="s">
        <v>5757</v>
      </c>
      <c r="E494" s="767" t="str">
        <f t="shared" si="6"/>
        <v>65.ГПМ-54.29.352  Накладка</v>
      </c>
    </row>
    <row r="495" spans="1:7" x14ac:dyDescent="0.25">
      <c r="A495" s="547" t="s">
        <v>11886</v>
      </c>
      <c r="B495" s="547" t="s">
        <v>9886</v>
      </c>
      <c r="C495" s="326" t="s">
        <v>5898</v>
      </c>
      <c r="D495" s="326" t="s">
        <v>5757</v>
      </c>
      <c r="E495" s="767" t="str">
        <f t="shared" si="6"/>
        <v>65.ГПМ-54.29.353  Накладка</v>
      </c>
    </row>
    <row r="496" spans="1:7" x14ac:dyDescent="0.25">
      <c r="A496" s="547" t="s">
        <v>11891</v>
      </c>
      <c r="B496" s="547" t="s">
        <v>11065</v>
      </c>
      <c r="C496" s="326" t="s">
        <v>5898</v>
      </c>
      <c r="D496" s="326" t="s">
        <v>5757</v>
      </c>
      <c r="E496" s="767" t="str">
        <f t="shared" si="6"/>
        <v>65.ГПМ-54.29.572  Плита</v>
      </c>
    </row>
    <row r="497" spans="1:5" x14ac:dyDescent="0.25">
      <c r="A497" s="547" t="s">
        <v>11899</v>
      </c>
      <c r="B497" s="547" t="s">
        <v>11900</v>
      </c>
      <c r="C497" s="326" t="s">
        <v>5898</v>
      </c>
      <c r="D497" s="326" t="s">
        <v>5757</v>
      </c>
      <c r="E497" s="767" t="str">
        <f t="shared" si="6"/>
        <v>65.ГПМ-54.61.021  Стінка передня</v>
      </c>
    </row>
    <row r="498" spans="1:5" x14ac:dyDescent="0.25">
      <c r="A498" s="547" t="s">
        <v>11901</v>
      </c>
      <c r="B498" s="547" t="s">
        <v>11902</v>
      </c>
      <c r="C498" s="326" t="s">
        <v>5898</v>
      </c>
      <c r="D498" s="326" t="s">
        <v>5757</v>
      </c>
      <c r="E498" s="767" t="str">
        <f t="shared" si="6"/>
        <v>65.ГПМ-54.61.022  Дашок</v>
      </c>
    </row>
    <row r="499" spans="1:5" x14ac:dyDescent="0.25">
      <c r="A499" s="547" t="s">
        <v>11903</v>
      </c>
      <c r="B499" s="547" t="s">
        <v>11904</v>
      </c>
      <c r="C499" s="326" t="s">
        <v>5898</v>
      </c>
      <c r="D499" s="326" t="s">
        <v>5757</v>
      </c>
      <c r="E499" s="767" t="str">
        <f t="shared" si="6"/>
        <v>65.ГПМ-54.61.023  Лапка передня</v>
      </c>
    </row>
    <row r="500" spans="1:5" x14ac:dyDescent="0.25">
      <c r="A500" s="547" t="s">
        <v>11905</v>
      </c>
      <c r="B500" s="547" t="s">
        <v>11906</v>
      </c>
      <c r="C500" s="326" t="s">
        <v>5898</v>
      </c>
      <c r="D500" s="326" t="s">
        <v>5757</v>
      </c>
      <c r="E500" s="767" t="str">
        <f t="shared" si="6"/>
        <v>65.ГПМ-54.61.024  Стінка задня</v>
      </c>
    </row>
    <row r="501" spans="1:5" x14ac:dyDescent="0.25">
      <c r="A501" s="547" t="s">
        <v>11907</v>
      </c>
      <c r="B501" s="547" t="s">
        <v>11908</v>
      </c>
      <c r="C501" s="326" t="s">
        <v>5138</v>
      </c>
      <c r="D501" s="326" t="s">
        <v>5757</v>
      </c>
      <c r="E501" s="767" t="str">
        <f t="shared" si="6"/>
        <v>65.ГПМ-54.61.025  Лапка задня</v>
      </c>
    </row>
    <row r="502" spans="1:5" x14ac:dyDescent="0.25">
      <c r="A502" s="547" t="s">
        <v>11911</v>
      </c>
      <c r="B502" s="547" t="s">
        <v>11912</v>
      </c>
      <c r="C502" s="326" t="s">
        <v>5898</v>
      </c>
      <c r="D502" s="326" t="s">
        <v>5757</v>
      </c>
      <c r="E502" s="767" t="str">
        <f t="shared" si="6"/>
        <v>65.ГПМ-54.61.031  Жолоб (3 ГОСТ 1903-74)/(Ст 3 ГОСТ 16523-74)</v>
      </c>
    </row>
    <row r="503" spans="1:5" x14ac:dyDescent="0.25">
      <c r="A503" s="547" t="s">
        <v>11913</v>
      </c>
      <c r="B503" s="547" t="s">
        <v>11008</v>
      </c>
      <c r="C503" s="326" t="s">
        <v>5757</v>
      </c>
      <c r="D503" s="326" t="s">
        <v>5757</v>
      </c>
      <c r="E503" s="767" t="str">
        <f t="shared" si="6"/>
        <v>65.ГПМ-54.61.032  Лапка</v>
      </c>
    </row>
    <row r="504" spans="1:5" x14ac:dyDescent="0.25">
      <c r="A504" s="547" t="s">
        <v>11934</v>
      </c>
      <c r="B504" s="547" t="s">
        <v>11935</v>
      </c>
      <c r="C504" s="326" t="s">
        <v>5898</v>
      </c>
      <c r="D504" s="326" t="s">
        <v>5757</v>
      </c>
      <c r="E504" s="767" t="str">
        <f t="shared" si="6"/>
        <v>65.ГПМ-54.84.022  Трубка(8х1 ГОСТ 8734-70)/(В20 ГОСТ 8733-74)</v>
      </c>
    </row>
    <row r="505" spans="1:5" x14ac:dyDescent="0.25">
      <c r="A505" s="547" t="s">
        <v>11937</v>
      </c>
      <c r="B505" s="547" t="s">
        <v>11935</v>
      </c>
      <c r="C505" s="326" t="s">
        <v>5898</v>
      </c>
      <c r="D505" s="326" t="s">
        <v>5757</v>
      </c>
      <c r="E505" s="767" t="str">
        <f t="shared" si="6"/>
        <v>65.ГПМ-54.84.032  Трубка(8х1 ГОСТ 8734-70)/(В20 ГОСТ 8733-74)</v>
      </c>
    </row>
    <row r="506" spans="1:5" x14ac:dyDescent="0.25">
      <c r="A506" s="547" t="s">
        <v>11946</v>
      </c>
      <c r="B506" s="547" t="s">
        <v>11892</v>
      </c>
      <c r="C506" s="326" t="s">
        <v>5138</v>
      </c>
      <c r="D506" s="326" t="s">
        <v>5757</v>
      </c>
      <c r="E506" s="767" t="str">
        <f t="shared" si="6"/>
        <v>65.ГПМ-54.85.10.10.03  Стінка</v>
      </c>
    </row>
    <row r="507" spans="1:5" x14ac:dyDescent="0.25">
      <c r="A507" s="547" t="s">
        <v>11947</v>
      </c>
      <c r="B507" s="547" t="s">
        <v>11948</v>
      </c>
      <c r="C507" s="326" t="s">
        <v>5898</v>
      </c>
      <c r="D507" s="326" t="s">
        <v>5757</v>
      </c>
      <c r="E507" s="767" t="str">
        <f t="shared" si="6"/>
        <v>65.ГПМ-54.85.10.10.04  Короб</v>
      </c>
    </row>
    <row r="508" spans="1:5" x14ac:dyDescent="0.25">
      <c r="A508" s="547" t="s">
        <v>11949</v>
      </c>
      <c r="B508" s="547" t="s">
        <v>11950</v>
      </c>
      <c r="C508" s="326" t="s">
        <v>5138</v>
      </c>
      <c r="D508" s="326" t="s">
        <v>5757</v>
      </c>
      <c r="E508" s="767" t="str">
        <f t="shared" si="6"/>
        <v>65.ГПМ-54.85.10.10.05  Перегородка</v>
      </c>
    </row>
    <row r="509" spans="1:5" x14ac:dyDescent="0.25">
      <c r="A509" s="547" t="s">
        <v>11951</v>
      </c>
      <c r="B509" s="547" t="s">
        <v>11927</v>
      </c>
      <c r="C509" s="326" t="s">
        <v>5898</v>
      </c>
      <c r="D509" s="326" t="s">
        <v>5757</v>
      </c>
      <c r="E509" s="767" t="str">
        <f t="shared" si="6"/>
        <v>65.ГПМ-54.85.10.10.06  Косинка</v>
      </c>
    </row>
    <row r="510" spans="1:5" x14ac:dyDescent="0.25">
      <c r="A510" s="547" t="s">
        <v>11952</v>
      </c>
      <c r="B510" s="547" t="s">
        <v>11894</v>
      </c>
      <c r="C510" s="326" t="s">
        <v>5898</v>
      </c>
      <c r="D510" s="326" t="s">
        <v>5757</v>
      </c>
      <c r="E510" s="767" t="str">
        <f t="shared" si="6"/>
        <v>65.ГПМ-54.85.10.10.07  Ребро</v>
      </c>
    </row>
    <row r="511" spans="1:5" x14ac:dyDescent="0.25">
      <c r="A511" s="547" t="s">
        <v>11943</v>
      </c>
      <c r="B511" s="547" t="s">
        <v>11944</v>
      </c>
      <c r="C511" s="326" t="s">
        <v>5138</v>
      </c>
      <c r="D511" s="326" t="s">
        <v>5757</v>
      </c>
      <c r="E511" s="767" t="str">
        <f t="shared" si="6"/>
        <v>65.ГПМ-54.85.10.10.10.01  Кутик</v>
      </c>
    </row>
    <row r="512" spans="1:5" x14ac:dyDescent="0.25">
      <c r="A512" s="547" t="s">
        <v>11945</v>
      </c>
      <c r="B512" s="547" t="s">
        <v>11944</v>
      </c>
      <c r="C512" s="326" t="s">
        <v>5138</v>
      </c>
      <c r="D512" s="326" t="s">
        <v>5757</v>
      </c>
      <c r="E512" s="767" t="str">
        <f t="shared" si="6"/>
        <v>65.ГПМ-54.85.10.10.10.02  Кутик</v>
      </c>
    </row>
    <row r="513" spans="1:5" x14ac:dyDescent="0.25">
      <c r="A513" s="547" t="s">
        <v>11941</v>
      </c>
      <c r="B513" s="547" t="s">
        <v>11942</v>
      </c>
      <c r="C513" s="326" t="s">
        <v>5898</v>
      </c>
      <c r="D513" s="326" t="s">
        <v>5757</v>
      </c>
      <c r="E513" s="767" t="str">
        <f t="shared" si="6"/>
        <v>65.ГПМ-54.85.10.10.10сб  Гніздо люку</v>
      </c>
    </row>
    <row r="514" spans="1:5" x14ac:dyDescent="0.25">
      <c r="A514" s="547" t="s">
        <v>11953</v>
      </c>
      <c r="B514" s="547" t="s">
        <v>11892</v>
      </c>
      <c r="C514" s="326" t="s">
        <v>5898</v>
      </c>
      <c r="D514" s="326" t="s">
        <v>5757</v>
      </c>
      <c r="E514" s="767" t="str">
        <f t="shared" si="6"/>
        <v>65.ГПМ-54.85.10.10.12  Стінка</v>
      </c>
    </row>
    <row r="515" spans="1:5" x14ac:dyDescent="0.25">
      <c r="A515" s="547" t="s">
        <v>11939</v>
      </c>
      <c r="B515" s="547" t="s">
        <v>11940</v>
      </c>
      <c r="C515" s="326" t="s">
        <v>5898</v>
      </c>
      <c r="D515" s="326" t="s">
        <v>5757</v>
      </c>
      <c r="E515" s="767" t="str">
        <f t="shared" si="6"/>
        <v>65.ГПМ-54.85.10.10сб  Корпус баку</v>
      </c>
    </row>
    <row r="516" spans="1:5" x14ac:dyDescent="0.25">
      <c r="A516" s="547" t="s">
        <v>11959</v>
      </c>
      <c r="B516" s="547" t="s">
        <v>11960</v>
      </c>
      <c r="C516" s="326" t="s">
        <v>5898</v>
      </c>
      <c r="D516" s="326" t="s">
        <v>5757</v>
      </c>
      <c r="E516" s="767" t="str">
        <f t="shared" si="6"/>
        <v>65.ГПМ-54.85.10.110сб  Кришка отвору Ø88,5</v>
      </c>
    </row>
    <row r="517" spans="1:5" x14ac:dyDescent="0.25">
      <c r="A517" s="547" t="s">
        <v>11961</v>
      </c>
      <c r="B517" s="547" t="s">
        <v>11962</v>
      </c>
      <c r="C517" s="326" t="s">
        <v>5898</v>
      </c>
      <c r="D517" s="326" t="s">
        <v>5757</v>
      </c>
      <c r="E517" s="767" t="str">
        <f t="shared" si="6"/>
        <v>65.ГПМ-54.85.10.120сб  Кришка отвору Ø51</v>
      </c>
    </row>
    <row r="518" spans="1:5" x14ac:dyDescent="0.25">
      <c r="A518" s="547" t="s">
        <v>11963</v>
      </c>
      <c r="B518" s="547" t="s">
        <v>11964</v>
      </c>
      <c r="C518" s="326" t="s">
        <v>5898</v>
      </c>
      <c r="D518" s="326" t="s">
        <v>5757</v>
      </c>
      <c r="E518" s="767" t="str">
        <f t="shared" si="6"/>
        <v>65.ГПМ-54.85.10.130сб  Корок 1/2"</v>
      </c>
    </row>
    <row r="519" spans="1:5" x14ac:dyDescent="0.25">
      <c r="A519" s="547" t="s">
        <v>11954</v>
      </c>
      <c r="B519" s="547" t="s">
        <v>11892</v>
      </c>
      <c r="C519" s="326" t="s">
        <v>5898</v>
      </c>
      <c r="D519" s="326" t="s">
        <v>5757</v>
      </c>
      <c r="E519" s="767" t="str">
        <f t="shared" si="6"/>
        <v>65.ГПМ-54.85.10.14.13  Стінка</v>
      </c>
    </row>
    <row r="520" spans="1:5" x14ac:dyDescent="0.25">
      <c r="A520" s="547" t="s">
        <v>11965</v>
      </c>
      <c r="B520" s="547" t="s">
        <v>11966</v>
      </c>
      <c r="C520" s="326" t="s">
        <v>5898</v>
      </c>
      <c r="D520" s="326" t="s">
        <v>5757</v>
      </c>
      <c r="E520" s="767" t="str">
        <f t="shared" si="6"/>
        <v>65.ГПМ-54.85.10.140сб  Корок 1"</v>
      </c>
    </row>
    <row r="521" spans="1:5" x14ac:dyDescent="0.25">
      <c r="A521" s="547" t="s">
        <v>11967</v>
      </c>
      <c r="B521" s="547" t="s">
        <v>11968</v>
      </c>
      <c r="C521" s="326" t="s">
        <v>5138</v>
      </c>
      <c r="D521" s="326" t="s">
        <v>5757</v>
      </c>
      <c r="E521" s="767" t="str">
        <f t="shared" si="6"/>
        <v>65.ГПМ-54.85.10.150сб  Заглушка отвору Ø10,5</v>
      </c>
    </row>
    <row r="522" spans="1:5" x14ac:dyDescent="0.25">
      <c r="A522" s="547" t="s">
        <v>11955</v>
      </c>
      <c r="B522" s="547" t="s">
        <v>11956</v>
      </c>
      <c r="C522" s="326" t="s">
        <v>5898</v>
      </c>
      <c r="D522" s="326" t="s">
        <v>5757</v>
      </c>
      <c r="E522" s="767" t="str">
        <f t="shared" si="6"/>
        <v>65.ГПМ-54.85.10.20сб  Люк баку</v>
      </c>
    </row>
    <row r="523" spans="1:5" x14ac:dyDescent="0.25">
      <c r="A523" s="547" t="s">
        <v>12019</v>
      </c>
      <c r="B523" s="547" t="s">
        <v>12020</v>
      </c>
      <c r="C523" s="326" t="s">
        <v>5898</v>
      </c>
      <c r="D523" s="326" t="s">
        <v>5757</v>
      </c>
      <c r="E523" s="767" t="str">
        <f t="shared" si="6"/>
        <v>65.ГПМ-54.85.1000сб  Гідросистема бульдозера</v>
      </c>
    </row>
    <row r="524" spans="1:5" x14ac:dyDescent="0.25">
      <c r="A524" s="547" t="s">
        <v>12082</v>
      </c>
      <c r="B524" s="547" t="s">
        <v>10962</v>
      </c>
      <c r="C524" s="326" t="s">
        <v>5898</v>
      </c>
      <c r="D524" s="326" t="s">
        <v>5757</v>
      </c>
      <c r="E524" s="767" t="str">
        <f t="shared" si="6"/>
        <v>65.ГПМ-54.85.1004  Скоба</v>
      </c>
    </row>
    <row r="525" spans="1:5" x14ac:dyDescent="0.25">
      <c r="A525" s="547" t="s">
        <v>12021</v>
      </c>
      <c r="B525" s="547" t="s">
        <v>12022</v>
      </c>
      <c r="C525" s="326" t="s">
        <v>5898</v>
      </c>
      <c r="D525" s="326" t="s">
        <v>5757</v>
      </c>
      <c r="E525" s="767" t="str">
        <f t="shared" si="6"/>
        <v>65.ГПМ-54.85.1010сб  Трубка 10</v>
      </c>
    </row>
    <row r="526" spans="1:5" x14ac:dyDescent="0.25">
      <c r="A526" s="547" t="s">
        <v>12023</v>
      </c>
      <c r="B526" s="547" t="s">
        <v>12022</v>
      </c>
      <c r="C526" s="326" t="s">
        <v>5898</v>
      </c>
      <c r="D526" s="326" t="s">
        <v>5757</v>
      </c>
      <c r="E526" s="767" t="str">
        <f t="shared" si="6"/>
        <v>65.ГПМ-54.85.1020сб  Трубка 10</v>
      </c>
    </row>
    <row r="527" spans="1:5" x14ac:dyDescent="0.25">
      <c r="A527" s="547" t="s">
        <v>12024</v>
      </c>
      <c r="B527" s="547" t="s">
        <v>12025</v>
      </c>
      <c r="C527" s="326" t="s">
        <v>5898</v>
      </c>
      <c r="D527" s="326" t="s">
        <v>5757</v>
      </c>
      <c r="E527" s="767" t="str">
        <f t="shared" si="6"/>
        <v>65.ГПМ-54.85.1030сб  Трубка 15</v>
      </c>
    </row>
    <row r="528" spans="1:5" x14ac:dyDescent="0.25">
      <c r="A528" s="547" t="s">
        <v>12070</v>
      </c>
      <c r="B528" s="547" t="s">
        <v>12071</v>
      </c>
      <c r="C528" s="326" t="s">
        <v>5898</v>
      </c>
      <c r="D528" s="326" t="s">
        <v>5757</v>
      </c>
      <c r="E528" s="767" t="str">
        <f t="shared" si="6"/>
        <v>65.ГПМ-54.85.1037  Кронштейн 1</v>
      </c>
    </row>
    <row r="529" spans="1:5" x14ac:dyDescent="0.25">
      <c r="A529" s="547" t="s">
        <v>12072</v>
      </c>
      <c r="B529" s="547" t="s">
        <v>12073</v>
      </c>
      <c r="C529" s="326" t="s">
        <v>5138</v>
      </c>
      <c r="D529" s="326" t="s">
        <v>5757</v>
      </c>
      <c r="E529" s="767" t="str">
        <f t="shared" si="6"/>
        <v>65.ГПМ-54.85.1038  Кронштейн 2</v>
      </c>
    </row>
    <row r="530" spans="1:5" x14ac:dyDescent="0.25">
      <c r="A530" s="547" t="s">
        <v>12074</v>
      </c>
      <c r="B530" s="547" t="s">
        <v>12075</v>
      </c>
      <c r="C530" s="326" t="s">
        <v>5898</v>
      </c>
      <c r="D530" s="326" t="s">
        <v>5757</v>
      </c>
      <c r="E530" s="767" t="str">
        <f t="shared" si="6"/>
        <v>65.ГПМ-54.85.1039  Планка 1</v>
      </c>
    </row>
    <row r="531" spans="1:5" x14ac:dyDescent="0.25">
      <c r="A531" s="547" t="s">
        <v>12027</v>
      </c>
      <c r="B531" s="547" t="s">
        <v>12025</v>
      </c>
      <c r="C531" s="326" t="s">
        <v>5898</v>
      </c>
      <c r="D531" s="326" t="s">
        <v>5757</v>
      </c>
      <c r="E531" s="767" t="str">
        <f t="shared" si="6"/>
        <v>65.ГПМ-54.85.1040сб  Трубка 15</v>
      </c>
    </row>
    <row r="532" spans="1:5" x14ac:dyDescent="0.25">
      <c r="A532" s="547" t="s">
        <v>12076</v>
      </c>
      <c r="B532" s="547" t="s">
        <v>12077</v>
      </c>
      <c r="C532" s="326" t="s">
        <v>5138</v>
      </c>
      <c r="D532" s="326" t="s">
        <v>5757</v>
      </c>
      <c r="E532" s="767" t="str">
        <f t="shared" si="6"/>
        <v>65.ГПМ-54.85.1041  Планка 2</v>
      </c>
    </row>
    <row r="533" spans="1:5" x14ac:dyDescent="0.25">
      <c r="A533" s="547" t="s">
        <v>12028</v>
      </c>
      <c r="B533" s="547" t="s">
        <v>12025</v>
      </c>
      <c r="C533" s="326" t="s">
        <v>5898</v>
      </c>
      <c r="D533" s="326" t="s">
        <v>5757</v>
      </c>
      <c r="E533" s="767" t="str">
        <f t="shared" si="6"/>
        <v>65.ГПМ-54.85.1050сб  Трубка 15</v>
      </c>
    </row>
    <row r="534" spans="1:5" x14ac:dyDescent="0.25">
      <c r="A534" s="547" t="s">
        <v>12029</v>
      </c>
      <c r="B534" s="547" t="s">
        <v>12025</v>
      </c>
      <c r="C534" s="326" t="s">
        <v>5898</v>
      </c>
      <c r="D534" s="326" t="s">
        <v>5757</v>
      </c>
      <c r="E534" s="767" t="str">
        <f t="shared" si="6"/>
        <v>65.ГПМ-54.85.1060сб  Трубка 15</v>
      </c>
    </row>
    <row r="535" spans="1:5" x14ac:dyDescent="0.25">
      <c r="A535" s="547" t="s">
        <v>12030</v>
      </c>
      <c r="B535" s="547" t="s">
        <v>12022</v>
      </c>
      <c r="C535" s="326" t="s">
        <v>5898</v>
      </c>
      <c r="D535" s="326" t="s">
        <v>5757</v>
      </c>
      <c r="E535" s="767" t="str">
        <f t="shared" si="6"/>
        <v>65.ГПМ-54.85.1070сб  Трубка 10</v>
      </c>
    </row>
    <row r="536" spans="1:5" x14ac:dyDescent="0.25">
      <c r="A536" s="547" t="s">
        <v>12031</v>
      </c>
      <c r="B536" s="547" t="s">
        <v>12022</v>
      </c>
      <c r="C536" s="326" t="s">
        <v>5898</v>
      </c>
      <c r="D536" s="326" t="s">
        <v>5757</v>
      </c>
      <c r="E536" s="767" t="str">
        <f t="shared" si="6"/>
        <v>65.ГПМ-54.85.1080сб  Трубка 10</v>
      </c>
    </row>
    <row r="537" spans="1:5" x14ac:dyDescent="0.25">
      <c r="A537" s="547" t="s">
        <v>12032</v>
      </c>
      <c r="B537" s="547" t="s">
        <v>12022</v>
      </c>
      <c r="C537" s="326" t="s">
        <v>5898</v>
      </c>
      <c r="D537" s="326" t="s">
        <v>5757</v>
      </c>
      <c r="E537" s="767" t="str">
        <f t="shared" si="6"/>
        <v>65.ГПМ-54.85.1090сб  Трубка 10</v>
      </c>
    </row>
    <row r="538" spans="1:5" x14ac:dyDescent="0.25">
      <c r="A538" s="547" t="s">
        <v>12033</v>
      </c>
      <c r="B538" s="547" t="s">
        <v>12022</v>
      </c>
      <c r="C538" s="326" t="s">
        <v>5898</v>
      </c>
      <c r="D538" s="326" t="s">
        <v>5757</v>
      </c>
      <c r="E538" s="767" t="str">
        <f t="shared" si="6"/>
        <v>65.ГПМ-54.85.1100сб  Трубка 10</v>
      </c>
    </row>
    <row r="539" spans="1:5" x14ac:dyDescent="0.25">
      <c r="A539" s="547" t="s">
        <v>12034</v>
      </c>
      <c r="B539" s="547" t="s">
        <v>12022</v>
      </c>
      <c r="C539" s="326" t="s">
        <v>5898</v>
      </c>
      <c r="D539" s="326" t="s">
        <v>5757</v>
      </c>
      <c r="E539" s="767" t="str">
        <f t="shared" si="6"/>
        <v>65.ГПМ-54.85.1120сб  Трубка 10</v>
      </c>
    </row>
    <row r="540" spans="1:5" x14ac:dyDescent="0.25">
      <c r="A540" s="547" t="s">
        <v>12035</v>
      </c>
      <c r="B540" s="547" t="s">
        <v>12022</v>
      </c>
      <c r="C540" s="326" t="s">
        <v>5898</v>
      </c>
      <c r="D540" s="326" t="s">
        <v>5757</v>
      </c>
      <c r="E540" s="767" t="str">
        <f t="shared" si="6"/>
        <v>65.ГПМ-54.85.1130сб  Трубка 10</v>
      </c>
    </row>
    <row r="541" spans="1:5" x14ac:dyDescent="0.25">
      <c r="A541" s="547" t="s">
        <v>12036</v>
      </c>
      <c r="B541" s="547" t="s">
        <v>12037</v>
      </c>
      <c r="C541" s="326" t="s">
        <v>5898</v>
      </c>
      <c r="D541" s="326" t="s">
        <v>5757</v>
      </c>
      <c r="E541" s="767" t="str">
        <f t="shared" si="6"/>
        <v>65.ГПМ-54.85.1140сб  Трубка 16</v>
      </c>
    </row>
    <row r="542" spans="1:5" x14ac:dyDescent="0.25">
      <c r="A542" s="547" t="s">
        <v>12038</v>
      </c>
      <c r="B542" s="547" t="s">
        <v>12022</v>
      </c>
      <c r="C542" s="326" t="s">
        <v>5898</v>
      </c>
      <c r="D542" s="326" t="s">
        <v>5757</v>
      </c>
      <c r="E542" s="767" t="str">
        <f t="shared" si="6"/>
        <v>65.ГПМ-54.85.1150сб  Трубка 10</v>
      </c>
    </row>
    <row r="543" spans="1:5" x14ac:dyDescent="0.25">
      <c r="A543" s="547" t="s">
        <v>12041</v>
      </c>
      <c r="B543" s="547" t="s">
        <v>12037</v>
      </c>
      <c r="C543" s="326" t="s">
        <v>5898</v>
      </c>
      <c r="D543" s="326" t="s">
        <v>5757</v>
      </c>
      <c r="E543" s="767" t="str">
        <f t="shared" si="6"/>
        <v>65.ГПМ-54.85.1170сб  Трубка 16</v>
      </c>
    </row>
    <row r="544" spans="1:5" x14ac:dyDescent="0.25">
      <c r="A544" s="547" t="s">
        <v>12042</v>
      </c>
      <c r="B544" s="547" t="s">
        <v>12022</v>
      </c>
      <c r="C544" s="326" t="s">
        <v>5898</v>
      </c>
      <c r="D544" s="326" t="s">
        <v>5757</v>
      </c>
      <c r="E544" s="767" t="str">
        <f t="shared" si="6"/>
        <v>65.ГПМ-54.85.1180сб  Трубка 10</v>
      </c>
    </row>
    <row r="545" spans="1:5" x14ac:dyDescent="0.25">
      <c r="A545" s="547" t="s">
        <v>12044</v>
      </c>
      <c r="B545" s="547" t="s">
        <v>12022</v>
      </c>
      <c r="C545" s="326" t="s">
        <v>5898</v>
      </c>
      <c r="D545" s="326" t="s">
        <v>5757</v>
      </c>
      <c r="E545" s="767" t="str">
        <f t="shared" si="6"/>
        <v>65.ГПМ-54.85.1200сб  Трубка 10</v>
      </c>
    </row>
    <row r="546" spans="1:5" x14ac:dyDescent="0.25">
      <c r="A546" s="547" t="s">
        <v>12045</v>
      </c>
      <c r="B546" s="547" t="s">
        <v>12022</v>
      </c>
      <c r="C546" s="326" t="s">
        <v>5898</v>
      </c>
      <c r="D546" s="326" t="s">
        <v>5757</v>
      </c>
      <c r="E546" s="767" t="str">
        <f t="shared" si="6"/>
        <v>65.ГПМ-54.85.1210сб  Трубка 10</v>
      </c>
    </row>
    <row r="547" spans="1:5" x14ac:dyDescent="0.25">
      <c r="A547" s="547" t="s">
        <v>12046</v>
      </c>
      <c r="B547" s="547" t="s">
        <v>12022</v>
      </c>
      <c r="C547" s="326" t="s">
        <v>5898</v>
      </c>
      <c r="D547" s="326" t="s">
        <v>5757</v>
      </c>
      <c r="E547" s="767" t="str">
        <f t="shared" si="6"/>
        <v>65.ГПМ-54.85.1230сб  Трубка 10</v>
      </c>
    </row>
    <row r="548" spans="1:5" x14ac:dyDescent="0.25">
      <c r="A548" s="547" t="s">
        <v>12047</v>
      </c>
      <c r="B548" s="547" t="s">
        <v>12022</v>
      </c>
      <c r="C548" s="326" t="s">
        <v>5898</v>
      </c>
      <c r="D548" s="326" t="s">
        <v>5757</v>
      </c>
      <c r="E548" s="767" t="str">
        <f t="shared" si="6"/>
        <v>65.ГПМ-54.85.1240сб  Трубка 10</v>
      </c>
    </row>
    <row r="549" spans="1:5" x14ac:dyDescent="0.25">
      <c r="A549" s="547" t="s">
        <v>12048</v>
      </c>
      <c r="B549" s="547" t="s">
        <v>12022</v>
      </c>
      <c r="C549" s="326" t="s">
        <v>5898</v>
      </c>
      <c r="D549" s="326" t="s">
        <v>5757</v>
      </c>
      <c r="E549" s="767" t="str">
        <f t="shared" si="6"/>
        <v>65.ГПМ-54.85.1250сб  Трубка 10</v>
      </c>
    </row>
    <row r="550" spans="1:5" x14ac:dyDescent="0.25">
      <c r="A550" s="547" t="s">
        <v>12049</v>
      </c>
      <c r="B550" s="547" t="s">
        <v>12022</v>
      </c>
      <c r="C550" s="326" t="s">
        <v>5898</v>
      </c>
      <c r="D550" s="326" t="s">
        <v>5757</v>
      </c>
      <c r="E550" s="767" t="str">
        <f t="shared" si="6"/>
        <v>65.ГПМ-54.85.1260сб  Трубка 10</v>
      </c>
    </row>
    <row r="551" spans="1:5" x14ac:dyDescent="0.25">
      <c r="A551" s="547" t="s">
        <v>12050</v>
      </c>
      <c r="B551" s="547" t="s">
        <v>12051</v>
      </c>
      <c r="C551" s="326" t="s">
        <v>5898</v>
      </c>
      <c r="D551" s="326" t="s">
        <v>5757</v>
      </c>
      <c r="E551" s="767" t="str">
        <f t="shared" si="6"/>
        <v>65.ГПМ-54.85.1270сб  Трубка 6</v>
      </c>
    </row>
    <row r="552" spans="1:5" x14ac:dyDescent="0.25">
      <c r="A552" s="547" t="s">
        <v>12052</v>
      </c>
      <c r="B552" s="547" t="s">
        <v>12022</v>
      </c>
      <c r="C552" s="326" t="s">
        <v>5898</v>
      </c>
      <c r="D552" s="326" t="s">
        <v>5757</v>
      </c>
      <c r="E552" s="767" t="str">
        <f t="shared" si="6"/>
        <v>65.ГПМ-54.85.1280сб  Трубка 10</v>
      </c>
    </row>
    <row r="553" spans="1:5" x14ac:dyDescent="0.25">
      <c r="A553" s="547" t="s">
        <v>12053</v>
      </c>
      <c r="B553" s="547" t="s">
        <v>12051</v>
      </c>
      <c r="C553" s="326" t="s">
        <v>5898</v>
      </c>
      <c r="D553" s="326" t="s">
        <v>5757</v>
      </c>
      <c r="E553" s="767" t="str">
        <f t="shared" si="6"/>
        <v>65.ГПМ-54.85.1290сб  Трубка 6</v>
      </c>
    </row>
    <row r="554" spans="1:5" x14ac:dyDescent="0.25">
      <c r="A554" s="547" t="s">
        <v>12083</v>
      </c>
      <c r="B554" s="547" t="s">
        <v>12084</v>
      </c>
      <c r="C554" s="326" t="s">
        <v>5898</v>
      </c>
      <c r="D554" s="326" t="s">
        <v>5757</v>
      </c>
      <c r="E554" s="767" t="str">
        <f t="shared" ref="E554:E617" si="7">A554&amp;"  "&amp;B554</f>
        <v>65.ГПМ-54.85.13  Прокладка конічна</v>
      </c>
    </row>
    <row r="555" spans="1:5" x14ac:dyDescent="0.25">
      <c r="A555" s="547" t="s">
        <v>12054</v>
      </c>
      <c r="B555" s="547" t="s">
        <v>12022</v>
      </c>
      <c r="C555" s="326" t="s">
        <v>5898</v>
      </c>
      <c r="D555" s="326" t="s">
        <v>5757</v>
      </c>
      <c r="E555" s="767" t="str">
        <f t="shared" si="7"/>
        <v>65.ГПМ-54.85.1310сб  Трубка 10</v>
      </c>
    </row>
    <row r="556" spans="1:5" x14ac:dyDescent="0.25">
      <c r="A556" s="547" t="s">
        <v>12055</v>
      </c>
      <c r="B556" s="547" t="s">
        <v>12022</v>
      </c>
      <c r="C556" s="326" t="s">
        <v>5898</v>
      </c>
      <c r="D556" s="326" t="s">
        <v>5757</v>
      </c>
      <c r="E556" s="767" t="str">
        <f t="shared" si="7"/>
        <v>65.ГПМ-54.85.1320сб  Трубка 10</v>
      </c>
    </row>
    <row r="557" spans="1:5" x14ac:dyDescent="0.25">
      <c r="A557" s="547" t="s">
        <v>12056</v>
      </c>
      <c r="B557" s="547" t="s">
        <v>12022</v>
      </c>
      <c r="C557" s="326" t="s">
        <v>5898</v>
      </c>
      <c r="D557" s="326" t="s">
        <v>5757</v>
      </c>
      <c r="E557" s="767" t="str">
        <f t="shared" si="7"/>
        <v>65.ГПМ-54.85.1330сб  Трубка 10</v>
      </c>
    </row>
    <row r="558" spans="1:5" x14ac:dyDescent="0.25">
      <c r="A558" s="547" t="s">
        <v>12057</v>
      </c>
      <c r="B558" s="547" t="s">
        <v>12022</v>
      </c>
      <c r="C558" s="326" t="s">
        <v>5898</v>
      </c>
      <c r="D558" s="326" t="s">
        <v>5757</v>
      </c>
      <c r="E558" s="767" t="str">
        <f t="shared" si="7"/>
        <v>65.ГПМ-54.85.1350сб  Трубка 10</v>
      </c>
    </row>
    <row r="559" spans="1:5" x14ac:dyDescent="0.25">
      <c r="A559" s="547" t="s">
        <v>12058</v>
      </c>
      <c r="B559" s="547" t="s">
        <v>12022</v>
      </c>
      <c r="C559" s="326" t="s">
        <v>5898</v>
      </c>
      <c r="D559" s="326" t="s">
        <v>5757</v>
      </c>
      <c r="E559" s="767" t="str">
        <f t="shared" si="7"/>
        <v>65.ГПМ-54.85.1390сб  Трубка 10</v>
      </c>
    </row>
    <row r="560" spans="1:5" x14ac:dyDescent="0.25">
      <c r="A560" s="547" t="s">
        <v>12059</v>
      </c>
      <c r="B560" s="547" t="s">
        <v>12022</v>
      </c>
      <c r="C560" s="326" t="s">
        <v>5898</v>
      </c>
      <c r="D560" s="326" t="s">
        <v>5757</v>
      </c>
      <c r="E560" s="767" t="str">
        <f t="shared" si="7"/>
        <v>65.ГПМ-54.85.1400сб  Трубка 10</v>
      </c>
    </row>
    <row r="561" spans="1:5" x14ac:dyDescent="0.25">
      <c r="A561" s="547" t="s">
        <v>12060</v>
      </c>
      <c r="B561" s="547" t="s">
        <v>11926</v>
      </c>
      <c r="C561" s="326" t="s">
        <v>5898</v>
      </c>
      <c r="D561" s="326" t="s">
        <v>5757</v>
      </c>
      <c r="E561" s="767" t="str">
        <f t="shared" si="7"/>
        <v>65.ГПМ-54.85.1410сб  Каркас</v>
      </c>
    </row>
    <row r="562" spans="1:5" x14ac:dyDescent="0.25">
      <c r="A562" s="547" t="s">
        <v>12087</v>
      </c>
      <c r="B562" s="547" t="s">
        <v>12088</v>
      </c>
      <c r="C562" s="326" t="s">
        <v>5898</v>
      </c>
      <c r="D562" s="326" t="s">
        <v>5757</v>
      </c>
      <c r="E562" s="767" t="str">
        <f t="shared" si="7"/>
        <v>65.ГПМ-54.93.161  Смуга</v>
      </c>
    </row>
    <row r="563" spans="1:5" x14ac:dyDescent="0.25">
      <c r="A563" s="547" t="s">
        <v>12089</v>
      </c>
      <c r="B563" s="547" t="s">
        <v>11927</v>
      </c>
      <c r="C563" s="326" t="s">
        <v>5138</v>
      </c>
      <c r="D563" s="326" t="s">
        <v>5757</v>
      </c>
      <c r="E563" s="767" t="str">
        <f t="shared" si="7"/>
        <v>65.ГПМ-54.93.162  Косинка</v>
      </c>
    </row>
    <row r="564" spans="1:5" x14ac:dyDescent="0.25">
      <c r="A564" s="547" t="s">
        <v>12092</v>
      </c>
      <c r="B564" s="547" t="s">
        <v>12088</v>
      </c>
      <c r="C564" s="326" t="s">
        <v>5898</v>
      </c>
      <c r="D564" s="326" t="s">
        <v>5757</v>
      </c>
      <c r="E564" s="767" t="str">
        <f t="shared" si="7"/>
        <v>65.ГПМ-54.93.281  Смуга</v>
      </c>
    </row>
    <row r="565" spans="1:5" x14ac:dyDescent="0.25">
      <c r="A565" s="547" t="s">
        <v>12092</v>
      </c>
      <c r="B565" s="547" t="s">
        <v>12088</v>
      </c>
      <c r="C565" s="326" t="s">
        <v>5898</v>
      </c>
      <c r="D565" s="326" t="s">
        <v>5757</v>
      </c>
      <c r="E565" s="767" t="str">
        <f t="shared" si="7"/>
        <v>65.ГПМ-54.93.281  Смуга</v>
      </c>
    </row>
    <row r="566" spans="1:5" x14ac:dyDescent="0.25">
      <c r="A566" s="547" t="s">
        <v>12093</v>
      </c>
      <c r="B566" s="547" t="s">
        <v>11927</v>
      </c>
      <c r="C566" s="326" t="s">
        <v>5898</v>
      </c>
      <c r="D566" s="326" t="s">
        <v>5757</v>
      </c>
      <c r="E566" s="767" t="str">
        <f t="shared" si="7"/>
        <v>65.ГПМ-54.93.282  Косинка</v>
      </c>
    </row>
    <row r="567" spans="1:5" x14ac:dyDescent="0.25">
      <c r="A567" s="547" t="s">
        <v>12093</v>
      </c>
      <c r="B567" s="547" t="s">
        <v>11927</v>
      </c>
      <c r="C567" s="326" t="s">
        <v>5898</v>
      </c>
      <c r="D567" s="326" t="s">
        <v>5757</v>
      </c>
      <c r="E567" s="767" t="str">
        <f t="shared" si="7"/>
        <v>65.ГПМ-54.93.282  Косинка</v>
      </c>
    </row>
    <row r="568" spans="1:5" x14ac:dyDescent="0.25">
      <c r="A568" s="547" t="s">
        <v>12108</v>
      </c>
      <c r="B568" s="547" t="s">
        <v>11749</v>
      </c>
      <c r="C568" s="326" t="s">
        <v>5898</v>
      </c>
      <c r="D568" s="326" t="s">
        <v>5757</v>
      </c>
      <c r="E568" s="767" t="str">
        <f t="shared" si="7"/>
        <v>65.ГПМ-54.93.471  Кожух</v>
      </c>
    </row>
    <row r="569" spans="1:5" x14ac:dyDescent="0.25">
      <c r="A569" s="547" t="s">
        <v>12109</v>
      </c>
      <c r="B569" s="547" t="s">
        <v>9885</v>
      </c>
      <c r="C569" s="326" t="s">
        <v>5898</v>
      </c>
      <c r="D569" s="326" t="s">
        <v>5757</v>
      </c>
      <c r="E569" s="767" t="str">
        <f t="shared" si="7"/>
        <v>65.ГПМ-54.93.472  Планка</v>
      </c>
    </row>
    <row r="570" spans="1:5" x14ac:dyDescent="0.25">
      <c r="A570" s="547" t="s">
        <v>12109</v>
      </c>
      <c r="B570" s="547" t="s">
        <v>9885</v>
      </c>
      <c r="C570" s="326" t="s">
        <v>5898</v>
      </c>
      <c r="D570" s="326" t="s">
        <v>5757</v>
      </c>
      <c r="E570" s="767" t="str">
        <f t="shared" si="7"/>
        <v>65.ГПМ-54.93.472  Планка</v>
      </c>
    </row>
    <row r="571" spans="1:5" x14ac:dyDescent="0.25">
      <c r="A571" s="547" t="s">
        <v>12110</v>
      </c>
      <c r="B571" s="547" t="s">
        <v>9885</v>
      </c>
      <c r="C571" s="326" t="s">
        <v>5898</v>
      </c>
      <c r="D571" s="326" t="s">
        <v>5757</v>
      </c>
      <c r="E571" s="767" t="str">
        <f t="shared" si="7"/>
        <v>65.ГПМ-54.93.477  Планка</v>
      </c>
    </row>
    <row r="572" spans="1:5" x14ac:dyDescent="0.25">
      <c r="A572" s="547" t="s">
        <v>12110</v>
      </c>
      <c r="B572" s="547" t="s">
        <v>9885</v>
      </c>
      <c r="C572" s="326" t="s">
        <v>5898</v>
      </c>
      <c r="D572" s="326" t="s">
        <v>5757</v>
      </c>
      <c r="E572" s="767" t="str">
        <f t="shared" si="7"/>
        <v>65.ГПМ-54.93.477  Планка</v>
      </c>
    </row>
    <row r="573" spans="1:5" x14ac:dyDescent="0.25">
      <c r="A573" s="547" t="s">
        <v>12111</v>
      </c>
      <c r="B573" s="547" t="s">
        <v>12112</v>
      </c>
      <c r="C573" s="326" t="s">
        <v>5138</v>
      </c>
      <c r="D573" s="326" t="s">
        <v>5757</v>
      </c>
      <c r="E573" s="767" t="str">
        <f t="shared" si="7"/>
        <v>65.ГПМ-54.93.478  Планка гнута</v>
      </c>
    </row>
    <row r="574" spans="1:5" x14ac:dyDescent="0.25">
      <c r="A574" s="547" t="s">
        <v>12111</v>
      </c>
      <c r="B574" s="547" t="s">
        <v>12112</v>
      </c>
      <c r="C574" s="326" t="s">
        <v>5138</v>
      </c>
      <c r="D574" s="326" t="s">
        <v>5757</v>
      </c>
      <c r="E574" s="767" t="str">
        <f t="shared" si="7"/>
        <v>65.ГПМ-54.93.478  Планка гнута</v>
      </c>
    </row>
    <row r="575" spans="1:5" x14ac:dyDescent="0.25">
      <c r="A575" s="547" t="s">
        <v>12115</v>
      </c>
      <c r="B575" s="547" t="s">
        <v>11749</v>
      </c>
      <c r="C575" s="326" t="s">
        <v>5898</v>
      </c>
      <c r="D575" s="326" t="s">
        <v>5757</v>
      </c>
      <c r="E575" s="767" t="str">
        <f t="shared" si="7"/>
        <v>65.ГПМ-54.93.481  Кожух</v>
      </c>
    </row>
    <row r="576" spans="1:5" x14ac:dyDescent="0.25">
      <c r="A576" s="547" t="s">
        <v>12118</v>
      </c>
      <c r="B576" s="547" t="s">
        <v>11749</v>
      </c>
      <c r="C576" s="326" t="s">
        <v>5898</v>
      </c>
      <c r="D576" s="326" t="s">
        <v>5757</v>
      </c>
      <c r="E576" s="767" t="str">
        <f t="shared" si="7"/>
        <v>65.ГПМ-54.93.511  Кожух</v>
      </c>
    </row>
    <row r="577" spans="1:5" x14ac:dyDescent="0.25">
      <c r="A577" s="547" t="s">
        <v>12121</v>
      </c>
      <c r="B577" s="547" t="s">
        <v>11749</v>
      </c>
      <c r="C577" s="326" t="s">
        <v>5898</v>
      </c>
      <c r="D577" s="326" t="s">
        <v>5757</v>
      </c>
      <c r="E577" s="767" t="str">
        <f t="shared" si="7"/>
        <v>65.ГПМ-54.93.521  Кожух</v>
      </c>
    </row>
    <row r="578" spans="1:5" x14ac:dyDescent="0.25">
      <c r="A578" s="547" t="s">
        <v>12124</v>
      </c>
      <c r="B578" s="547" t="s">
        <v>11749</v>
      </c>
      <c r="C578" s="326" t="s">
        <v>5898</v>
      </c>
      <c r="D578" s="326" t="s">
        <v>5757</v>
      </c>
      <c r="E578" s="767" t="str">
        <f t="shared" si="7"/>
        <v>65.ГПМ-54.93.531  Кожух</v>
      </c>
    </row>
    <row r="579" spans="1:5" x14ac:dyDescent="0.25">
      <c r="A579" s="547" t="s">
        <v>12125</v>
      </c>
      <c r="B579" s="547" t="s">
        <v>9885</v>
      </c>
      <c r="C579" s="326" t="s">
        <v>5898</v>
      </c>
      <c r="D579" s="326" t="s">
        <v>5757</v>
      </c>
      <c r="E579" s="767" t="str">
        <f t="shared" si="7"/>
        <v>65.ГПМ-54.93.533  Планка</v>
      </c>
    </row>
    <row r="580" spans="1:5" x14ac:dyDescent="0.25">
      <c r="A580" s="547" t="s">
        <v>12125</v>
      </c>
      <c r="B580" s="547" t="s">
        <v>9885</v>
      </c>
      <c r="C580" s="326" t="s">
        <v>5898</v>
      </c>
      <c r="D580" s="326" t="s">
        <v>5757</v>
      </c>
      <c r="E580" s="767" t="str">
        <f t="shared" si="7"/>
        <v>65.ГПМ-54.93.533  Планка</v>
      </c>
    </row>
    <row r="581" spans="1:5" x14ac:dyDescent="0.25">
      <c r="A581" s="547" t="s">
        <v>12128</v>
      </c>
      <c r="B581" s="547" t="s">
        <v>11749</v>
      </c>
      <c r="C581" s="326" t="s">
        <v>5898</v>
      </c>
      <c r="D581" s="326" t="s">
        <v>5757</v>
      </c>
      <c r="E581" s="767" t="str">
        <f t="shared" si="7"/>
        <v>65.ГПМ-54.93.541  Кожух</v>
      </c>
    </row>
    <row r="582" spans="1:5" x14ac:dyDescent="0.25">
      <c r="A582" s="547" t="s">
        <v>11875</v>
      </c>
      <c r="B582" s="547" t="s">
        <v>11876</v>
      </c>
      <c r="C582" s="326" t="s">
        <v>5898</v>
      </c>
      <c r="D582" s="326" t="s">
        <v>11871</v>
      </c>
      <c r="E582" s="767" t="str">
        <f t="shared" si="7"/>
        <v>65.ГПМ-54.29.210сб  Лист перегородки</v>
      </c>
    </row>
    <row r="583" spans="1:5" x14ac:dyDescent="0.25">
      <c r="A583" s="547" t="s">
        <v>11883</v>
      </c>
      <c r="B583" s="547" t="s">
        <v>11749</v>
      </c>
      <c r="C583" s="326" t="s">
        <v>5898</v>
      </c>
      <c r="D583" s="326" t="s">
        <v>11871</v>
      </c>
      <c r="E583" s="767" t="str">
        <f t="shared" si="7"/>
        <v>65.ГПМ-54.29.350сб  Кожух</v>
      </c>
    </row>
    <row r="584" spans="1:5" x14ac:dyDescent="0.25">
      <c r="A584" s="547" t="s">
        <v>11887</v>
      </c>
      <c r="B584" s="547" t="s">
        <v>11888</v>
      </c>
      <c r="C584" s="326" t="s">
        <v>5138</v>
      </c>
      <c r="D584" s="326" t="s">
        <v>11871</v>
      </c>
      <c r="E584" s="767" t="str">
        <f t="shared" si="7"/>
        <v>65.ГПМ-54.29.430сб  Застібка</v>
      </c>
    </row>
    <row r="585" spans="1:5" x14ac:dyDescent="0.25">
      <c r="A585" s="547" t="s">
        <v>11889</v>
      </c>
      <c r="B585" s="547" t="s">
        <v>11890</v>
      </c>
      <c r="C585" s="326" t="s">
        <v>5898</v>
      </c>
      <c r="D585" s="326" t="s">
        <v>11871</v>
      </c>
      <c r="E585" s="767" t="str">
        <f t="shared" si="7"/>
        <v>65.ГПМ-54.29.570сб  Підлога передня</v>
      </c>
    </row>
    <row r="586" spans="1:5" x14ac:dyDescent="0.25">
      <c r="A586" s="547" t="s">
        <v>11914</v>
      </c>
      <c r="B586" s="547" t="s">
        <v>11003</v>
      </c>
      <c r="C586" s="326" t="s">
        <v>5146</v>
      </c>
      <c r="D586" s="326" t="s">
        <v>11871</v>
      </c>
      <c r="E586" s="767" t="str">
        <f t="shared" si="7"/>
        <v>65.ГПМ-54.61.005  Прокладка регулювальна</v>
      </c>
    </row>
    <row r="587" spans="1:5" x14ac:dyDescent="0.25">
      <c r="A587" s="547" t="s">
        <v>11897</v>
      </c>
      <c r="B587" s="547" t="s">
        <v>11898</v>
      </c>
      <c r="C587" s="326" t="s">
        <v>5898</v>
      </c>
      <c r="D587" s="326" t="s">
        <v>11871</v>
      </c>
      <c r="E587" s="767" t="str">
        <f t="shared" si="7"/>
        <v>65.ГПМ-54.61.020сб  Кожух фрикціона</v>
      </c>
    </row>
    <row r="588" spans="1:5" x14ac:dyDescent="0.25">
      <c r="A588" s="547" t="s">
        <v>11909</v>
      </c>
      <c r="B588" s="547" t="s">
        <v>11910</v>
      </c>
      <c r="C588" s="326" t="s">
        <v>5898</v>
      </c>
      <c r="D588" s="326" t="s">
        <v>11871</v>
      </c>
      <c r="E588" s="767" t="str">
        <f t="shared" si="7"/>
        <v>65.ГПМ-54.61.030сб  Кожух кардана</v>
      </c>
    </row>
    <row r="589" spans="1:5" x14ac:dyDescent="0.25">
      <c r="A589" s="547" t="s">
        <v>11933</v>
      </c>
      <c r="B589" s="547" t="s">
        <v>9706</v>
      </c>
      <c r="C589" s="326" t="s">
        <v>5898</v>
      </c>
      <c r="D589" s="326" t="s">
        <v>11871</v>
      </c>
      <c r="E589" s="767" t="str">
        <f t="shared" si="7"/>
        <v>65.ГПМ-54.84.020сб  Трубопровід</v>
      </c>
    </row>
    <row r="590" spans="1:5" x14ac:dyDescent="0.25">
      <c r="A590" s="547" t="s">
        <v>11936</v>
      </c>
      <c r="B590" s="547" t="s">
        <v>9706</v>
      </c>
      <c r="C590" s="326" t="s">
        <v>5898</v>
      </c>
      <c r="D590" s="326" t="s">
        <v>11871</v>
      </c>
      <c r="E590" s="767" t="str">
        <f t="shared" si="7"/>
        <v>65.ГПМ-54.84.030сб  Трубопровід</v>
      </c>
    </row>
    <row r="591" spans="1:5" x14ac:dyDescent="0.25">
      <c r="A591" s="547" t="s">
        <v>11938</v>
      </c>
      <c r="B591" s="547" t="s">
        <v>11872</v>
      </c>
      <c r="C591" s="326" t="s">
        <v>5898</v>
      </c>
      <c r="D591" s="326" t="s">
        <v>11871</v>
      </c>
      <c r="E591" s="767" t="str">
        <f t="shared" si="7"/>
        <v>65.ГПМ-54.85.10сб  Бак</v>
      </c>
    </row>
    <row r="592" spans="1:5" x14ac:dyDescent="0.25">
      <c r="A592" s="547" t="s">
        <v>11916</v>
      </c>
      <c r="B592" s="547" t="s">
        <v>11917</v>
      </c>
      <c r="C592" s="326" t="s">
        <v>5898</v>
      </c>
      <c r="D592" s="326" t="s">
        <v>12136</v>
      </c>
      <c r="E592" s="767" t="str">
        <f t="shared" si="7"/>
        <v>65.ГПМ-54. 66.023  Фіксатор</v>
      </c>
    </row>
    <row r="593" spans="1:5" x14ac:dyDescent="0.25">
      <c r="A593" s="547" t="s">
        <v>11920</v>
      </c>
      <c r="B593" s="547" t="s">
        <v>11874</v>
      </c>
      <c r="C593" s="326" t="s">
        <v>5898</v>
      </c>
      <c r="D593" s="326" t="s">
        <v>12136</v>
      </c>
      <c r="E593" s="767" t="str">
        <f t="shared" si="7"/>
        <v>65.ГПМ-54. 66.061  Тяга</v>
      </c>
    </row>
    <row r="594" spans="1:5" x14ac:dyDescent="0.25">
      <c r="A594" s="547" t="s">
        <v>11921</v>
      </c>
      <c r="B594" s="547" t="s">
        <v>11874</v>
      </c>
      <c r="C594" s="326" t="s">
        <v>5898</v>
      </c>
      <c r="D594" s="326" t="s">
        <v>12136</v>
      </c>
      <c r="E594" s="767" t="str">
        <f t="shared" si="7"/>
        <v>65.ГПМ-54. 66.071  Тяга</v>
      </c>
    </row>
    <row r="595" spans="1:5" x14ac:dyDescent="0.25">
      <c r="A595" s="547" t="s">
        <v>11922</v>
      </c>
      <c r="B595" s="547" t="s">
        <v>11923</v>
      </c>
      <c r="C595" s="326" t="s">
        <v>5898</v>
      </c>
      <c r="D595" s="326" t="s">
        <v>12136</v>
      </c>
      <c r="E595" s="767" t="str">
        <f t="shared" si="7"/>
        <v xml:space="preserve">65.ГПМ-54. 66.082  Тяга </v>
      </c>
    </row>
    <row r="596" spans="1:5" x14ac:dyDescent="0.25">
      <c r="A596" s="547" t="s">
        <v>11924</v>
      </c>
      <c r="B596" s="547" t="s">
        <v>11874</v>
      </c>
      <c r="C596" s="326" t="s">
        <v>5898</v>
      </c>
      <c r="D596" s="326" t="s">
        <v>12136</v>
      </c>
      <c r="E596" s="767" t="str">
        <f t="shared" si="7"/>
        <v>65.ГПМ-54. 66.091  Тяга</v>
      </c>
    </row>
    <row r="597" spans="1:5" x14ac:dyDescent="0.25">
      <c r="A597" s="547" t="s">
        <v>11925</v>
      </c>
      <c r="B597" s="547" t="s">
        <v>11923</v>
      </c>
      <c r="C597" s="326" t="s">
        <v>5898</v>
      </c>
      <c r="D597" s="326" t="s">
        <v>12136</v>
      </c>
      <c r="E597" s="767" t="str">
        <f t="shared" si="7"/>
        <v xml:space="preserve">65.ГПМ-54. 66.101  Тяга </v>
      </c>
    </row>
    <row r="598" spans="1:5" x14ac:dyDescent="0.25">
      <c r="A598" s="547" t="s">
        <v>11919</v>
      </c>
      <c r="B598" s="547" t="s">
        <v>11874</v>
      </c>
      <c r="C598" s="326" t="s">
        <v>5898</v>
      </c>
      <c r="D598" s="326" t="s">
        <v>12136</v>
      </c>
      <c r="E598" s="767" t="str">
        <f t="shared" si="7"/>
        <v>65.ГПМ-54.66.051  Тяга</v>
      </c>
    </row>
    <row r="599" spans="1:5" x14ac:dyDescent="0.25">
      <c r="A599" s="547" t="s">
        <v>11918</v>
      </c>
      <c r="B599" s="547" t="s">
        <v>2507</v>
      </c>
      <c r="C599" s="326" t="s">
        <v>5898</v>
      </c>
      <c r="D599" s="326" t="s">
        <v>12136</v>
      </c>
      <c r="E599" s="767" t="str">
        <f t="shared" si="7"/>
        <v>65.ГПМ-54.66.173  Труба</v>
      </c>
    </row>
    <row r="600" spans="1:5" x14ac:dyDescent="0.25">
      <c r="A600" s="547" t="s">
        <v>11915</v>
      </c>
      <c r="B600" s="547" t="s">
        <v>10962</v>
      </c>
      <c r="C600" s="326" t="s">
        <v>5898</v>
      </c>
      <c r="D600" s="326" t="s">
        <v>7481</v>
      </c>
      <c r="E600" s="767" t="str">
        <f t="shared" si="7"/>
        <v>65.ГПМ-54. 66.115  Скоба</v>
      </c>
    </row>
    <row r="601" spans="1:5" x14ac:dyDescent="0.25">
      <c r="A601" s="547" t="s">
        <v>12039</v>
      </c>
      <c r="B601" s="547" t="s">
        <v>9886</v>
      </c>
      <c r="C601" s="326" t="s">
        <v>5898</v>
      </c>
      <c r="D601" s="326" t="s">
        <v>7481</v>
      </c>
      <c r="E601" s="767" t="str">
        <f t="shared" si="7"/>
        <v>65.ГПМ-54.85.1013  Накладка</v>
      </c>
    </row>
    <row r="602" spans="1:5" x14ac:dyDescent="0.25">
      <c r="A602" s="547" t="s">
        <v>12040</v>
      </c>
      <c r="B602" s="547" t="s">
        <v>3752</v>
      </c>
      <c r="C602" s="326" t="s">
        <v>5898</v>
      </c>
      <c r="D602" s="326" t="s">
        <v>7481</v>
      </c>
      <c r="E602" s="767" t="str">
        <f t="shared" si="7"/>
        <v>65.ГПМ-54.85.1032  Гайка</v>
      </c>
    </row>
    <row r="603" spans="1:5" x14ac:dyDescent="0.25">
      <c r="A603" s="547" t="s">
        <v>12043</v>
      </c>
      <c r="B603" s="547" t="s">
        <v>11928</v>
      </c>
      <c r="C603" s="326" t="s">
        <v>5898</v>
      </c>
      <c r="D603" s="326" t="s">
        <v>7481</v>
      </c>
      <c r="E603" s="767" t="str">
        <f t="shared" si="7"/>
        <v>65.ГПМ-54.85.1058  Циліндр</v>
      </c>
    </row>
    <row r="604" spans="1:5" x14ac:dyDescent="0.25">
      <c r="A604" s="547" t="s">
        <v>11931</v>
      </c>
      <c r="B604" s="547" t="s">
        <v>11932</v>
      </c>
      <c r="C604" s="326" t="s">
        <v>5898</v>
      </c>
      <c r="D604" s="326" t="s">
        <v>12138</v>
      </c>
      <c r="E604" s="767" t="str">
        <f t="shared" si="7"/>
        <v>65.ГПМ-54.79.001  Труба (20х1 ГОСТ 8734-75)/(В20 ГОСТ 8733-87)</v>
      </c>
    </row>
    <row r="605" spans="1:5" x14ac:dyDescent="0.25">
      <c r="A605" s="547" t="s">
        <v>12133</v>
      </c>
      <c r="B605" s="547" t="s">
        <v>11119</v>
      </c>
      <c r="C605" s="326" t="s">
        <v>5138</v>
      </c>
      <c r="D605" s="326" t="s">
        <v>12138</v>
      </c>
      <c r="E605" s="767" t="str">
        <f t="shared" si="7"/>
        <v>65.ГПМ-54.93.017  Кільце</v>
      </c>
    </row>
    <row r="606" spans="1:5" x14ac:dyDescent="0.25">
      <c r="A606" s="547" t="s">
        <v>12134</v>
      </c>
      <c r="B606" s="547" t="s">
        <v>9925</v>
      </c>
      <c r="C606" s="326" t="s">
        <v>5138</v>
      </c>
      <c r="D606" s="326" t="s">
        <v>12138</v>
      </c>
      <c r="E606" s="767" t="str">
        <f t="shared" si="7"/>
        <v>65.ГПМ-54.93.057  Шайба</v>
      </c>
    </row>
    <row r="607" spans="1:5" x14ac:dyDescent="0.25">
      <c r="A607" s="547" t="s">
        <v>12085</v>
      </c>
      <c r="B607" s="547" t="s">
        <v>12086</v>
      </c>
      <c r="C607" s="326" t="s">
        <v>5757</v>
      </c>
      <c r="D607" s="326" t="s">
        <v>12138</v>
      </c>
      <c r="E607" s="767" t="str">
        <f t="shared" si="7"/>
        <v>65.ГПМ-54.93.160сб  Хомут малий</v>
      </c>
    </row>
    <row r="608" spans="1:5" x14ac:dyDescent="0.25">
      <c r="A608" s="547" t="s">
        <v>12090</v>
      </c>
      <c r="B608" s="547" t="s">
        <v>12091</v>
      </c>
      <c r="C608" s="326" t="s">
        <v>5138</v>
      </c>
      <c r="D608" s="326" t="s">
        <v>12138</v>
      </c>
      <c r="E608" s="767" t="str">
        <f t="shared" si="7"/>
        <v>65.ГПМ-54.93.280сб  Хомут великий лівий</v>
      </c>
    </row>
    <row r="609" spans="1:5" x14ac:dyDescent="0.25">
      <c r="A609" s="547" t="s">
        <v>12094</v>
      </c>
      <c r="B609" s="547" t="s">
        <v>12095</v>
      </c>
      <c r="C609" s="326" t="s">
        <v>5138</v>
      </c>
      <c r="D609" s="326" t="s">
        <v>12138</v>
      </c>
      <c r="E609" s="767" t="str">
        <f t="shared" si="7"/>
        <v>65.ГПМ-54.93.290сб  Хомут великий правий</v>
      </c>
    </row>
    <row r="610" spans="1:5" x14ac:dyDescent="0.25">
      <c r="A610" s="547" t="s">
        <v>12098</v>
      </c>
      <c r="B610" s="547" t="s">
        <v>12099</v>
      </c>
      <c r="C610" s="326" t="s">
        <v>5762</v>
      </c>
      <c r="D610" s="326" t="s">
        <v>12138</v>
      </c>
      <c r="E610" s="767" t="str">
        <f t="shared" si="7"/>
        <v>65.ГПМ-54.93.327  Кліпса</v>
      </c>
    </row>
    <row r="611" spans="1:5" x14ac:dyDescent="0.25">
      <c r="A611" s="547" t="s">
        <v>12096</v>
      </c>
      <c r="B611" s="547" t="s">
        <v>12097</v>
      </c>
      <c r="C611" s="326" t="s">
        <v>12135</v>
      </c>
      <c r="D611" s="326" t="s">
        <v>12138</v>
      </c>
      <c r="E611" s="767" t="str">
        <f t="shared" si="7"/>
        <v>65.ГПМ-54.93.361  Ребро 4х19х58</v>
      </c>
    </row>
    <row r="612" spans="1:5" x14ac:dyDescent="0.25">
      <c r="A612" s="547" t="s">
        <v>12100</v>
      </c>
      <c r="B612" s="547" t="s">
        <v>12101</v>
      </c>
      <c r="C612" s="326" t="s">
        <v>5898</v>
      </c>
      <c r="D612" s="326" t="s">
        <v>12138</v>
      </c>
      <c r="E612" s="767" t="str">
        <f t="shared" si="7"/>
        <v>65.ГПМ-54.93.371  Планка передня</v>
      </c>
    </row>
    <row r="613" spans="1:5" x14ac:dyDescent="0.25">
      <c r="A613" s="547" t="s">
        <v>12102</v>
      </c>
      <c r="B613" s="547" t="s">
        <v>11893</v>
      </c>
      <c r="C613" s="326" t="s">
        <v>5138</v>
      </c>
      <c r="D613" s="326" t="s">
        <v>12138</v>
      </c>
      <c r="E613" s="767" t="str">
        <f t="shared" si="7"/>
        <v>65.ГПМ-54.93.373  Боковина</v>
      </c>
    </row>
    <row r="614" spans="1:5" x14ac:dyDescent="0.25">
      <c r="A614" s="547" t="s">
        <v>12103</v>
      </c>
      <c r="B614" s="547" t="s">
        <v>10962</v>
      </c>
      <c r="C614" s="326" t="s">
        <v>5138</v>
      </c>
      <c r="D614" s="326" t="s">
        <v>12138</v>
      </c>
      <c r="E614" s="767" t="str">
        <f t="shared" si="7"/>
        <v>65.ГПМ-54.93.379  Скоба</v>
      </c>
    </row>
    <row r="615" spans="1:5" x14ac:dyDescent="0.25">
      <c r="A615" s="547" t="s">
        <v>12106</v>
      </c>
      <c r="B615" s="547" t="s">
        <v>12107</v>
      </c>
      <c r="C615" s="326" t="s">
        <v>5898</v>
      </c>
      <c r="D615" s="326" t="s">
        <v>12138</v>
      </c>
      <c r="E615" s="767" t="str">
        <f t="shared" si="7"/>
        <v>65.ГПМ-54.93.470сб  Кожух внутрішній лівий гідроциліндру піднімання</v>
      </c>
    </row>
    <row r="616" spans="1:5" x14ac:dyDescent="0.25">
      <c r="A616" s="547" t="s">
        <v>12113</v>
      </c>
      <c r="B616" s="547" t="s">
        <v>12114</v>
      </c>
      <c r="C616" s="326" t="s">
        <v>5898</v>
      </c>
      <c r="D616" s="326" t="s">
        <v>12138</v>
      </c>
      <c r="E616" s="767" t="str">
        <f t="shared" si="7"/>
        <v>65.ГПМ-54.93.480сб  Кожух внутрішній правий гідроциліндру піднімання</v>
      </c>
    </row>
    <row r="617" spans="1:5" x14ac:dyDescent="0.25">
      <c r="A617" s="547" t="s">
        <v>12129</v>
      </c>
      <c r="B617" s="547" t="s">
        <v>12130</v>
      </c>
      <c r="C617" s="326" t="s">
        <v>5898</v>
      </c>
      <c r="D617" s="326" t="s">
        <v>12138</v>
      </c>
      <c r="E617" s="767" t="str">
        <f t="shared" si="7"/>
        <v>65.ГПМ-54.93.490сб  Кожух зовнішній лівий гідроциліндру піднімання</v>
      </c>
    </row>
    <row r="618" spans="1:5" x14ac:dyDescent="0.25">
      <c r="A618" s="547" t="s">
        <v>12131</v>
      </c>
      <c r="B618" s="547" t="s">
        <v>12132</v>
      </c>
      <c r="C618" s="326" t="s">
        <v>5898</v>
      </c>
      <c r="D618" s="326" t="s">
        <v>12138</v>
      </c>
      <c r="E618" s="767" t="str">
        <f t="shared" ref="E618:E681" si="8">A618&amp;"  "&amp;B618</f>
        <v>65.ГПМ-54.93.500сб  Кожух зовнішній правий гідроциліндру піднімання</v>
      </c>
    </row>
    <row r="619" spans="1:5" x14ac:dyDescent="0.25">
      <c r="A619" s="547" t="s">
        <v>12116</v>
      </c>
      <c r="B619" s="547" t="s">
        <v>12117</v>
      </c>
      <c r="C619" s="326" t="s">
        <v>5898</v>
      </c>
      <c r="D619" s="326" t="s">
        <v>12138</v>
      </c>
      <c r="E619" s="767" t="str">
        <f t="shared" si="8"/>
        <v>65.ГПМ-54.93.510сб  Кожух внутрішній лівий гідроциліндру повороту</v>
      </c>
    </row>
    <row r="620" spans="1:5" x14ac:dyDescent="0.25">
      <c r="A620" s="547" t="s">
        <v>12119</v>
      </c>
      <c r="B620" s="547" t="s">
        <v>12120</v>
      </c>
      <c r="C620" s="326" t="s">
        <v>5898</v>
      </c>
      <c r="D620" s="326" t="s">
        <v>12138</v>
      </c>
      <c r="E620" s="767" t="str">
        <f t="shared" si="8"/>
        <v>65.ГПМ-54.93.520сб  Кожух внутрішній правий гідроциліндру повороту</v>
      </c>
    </row>
    <row r="621" spans="1:5" x14ac:dyDescent="0.25">
      <c r="A621" s="547" t="s">
        <v>12122</v>
      </c>
      <c r="B621" s="547" t="s">
        <v>12123</v>
      </c>
      <c r="C621" s="326" t="s">
        <v>5898</v>
      </c>
      <c r="D621" s="326" t="s">
        <v>12138</v>
      </c>
      <c r="E621" s="767" t="str">
        <f t="shared" si="8"/>
        <v>65.ГПМ-54.93.530сб  Кожух зовнішній лівий гідроциліндру повороту</v>
      </c>
    </row>
    <row r="622" spans="1:5" x14ac:dyDescent="0.25">
      <c r="A622" s="547" t="s">
        <v>12126</v>
      </c>
      <c r="B622" s="547" t="s">
        <v>12127</v>
      </c>
      <c r="C622" s="326" t="s">
        <v>5898</v>
      </c>
      <c r="D622" s="326" t="s">
        <v>12138</v>
      </c>
      <c r="E622" s="767" t="str">
        <f t="shared" si="8"/>
        <v>65.ГПМ-54.93.540сб  Кожух зовнішній правий гідроциліндру повороту</v>
      </c>
    </row>
    <row r="623" spans="1:5" x14ac:dyDescent="0.25">
      <c r="A623" s="547" t="s">
        <v>11895</v>
      </c>
      <c r="B623" s="547" t="s">
        <v>9709</v>
      </c>
      <c r="C623" s="326" t="s">
        <v>5762</v>
      </c>
      <c r="D623" s="326" t="s">
        <v>12137</v>
      </c>
      <c r="E623" s="767" t="str">
        <f t="shared" si="8"/>
        <v>65.ГПМ-54.61.054  Прокладка</v>
      </c>
    </row>
    <row r="624" spans="1:5" x14ac:dyDescent="0.25">
      <c r="A624" s="547" t="s">
        <v>11896</v>
      </c>
      <c r="B624" s="547" t="s">
        <v>9709</v>
      </c>
      <c r="C624" s="326" t="s">
        <v>5898</v>
      </c>
      <c r="D624" s="326" t="s">
        <v>12137</v>
      </c>
      <c r="E624" s="767" t="str">
        <f t="shared" si="8"/>
        <v>65.ГПМ-54.61.065  Прокладка</v>
      </c>
    </row>
    <row r="625" spans="1:5" x14ac:dyDescent="0.25">
      <c r="A625" s="547" t="s">
        <v>11929</v>
      </c>
      <c r="B625" s="547" t="s">
        <v>11873</v>
      </c>
      <c r="C625" s="326" t="s">
        <v>5898</v>
      </c>
      <c r="D625" s="326" t="s">
        <v>12137</v>
      </c>
      <c r="E625" s="767" t="str">
        <f t="shared" si="8"/>
        <v>65.ГПМ-54.79.912  Шайба стопорна</v>
      </c>
    </row>
    <row r="626" spans="1:5" x14ac:dyDescent="0.25">
      <c r="A626" s="547" t="s">
        <v>11930</v>
      </c>
      <c r="B626" s="547" t="s">
        <v>9709</v>
      </c>
      <c r="C626" s="326" t="s">
        <v>5138</v>
      </c>
      <c r="D626" s="326" t="s">
        <v>12137</v>
      </c>
      <c r="E626" s="767" t="str">
        <f t="shared" si="8"/>
        <v>65.ГПМ-54.79.922  Прокладка</v>
      </c>
    </row>
    <row r="627" spans="1:5" x14ac:dyDescent="0.25">
      <c r="A627" s="547" t="s">
        <v>11957</v>
      </c>
      <c r="B627" s="547" t="s">
        <v>11065</v>
      </c>
      <c r="C627" s="326" t="s">
        <v>5898</v>
      </c>
      <c r="D627" s="326" t="s">
        <v>11958</v>
      </c>
      <c r="E627" s="767" t="str">
        <f t="shared" si="8"/>
        <v>65.ГПМ-54.85.10.20.01  Плита</v>
      </c>
    </row>
    <row r="628" spans="1:5" x14ac:dyDescent="0.25">
      <c r="A628" s="547" t="s">
        <v>12040</v>
      </c>
      <c r="B628" s="547" t="s">
        <v>12061</v>
      </c>
      <c r="C628" s="326" t="s">
        <v>5898</v>
      </c>
      <c r="D628" s="326" t="s">
        <v>11958</v>
      </c>
      <c r="E628" s="767" t="str">
        <f t="shared" si="8"/>
        <v>65.ГПМ-54.85.1032  Стійка 1</v>
      </c>
    </row>
    <row r="629" spans="1:5" x14ac:dyDescent="0.25">
      <c r="A629" s="547" t="s">
        <v>12062</v>
      </c>
      <c r="B629" s="547" t="s">
        <v>12063</v>
      </c>
      <c r="C629" s="326" t="s">
        <v>5898</v>
      </c>
      <c r="D629" s="326" t="s">
        <v>11958</v>
      </c>
      <c r="E629" s="767" t="str">
        <f t="shared" si="8"/>
        <v>65.ГПМ-54.85.1033  Стійка 2</v>
      </c>
    </row>
    <row r="630" spans="1:5" x14ac:dyDescent="0.25">
      <c r="A630" s="547" t="s">
        <v>12064</v>
      </c>
      <c r="B630" s="547" t="s">
        <v>12065</v>
      </c>
      <c r="C630" s="326" t="s">
        <v>5898</v>
      </c>
      <c r="D630" s="326" t="s">
        <v>11958</v>
      </c>
      <c r="E630" s="767" t="str">
        <f t="shared" si="8"/>
        <v>65.ГПМ-54.85.1034  Стійка 3</v>
      </c>
    </row>
    <row r="631" spans="1:5" x14ac:dyDescent="0.25">
      <c r="A631" s="547" t="s">
        <v>12066</v>
      </c>
      <c r="B631" s="547" t="s">
        <v>12067</v>
      </c>
      <c r="C631" s="326" t="s">
        <v>5898</v>
      </c>
      <c r="D631" s="326" t="s">
        <v>11958</v>
      </c>
      <c r="E631" s="767" t="str">
        <f t="shared" si="8"/>
        <v>65.ГПМ-54.85.1035  Кутик 1</v>
      </c>
    </row>
    <row r="632" spans="1:5" x14ac:dyDescent="0.25">
      <c r="A632" s="547" t="s">
        <v>12068</v>
      </c>
      <c r="B632" s="547" t="s">
        <v>12069</v>
      </c>
      <c r="C632" s="326" t="s">
        <v>5898</v>
      </c>
      <c r="D632" s="326" t="s">
        <v>11958</v>
      </c>
      <c r="E632" s="767" t="str">
        <f t="shared" si="8"/>
        <v>65.ГПМ-54.85.1036  Кутик 2</v>
      </c>
    </row>
    <row r="633" spans="1:5" x14ac:dyDescent="0.25">
      <c r="A633" s="547" t="s">
        <v>12078</v>
      </c>
      <c r="B633" s="547" t="s">
        <v>12079</v>
      </c>
      <c r="C633" s="326" t="s">
        <v>5898</v>
      </c>
      <c r="D633" s="326" t="s">
        <v>11958</v>
      </c>
      <c r="E633" s="767" t="str">
        <f t="shared" si="8"/>
        <v>65.ГПМ-54.85.1043  Кутик 3</v>
      </c>
    </row>
    <row r="634" spans="1:5" x14ac:dyDescent="0.25">
      <c r="A634" s="547" t="s">
        <v>12080</v>
      </c>
      <c r="B634" s="547" t="s">
        <v>12081</v>
      </c>
      <c r="C634" s="326" t="s">
        <v>5898</v>
      </c>
      <c r="D634" s="326" t="s">
        <v>11958</v>
      </c>
      <c r="E634" s="767" t="str">
        <f t="shared" si="8"/>
        <v>65.ГПМ-54.85.1044  Кутик 4</v>
      </c>
    </row>
    <row r="635" spans="1:5" x14ac:dyDescent="0.25">
      <c r="A635" s="547" t="s">
        <v>12026</v>
      </c>
      <c r="B635" s="547" t="s">
        <v>12006</v>
      </c>
      <c r="C635" s="326"/>
      <c r="D635" s="326"/>
      <c r="E635" s="767" t="str">
        <f t="shared" si="8"/>
        <v xml:space="preserve">65.ГПМ-54.85.1030  Труба R15х1,5 </v>
      </c>
    </row>
    <row r="636" spans="1:5" x14ac:dyDescent="0.25">
      <c r="A636" s="547" t="s">
        <v>12026</v>
      </c>
      <c r="B636" s="547" t="s">
        <v>12006</v>
      </c>
      <c r="C636" s="326"/>
      <c r="D636" s="326"/>
      <c r="E636" s="767" t="str">
        <f t="shared" si="8"/>
        <v xml:space="preserve">65.ГПМ-54.85.1030  Труба R15х1,5 </v>
      </c>
    </row>
    <row r="637" spans="1:5" x14ac:dyDescent="0.25">
      <c r="A637" s="547" t="s">
        <v>12026</v>
      </c>
      <c r="B637" s="547" t="s">
        <v>12006</v>
      </c>
      <c r="C637" s="326"/>
      <c r="D637" s="326"/>
      <c r="E637" s="767" t="str">
        <f t="shared" si="8"/>
        <v xml:space="preserve">65.ГПМ-54.85.1030  Труба R15х1,5 </v>
      </c>
    </row>
    <row r="638" spans="1:5" x14ac:dyDescent="0.25">
      <c r="A638" s="547" t="s">
        <v>12026</v>
      </c>
      <c r="B638" s="547" t="s">
        <v>12006</v>
      </c>
      <c r="C638" s="326"/>
      <c r="D638" s="326"/>
      <c r="E638" s="767" t="str">
        <f t="shared" si="8"/>
        <v xml:space="preserve">65.ГПМ-54.85.1030  Труба R15х1,5 </v>
      </c>
    </row>
    <row r="639" spans="1:5" x14ac:dyDescent="0.25">
      <c r="A639" s="547" t="s">
        <v>11969</v>
      </c>
      <c r="B639" s="547" t="s">
        <v>11970</v>
      </c>
      <c r="C639" s="326"/>
      <c r="D639" s="326"/>
      <c r="E639" s="767" t="str">
        <f t="shared" si="8"/>
        <v xml:space="preserve">65.ГПМ-54.85.130.01  Труба R18х1,5 </v>
      </c>
    </row>
    <row r="640" spans="1:5" x14ac:dyDescent="0.25">
      <c r="A640" s="547" t="s">
        <v>11971</v>
      </c>
      <c r="B640" s="547" t="s">
        <v>11970</v>
      </c>
      <c r="C640" s="326"/>
      <c r="D640" s="326"/>
      <c r="E640" s="767" t="str">
        <f t="shared" si="8"/>
        <v xml:space="preserve">65.ГПМ-54.85.140.01  Труба R18х1,5 </v>
      </c>
    </row>
    <row r="641" spans="1:5" x14ac:dyDescent="0.25">
      <c r="A641" s="547" t="s">
        <v>11972</v>
      </c>
      <c r="B641" s="547" t="s">
        <v>11970</v>
      </c>
      <c r="C641" s="326"/>
      <c r="D641" s="326"/>
      <c r="E641" s="767" t="str">
        <f t="shared" si="8"/>
        <v xml:space="preserve">65.ГПМ-54.85.150.01  Труба R18х1,5 </v>
      </c>
    </row>
    <row r="642" spans="1:5" x14ac:dyDescent="0.25">
      <c r="A642" s="547" t="s">
        <v>11973</v>
      </c>
      <c r="B642" s="547" t="s">
        <v>11970</v>
      </c>
      <c r="C642" s="326"/>
      <c r="D642" s="326"/>
      <c r="E642" s="767" t="str">
        <f t="shared" si="8"/>
        <v xml:space="preserve">65.ГПМ-54.85.160.01  Труба R18х1,5 </v>
      </c>
    </row>
    <row r="643" spans="1:5" x14ac:dyDescent="0.25">
      <c r="A643" s="547" t="s">
        <v>11974</v>
      </c>
      <c r="B643" s="547" t="s">
        <v>11970</v>
      </c>
      <c r="C643" s="326"/>
      <c r="D643" s="326"/>
      <c r="E643" s="767" t="str">
        <f t="shared" si="8"/>
        <v xml:space="preserve">65.ГПМ-54.85.170.01  Труба R18х1,5 </v>
      </c>
    </row>
    <row r="644" spans="1:5" x14ac:dyDescent="0.25">
      <c r="A644" s="547" t="s">
        <v>11975</v>
      </c>
      <c r="B644" s="547" t="s">
        <v>11970</v>
      </c>
      <c r="C644" s="326"/>
      <c r="D644" s="326"/>
      <c r="E644" s="767" t="str">
        <f t="shared" si="8"/>
        <v xml:space="preserve">65.ГПМ-54.85.180.01  Труба R18х1,5 </v>
      </c>
    </row>
    <row r="645" spans="1:5" x14ac:dyDescent="0.25">
      <c r="A645" s="547" t="s">
        <v>11976</v>
      </c>
      <c r="B645" s="547" t="s">
        <v>11970</v>
      </c>
      <c r="C645" s="326"/>
      <c r="D645" s="326"/>
      <c r="E645" s="767" t="str">
        <f t="shared" si="8"/>
        <v xml:space="preserve">65.ГПМ-54.85.210.01  Труба R18х1,5 </v>
      </c>
    </row>
    <row r="646" spans="1:5" x14ac:dyDescent="0.25">
      <c r="A646" s="547" t="s">
        <v>11977</v>
      </c>
      <c r="B646" s="547" t="s">
        <v>11970</v>
      </c>
      <c r="C646" s="326"/>
      <c r="D646" s="326"/>
      <c r="E646" s="767" t="str">
        <f t="shared" si="8"/>
        <v xml:space="preserve">65.ГПМ-54.85.220.01  Труба R18х1,5 </v>
      </c>
    </row>
    <row r="647" spans="1:5" x14ac:dyDescent="0.25">
      <c r="A647" s="547" t="s">
        <v>11978</v>
      </c>
      <c r="B647" s="547" t="s">
        <v>11979</v>
      </c>
      <c r="C647" s="326"/>
      <c r="D647" s="326"/>
      <c r="E647" s="767" t="str">
        <f t="shared" si="8"/>
        <v xml:space="preserve">65.ГПМ-54.85.250.01  Труба R12х1,5 </v>
      </c>
    </row>
    <row r="648" spans="1:5" x14ac:dyDescent="0.25">
      <c r="A648" s="547" t="s">
        <v>11980</v>
      </c>
      <c r="B648" s="547" t="s">
        <v>11979</v>
      </c>
      <c r="C648" s="326"/>
      <c r="D648" s="326"/>
      <c r="E648" s="767" t="str">
        <f t="shared" si="8"/>
        <v xml:space="preserve">65.ГПМ-54.85.260.01  Труба R12х1,5 </v>
      </c>
    </row>
    <row r="649" spans="1:5" x14ac:dyDescent="0.25">
      <c r="A649" s="547" t="s">
        <v>11981</v>
      </c>
      <c r="B649" s="547" t="s">
        <v>11979</v>
      </c>
      <c r="C649" s="326"/>
      <c r="D649" s="326"/>
      <c r="E649" s="767" t="str">
        <f t="shared" si="8"/>
        <v xml:space="preserve">65.ГПМ-54.85.270.01  Труба R12х1,5 </v>
      </c>
    </row>
    <row r="650" spans="1:5" x14ac:dyDescent="0.25">
      <c r="A650" s="547" t="s">
        <v>11982</v>
      </c>
      <c r="B650" s="547" t="s">
        <v>11979</v>
      </c>
      <c r="C650" s="326"/>
      <c r="D650" s="326"/>
      <c r="E650" s="767" t="str">
        <f t="shared" si="8"/>
        <v xml:space="preserve">65.ГПМ-54.85.280.01  Труба R12х1,5 </v>
      </c>
    </row>
    <row r="651" spans="1:5" x14ac:dyDescent="0.25">
      <c r="A651" s="547" t="s">
        <v>11983</v>
      </c>
      <c r="B651" s="547" t="s">
        <v>11979</v>
      </c>
      <c r="C651" s="326"/>
      <c r="D651" s="326"/>
      <c r="E651" s="767" t="str">
        <f t="shared" si="8"/>
        <v xml:space="preserve">65.ГПМ-54.85.290.01  Труба R12х1,5 </v>
      </c>
    </row>
    <row r="652" spans="1:5" x14ac:dyDescent="0.25">
      <c r="A652" s="547" t="s">
        <v>11984</v>
      </c>
      <c r="B652" s="547" t="s">
        <v>11979</v>
      </c>
      <c r="C652" s="326"/>
      <c r="D652" s="326"/>
      <c r="E652" s="767" t="str">
        <f t="shared" si="8"/>
        <v xml:space="preserve">65.ГПМ-54.85.310.01  Труба R12х1,5 </v>
      </c>
    </row>
    <row r="653" spans="1:5" x14ac:dyDescent="0.25">
      <c r="A653" s="547" t="s">
        <v>11985</v>
      </c>
      <c r="B653" s="547" t="s">
        <v>11979</v>
      </c>
      <c r="C653" s="326"/>
      <c r="D653" s="326"/>
      <c r="E653" s="767" t="str">
        <f t="shared" si="8"/>
        <v xml:space="preserve">65.ГПМ-54.85.320.01  Труба R12х1,5 </v>
      </c>
    </row>
    <row r="654" spans="1:5" x14ac:dyDescent="0.25">
      <c r="A654" s="547" t="s">
        <v>11986</v>
      </c>
      <c r="B654" s="547" t="s">
        <v>11979</v>
      </c>
      <c r="C654" s="326"/>
      <c r="D654" s="326"/>
      <c r="E654" s="767" t="str">
        <f t="shared" si="8"/>
        <v xml:space="preserve">65.ГПМ-54.85.330.01  Труба R12х1,5 </v>
      </c>
    </row>
    <row r="655" spans="1:5" x14ac:dyDescent="0.25">
      <c r="A655" s="547" t="s">
        <v>11987</v>
      </c>
      <c r="B655" s="547" t="s">
        <v>11979</v>
      </c>
      <c r="C655" s="326"/>
      <c r="D655" s="326"/>
      <c r="E655" s="767" t="str">
        <f t="shared" si="8"/>
        <v xml:space="preserve">65.ГПМ-54.85.340.01  Труба R12х1,5 </v>
      </c>
    </row>
    <row r="656" spans="1:5" x14ac:dyDescent="0.25">
      <c r="A656" s="547" t="s">
        <v>11988</v>
      </c>
      <c r="B656" s="547" t="s">
        <v>11979</v>
      </c>
      <c r="C656" s="326"/>
      <c r="D656" s="326"/>
      <c r="E656" s="767" t="str">
        <f t="shared" si="8"/>
        <v xml:space="preserve">65.ГПМ-54.85.350.01  Труба R12х1,5 </v>
      </c>
    </row>
    <row r="657" spans="1:5" x14ac:dyDescent="0.25">
      <c r="A657" s="547" t="s">
        <v>11989</v>
      </c>
      <c r="B657" s="547" t="s">
        <v>11979</v>
      </c>
      <c r="C657" s="326"/>
      <c r="D657" s="326"/>
      <c r="E657" s="767" t="str">
        <f t="shared" si="8"/>
        <v xml:space="preserve">65.ГПМ-54.85.360.01  Труба R12х1,5 </v>
      </c>
    </row>
    <row r="658" spans="1:5" x14ac:dyDescent="0.25">
      <c r="A658" s="547" t="s">
        <v>11990</v>
      </c>
      <c r="B658" s="547" t="s">
        <v>11979</v>
      </c>
      <c r="C658" s="326"/>
      <c r="D658" s="326"/>
      <c r="E658" s="767" t="str">
        <f t="shared" si="8"/>
        <v xml:space="preserve">65.ГПМ-54.85.370.01  Труба R12х1,5 </v>
      </c>
    </row>
    <row r="659" spans="1:5" x14ac:dyDescent="0.25">
      <c r="A659" s="547" t="s">
        <v>11991</v>
      </c>
      <c r="B659" s="547" t="s">
        <v>11979</v>
      </c>
      <c r="C659" s="326"/>
      <c r="D659" s="326"/>
      <c r="E659" s="767" t="str">
        <f t="shared" si="8"/>
        <v xml:space="preserve">65.ГПМ-54.85.380.01  Труба R12х1,5 </v>
      </c>
    </row>
    <row r="660" spans="1:5" x14ac:dyDescent="0.25">
      <c r="A660" s="547" t="s">
        <v>11992</v>
      </c>
      <c r="B660" s="547" t="s">
        <v>11993</v>
      </c>
      <c r="C660" s="326"/>
      <c r="D660" s="326"/>
      <c r="E660" s="767" t="str">
        <f t="shared" si="8"/>
        <v xml:space="preserve">65.ГПМ-54.85.410.01  Труба R08х1 </v>
      </c>
    </row>
    <row r="661" spans="1:5" x14ac:dyDescent="0.25">
      <c r="A661" s="547" t="s">
        <v>11994</v>
      </c>
      <c r="B661" s="547" t="s">
        <v>11993</v>
      </c>
      <c r="C661" s="326"/>
      <c r="D661" s="326"/>
      <c r="E661" s="767" t="str">
        <f t="shared" si="8"/>
        <v xml:space="preserve">65.ГПМ-54.85.420.01  Труба R08х1 </v>
      </c>
    </row>
    <row r="662" spans="1:5" x14ac:dyDescent="0.25">
      <c r="A662" s="547" t="s">
        <v>11995</v>
      </c>
      <c r="B662" s="547" t="s">
        <v>11993</v>
      </c>
      <c r="C662" s="326"/>
      <c r="D662" s="326"/>
      <c r="E662" s="767" t="str">
        <f t="shared" si="8"/>
        <v xml:space="preserve">65.ГПМ-54.85.430.01  Труба R08х1 </v>
      </c>
    </row>
    <row r="663" spans="1:5" x14ac:dyDescent="0.25">
      <c r="A663" s="547" t="s">
        <v>11996</v>
      </c>
      <c r="B663" s="547" t="s">
        <v>11993</v>
      </c>
      <c r="C663" s="326"/>
      <c r="D663" s="326"/>
      <c r="E663" s="767" t="str">
        <f t="shared" si="8"/>
        <v xml:space="preserve">65.ГПМ-54.85.440.01  Труба R08х1 </v>
      </c>
    </row>
    <row r="664" spans="1:5" x14ac:dyDescent="0.25">
      <c r="A664" s="547" t="s">
        <v>11997</v>
      </c>
      <c r="B664" s="547" t="s">
        <v>11993</v>
      </c>
      <c r="C664" s="326"/>
      <c r="D664" s="326"/>
      <c r="E664" s="767" t="str">
        <f t="shared" si="8"/>
        <v xml:space="preserve">65.ГПМ-54.85.450.01  Труба R08х1 </v>
      </c>
    </row>
    <row r="665" spans="1:5" x14ac:dyDescent="0.25">
      <c r="A665" s="547" t="s">
        <v>11998</v>
      </c>
      <c r="B665" s="547" t="s">
        <v>11993</v>
      </c>
      <c r="C665" s="326"/>
      <c r="D665" s="326"/>
      <c r="E665" s="767" t="str">
        <f t="shared" si="8"/>
        <v xml:space="preserve">65.ГПМ-54.85.460.01  Труба R08х1 </v>
      </c>
    </row>
    <row r="666" spans="1:5" x14ac:dyDescent="0.25">
      <c r="A666" s="547" t="s">
        <v>11999</v>
      </c>
      <c r="B666" s="547" t="s">
        <v>11993</v>
      </c>
      <c r="C666" s="326"/>
      <c r="D666" s="326"/>
      <c r="E666" s="767" t="str">
        <f t="shared" si="8"/>
        <v xml:space="preserve">65.ГПМ-54.85.470.01  Труба R08х1 </v>
      </c>
    </row>
    <row r="667" spans="1:5" x14ac:dyDescent="0.25">
      <c r="A667" s="547" t="s">
        <v>12000</v>
      </c>
      <c r="B667" s="547" t="s">
        <v>11993</v>
      </c>
      <c r="C667" s="326"/>
      <c r="D667" s="326"/>
      <c r="E667" s="767" t="str">
        <f t="shared" si="8"/>
        <v xml:space="preserve">65.ГПМ-54.85.480.01  Труба R08х1 </v>
      </c>
    </row>
    <row r="668" spans="1:5" x14ac:dyDescent="0.25">
      <c r="A668" s="547" t="s">
        <v>12001</v>
      </c>
      <c r="B668" s="547" t="s">
        <v>11993</v>
      </c>
      <c r="C668" s="326"/>
      <c r="D668" s="326"/>
      <c r="E668" s="767" t="str">
        <f t="shared" si="8"/>
        <v xml:space="preserve">65.ГПМ-54.85.490.01  Труба R08х1 </v>
      </c>
    </row>
    <row r="669" spans="1:5" x14ac:dyDescent="0.25">
      <c r="A669" s="547" t="s">
        <v>12002</v>
      </c>
      <c r="B669" s="547" t="s">
        <v>11993</v>
      </c>
      <c r="C669" s="326"/>
      <c r="D669" s="326"/>
      <c r="E669" s="767" t="str">
        <f t="shared" si="8"/>
        <v xml:space="preserve">65.ГПМ-54.85.510.01  Труба R08х1 </v>
      </c>
    </row>
    <row r="670" spans="1:5" x14ac:dyDescent="0.25">
      <c r="A670" s="547" t="s">
        <v>12003</v>
      </c>
      <c r="B670" s="547" t="s">
        <v>11993</v>
      </c>
      <c r="C670" s="326"/>
      <c r="D670" s="326"/>
      <c r="E670" s="767" t="str">
        <f t="shared" si="8"/>
        <v xml:space="preserve">65.ГПМ-54.85.520.01  Труба R08х1 </v>
      </c>
    </row>
    <row r="671" spans="1:5" x14ac:dyDescent="0.25">
      <c r="A671" s="547" t="s">
        <v>12004</v>
      </c>
      <c r="B671" s="547" t="s">
        <v>11993</v>
      </c>
      <c r="C671" s="326"/>
      <c r="D671" s="326"/>
      <c r="E671" s="767" t="str">
        <f t="shared" si="8"/>
        <v xml:space="preserve">65.ГПМ-54.85.530.01  Труба R08х1 </v>
      </c>
    </row>
    <row r="672" spans="1:5" x14ac:dyDescent="0.25">
      <c r="A672" s="547" t="s">
        <v>12005</v>
      </c>
      <c r="B672" s="547" t="s">
        <v>12006</v>
      </c>
      <c r="C672" s="326"/>
      <c r="D672" s="326"/>
      <c r="E672" s="767" t="str">
        <f t="shared" si="8"/>
        <v xml:space="preserve">65.ГПМ-54.85.550.01  Труба R15х1,5 </v>
      </c>
    </row>
    <row r="673" spans="1:5" x14ac:dyDescent="0.25">
      <c r="A673" s="547" t="s">
        <v>12007</v>
      </c>
      <c r="B673" s="547" t="s">
        <v>12006</v>
      </c>
      <c r="C673" s="326"/>
      <c r="D673" s="326"/>
      <c r="E673" s="767" t="str">
        <f t="shared" si="8"/>
        <v xml:space="preserve">65.ГПМ-54.85.560.01  Труба R15х1,5 </v>
      </c>
    </row>
    <row r="674" spans="1:5" x14ac:dyDescent="0.25">
      <c r="A674" s="547" t="s">
        <v>12008</v>
      </c>
      <c r="B674" s="547" t="s">
        <v>12006</v>
      </c>
      <c r="C674" s="326"/>
      <c r="D674" s="326"/>
      <c r="E674" s="767" t="str">
        <f t="shared" si="8"/>
        <v xml:space="preserve">65.ГПМ-54.85.570.01  Труба R15х1,5 </v>
      </c>
    </row>
    <row r="675" spans="1:5" x14ac:dyDescent="0.25">
      <c r="A675" s="547" t="s">
        <v>12009</v>
      </c>
      <c r="B675" s="547" t="s">
        <v>12006</v>
      </c>
      <c r="C675" s="326"/>
      <c r="D675" s="326"/>
      <c r="E675" s="767" t="str">
        <f t="shared" si="8"/>
        <v xml:space="preserve">65.ГПМ-54.85.580.01  Труба R15х1,5 </v>
      </c>
    </row>
    <row r="676" spans="1:5" x14ac:dyDescent="0.25">
      <c r="A676" s="547" t="s">
        <v>12010</v>
      </c>
      <c r="B676" s="547" t="s">
        <v>12006</v>
      </c>
      <c r="C676" s="326"/>
      <c r="D676" s="326"/>
      <c r="E676" s="767" t="str">
        <f t="shared" si="8"/>
        <v xml:space="preserve">65.ГПМ-54.85.590.01  Труба R15х1,5 </v>
      </c>
    </row>
    <row r="677" spans="1:5" x14ac:dyDescent="0.25">
      <c r="A677" s="547" t="s">
        <v>12011</v>
      </c>
      <c r="B677" s="547" t="s">
        <v>12006</v>
      </c>
      <c r="C677" s="326"/>
      <c r="D677" s="326"/>
      <c r="E677" s="767" t="str">
        <f t="shared" si="8"/>
        <v xml:space="preserve">65.ГПМ-54.85.610.01  Труба R15х1,5 </v>
      </c>
    </row>
    <row r="678" spans="1:5" x14ac:dyDescent="0.25">
      <c r="A678" s="547" t="s">
        <v>12012</v>
      </c>
      <c r="B678" s="547" t="s">
        <v>12006</v>
      </c>
      <c r="C678" s="326"/>
      <c r="D678" s="326"/>
      <c r="E678" s="767" t="str">
        <f t="shared" si="8"/>
        <v xml:space="preserve">65.ГПМ-54.85.620.01  Труба R15х1,5 </v>
      </c>
    </row>
    <row r="679" spans="1:5" x14ac:dyDescent="0.25">
      <c r="A679" s="547" t="s">
        <v>12013</v>
      </c>
      <c r="B679" s="547" t="s">
        <v>12006</v>
      </c>
      <c r="C679" s="326"/>
      <c r="D679" s="326"/>
      <c r="E679" s="767" t="str">
        <f t="shared" si="8"/>
        <v xml:space="preserve">65.ГПМ-54.85.630.01  Труба R15х1,5 </v>
      </c>
    </row>
    <row r="680" spans="1:5" x14ac:dyDescent="0.25">
      <c r="A680" s="547" t="s">
        <v>12014</v>
      </c>
      <c r="B680" s="547" t="s">
        <v>12006</v>
      </c>
      <c r="C680" s="326"/>
      <c r="D680" s="326"/>
      <c r="E680" s="767" t="str">
        <f t="shared" si="8"/>
        <v xml:space="preserve">65.ГПМ-54.85.640.01  Труба R15х1,5 </v>
      </c>
    </row>
    <row r="681" spans="1:5" x14ac:dyDescent="0.25">
      <c r="A681" s="547" t="s">
        <v>12015</v>
      </c>
      <c r="B681" s="547" t="s">
        <v>12006</v>
      </c>
      <c r="C681" s="326"/>
      <c r="D681" s="326"/>
      <c r="E681" s="767" t="str">
        <f t="shared" si="8"/>
        <v xml:space="preserve">65.ГПМ-54.85.650.01  Труба R15х1,5 </v>
      </c>
    </row>
    <row r="682" spans="1:5" x14ac:dyDescent="0.25">
      <c r="A682" s="547" t="s">
        <v>12016</v>
      </c>
      <c r="B682" s="547" t="s">
        <v>12006</v>
      </c>
      <c r="C682" s="326"/>
      <c r="D682" s="326"/>
      <c r="E682" s="767" t="str">
        <f t="shared" ref="E682:E684" si="9">A682&amp;"  "&amp;B682</f>
        <v xml:space="preserve">65.ГПМ-54.85.660.01  Труба R15х1,5 </v>
      </c>
    </row>
    <row r="683" spans="1:5" x14ac:dyDescent="0.25">
      <c r="A683" s="547" t="s">
        <v>12017</v>
      </c>
      <c r="B683" s="547" t="s">
        <v>12018</v>
      </c>
      <c r="C683" s="326"/>
      <c r="D683" s="326"/>
      <c r="E683" s="767" t="str">
        <f t="shared" si="9"/>
        <v>65.ГПМ-54.85.670.01  Труба R15х1,5</v>
      </c>
    </row>
    <row r="684" spans="1:5" x14ac:dyDescent="0.25">
      <c r="A684" s="547" t="s">
        <v>12104</v>
      </c>
      <c r="B684" s="547" t="s">
        <v>12105</v>
      </c>
      <c r="C684" s="326"/>
      <c r="D684" s="326"/>
      <c r="E684" s="767" t="str">
        <f t="shared" si="9"/>
        <v xml:space="preserve">65.ГПМ-54.93.381  Планка задня </v>
      </c>
    </row>
  </sheetData>
  <sortState ref="A489:D1360">
    <sortCondition ref="D489:D1360"/>
  </sortState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2" sqref="I12"/>
    </sheetView>
  </sheetViews>
  <sheetFormatPr defaultRowHeight="15" x14ac:dyDescent="0.25"/>
  <cols>
    <col min="1" max="1" width="29.42578125" customWidth="1"/>
    <col min="2" max="2" width="7.42578125" customWidth="1"/>
    <col min="4" max="4" width="6" customWidth="1"/>
    <col min="5" max="5" width="6.85546875" customWidth="1"/>
    <col min="6" max="6" width="3.7109375" customWidth="1"/>
  </cols>
  <sheetData>
    <row r="1" spans="1:7" x14ac:dyDescent="0.25">
      <c r="A1" t="s">
        <v>10667</v>
      </c>
      <c r="B1" s="13" t="s">
        <v>9343</v>
      </c>
      <c r="C1" t="s">
        <v>9390</v>
      </c>
      <c r="D1" t="s">
        <v>10668</v>
      </c>
      <c r="E1">
        <v>5</v>
      </c>
      <c r="F1" t="s">
        <v>9306</v>
      </c>
      <c r="G1" t="s">
        <v>10655</v>
      </c>
    </row>
    <row r="2" spans="1:7" x14ac:dyDescent="0.25">
      <c r="A2" t="s">
        <v>10669</v>
      </c>
      <c r="B2" s="13" t="s">
        <v>10670</v>
      </c>
      <c r="C2" t="s">
        <v>10671</v>
      </c>
      <c r="E2">
        <v>2.1</v>
      </c>
      <c r="F2" t="s">
        <v>9306</v>
      </c>
      <c r="G2" t="s">
        <v>10655</v>
      </c>
    </row>
    <row r="3" spans="1:7" x14ac:dyDescent="0.25">
      <c r="A3" t="s">
        <v>10662</v>
      </c>
      <c r="B3" s="13">
        <v>646</v>
      </c>
      <c r="C3" t="s">
        <v>9380</v>
      </c>
      <c r="E3">
        <v>1.19</v>
      </c>
      <c r="F3" t="s">
        <v>9306</v>
      </c>
      <c r="G3" t="s">
        <v>10655</v>
      </c>
    </row>
    <row r="4" spans="1:7" x14ac:dyDescent="0.25">
      <c r="A4" t="s">
        <v>10665</v>
      </c>
      <c r="B4" s="13"/>
      <c r="C4" t="s">
        <v>10666</v>
      </c>
      <c r="E4">
        <v>0.21</v>
      </c>
      <c r="F4" t="s">
        <v>9306</v>
      </c>
      <c r="G4" t="s">
        <v>10655</v>
      </c>
    </row>
    <row r="5" spans="1:7" x14ac:dyDescent="0.25">
      <c r="A5" t="s">
        <v>10672</v>
      </c>
      <c r="B5" s="13" t="s">
        <v>10673</v>
      </c>
      <c r="C5" t="s">
        <v>10674</v>
      </c>
      <c r="E5">
        <v>0.45</v>
      </c>
      <c r="F5" t="s">
        <v>9306</v>
      </c>
      <c r="G5" t="s">
        <v>10655</v>
      </c>
    </row>
    <row r="6" spans="1:7" x14ac:dyDescent="0.25">
      <c r="A6" t="s">
        <v>10675</v>
      </c>
      <c r="B6" s="13" t="s">
        <v>9332</v>
      </c>
      <c r="C6" t="s">
        <v>10676</v>
      </c>
      <c r="E6">
        <v>0.24</v>
      </c>
      <c r="F6" t="s">
        <v>9306</v>
      </c>
      <c r="G6" t="s">
        <v>10655</v>
      </c>
    </row>
    <row r="7" spans="1:7" x14ac:dyDescent="0.25">
      <c r="A7" t="s">
        <v>10677</v>
      </c>
      <c r="B7" s="13"/>
      <c r="C7" t="s">
        <v>10678</v>
      </c>
      <c r="E7">
        <v>4.4999999999999998E-2</v>
      </c>
      <c r="F7" t="s">
        <v>9306</v>
      </c>
      <c r="G7" t="s">
        <v>10655</v>
      </c>
    </row>
    <row r="8" spans="1:7" x14ac:dyDescent="0.25">
      <c r="A8" t="s">
        <v>10679</v>
      </c>
      <c r="B8" s="13" t="s">
        <v>10680</v>
      </c>
      <c r="C8" t="s">
        <v>10681</v>
      </c>
      <c r="E8">
        <v>0.26</v>
      </c>
      <c r="F8" t="s">
        <v>9306</v>
      </c>
      <c r="G8" t="s">
        <v>10655</v>
      </c>
    </row>
    <row r="9" spans="1:7" x14ac:dyDescent="0.25">
      <c r="A9" t="s">
        <v>10682</v>
      </c>
      <c r="B9" s="13" t="s">
        <v>10683</v>
      </c>
      <c r="C9" t="s">
        <v>10684</v>
      </c>
      <c r="E9">
        <v>0.04</v>
      </c>
      <c r="F9" t="s">
        <v>9306</v>
      </c>
      <c r="G9" t="s">
        <v>10655</v>
      </c>
    </row>
    <row r="10" spans="1:7" x14ac:dyDescent="0.25">
      <c r="A10" t="s">
        <v>10663</v>
      </c>
      <c r="B10" s="13"/>
      <c r="C10" t="s">
        <v>10664</v>
      </c>
      <c r="E10">
        <v>2</v>
      </c>
      <c r="F10" t="s">
        <v>9306</v>
      </c>
      <c r="G10" t="s">
        <v>10655</v>
      </c>
    </row>
    <row r="11" spans="1:7" x14ac:dyDescent="0.25">
      <c r="A11" t="s">
        <v>10685</v>
      </c>
      <c r="B11" s="13"/>
      <c r="C11" t="s">
        <v>10686</v>
      </c>
      <c r="E11">
        <v>1.1499999999999999</v>
      </c>
      <c r="F11" t="s">
        <v>9306</v>
      </c>
      <c r="G11" t="s">
        <v>10655</v>
      </c>
    </row>
    <row r="12" spans="1:7" x14ac:dyDescent="0.25">
      <c r="A12" t="s">
        <v>10687</v>
      </c>
      <c r="B12" s="13"/>
      <c r="C12" t="s">
        <v>10688</v>
      </c>
      <c r="E12">
        <v>0.72</v>
      </c>
      <c r="F12" t="s">
        <v>9306</v>
      </c>
      <c r="G12" t="s">
        <v>10655</v>
      </c>
    </row>
    <row r="13" spans="1:7" x14ac:dyDescent="0.25">
      <c r="A13" t="s">
        <v>10689</v>
      </c>
      <c r="B13" s="13"/>
      <c r="C13" t="s">
        <v>10690</v>
      </c>
      <c r="E13">
        <v>0.15</v>
      </c>
      <c r="F13" t="s">
        <v>9306</v>
      </c>
      <c r="G13" t="s">
        <v>10655</v>
      </c>
    </row>
    <row r="14" spans="1:7" x14ac:dyDescent="0.25">
      <c r="A14" t="s">
        <v>10691</v>
      </c>
      <c r="B14" s="13" t="s">
        <v>10692</v>
      </c>
      <c r="C14" t="s">
        <v>9406</v>
      </c>
      <c r="D14" t="s">
        <v>10693</v>
      </c>
      <c r="E14">
        <v>0.09</v>
      </c>
      <c r="F14" t="s">
        <v>9306</v>
      </c>
      <c r="G14" t="s">
        <v>10655</v>
      </c>
    </row>
    <row r="15" spans="1:7" x14ac:dyDescent="0.25">
      <c r="A15" t="s">
        <v>10694</v>
      </c>
      <c r="B15" t="s">
        <v>9353</v>
      </c>
      <c r="C15" t="s">
        <v>9387</v>
      </c>
      <c r="E15">
        <v>0.1</v>
      </c>
      <c r="F15" t="s">
        <v>9388</v>
      </c>
      <c r="G15" t="s">
        <v>10655</v>
      </c>
    </row>
    <row r="17" spans="1:9" s="767" customFormat="1" x14ac:dyDescent="0.25">
      <c r="G17" s="3" t="s">
        <v>10707</v>
      </c>
      <c r="I17" s="3" t="s">
        <v>10708</v>
      </c>
    </row>
    <row r="19" spans="1:9" x14ac:dyDescent="0.25">
      <c r="A19" s="3" t="s">
        <v>10704</v>
      </c>
      <c r="G19">
        <v>49</v>
      </c>
      <c r="I19">
        <v>12</v>
      </c>
    </row>
    <row r="20" spans="1:9" x14ac:dyDescent="0.25">
      <c r="A20" s="3" t="s">
        <v>10705</v>
      </c>
      <c r="G20">
        <v>82</v>
      </c>
      <c r="I20" s="5" t="s">
        <v>1565</v>
      </c>
    </row>
    <row r="21" spans="1:9" x14ac:dyDescent="0.25">
      <c r="A21" s="3" t="s">
        <v>10706</v>
      </c>
      <c r="G21">
        <v>71</v>
      </c>
      <c r="I21">
        <v>21</v>
      </c>
    </row>
    <row r="23" spans="1:9" x14ac:dyDescent="0.25">
      <c r="A23" s="117" t="s">
        <v>4707</v>
      </c>
      <c r="G23" s="117">
        <f>SUM(G19:G22)</f>
        <v>202</v>
      </c>
      <c r="I23" s="117">
        <f>SUM(I19:I22)</f>
        <v>33</v>
      </c>
    </row>
  </sheetData>
  <sortState ref="A1:H49">
    <sortCondition ref="G1:G4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9"/>
  <sheetViews>
    <sheetView tabSelected="1" topLeftCell="A2149" zoomScaleNormal="100" workbookViewId="0">
      <selection activeCell="C2167" sqref="C2167"/>
    </sheetView>
  </sheetViews>
  <sheetFormatPr defaultRowHeight="15" x14ac:dyDescent="0.25"/>
  <cols>
    <col min="1" max="1" width="3.85546875" style="564" customWidth="1"/>
    <col min="2" max="2" width="5.42578125" style="73" customWidth="1"/>
    <col min="3" max="3" width="2.140625" style="77" customWidth="1"/>
    <col min="4" max="4" width="2.42578125" style="77" customWidth="1"/>
    <col min="5" max="5" width="43.5703125" style="77" customWidth="1"/>
    <col min="6" max="6" width="4.85546875" style="152" customWidth="1"/>
    <col min="7" max="7" width="10.5703125" style="798" bestFit="1" customWidth="1"/>
    <col min="8" max="8" width="14.28515625" style="427" customWidth="1"/>
    <col min="9" max="9" width="3.85546875" style="563" customWidth="1"/>
    <col min="10" max="10" width="7.7109375" style="564" customWidth="1"/>
    <col min="11" max="11" width="3.85546875" style="339" customWidth="1"/>
    <col min="12" max="12" width="7.7109375" style="77" customWidth="1"/>
    <col min="13" max="13" width="10.140625" style="77" bestFit="1" customWidth="1"/>
    <col min="14" max="16384" width="9.140625" style="77"/>
  </cols>
  <sheetData>
    <row r="1" spans="1:11" s="8" customFormat="1" x14ac:dyDescent="0.25">
      <c r="A1" s="545"/>
      <c r="B1"/>
      <c r="F1" s="128"/>
      <c r="G1" s="32"/>
      <c r="H1" s="32"/>
      <c r="I1" s="559"/>
      <c r="J1" s="546"/>
      <c r="K1" s="547" t="s">
        <v>5136</v>
      </c>
    </row>
    <row r="2" spans="1:11" s="8" customFormat="1" ht="15.75" x14ac:dyDescent="0.25">
      <c r="A2" s="545"/>
      <c r="B2"/>
      <c r="E2" s="548" t="s">
        <v>5137</v>
      </c>
      <c r="F2" s="128"/>
      <c r="G2" s="32"/>
      <c r="H2" s="32"/>
      <c r="I2" s="559"/>
      <c r="J2" s="545"/>
      <c r="K2" s="547"/>
    </row>
    <row r="3" spans="1:11" s="8" customFormat="1" x14ac:dyDescent="0.25">
      <c r="A3" s="545"/>
      <c r="B3"/>
      <c r="F3" s="128"/>
      <c r="G3" s="32"/>
      <c r="H3" s="32"/>
      <c r="I3" s="559"/>
      <c r="J3" s="545"/>
      <c r="K3" s="547"/>
    </row>
    <row r="4" spans="1:11" s="8" customFormat="1" x14ac:dyDescent="0.25">
      <c r="A4" s="545"/>
      <c r="B4"/>
      <c r="C4" s="549" t="s">
        <v>5139</v>
      </c>
      <c r="F4" s="128"/>
      <c r="G4" s="32"/>
      <c r="H4" s="32"/>
      <c r="I4" s="559" t="s">
        <v>5138</v>
      </c>
      <c r="J4" s="545"/>
      <c r="K4" s="547"/>
    </row>
    <row r="5" spans="1:11" s="8" customFormat="1" x14ac:dyDescent="0.25">
      <c r="A5" s="545"/>
      <c r="B5"/>
      <c r="C5" s="77" t="s">
        <v>39</v>
      </c>
      <c r="D5"/>
      <c r="F5" s="152" t="s">
        <v>3</v>
      </c>
      <c r="G5" s="550">
        <f>0.12*0.08*1.3</f>
        <v>1.248E-2</v>
      </c>
      <c r="H5" s="32"/>
      <c r="I5" s="559"/>
      <c r="J5" s="545"/>
      <c r="K5" s="547"/>
    </row>
    <row r="6" spans="1:11" s="8" customFormat="1" ht="17.25" x14ac:dyDescent="0.25">
      <c r="A6" s="545"/>
      <c r="B6"/>
      <c r="C6" s="77" t="s">
        <v>1055</v>
      </c>
      <c r="D6"/>
      <c r="F6" s="152" t="s">
        <v>596</v>
      </c>
      <c r="G6" s="550">
        <f>G5</f>
        <v>1.248E-2</v>
      </c>
      <c r="H6" s="32"/>
      <c r="I6" s="559"/>
      <c r="J6" s="545"/>
      <c r="K6" s="547"/>
    </row>
    <row r="7" spans="1:11" s="8" customFormat="1" x14ac:dyDescent="0.25">
      <c r="A7" s="545"/>
      <c r="B7"/>
      <c r="C7" s="154" t="s">
        <v>8</v>
      </c>
      <c r="F7" s="152" t="s">
        <v>3</v>
      </c>
      <c r="G7" s="550">
        <v>1.7999999999999999E-2</v>
      </c>
      <c r="H7" s="32"/>
      <c r="I7" s="559"/>
      <c r="J7" s="545"/>
      <c r="K7" s="547"/>
    </row>
    <row r="8" spans="1:11" s="8" customFormat="1" x14ac:dyDescent="0.25">
      <c r="A8" s="545"/>
      <c r="B8"/>
      <c r="C8" s="154" t="s">
        <v>12</v>
      </c>
      <c r="F8" s="152" t="s">
        <v>3</v>
      </c>
      <c r="G8" s="550">
        <f>0.3*G7</f>
        <v>5.3999999999999994E-3</v>
      </c>
      <c r="H8" s="32"/>
      <c r="I8" s="559"/>
      <c r="J8" s="545"/>
      <c r="K8" s="547"/>
    </row>
    <row r="9" spans="1:11" s="8" customFormat="1" x14ac:dyDescent="0.25">
      <c r="A9" s="545"/>
      <c r="B9"/>
      <c r="C9" s="154" t="s">
        <v>72</v>
      </c>
      <c r="F9" s="152" t="s">
        <v>3</v>
      </c>
      <c r="G9" s="550">
        <f>0.57*0.05*2*0.15*2*1.3</f>
        <v>2.2229999999999996E-2</v>
      </c>
      <c r="H9" s="32"/>
      <c r="I9" s="559"/>
      <c r="J9" s="545"/>
      <c r="K9" s="547"/>
    </row>
    <row r="10" spans="1:11" s="8" customFormat="1" x14ac:dyDescent="0.25">
      <c r="A10" s="545"/>
      <c r="B10"/>
      <c r="C10" s="154" t="s">
        <v>11</v>
      </c>
      <c r="F10" s="152" t="s">
        <v>3</v>
      </c>
      <c r="G10" s="550">
        <f>0.3*G9</f>
        <v>6.6689999999999987E-3</v>
      </c>
      <c r="H10" s="32"/>
      <c r="I10" s="559"/>
      <c r="J10" s="545"/>
      <c r="K10" s="547"/>
    </row>
    <row r="11" spans="1:11" s="8" customFormat="1" x14ac:dyDescent="0.25">
      <c r="A11" s="545"/>
      <c r="B11"/>
      <c r="D11" s="54" t="s">
        <v>5141</v>
      </c>
      <c r="F11" s="158"/>
      <c r="G11" s="32"/>
      <c r="H11" s="32"/>
      <c r="I11" s="559" t="s">
        <v>5140</v>
      </c>
      <c r="J11" s="545"/>
      <c r="K11" s="547"/>
    </row>
    <row r="12" spans="1:11" s="8" customFormat="1" x14ac:dyDescent="0.25">
      <c r="A12" s="545"/>
      <c r="B12"/>
      <c r="D12" s="8" t="s">
        <v>5142</v>
      </c>
      <c r="F12" s="158" t="s">
        <v>3</v>
      </c>
      <c r="G12" s="32">
        <f>0.57*0.03*2*8*1.1</f>
        <v>0.30095999999999995</v>
      </c>
      <c r="H12" s="32"/>
      <c r="I12" s="559"/>
      <c r="J12" s="545"/>
      <c r="K12" s="547"/>
    </row>
    <row r="13" spans="1:11" s="8" customFormat="1" x14ac:dyDescent="0.25">
      <c r="A13" s="545"/>
      <c r="B13"/>
      <c r="F13" s="158"/>
      <c r="G13" s="32"/>
      <c r="H13" s="32"/>
      <c r="I13" s="559"/>
      <c r="J13" s="545"/>
      <c r="K13" s="547"/>
    </row>
    <row r="14" spans="1:11" s="8" customFormat="1" x14ac:dyDescent="0.25">
      <c r="A14" s="545"/>
      <c r="B14"/>
      <c r="C14" s="54" t="s">
        <v>5144</v>
      </c>
      <c r="F14" s="158"/>
      <c r="G14" s="32"/>
      <c r="H14" s="32"/>
      <c r="I14" s="559" t="s">
        <v>5143</v>
      </c>
      <c r="J14" s="545"/>
      <c r="K14" s="547"/>
    </row>
    <row r="15" spans="1:11" s="8" customFormat="1" x14ac:dyDescent="0.25">
      <c r="A15" s="545"/>
      <c r="B15"/>
      <c r="D15" s="8" t="s">
        <v>5145</v>
      </c>
      <c r="F15" s="158" t="s">
        <v>195</v>
      </c>
      <c r="G15" s="32">
        <v>7.0000000000000007E-2</v>
      </c>
      <c r="H15" s="32"/>
      <c r="I15" s="559"/>
      <c r="J15" s="545"/>
      <c r="K15" s="547"/>
    </row>
    <row r="16" spans="1:11" s="8" customFormat="1" x14ac:dyDescent="0.25">
      <c r="A16" s="545"/>
      <c r="B16"/>
      <c r="F16" s="128"/>
      <c r="G16" s="32"/>
      <c r="H16" s="32"/>
      <c r="I16" s="559"/>
      <c r="J16" s="545"/>
      <c r="K16" s="547"/>
    </row>
    <row r="17" spans="1:11" s="8" customFormat="1" x14ac:dyDescent="0.25">
      <c r="A17" s="545"/>
      <c r="B17"/>
      <c r="C17" s="551" t="s">
        <v>5147</v>
      </c>
      <c r="F17" s="128"/>
      <c r="G17" s="32"/>
      <c r="H17" s="32"/>
      <c r="I17" s="559" t="s">
        <v>5146</v>
      </c>
      <c r="J17" s="545"/>
      <c r="K17" s="547"/>
    </row>
    <row r="18" spans="1:11" s="8" customFormat="1" x14ac:dyDescent="0.25">
      <c r="A18" s="545"/>
      <c r="B18"/>
      <c r="D18" s="16" t="s">
        <v>5148</v>
      </c>
      <c r="F18" s="128"/>
      <c r="G18" s="32"/>
      <c r="H18" s="32"/>
      <c r="I18" s="559"/>
      <c r="J18" s="545"/>
      <c r="K18" s="547"/>
    </row>
    <row r="19" spans="1:11" s="8" customFormat="1" x14ac:dyDescent="0.25">
      <c r="A19" s="545"/>
      <c r="B19"/>
      <c r="C19" s="552"/>
      <c r="D19" s="8" t="s">
        <v>5149</v>
      </c>
      <c r="F19" s="128" t="s">
        <v>3</v>
      </c>
      <c r="G19" s="32">
        <f>0.04*0.015*5*8*1.1</f>
        <v>2.64E-2</v>
      </c>
      <c r="H19" s="32"/>
      <c r="I19" s="559"/>
      <c r="J19" s="545"/>
      <c r="K19" s="547"/>
    </row>
    <row r="20" spans="1:11" s="8" customFormat="1" x14ac:dyDescent="0.25">
      <c r="A20" s="545"/>
      <c r="B20"/>
      <c r="F20" s="128"/>
      <c r="G20" s="32"/>
      <c r="H20" s="32"/>
      <c r="I20" s="559"/>
      <c r="J20" s="545"/>
      <c r="K20" s="547"/>
    </row>
    <row r="21" spans="1:11" s="8" customFormat="1" x14ac:dyDescent="0.25">
      <c r="A21" s="545"/>
      <c r="B21"/>
      <c r="C21" s="54" t="s">
        <v>5151</v>
      </c>
      <c r="D21" s="54"/>
      <c r="F21" s="128"/>
      <c r="G21" s="32"/>
      <c r="H21" s="32"/>
      <c r="I21" s="559" t="s">
        <v>5150</v>
      </c>
      <c r="J21" s="545"/>
      <c r="K21" s="547"/>
    </row>
    <row r="22" spans="1:11" s="8" customFormat="1" x14ac:dyDescent="0.25">
      <c r="A22" s="545"/>
      <c r="B22"/>
      <c r="C22" s="8" t="s">
        <v>39</v>
      </c>
      <c r="D22" s="54"/>
      <c r="F22" s="128" t="s">
        <v>3</v>
      </c>
      <c r="G22" s="32">
        <f>3.5*0.06*1.2</f>
        <v>0.252</v>
      </c>
      <c r="H22" s="32"/>
      <c r="I22" s="559"/>
      <c r="J22" s="545"/>
      <c r="K22" s="547"/>
    </row>
    <row r="23" spans="1:11" s="8" customFormat="1" ht="17.25" x14ac:dyDescent="0.25">
      <c r="A23" s="545"/>
      <c r="B23"/>
      <c r="C23" s="8" t="s">
        <v>1055</v>
      </c>
      <c r="D23" s="54"/>
      <c r="F23" s="152" t="s">
        <v>596</v>
      </c>
      <c r="G23" s="32">
        <f>G22</f>
        <v>0.252</v>
      </c>
      <c r="H23" s="32"/>
      <c r="I23" s="559"/>
      <c r="J23" s="545"/>
      <c r="K23" s="547"/>
    </row>
    <row r="24" spans="1:11" s="8" customFormat="1" x14ac:dyDescent="0.25">
      <c r="A24" s="545"/>
      <c r="B24"/>
      <c r="C24" s="8" t="s">
        <v>5152</v>
      </c>
      <c r="D24" s="54"/>
      <c r="F24" s="128" t="s">
        <v>3</v>
      </c>
      <c r="G24" s="32">
        <f>(0.385*0.7*4+0.38*0.37*2)*2*0.1*1.3-0.003</f>
        <v>0.35039200000000004</v>
      </c>
      <c r="H24" s="32"/>
      <c r="I24" s="559"/>
      <c r="J24" s="545"/>
      <c r="K24" s="547"/>
    </row>
    <row r="25" spans="1:11" s="8" customFormat="1" x14ac:dyDescent="0.25">
      <c r="A25" s="545"/>
      <c r="B25"/>
      <c r="C25" s="8" t="s">
        <v>12</v>
      </c>
      <c r="D25" s="54"/>
      <c r="F25" s="128" t="s">
        <v>3</v>
      </c>
      <c r="G25" s="32">
        <f>0.3*G24</f>
        <v>0.10511760000000001</v>
      </c>
      <c r="H25" s="32"/>
      <c r="I25" s="559"/>
      <c r="J25" s="545"/>
      <c r="K25" s="547"/>
    </row>
    <row r="26" spans="1:11" s="8" customFormat="1" x14ac:dyDescent="0.25">
      <c r="A26" s="545"/>
      <c r="B26"/>
      <c r="C26" s="8" t="s">
        <v>72</v>
      </c>
      <c r="D26" s="54"/>
      <c r="F26" s="128" t="s">
        <v>3</v>
      </c>
      <c r="G26" s="32">
        <f>(0.385*0.7*4+0.38*0.37*2)*2*0.15*1.3</f>
        <v>0.530088</v>
      </c>
      <c r="H26" s="32"/>
      <c r="I26" s="559"/>
      <c r="J26" s="545"/>
      <c r="K26" s="547"/>
    </row>
    <row r="27" spans="1:11" s="8" customFormat="1" x14ac:dyDescent="0.25">
      <c r="A27" s="545"/>
      <c r="B27"/>
      <c r="C27" s="8" t="s">
        <v>5153</v>
      </c>
      <c r="D27" s="54"/>
      <c r="F27" s="128" t="s">
        <v>3</v>
      </c>
      <c r="G27" s="32">
        <f>0.3*G26</f>
        <v>0.15902639999999998</v>
      </c>
      <c r="H27" s="32"/>
      <c r="I27" s="559"/>
      <c r="J27" s="545"/>
      <c r="K27" s="547"/>
    </row>
    <row r="28" spans="1:11" s="8" customFormat="1" x14ac:dyDescent="0.25">
      <c r="A28" s="545"/>
      <c r="B28"/>
      <c r="C28" s="8" t="s">
        <v>37</v>
      </c>
      <c r="D28" s="54"/>
      <c r="F28" s="128" t="s">
        <v>3</v>
      </c>
      <c r="G28" s="32">
        <f>0.05*2.1*0.2*1.3</f>
        <v>2.7300000000000008E-2</v>
      </c>
      <c r="H28" s="32"/>
      <c r="I28" s="559"/>
      <c r="J28" s="545"/>
      <c r="K28" s="547"/>
    </row>
    <row r="29" spans="1:11" s="8" customFormat="1" x14ac:dyDescent="0.25">
      <c r="A29" s="545"/>
      <c r="B29"/>
      <c r="C29" s="8" t="s">
        <v>2749</v>
      </c>
      <c r="D29" s="54"/>
      <c r="F29" s="128" t="s">
        <v>3</v>
      </c>
      <c r="G29" s="32">
        <v>0.42</v>
      </c>
      <c r="H29" s="32"/>
      <c r="I29" s="559"/>
      <c r="J29" s="545"/>
      <c r="K29" s="547"/>
    </row>
    <row r="30" spans="1:11" s="8" customFormat="1" x14ac:dyDescent="0.25">
      <c r="A30" s="545"/>
      <c r="B30"/>
      <c r="D30" s="54" t="s">
        <v>5155</v>
      </c>
      <c r="F30" s="128"/>
      <c r="G30" s="32"/>
      <c r="H30" s="32"/>
      <c r="I30" s="559" t="s">
        <v>5154</v>
      </c>
      <c r="J30" s="545"/>
      <c r="K30" s="547"/>
    </row>
    <row r="31" spans="1:11" s="8" customFormat="1" x14ac:dyDescent="0.25">
      <c r="A31" s="545"/>
      <c r="B31"/>
      <c r="D31" s="77" t="s">
        <v>39</v>
      </c>
      <c r="F31" s="158" t="s">
        <v>3</v>
      </c>
      <c r="G31" s="32">
        <f>2.5*0.06*1.2</f>
        <v>0.18</v>
      </c>
      <c r="H31" s="32"/>
      <c r="I31" s="559"/>
      <c r="J31" s="545"/>
      <c r="K31" s="547"/>
    </row>
    <row r="32" spans="1:11" s="8" customFormat="1" ht="17.25" x14ac:dyDescent="0.25">
      <c r="A32" s="545"/>
      <c r="B32"/>
      <c r="D32" s="77" t="s">
        <v>1055</v>
      </c>
      <c r="F32" s="152" t="s">
        <v>596</v>
      </c>
      <c r="G32" s="32">
        <f>G31</f>
        <v>0.18</v>
      </c>
      <c r="H32" s="32"/>
      <c r="I32" s="559"/>
      <c r="J32" s="545"/>
      <c r="K32" s="547"/>
    </row>
    <row r="33" spans="2:11" s="545" customFormat="1" x14ac:dyDescent="0.25">
      <c r="B33"/>
      <c r="C33" s="8"/>
      <c r="D33" s="8" t="s">
        <v>5152</v>
      </c>
      <c r="E33" s="8"/>
      <c r="F33" s="158" t="s">
        <v>3</v>
      </c>
      <c r="G33" s="32">
        <f>(0.35*3*0.66+0.35*0.35*2)*2*0.1*1.3+0.001</f>
        <v>0.24487999999999999</v>
      </c>
      <c r="H33" s="32"/>
      <c r="I33" s="559"/>
      <c r="K33" s="547"/>
    </row>
    <row r="34" spans="2:11" s="545" customFormat="1" x14ac:dyDescent="0.25">
      <c r="B34"/>
      <c r="C34" s="8"/>
      <c r="D34" s="8" t="s">
        <v>12</v>
      </c>
      <c r="E34" s="8"/>
      <c r="F34" s="158" t="s">
        <v>3</v>
      </c>
      <c r="G34" s="32">
        <f>3*G33</f>
        <v>0.73463999999999996</v>
      </c>
      <c r="H34" s="32"/>
      <c r="I34" s="559"/>
      <c r="K34" s="547"/>
    </row>
    <row r="35" spans="2:11" s="545" customFormat="1" x14ac:dyDescent="0.25">
      <c r="B35"/>
      <c r="C35" s="8"/>
      <c r="D35" s="8" t="s">
        <v>72</v>
      </c>
      <c r="E35" s="8"/>
      <c r="F35" s="158" t="s">
        <v>3</v>
      </c>
      <c r="G35" s="32">
        <f>(0.35*3*0.66+0.35*0.35*2)*2*0.15*1.3+0.004</f>
        <v>0.36981999999999998</v>
      </c>
      <c r="H35" s="32"/>
      <c r="I35" s="559"/>
      <c r="K35" s="547"/>
    </row>
    <row r="36" spans="2:11" s="545" customFormat="1" x14ac:dyDescent="0.25">
      <c r="B36"/>
      <c r="C36" s="8"/>
      <c r="D36" s="8" t="s">
        <v>5153</v>
      </c>
      <c r="E36" s="8"/>
      <c r="F36" s="158" t="s">
        <v>3</v>
      </c>
      <c r="G36" s="32">
        <f>0.3*G35</f>
        <v>0.11094599999999999</v>
      </c>
      <c r="H36" s="32"/>
      <c r="I36" s="559"/>
      <c r="K36" s="547"/>
    </row>
    <row r="37" spans="2:11" s="545" customFormat="1" x14ac:dyDescent="0.25">
      <c r="B37"/>
      <c r="C37" s="8"/>
      <c r="D37" s="8" t="s">
        <v>2749</v>
      </c>
      <c r="E37" s="8"/>
      <c r="F37" s="158" t="s">
        <v>3</v>
      </c>
      <c r="G37" s="32">
        <v>0.42</v>
      </c>
      <c r="H37" s="32"/>
      <c r="I37" s="559"/>
      <c r="K37" s="547"/>
    </row>
    <row r="38" spans="2:11" s="545" customFormat="1" x14ac:dyDescent="0.25">
      <c r="B38"/>
      <c r="C38" s="54"/>
      <c r="D38" s="8"/>
      <c r="E38" s="16" t="s">
        <v>5157</v>
      </c>
      <c r="F38" s="128"/>
      <c r="G38" s="32"/>
      <c r="H38" s="32"/>
      <c r="I38" s="559" t="s">
        <v>5156</v>
      </c>
      <c r="K38" s="547"/>
    </row>
    <row r="39" spans="2:11" s="545" customFormat="1" x14ac:dyDescent="0.25">
      <c r="B39"/>
      <c r="C39" s="54"/>
      <c r="D39" s="8"/>
      <c r="E39" s="154" t="s">
        <v>5158</v>
      </c>
      <c r="F39" s="158" t="s">
        <v>3</v>
      </c>
      <c r="G39" s="32">
        <f>1.052*0.642*2*8*1.12</f>
        <v>12.102881280000004</v>
      </c>
      <c r="H39" s="32"/>
      <c r="I39" s="559"/>
      <c r="K39" s="547"/>
    </row>
    <row r="40" spans="2:11" s="545" customFormat="1" x14ac:dyDescent="0.25">
      <c r="B40"/>
      <c r="C40" s="54"/>
      <c r="D40" s="8"/>
      <c r="E40" s="16" t="s">
        <v>5160</v>
      </c>
      <c r="F40" s="158"/>
      <c r="G40" s="32"/>
      <c r="H40" s="32"/>
      <c r="I40" s="559" t="s">
        <v>5159</v>
      </c>
      <c r="K40" s="547"/>
    </row>
    <row r="41" spans="2:11" s="545" customFormat="1" x14ac:dyDescent="0.25">
      <c r="B41"/>
      <c r="C41" s="54"/>
      <c r="D41" s="8"/>
      <c r="E41" s="154" t="s">
        <v>5158</v>
      </c>
      <c r="F41" s="158" t="s">
        <v>3</v>
      </c>
      <c r="G41" s="32">
        <f>0.39*0.37*2*8*1.12</f>
        <v>2.5858560000000006</v>
      </c>
      <c r="H41" s="32"/>
      <c r="I41" s="559"/>
      <c r="K41" s="547"/>
    </row>
    <row r="42" spans="2:11" s="545" customFormat="1" x14ac:dyDescent="0.25">
      <c r="B42"/>
      <c r="C42" s="8"/>
      <c r="D42" s="8"/>
      <c r="E42" s="16" t="s">
        <v>5162</v>
      </c>
      <c r="F42" s="128"/>
      <c r="G42" s="32"/>
      <c r="H42" s="32"/>
      <c r="I42" s="559" t="s">
        <v>5161</v>
      </c>
      <c r="K42" s="547"/>
    </row>
    <row r="43" spans="2:11" s="545" customFormat="1" x14ac:dyDescent="0.25">
      <c r="B43"/>
      <c r="C43" s="8"/>
      <c r="D43" s="8"/>
      <c r="E43" s="154" t="s">
        <v>5158</v>
      </c>
      <c r="F43" s="158" t="s">
        <v>3</v>
      </c>
      <c r="G43" s="32">
        <f>0.08*0.1*3*8*1.1</f>
        <v>0.21120000000000003</v>
      </c>
      <c r="H43" s="32"/>
      <c r="I43" s="559"/>
      <c r="K43" s="547"/>
    </row>
    <row r="44" spans="2:11" s="545" customFormat="1" x14ac:dyDescent="0.25">
      <c r="B44"/>
      <c r="C44" s="42"/>
      <c r="D44" s="54" t="s">
        <v>5164</v>
      </c>
      <c r="E44" s="42"/>
      <c r="F44" s="158"/>
      <c r="G44" s="550"/>
      <c r="H44" s="32"/>
      <c r="I44" s="559" t="s">
        <v>5163</v>
      </c>
      <c r="K44" s="547"/>
    </row>
    <row r="45" spans="2:11" s="545" customFormat="1" x14ac:dyDescent="0.25">
      <c r="B45"/>
      <c r="C45" s="42"/>
      <c r="D45" s="154" t="s">
        <v>5165</v>
      </c>
      <c r="E45" s="42"/>
      <c r="F45" s="158" t="s">
        <v>3</v>
      </c>
      <c r="G45" s="550">
        <v>0.623</v>
      </c>
      <c r="H45" s="32"/>
      <c r="I45" s="559"/>
      <c r="K45" s="547"/>
    </row>
    <row r="46" spans="2:11" s="545" customFormat="1" x14ac:dyDescent="0.25">
      <c r="B46"/>
      <c r="C46" s="8"/>
      <c r="D46" s="54" t="s">
        <v>5167</v>
      </c>
      <c r="E46" s="8"/>
      <c r="F46" s="158"/>
      <c r="G46" s="32"/>
      <c r="H46" s="32"/>
      <c r="I46" s="559" t="s">
        <v>5166</v>
      </c>
      <c r="K46" s="547"/>
    </row>
    <row r="47" spans="2:11" s="545" customFormat="1" x14ac:dyDescent="0.25">
      <c r="B47"/>
      <c r="C47" s="8"/>
      <c r="D47" s="154" t="s">
        <v>5165</v>
      </c>
      <c r="E47" s="8"/>
      <c r="F47" s="158" t="s">
        <v>3</v>
      </c>
      <c r="G47" s="32">
        <v>0.35</v>
      </c>
      <c r="H47" s="32"/>
      <c r="I47" s="559"/>
      <c r="K47" s="547"/>
    </row>
    <row r="48" spans="2:11" s="545" customFormat="1" x14ac:dyDescent="0.25">
      <c r="B48"/>
      <c r="C48" s="8"/>
      <c r="D48" s="54" t="s">
        <v>5169</v>
      </c>
      <c r="E48" s="8"/>
      <c r="F48" s="158"/>
      <c r="G48" s="32"/>
      <c r="H48" s="32"/>
      <c r="I48" s="559" t="s">
        <v>5168</v>
      </c>
      <c r="K48" s="547"/>
    </row>
    <row r="49" spans="1:11" s="8" customFormat="1" x14ac:dyDescent="0.25">
      <c r="A49" s="545"/>
      <c r="B49"/>
      <c r="D49" s="154" t="s">
        <v>5158</v>
      </c>
      <c r="F49" s="158" t="s">
        <v>3</v>
      </c>
      <c r="G49" s="32">
        <f>(0.38*2+0.37)*0.68*2*8*1.12</f>
        <v>13.769728000000001</v>
      </c>
      <c r="H49" s="32"/>
      <c r="I49" s="559"/>
      <c r="J49" s="545"/>
      <c r="K49" s="547"/>
    </row>
    <row r="50" spans="1:11" s="8" customFormat="1" x14ac:dyDescent="0.25">
      <c r="A50" s="545"/>
      <c r="B50"/>
      <c r="D50" s="54" t="s">
        <v>5171</v>
      </c>
      <c r="F50" s="158"/>
      <c r="G50" s="32"/>
      <c r="H50" s="32"/>
      <c r="I50" s="559" t="s">
        <v>5170</v>
      </c>
      <c r="J50" s="545"/>
      <c r="K50" s="547"/>
    </row>
    <row r="51" spans="1:11" s="8" customFormat="1" x14ac:dyDescent="0.25">
      <c r="A51" s="545"/>
      <c r="B51"/>
      <c r="D51" s="154" t="s">
        <v>5158</v>
      </c>
      <c r="F51" s="158" t="s">
        <v>3</v>
      </c>
      <c r="G51" s="32">
        <f>0.4*0.49*2*8*1.12</f>
        <v>3.5123200000000003</v>
      </c>
      <c r="H51" s="32"/>
      <c r="I51" s="559"/>
      <c r="J51" s="545"/>
      <c r="K51" s="547"/>
    </row>
    <row r="52" spans="1:11" s="8" customFormat="1" x14ac:dyDescent="0.25">
      <c r="A52" s="545"/>
      <c r="B52"/>
      <c r="D52" s="54" t="s">
        <v>5173</v>
      </c>
      <c r="F52" s="158"/>
      <c r="G52" s="32"/>
      <c r="H52" s="32"/>
      <c r="I52" s="559" t="s">
        <v>5172</v>
      </c>
      <c r="J52" s="545"/>
      <c r="K52" s="547"/>
    </row>
    <row r="53" spans="1:11" s="8" customFormat="1" x14ac:dyDescent="0.25">
      <c r="A53" s="545"/>
      <c r="B53"/>
      <c r="D53" s="154" t="s">
        <v>5158</v>
      </c>
      <c r="F53" s="158" t="s">
        <v>3</v>
      </c>
      <c r="G53" s="32">
        <f>0.74*0.42*2*8*1.12</f>
        <v>5.5695360000000003</v>
      </c>
      <c r="H53" s="32"/>
      <c r="I53" s="559"/>
      <c r="J53" s="545"/>
      <c r="K53" s="547"/>
    </row>
    <row r="54" spans="1:11" s="8" customFormat="1" x14ac:dyDescent="0.25">
      <c r="A54" s="545"/>
      <c r="B54"/>
      <c r="D54" s="77" t="s">
        <v>39</v>
      </c>
      <c r="E54"/>
      <c r="F54" s="152" t="s">
        <v>3</v>
      </c>
      <c r="G54" s="32">
        <f>0.1*0.05*1.3</f>
        <v>6.5000000000000014E-3</v>
      </c>
      <c r="H54" s="32"/>
      <c r="I54" s="559"/>
      <c r="J54" s="545"/>
      <c r="K54" s="547"/>
    </row>
    <row r="55" spans="1:11" s="8" customFormat="1" ht="17.25" x14ac:dyDescent="0.25">
      <c r="A55" s="545"/>
      <c r="B55"/>
      <c r="D55" s="77" t="s">
        <v>1055</v>
      </c>
      <c r="E55"/>
      <c r="F55" s="152" t="s">
        <v>596</v>
      </c>
      <c r="G55" s="32">
        <f>1.5*G54</f>
        <v>9.7500000000000017E-3</v>
      </c>
      <c r="H55" s="32"/>
      <c r="I55" s="559"/>
      <c r="J55" s="545"/>
      <c r="K55" s="547"/>
    </row>
    <row r="56" spans="1:11" s="8" customFormat="1" x14ac:dyDescent="0.25">
      <c r="A56" s="545"/>
      <c r="B56"/>
      <c r="D56" s="54" t="s">
        <v>5175</v>
      </c>
      <c r="F56" s="158"/>
      <c r="G56" s="32"/>
      <c r="H56" s="32"/>
      <c r="I56" s="559" t="s">
        <v>5174</v>
      </c>
      <c r="J56" s="545"/>
      <c r="K56" s="547"/>
    </row>
    <row r="57" spans="1:11" s="8" customFormat="1" x14ac:dyDescent="0.25">
      <c r="A57" s="545"/>
      <c r="B57"/>
      <c r="D57" s="154" t="s">
        <v>5158</v>
      </c>
      <c r="F57" s="152" t="s">
        <v>3</v>
      </c>
      <c r="G57" s="32">
        <f>0.018*2.1*2*8*1.158</f>
        <v>0.70035839999999994</v>
      </c>
      <c r="H57" s="32"/>
      <c r="I57" s="559"/>
      <c r="J57" s="545"/>
      <c r="K57" s="547"/>
    </row>
    <row r="58" spans="1:11" s="8" customFormat="1" x14ac:dyDescent="0.25">
      <c r="A58" s="545"/>
      <c r="B58"/>
      <c r="C58" s="54"/>
      <c r="D58" s="54" t="s">
        <v>5177</v>
      </c>
      <c r="F58" s="128"/>
      <c r="G58" s="32"/>
      <c r="H58" s="32"/>
      <c r="I58" s="559" t="s">
        <v>5176</v>
      </c>
      <c r="J58" s="545"/>
      <c r="K58" s="547"/>
    </row>
    <row r="59" spans="1:11" s="8" customFormat="1" x14ac:dyDescent="0.25">
      <c r="A59" s="545"/>
      <c r="B59"/>
      <c r="C59" s="54"/>
      <c r="D59" s="8" t="s">
        <v>847</v>
      </c>
      <c r="F59" s="158" t="s">
        <v>3</v>
      </c>
      <c r="G59" s="32">
        <f>0.045*0.02*3*8*1.08</f>
        <v>2.3328000000000002E-2</v>
      </c>
      <c r="H59" s="32"/>
      <c r="I59" s="559"/>
      <c r="J59" s="545"/>
      <c r="K59" s="547"/>
    </row>
    <row r="60" spans="1:11" s="8" customFormat="1" x14ac:dyDescent="0.25">
      <c r="A60" s="545"/>
      <c r="B60"/>
      <c r="C60" s="154"/>
      <c r="D60" s="54" t="s">
        <v>5179</v>
      </c>
      <c r="F60" s="158"/>
      <c r="G60" s="32"/>
      <c r="H60" s="32"/>
      <c r="I60" s="559" t="s">
        <v>5178</v>
      </c>
      <c r="J60" s="545"/>
      <c r="K60" s="547"/>
    </row>
    <row r="61" spans="1:11" s="8" customFormat="1" x14ac:dyDescent="0.25">
      <c r="A61" s="545"/>
      <c r="B61"/>
      <c r="C61" s="154"/>
      <c r="D61" s="8" t="s">
        <v>847</v>
      </c>
      <c r="F61" s="158" t="s">
        <v>3</v>
      </c>
      <c r="G61" s="32">
        <f>0.06*0.045*3*8*1.1</f>
        <v>7.1279999999999996E-2</v>
      </c>
      <c r="H61" s="32"/>
      <c r="I61" s="559"/>
      <c r="J61" s="545"/>
      <c r="K61" s="547"/>
    </row>
    <row r="62" spans="1:11" s="8" customFormat="1" x14ac:dyDescent="0.25">
      <c r="A62" s="545"/>
      <c r="B62"/>
      <c r="C62" s="77"/>
      <c r="D62" s="54" t="s">
        <v>5181</v>
      </c>
      <c r="F62" s="158"/>
      <c r="G62" s="32"/>
      <c r="H62" s="32"/>
      <c r="I62" s="559" t="s">
        <v>5180</v>
      </c>
      <c r="J62" s="545"/>
      <c r="K62" s="547"/>
    </row>
    <row r="63" spans="1:11" s="8" customFormat="1" x14ac:dyDescent="0.25">
      <c r="A63" s="545"/>
      <c r="B63"/>
      <c r="C63" s="77"/>
      <c r="D63" s="8" t="s">
        <v>847</v>
      </c>
      <c r="F63" s="158" t="s">
        <v>3</v>
      </c>
      <c r="G63" s="32">
        <f>0.08*0.162*3*8*1.1</f>
        <v>0.34214400000000006</v>
      </c>
      <c r="H63" s="32"/>
      <c r="I63" s="559"/>
      <c r="J63" s="545"/>
      <c r="K63" s="547"/>
    </row>
    <row r="64" spans="1:11" s="8" customFormat="1" x14ac:dyDescent="0.25">
      <c r="A64" s="545"/>
      <c r="B64"/>
      <c r="C64" s="77"/>
      <c r="D64" s="54" t="s">
        <v>5183</v>
      </c>
      <c r="F64" s="158"/>
      <c r="G64" s="32"/>
      <c r="H64" s="32"/>
      <c r="I64" s="559" t="s">
        <v>5182</v>
      </c>
      <c r="J64" s="545"/>
      <c r="K64" s="547"/>
    </row>
    <row r="65" spans="1:11" s="8" customFormat="1" x14ac:dyDescent="0.25">
      <c r="A65" s="545"/>
      <c r="B65"/>
      <c r="C65" s="77"/>
      <c r="D65" s="8" t="s">
        <v>5184</v>
      </c>
      <c r="F65" s="158" t="s">
        <v>3</v>
      </c>
      <c r="G65" s="32">
        <f>0.04*0.03*6*8*1.12</f>
        <v>6.4512E-2</v>
      </c>
      <c r="H65" s="32"/>
      <c r="I65" s="559"/>
      <c r="J65" s="545"/>
      <c r="K65" s="547"/>
    </row>
    <row r="66" spans="1:11" s="8" customFormat="1" x14ac:dyDescent="0.25">
      <c r="A66" s="545"/>
      <c r="B66"/>
      <c r="C66" s="77"/>
      <c r="D66" s="54" t="s">
        <v>5186</v>
      </c>
      <c r="F66" s="158"/>
      <c r="G66" s="32"/>
      <c r="H66" s="32"/>
      <c r="I66" s="559" t="s">
        <v>5185</v>
      </c>
      <c r="J66" s="545"/>
      <c r="K66" s="547"/>
    </row>
    <row r="67" spans="1:11" s="8" customFormat="1" x14ac:dyDescent="0.25">
      <c r="A67" s="545"/>
      <c r="B67"/>
      <c r="C67" s="77"/>
      <c r="D67" s="8" t="s">
        <v>5184</v>
      </c>
      <c r="F67" s="158" t="s">
        <v>3</v>
      </c>
      <c r="G67" s="32">
        <f>0.085*0.018*4*8*1.11</f>
        <v>5.4345600000000001E-2</v>
      </c>
      <c r="H67" s="32"/>
      <c r="I67" s="559"/>
      <c r="J67" s="545"/>
      <c r="K67" s="547"/>
    </row>
    <row r="68" spans="1:11" s="8" customFormat="1" x14ac:dyDescent="0.25">
      <c r="A68" s="545"/>
      <c r="B68"/>
      <c r="C68" s="77"/>
      <c r="D68" s="54"/>
      <c r="F68" s="158"/>
      <c r="G68" s="32"/>
      <c r="H68" s="32"/>
      <c r="I68" s="559"/>
      <c r="J68" s="545"/>
      <c r="K68" s="547"/>
    </row>
    <row r="69" spans="1:11" s="8" customFormat="1" x14ac:dyDescent="0.25">
      <c r="A69" s="545"/>
      <c r="B69"/>
      <c r="C69" s="78" t="s">
        <v>5188</v>
      </c>
      <c r="D69" s="54"/>
      <c r="F69" s="553"/>
      <c r="G69" s="32"/>
      <c r="H69" s="32"/>
      <c r="I69" s="559" t="s">
        <v>5187</v>
      </c>
      <c r="J69" s="545"/>
      <c r="K69" s="547"/>
    </row>
    <row r="70" spans="1:11" s="8" customFormat="1" x14ac:dyDescent="0.25">
      <c r="A70" s="545"/>
      <c r="B70"/>
      <c r="C70" s="77"/>
      <c r="D70" s="54" t="s">
        <v>5190</v>
      </c>
      <c r="F70" s="158"/>
      <c r="G70" s="32"/>
      <c r="H70" s="32"/>
      <c r="I70" s="559" t="s">
        <v>5189</v>
      </c>
      <c r="J70" s="545"/>
      <c r="K70" s="547"/>
    </row>
    <row r="71" spans="1:11" s="8" customFormat="1" x14ac:dyDescent="0.25">
      <c r="A71" s="545"/>
      <c r="B71"/>
      <c r="C71" s="77"/>
      <c r="D71" s="154" t="s">
        <v>5191</v>
      </c>
      <c r="F71" s="158" t="s">
        <v>3</v>
      </c>
      <c r="G71" s="32">
        <f>0.5*0.001*1.5*8*1.1</f>
        <v>6.6000000000000008E-3</v>
      </c>
      <c r="H71" s="32"/>
      <c r="I71" s="559"/>
      <c r="J71" s="545"/>
      <c r="K71" s="547"/>
    </row>
    <row r="72" spans="1:11" s="8" customFormat="1" x14ac:dyDescent="0.25">
      <c r="A72" s="545"/>
      <c r="B72"/>
      <c r="C72" s="77"/>
      <c r="D72" s="54"/>
      <c r="F72" s="158"/>
      <c r="G72" s="32"/>
      <c r="H72" s="32"/>
      <c r="I72" s="559"/>
      <c r="J72" s="545"/>
      <c r="K72" s="547"/>
    </row>
    <row r="73" spans="1:11" s="8" customFormat="1" x14ac:dyDescent="0.25">
      <c r="A73" s="545"/>
      <c r="B73"/>
      <c r="C73" s="78" t="s">
        <v>5193</v>
      </c>
      <c r="D73" s="54"/>
      <c r="F73" s="158"/>
      <c r="G73" s="32"/>
      <c r="H73" s="32"/>
      <c r="I73" s="559" t="s">
        <v>5192</v>
      </c>
      <c r="J73" s="545"/>
      <c r="K73" s="547"/>
    </row>
    <row r="74" spans="1:11" s="8" customFormat="1" x14ac:dyDescent="0.25">
      <c r="A74" s="545"/>
      <c r="B74"/>
      <c r="C74" s="186" t="s">
        <v>671</v>
      </c>
      <c r="D74" s="54"/>
      <c r="F74" s="158" t="s">
        <v>3</v>
      </c>
      <c r="G74" s="32">
        <v>5.0000000000000001E-3</v>
      </c>
      <c r="H74" s="32"/>
      <c r="I74" s="559"/>
      <c r="J74" s="545"/>
      <c r="K74" s="547"/>
    </row>
    <row r="75" spans="1:11" s="8" customFormat="1" x14ac:dyDescent="0.25">
      <c r="A75" s="545"/>
      <c r="B75"/>
      <c r="C75" s="186" t="s">
        <v>672</v>
      </c>
      <c r="D75" s="54"/>
      <c r="F75" s="158" t="s">
        <v>3</v>
      </c>
      <c r="G75" s="32">
        <f>2.5*G74</f>
        <v>1.2500000000000001E-2</v>
      </c>
      <c r="H75" s="32"/>
      <c r="I75" s="559"/>
      <c r="J75" s="545"/>
      <c r="K75" s="547"/>
    </row>
    <row r="76" spans="1:11" s="8" customFormat="1" x14ac:dyDescent="0.25">
      <c r="A76" s="545"/>
      <c r="B76"/>
      <c r="C76" s="77"/>
      <c r="D76" s="78" t="s">
        <v>5195</v>
      </c>
      <c r="F76" s="158"/>
      <c r="G76" s="32"/>
      <c r="H76" s="32"/>
      <c r="I76" s="559" t="s">
        <v>5194</v>
      </c>
      <c r="J76" s="545"/>
      <c r="K76" s="547"/>
    </row>
    <row r="77" spans="1:11" s="8" customFormat="1" x14ac:dyDescent="0.25">
      <c r="A77" s="545"/>
      <c r="B77"/>
      <c r="C77" s="77"/>
      <c r="D77" s="186" t="s">
        <v>5196</v>
      </c>
      <c r="F77" s="158" t="s">
        <v>3</v>
      </c>
      <c r="G77" s="32">
        <f>0.015*0.003*1*9*1.2</f>
        <v>4.8599999999999994E-4</v>
      </c>
      <c r="H77" s="32"/>
      <c r="I77" s="559"/>
      <c r="J77" s="545"/>
      <c r="K77" s="547"/>
    </row>
    <row r="78" spans="1:11" s="8" customFormat="1" x14ac:dyDescent="0.25">
      <c r="A78" s="545"/>
      <c r="B78"/>
      <c r="C78" s="77"/>
      <c r="D78" s="78" t="s">
        <v>5198</v>
      </c>
      <c r="F78" s="158"/>
      <c r="G78" s="32"/>
      <c r="H78" s="32"/>
      <c r="I78" s="559" t="s">
        <v>5197</v>
      </c>
      <c r="J78" s="545"/>
      <c r="K78" s="547"/>
    </row>
    <row r="79" spans="1:11" s="8" customFormat="1" x14ac:dyDescent="0.25">
      <c r="A79" s="545"/>
      <c r="B79"/>
      <c r="C79" s="77"/>
      <c r="D79" s="186" t="s">
        <v>5199</v>
      </c>
      <c r="F79" s="158" t="s">
        <v>3</v>
      </c>
      <c r="G79" s="32">
        <f>0.99</f>
        <v>0.99</v>
      </c>
      <c r="H79" s="32"/>
      <c r="I79" s="559"/>
      <c r="J79" s="545"/>
      <c r="K79" s="547"/>
    </row>
    <row r="80" spans="1:11" s="8" customFormat="1" x14ac:dyDescent="0.25">
      <c r="A80" s="545"/>
      <c r="B80"/>
      <c r="C80" s="77"/>
      <c r="D80" s="54"/>
      <c r="F80" s="158"/>
      <c r="G80" s="32"/>
      <c r="H80" s="32"/>
      <c r="I80" s="559"/>
      <c r="J80" s="545"/>
      <c r="K80" s="547"/>
    </row>
    <row r="81" spans="1:11" s="8" customFormat="1" x14ac:dyDescent="0.25">
      <c r="A81" s="545"/>
      <c r="B81"/>
      <c r="C81" s="78" t="s">
        <v>5201</v>
      </c>
      <c r="D81" s="54"/>
      <c r="F81" s="158"/>
      <c r="G81" s="32"/>
      <c r="H81" s="32"/>
      <c r="I81" s="559" t="s">
        <v>5200</v>
      </c>
      <c r="J81" s="545"/>
      <c r="K81" s="547"/>
    </row>
    <row r="82" spans="1:11" s="8" customFormat="1" x14ac:dyDescent="0.25">
      <c r="A82" s="545"/>
      <c r="B82"/>
      <c r="C82" s="77" t="s">
        <v>39</v>
      </c>
      <c r="D82" s="54"/>
      <c r="F82" s="158" t="s">
        <v>3</v>
      </c>
      <c r="G82" s="32">
        <f>0.017*3.14*0.08*1.3</f>
        <v>5.5515200000000008E-3</v>
      </c>
      <c r="H82" s="32"/>
      <c r="I82" s="559"/>
      <c r="J82" s="545"/>
      <c r="K82" s="547"/>
    </row>
    <row r="83" spans="1:11" s="8" customFormat="1" ht="17.25" x14ac:dyDescent="0.25">
      <c r="A83" s="545"/>
      <c r="B83"/>
      <c r="C83" s="77" t="s">
        <v>1055</v>
      </c>
      <c r="D83" s="54"/>
      <c r="F83" s="152" t="s">
        <v>596</v>
      </c>
      <c r="G83" s="32">
        <f>G82</f>
        <v>5.5515200000000008E-3</v>
      </c>
      <c r="H83" s="32"/>
      <c r="I83" s="559"/>
      <c r="J83" s="545"/>
      <c r="K83" s="547"/>
    </row>
    <row r="84" spans="1:11" s="8" customFormat="1" x14ac:dyDescent="0.25">
      <c r="A84" s="545"/>
      <c r="B84"/>
      <c r="C84" s="77"/>
      <c r="D84" s="54" t="s">
        <v>5203</v>
      </c>
      <c r="F84" s="158"/>
      <c r="G84" s="32"/>
      <c r="H84" s="32"/>
      <c r="I84" s="559" t="s">
        <v>5202</v>
      </c>
      <c r="J84" s="545"/>
      <c r="K84" s="547"/>
    </row>
    <row r="85" spans="1:11" s="8" customFormat="1" x14ac:dyDescent="0.25">
      <c r="A85" s="545"/>
      <c r="B85"/>
      <c r="C85" s="54"/>
      <c r="D85" s="154" t="s">
        <v>475</v>
      </c>
      <c r="F85" s="128" t="s">
        <v>3</v>
      </c>
      <c r="G85" s="32">
        <v>5.1999999999999998E-2</v>
      </c>
      <c r="H85" s="32"/>
      <c r="I85" s="559"/>
      <c r="J85" s="545"/>
      <c r="K85" s="547"/>
    </row>
    <row r="86" spans="1:11" s="8" customFormat="1" x14ac:dyDescent="0.25">
      <c r="A86" s="545"/>
      <c r="B86"/>
      <c r="C86" s="54"/>
      <c r="D86" s="154"/>
      <c r="F86" s="128"/>
      <c r="G86" s="32"/>
      <c r="H86" s="32"/>
      <c r="I86" s="559"/>
      <c r="J86" s="545"/>
      <c r="K86" s="547"/>
    </row>
    <row r="87" spans="1:11" s="8" customFormat="1" x14ac:dyDescent="0.25">
      <c r="A87" s="545"/>
      <c r="B87"/>
      <c r="C87" s="54" t="s">
        <v>5205</v>
      </c>
      <c r="D87" s="154"/>
      <c r="F87" s="128"/>
      <c r="G87" s="32"/>
      <c r="H87" s="32"/>
      <c r="I87" s="559" t="s">
        <v>5204</v>
      </c>
      <c r="J87" s="545"/>
      <c r="K87" s="547"/>
    </row>
    <row r="88" spans="1:11" s="8" customFormat="1" x14ac:dyDescent="0.25">
      <c r="A88" s="545"/>
      <c r="B88"/>
      <c r="C88" s="154" t="s">
        <v>5206</v>
      </c>
      <c r="D88" s="154"/>
      <c r="F88" s="128" t="s">
        <v>195</v>
      </c>
      <c r="G88" s="32">
        <v>1.6</v>
      </c>
      <c r="H88" s="32"/>
      <c r="I88" s="559"/>
      <c r="J88" s="545"/>
      <c r="K88" s="547"/>
    </row>
    <row r="89" spans="1:11" s="8" customFormat="1" x14ac:dyDescent="0.25">
      <c r="A89" s="545"/>
      <c r="B89"/>
      <c r="C89" s="154" t="s">
        <v>1297</v>
      </c>
      <c r="D89" s="154"/>
      <c r="F89" s="128" t="s">
        <v>3</v>
      </c>
      <c r="G89" s="32">
        <v>4.0000000000000001E-3</v>
      </c>
      <c r="H89" s="32"/>
      <c r="I89" s="559"/>
      <c r="J89" s="545"/>
      <c r="K89" s="547"/>
    </row>
    <row r="90" spans="1:11" s="8" customFormat="1" x14ac:dyDescent="0.25">
      <c r="A90" s="545"/>
      <c r="B90"/>
      <c r="C90" s="154"/>
      <c r="F90" s="158"/>
      <c r="G90" s="32"/>
      <c r="H90" s="32"/>
      <c r="I90" s="559"/>
      <c r="J90" s="545"/>
      <c r="K90" s="547"/>
    </row>
    <row r="91" spans="1:11" s="8" customFormat="1" x14ac:dyDescent="0.25">
      <c r="A91" s="545"/>
      <c r="B91"/>
      <c r="C91" s="54" t="s">
        <v>5208</v>
      </c>
      <c r="F91" s="158"/>
      <c r="G91" s="32"/>
      <c r="H91" s="32"/>
      <c r="I91" s="559" t="s">
        <v>5207</v>
      </c>
      <c r="J91" s="545"/>
      <c r="K91" s="547"/>
    </row>
    <row r="92" spans="1:11" s="8" customFormat="1" x14ac:dyDescent="0.25">
      <c r="A92" s="545"/>
      <c r="B92"/>
      <c r="C92" s="154"/>
      <c r="D92" s="16" t="s">
        <v>5210</v>
      </c>
      <c r="F92" s="158"/>
      <c r="G92" s="32"/>
      <c r="H92" s="32"/>
      <c r="I92" s="559" t="s">
        <v>5209</v>
      </c>
      <c r="J92" s="545"/>
      <c r="K92" s="547"/>
    </row>
    <row r="93" spans="1:11" s="8" customFormat="1" x14ac:dyDescent="0.25">
      <c r="A93" s="545"/>
      <c r="B93"/>
      <c r="C93" s="154"/>
      <c r="D93" s="8" t="s">
        <v>5211</v>
      </c>
      <c r="F93" s="158" t="s">
        <v>195</v>
      </c>
      <c r="G93" s="32">
        <v>0.33</v>
      </c>
      <c r="H93" s="32"/>
      <c r="I93" s="559"/>
      <c r="J93" s="545"/>
      <c r="K93" s="547"/>
    </row>
    <row r="94" spans="1:11" s="8" customFormat="1" x14ac:dyDescent="0.25">
      <c r="A94" s="545"/>
      <c r="B94"/>
      <c r="C94" s="54" t="s">
        <v>5213</v>
      </c>
      <c r="F94" s="158"/>
      <c r="G94" s="32"/>
      <c r="H94" s="32"/>
      <c r="I94" s="559" t="s">
        <v>5212</v>
      </c>
      <c r="J94" s="545"/>
      <c r="K94" s="547"/>
    </row>
    <row r="95" spans="1:11" s="8" customFormat="1" x14ac:dyDescent="0.25">
      <c r="A95" s="545"/>
      <c r="B95"/>
      <c r="C95" s="8" t="s">
        <v>140</v>
      </c>
      <c r="D95" s="54"/>
      <c r="F95" s="158" t="s">
        <v>3</v>
      </c>
      <c r="G95" s="32">
        <v>5.0000000000000001E-3</v>
      </c>
      <c r="H95" s="32"/>
      <c r="I95" s="559"/>
      <c r="J95" s="545"/>
      <c r="K95" s="547"/>
    </row>
    <row r="96" spans="1:11" s="8" customFormat="1" x14ac:dyDescent="0.25">
      <c r="A96" s="545"/>
      <c r="B96"/>
      <c r="C96" s="8" t="s">
        <v>23</v>
      </c>
      <c r="E96" s="54"/>
      <c r="F96" s="158" t="s">
        <v>3</v>
      </c>
      <c r="G96" s="32">
        <f>G95*2</f>
        <v>0.01</v>
      </c>
      <c r="H96" s="32"/>
      <c r="I96" s="559"/>
      <c r="J96" s="545"/>
      <c r="K96" s="547"/>
    </row>
    <row r="97" spans="1:11" s="8" customFormat="1" x14ac:dyDescent="0.25">
      <c r="A97" s="545"/>
      <c r="B97"/>
      <c r="C97" s="8" t="s">
        <v>142</v>
      </c>
      <c r="E97" s="54"/>
      <c r="F97" s="158" t="s">
        <v>3</v>
      </c>
      <c r="G97" s="32">
        <f>G95/4</f>
        <v>1.25E-3</v>
      </c>
      <c r="H97" s="32"/>
      <c r="I97" s="559"/>
      <c r="J97" s="545"/>
      <c r="K97" s="547"/>
    </row>
    <row r="98" spans="1:11" s="8" customFormat="1" x14ac:dyDescent="0.25">
      <c r="A98" s="545"/>
      <c r="B98"/>
      <c r="C98" s="154"/>
      <c r="D98" s="16" t="s">
        <v>5214</v>
      </c>
      <c r="E98" s="54"/>
      <c r="F98" s="158"/>
      <c r="G98" s="32"/>
      <c r="H98" s="32"/>
      <c r="I98" s="559"/>
      <c r="J98" s="545"/>
      <c r="K98" s="547"/>
    </row>
    <row r="99" spans="1:11" s="8" customFormat="1" x14ac:dyDescent="0.25">
      <c r="A99" s="545"/>
      <c r="B99"/>
      <c r="C99" s="154"/>
      <c r="D99" s="8" t="s">
        <v>832</v>
      </c>
      <c r="F99" s="158" t="s">
        <v>3</v>
      </c>
      <c r="G99" s="32">
        <v>9.1999999999999998E-2</v>
      </c>
      <c r="H99" s="32"/>
      <c r="I99" s="559"/>
      <c r="J99" s="545"/>
      <c r="K99" s="547"/>
    </row>
    <row r="100" spans="1:11" s="8" customFormat="1" x14ac:dyDescent="0.25">
      <c r="A100" s="545"/>
      <c r="B100"/>
      <c r="C100" s="154"/>
      <c r="D100" s="54"/>
      <c r="F100" s="158"/>
      <c r="G100" s="32"/>
      <c r="H100" s="32"/>
      <c r="I100" s="559"/>
      <c r="J100" s="545"/>
      <c r="K100" s="547"/>
    </row>
    <row r="101" spans="1:11" s="8" customFormat="1" x14ac:dyDescent="0.25">
      <c r="A101" s="545"/>
      <c r="B101"/>
      <c r="C101" s="54" t="s">
        <v>5216</v>
      </c>
      <c r="D101" s="54"/>
      <c r="F101" s="158"/>
      <c r="G101" s="32"/>
      <c r="H101" s="32"/>
      <c r="I101" s="559" t="s">
        <v>5215</v>
      </c>
      <c r="J101" s="545"/>
      <c r="K101" s="42">
        <v>0.45</v>
      </c>
    </row>
    <row r="102" spans="1:11" s="8" customFormat="1" x14ac:dyDescent="0.25">
      <c r="A102" s="545"/>
      <c r="B102"/>
      <c r="C102" s="154" t="s">
        <v>5217</v>
      </c>
      <c r="D102" s="54"/>
      <c r="F102" s="158" t="s">
        <v>3</v>
      </c>
      <c r="G102" s="10">
        <v>0.12</v>
      </c>
      <c r="H102" s="32"/>
      <c r="I102" s="559"/>
      <c r="J102" s="545"/>
      <c r="K102" s="547"/>
    </row>
    <row r="103" spans="1:11" s="8" customFormat="1" x14ac:dyDescent="0.25">
      <c r="A103" s="545"/>
      <c r="B103"/>
      <c r="C103" t="s">
        <v>671</v>
      </c>
      <c r="D103" s="3"/>
      <c r="E103" s="3"/>
      <c r="F103" s="537" t="s">
        <v>3</v>
      </c>
      <c r="G103" s="10">
        <v>0.03</v>
      </c>
      <c r="H103" s="32"/>
      <c r="I103" s="559"/>
      <c r="J103" s="545"/>
      <c r="K103" s="547"/>
    </row>
    <row r="104" spans="1:11" s="8" customFormat="1" x14ac:dyDescent="0.25">
      <c r="A104" s="545"/>
      <c r="B104"/>
      <c r="C104" t="s">
        <v>672</v>
      </c>
      <c r="D104" s="3"/>
      <c r="E104" s="3"/>
      <c r="F104" s="537" t="s">
        <v>3</v>
      </c>
      <c r="G104" s="10">
        <f>G103*2.5</f>
        <v>7.4999999999999997E-2</v>
      </c>
      <c r="H104" s="32"/>
      <c r="I104" s="559"/>
      <c r="J104" s="545"/>
      <c r="K104" s="547"/>
    </row>
    <row r="105" spans="1:11" s="8" customFormat="1" x14ac:dyDescent="0.25">
      <c r="A105" s="545"/>
      <c r="B105"/>
      <c r="C105" s="154"/>
      <c r="D105" s="54" t="s">
        <v>5218</v>
      </c>
      <c r="F105" s="158"/>
      <c r="G105" s="32"/>
      <c r="H105" s="32"/>
      <c r="I105" s="559"/>
      <c r="J105" s="545"/>
      <c r="K105" s="547"/>
    </row>
    <row r="106" spans="1:11" s="8" customFormat="1" x14ac:dyDescent="0.25">
      <c r="A106" s="545"/>
      <c r="B106"/>
      <c r="C106" s="154"/>
      <c r="D106" s="25" t="s">
        <v>5219</v>
      </c>
      <c r="E106" s="3"/>
      <c r="F106" s="537" t="s">
        <v>3</v>
      </c>
      <c r="G106" s="10">
        <f>0.715*0.35*8*1.12</f>
        <v>2.2422399999999998</v>
      </c>
      <c r="H106" s="32"/>
      <c r="I106" s="559"/>
      <c r="J106" s="545"/>
      <c r="K106" s="547"/>
    </row>
    <row r="107" spans="1:11" s="8" customFormat="1" x14ac:dyDescent="0.25">
      <c r="A107" s="545"/>
      <c r="B107"/>
      <c r="C107" s="154"/>
      <c r="F107" s="158"/>
      <c r="G107" s="32"/>
      <c r="H107" s="32"/>
      <c r="I107" s="559"/>
      <c r="J107" s="545"/>
      <c r="K107" s="547"/>
    </row>
    <row r="108" spans="1:11" s="8" customFormat="1" x14ac:dyDescent="0.25">
      <c r="A108" s="545"/>
      <c r="B108"/>
      <c r="C108" s="8" t="s">
        <v>5221</v>
      </c>
      <c r="F108" s="158"/>
      <c r="G108" s="32"/>
      <c r="H108" s="32"/>
      <c r="I108" s="559" t="s">
        <v>5220</v>
      </c>
      <c r="J108" s="545"/>
      <c r="K108" s="547"/>
    </row>
    <row r="109" spans="1:11" s="8" customFormat="1" x14ac:dyDescent="0.25">
      <c r="A109" s="545"/>
      <c r="B109"/>
      <c r="C109" s="154"/>
      <c r="D109" s="8" t="s">
        <v>5222</v>
      </c>
      <c r="F109" s="158" t="s">
        <v>3</v>
      </c>
      <c r="G109" s="32">
        <f>0.035*0.035*1*8*1.05</f>
        <v>1.0290000000000002E-2</v>
      </c>
      <c r="H109" s="32"/>
      <c r="I109" s="559"/>
      <c r="J109" s="545"/>
      <c r="K109" s="547"/>
    </row>
    <row r="110" spans="1:11" s="8" customFormat="1" x14ac:dyDescent="0.25">
      <c r="A110" s="545"/>
      <c r="B110"/>
      <c r="C110" s="77"/>
      <c r="D110" s="77"/>
      <c r="E110" s="77"/>
      <c r="F110" s="152"/>
      <c r="G110" s="427"/>
      <c r="H110" s="32"/>
      <c r="I110" s="559"/>
      <c r="J110" s="545"/>
      <c r="K110" s="547"/>
    </row>
    <row r="111" spans="1:11" s="8" customFormat="1" x14ac:dyDescent="0.25">
      <c r="A111" s="545"/>
      <c r="B111"/>
      <c r="C111" s="78" t="s">
        <v>5224</v>
      </c>
      <c r="D111" s="77"/>
      <c r="E111" s="77"/>
      <c r="F111" s="152"/>
      <c r="G111" s="427"/>
      <c r="H111" s="32"/>
      <c r="I111" s="559" t="s">
        <v>5223</v>
      </c>
      <c r="J111" s="545"/>
      <c r="K111" s="547"/>
    </row>
    <row r="112" spans="1:11" s="8" customFormat="1" x14ac:dyDescent="0.25">
      <c r="A112" s="545"/>
      <c r="B112"/>
      <c r="C112" s="77"/>
      <c r="D112" s="78" t="s">
        <v>5226</v>
      </c>
      <c r="E112" s="77"/>
      <c r="F112" s="152"/>
      <c r="G112" s="427"/>
      <c r="H112" s="32"/>
      <c r="I112" s="559" t="s">
        <v>5225</v>
      </c>
      <c r="J112" s="545"/>
      <c r="K112" s="547"/>
    </row>
    <row r="113" spans="1:11" s="8" customFormat="1" x14ac:dyDescent="0.25">
      <c r="A113" s="545"/>
      <c r="B113"/>
      <c r="C113" s="77"/>
      <c r="D113" s="8" t="s">
        <v>5211</v>
      </c>
      <c r="E113" s="77"/>
      <c r="F113" s="152" t="s">
        <v>195</v>
      </c>
      <c r="G113" s="427">
        <v>0.75</v>
      </c>
      <c r="H113" s="32"/>
      <c r="I113" s="559"/>
      <c r="J113" s="545"/>
      <c r="K113" s="547"/>
    </row>
    <row r="114" spans="1:11" s="8" customFormat="1" x14ac:dyDescent="0.25">
      <c r="A114" s="545"/>
      <c r="B114"/>
      <c r="C114" s="77"/>
      <c r="E114" s="77"/>
      <c r="F114" s="152"/>
      <c r="G114" s="427"/>
      <c r="H114" s="32"/>
      <c r="I114" s="559"/>
      <c r="J114" s="545"/>
      <c r="K114" s="547"/>
    </row>
    <row r="115" spans="1:11" s="8" customFormat="1" x14ac:dyDescent="0.25">
      <c r="A115" s="545"/>
      <c r="B115"/>
      <c r="C115" s="77" t="s">
        <v>5228</v>
      </c>
      <c r="D115" s="77"/>
      <c r="E115" s="77"/>
      <c r="F115" s="152" t="s">
        <v>195</v>
      </c>
      <c r="G115" s="427">
        <v>0.8</v>
      </c>
      <c r="H115" s="32"/>
      <c r="I115" s="559" t="s">
        <v>5227</v>
      </c>
      <c r="J115" s="545"/>
      <c r="K115" s="547"/>
    </row>
    <row r="116" spans="1:11" s="8" customFormat="1" x14ac:dyDescent="0.25">
      <c r="A116" s="545"/>
      <c r="B116"/>
      <c r="C116" s="54"/>
      <c r="D116" s="16"/>
      <c r="F116" s="128"/>
      <c r="G116" s="32"/>
      <c r="H116" s="32"/>
      <c r="I116" s="559"/>
      <c r="J116" s="545"/>
      <c r="K116" s="547"/>
    </row>
    <row r="117" spans="1:11" s="8" customFormat="1" x14ac:dyDescent="0.25">
      <c r="A117" s="545"/>
      <c r="B117"/>
      <c r="C117" s="54" t="s">
        <v>5230</v>
      </c>
      <c r="F117" s="128"/>
      <c r="G117" s="32"/>
      <c r="H117" s="32"/>
      <c r="I117" s="559" t="s">
        <v>5229</v>
      </c>
      <c r="J117" s="545"/>
      <c r="K117" s="547"/>
    </row>
    <row r="118" spans="1:11" s="8" customFormat="1" x14ac:dyDescent="0.25">
      <c r="A118" s="545"/>
      <c r="B118"/>
      <c r="C118" s="77" t="s">
        <v>39</v>
      </c>
      <c r="F118" s="158" t="s">
        <v>3</v>
      </c>
      <c r="G118" s="32">
        <f>0.4*0.08*0.3</f>
        <v>9.5999999999999992E-3</v>
      </c>
      <c r="H118" s="32"/>
      <c r="I118" s="559"/>
      <c r="J118" s="545"/>
      <c r="K118" s="547"/>
    </row>
    <row r="119" spans="1:11" s="8" customFormat="1" ht="17.25" x14ac:dyDescent="0.25">
      <c r="A119" s="545"/>
      <c r="B119"/>
      <c r="C119" s="77" t="s">
        <v>1055</v>
      </c>
      <c r="F119" s="152" t="s">
        <v>596</v>
      </c>
      <c r="G119" s="32">
        <f>G118</f>
        <v>9.5999999999999992E-3</v>
      </c>
      <c r="H119" s="32"/>
      <c r="I119" s="559"/>
      <c r="J119" s="545"/>
      <c r="K119" s="547"/>
    </row>
    <row r="120" spans="1:11" s="8" customFormat="1" x14ac:dyDescent="0.25">
      <c r="A120" s="545"/>
      <c r="B120"/>
      <c r="C120" s="154" t="s">
        <v>8</v>
      </c>
      <c r="F120" s="158" t="s">
        <v>3</v>
      </c>
      <c r="G120" s="32">
        <v>0.04</v>
      </c>
      <c r="H120" s="32"/>
      <c r="I120" s="559"/>
      <c r="J120" s="545"/>
      <c r="K120" s="547"/>
    </row>
    <row r="121" spans="1:11" s="8" customFormat="1" x14ac:dyDescent="0.25">
      <c r="A121" s="545"/>
      <c r="B121"/>
      <c r="C121" s="154" t="s">
        <v>375</v>
      </c>
      <c r="F121" s="158" t="s">
        <v>3</v>
      </c>
      <c r="G121" s="32">
        <f>0.112*3.14*0.15*2*0.15*2*1.3+0.009</f>
        <v>5.0146560000000007E-2</v>
      </c>
      <c r="H121" s="32"/>
      <c r="I121" s="559"/>
      <c r="J121" s="545"/>
      <c r="K121" s="547"/>
    </row>
    <row r="122" spans="1:11" s="8" customFormat="1" x14ac:dyDescent="0.25">
      <c r="A122" s="545"/>
      <c r="B122"/>
      <c r="C122" s="154" t="s">
        <v>12</v>
      </c>
      <c r="F122" s="158" t="s">
        <v>3</v>
      </c>
      <c r="G122" s="32">
        <f>0.3*(G121+G120)</f>
        <v>2.7043968000000005E-2</v>
      </c>
      <c r="H122" s="32"/>
      <c r="I122" s="559"/>
      <c r="J122" s="545"/>
      <c r="K122" s="547"/>
    </row>
    <row r="123" spans="1:11" s="8" customFormat="1" x14ac:dyDescent="0.25">
      <c r="A123" s="545"/>
      <c r="B123"/>
      <c r="C123" s="154"/>
      <c r="D123" s="54" t="s">
        <v>5232</v>
      </c>
      <c r="F123" s="158"/>
      <c r="G123" s="32"/>
      <c r="H123" s="32"/>
      <c r="I123" s="559" t="s">
        <v>5231</v>
      </c>
      <c r="J123" s="545"/>
      <c r="K123" s="547"/>
    </row>
    <row r="124" spans="1:11" s="8" customFormat="1" x14ac:dyDescent="0.25">
      <c r="A124" s="545"/>
      <c r="B124"/>
      <c r="C124" s="154"/>
      <c r="D124" s="154" t="s">
        <v>731</v>
      </c>
      <c r="F124" s="158" t="s">
        <v>3</v>
      </c>
      <c r="G124" s="32">
        <v>2E-3</v>
      </c>
      <c r="H124" s="32"/>
      <c r="I124" s="559"/>
      <c r="J124" s="545"/>
      <c r="K124" s="547"/>
    </row>
    <row r="125" spans="1:11" s="8" customFormat="1" x14ac:dyDescent="0.25">
      <c r="A125" s="545"/>
      <c r="B125"/>
      <c r="C125" s="154"/>
      <c r="E125" s="54" t="s">
        <v>5234</v>
      </c>
      <c r="F125" s="158"/>
      <c r="G125" s="32"/>
      <c r="H125" s="32"/>
      <c r="I125" s="559" t="s">
        <v>5233</v>
      </c>
      <c r="J125" s="545"/>
      <c r="K125" s="547"/>
    </row>
    <row r="126" spans="1:11" s="8" customFormat="1" x14ac:dyDescent="0.25">
      <c r="A126" s="545"/>
      <c r="B126"/>
      <c r="C126" s="154"/>
      <c r="E126" s="154" t="s">
        <v>300</v>
      </c>
      <c r="F126" s="158" t="s">
        <v>3</v>
      </c>
      <c r="G126" s="32">
        <f>0.1*0.045*3*8*1.12</f>
        <v>0.12096</v>
      </c>
      <c r="H126" s="32"/>
      <c r="I126" s="559"/>
      <c r="J126" s="545"/>
      <c r="K126" s="547"/>
    </row>
    <row r="127" spans="1:11" s="8" customFormat="1" x14ac:dyDescent="0.25">
      <c r="A127" s="545"/>
      <c r="B127"/>
      <c r="C127" s="154"/>
      <c r="D127" s="54" t="s">
        <v>5236</v>
      </c>
      <c r="F127" s="158"/>
      <c r="G127" s="32"/>
      <c r="H127" s="32"/>
      <c r="I127" s="559" t="s">
        <v>5235</v>
      </c>
      <c r="J127" s="545"/>
      <c r="K127" s="547"/>
    </row>
    <row r="128" spans="1:11" s="8" customFormat="1" x14ac:dyDescent="0.25">
      <c r="A128" s="545"/>
      <c r="B128"/>
      <c r="C128" s="154"/>
      <c r="D128" s="154" t="s">
        <v>731</v>
      </c>
      <c r="F128" s="158" t="s">
        <v>3</v>
      </c>
      <c r="G128" s="32">
        <f>0.003</f>
        <v>3.0000000000000001E-3</v>
      </c>
      <c r="H128" s="32"/>
      <c r="I128" s="559"/>
      <c r="J128" s="545"/>
      <c r="K128" s="547"/>
    </row>
    <row r="129" spans="1:11" s="8" customFormat="1" x14ac:dyDescent="0.25">
      <c r="A129" s="545"/>
      <c r="B129"/>
      <c r="C129" s="77"/>
      <c r="E129" s="54" t="s">
        <v>5238</v>
      </c>
      <c r="F129" s="158"/>
      <c r="G129" s="32"/>
      <c r="H129" s="32"/>
      <c r="I129" s="559" t="s">
        <v>5237</v>
      </c>
      <c r="J129" s="545"/>
      <c r="K129" s="547"/>
    </row>
    <row r="130" spans="1:11" s="8" customFormat="1" x14ac:dyDescent="0.25">
      <c r="A130" s="545"/>
      <c r="B130"/>
      <c r="C130" s="77"/>
      <c r="E130" s="154" t="s">
        <v>300</v>
      </c>
      <c r="F130" s="158" t="s">
        <v>3</v>
      </c>
      <c r="G130" s="32">
        <f>0.15*0.045*3*8*1.11</f>
        <v>0.17982000000000004</v>
      </c>
      <c r="H130" s="32"/>
      <c r="I130" s="559"/>
      <c r="J130" s="545"/>
      <c r="K130" s="547"/>
    </row>
    <row r="131" spans="1:11" s="8" customFormat="1" x14ac:dyDescent="0.25">
      <c r="A131" s="545"/>
      <c r="B131"/>
      <c r="C131" s="77"/>
      <c r="D131" s="54" t="s">
        <v>5240</v>
      </c>
      <c r="F131" s="158"/>
      <c r="G131" s="32"/>
      <c r="H131" s="32"/>
      <c r="I131" s="559" t="s">
        <v>5239</v>
      </c>
      <c r="J131" s="545"/>
      <c r="K131" s="547"/>
    </row>
    <row r="132" spans="1:11" s="8" customFormat="1" x14ac:dyDescent="0.25">
      <c r="A132" s="545"/>
      <c r="B132"/>
      <c r="C132" s="77"/>
      <c r="D132" s="154" t="s">
        <v>300</v>
      </c>
      <c r="F132" s="158" t="s">
        <v>3</v>
      </c>
      <c r="G132" s="32">
        <f>0.11*0.04*3*8*1.15</f>
        <v>0.12143999999999999</v>
      </c>
      <c r="H132" s="32"/>
      <c r="I132" s="559"/>
      <c r="J132" s="545"/>
      <c r="K132" s="547"/>
    </row>
    <row r="133" spans="1:11" s="8" customFormat="1" x14ac:dyDescent="0.25">
      <c r="A133" s="545"/>
      <c r="B133"/>
      <c r="C133" s="77"/>
      <c r="D133" s="54" t="s">
        <v>5242</v>
      </c>
      <c r="F133" s="158"/>
      <c r="G133" s="32"/>
      <c r="H133" s="32"/>
      <c r="I133" s="559" t="s">
        <v>5241</v>
      </c>
      <c r="J133" s="545"/>
      <c r="K133" s="547"/>
    </row>
    <row r="134" spans="1:11" s="8" customFormat="1" x14ac:dyDescent="0.25">
      <c r="A134" s="545"/>
      <c r="B134"/>
      <c r="C134" s="77"/>
      <c r="D134" s="154" t="s">
        <v>275</v>
      </c>
      <c r="F134" s="158" t="s">
        <v>3</v>
      </c>
      <c r="G134" s="32">
        <f>0.18*0.18*1.5*8*1.105</f>
        <v>0.42962399999999995</v>
      </c>
      <c r="H134" s="32"/>
      <c r="I134" s="559"/>
      <c r="J134" s="545"/>
      <c r="K134" s="547"/>
    </row>
    <row r="135" spans="1:11" s="8" customFormat="1" x14ac:dyDescent="0.25">
      <c r="A135" s="545"/>
      <c r="B135"/>
      <c r="C135" s="77"/>
      <c r="D135" s="54" t="s">
        <v>5244</v>
      </c>
      <c r="F135" s="158"/>
      <c r="G135" s="32"/>
      <c r="H135" s="32"/>
      <c r="I135" s="559" t="s">
        <v>5243</v>
      </c>
      <c r="J135" s="545"/>
      <c r="K135" s="547"/>
    </row>
    <row r="136" spans="1:11" s="8" customFormat="1" x14ac:dyDescent="0.25">
      <c r="A136" s="545"/>
      <c r="B136"/>
      <c r="C136" s="77"/>
      <c r="D136" s="154" t="s">
        <v>275</v>
      </c>
      <c r="F136" s="158" t="s">
        <v>3</v>
      </c>
      <c r="G136" s="32">
        <f>0.114*3.14*0.15*1.5*8*1.1</f>
        <v>0.70876080000000008</v>
      </c>
      <c r="H136" s="32"/>
      <c r="I136" s="559"/>
      <c r="J136" s="545"/>
      <c r="K136" s="547"/>
    </row>
    <row r="137" spans="1:11" s="8" customFormat="1" x14ac:dyDescent="0.25">
      <c r="A137" s="545"/>
      <c r="B137"/>
      <c r="C137" s="77"/>
      <c r="D137" s="77" t="s">
        <v>39</v>
      </c>
      <c r="F137" s="158" t="s">
        <v>3</v>
      </c>
      <c r="G137" s="32">
        <f>0.15*0.05*1.3</f>
        <v>9.75E-3</v>
      </c>
      <c r="H137" s="32"/>
      <c r="I137" s="559"/>
      <c r="J137" s="545"/>
      <c r="K137" s="547"/>
    </row>
    <row r="138" spans="1:11" s="8" customFormat="1" ht="17.25" x14ac:dyDescent="0.25">
      <c r="A138" s="545"/>
      <c r="B138"/>
      <c r="C138" s="77"/>
      <c r="D138" s="77" t="s">
        <v>1055</v>
      </c>
      <c r="F138" s="152" t="s">
        <v>596</v>
      </c>
      <c r="G138" s="32">
        <f>G137</f>
        <v>9.75E-3</v>
      </c>
      <c r="H138" s="32"/>
      <c r="I138" s="559"/>
      <c r="J138" s="545"/>
      <c r="K138" s="547"/>
    </row>
    <row r="139" spans="1:11" s="8" customFormat="1" x14ac:dyDescent="0.25">
      <c r="A139" s="545"/>
      <c r="B139"/>
      <c r="C139" s="77"/>
      <c r="D139" s="54" t="s">
        <v>5246</v>
      </c>
      <c r="F139" s="158"/>
      <c r="G139" s="32"/>
      <c r="H139" s="32"/>
      <c r="I139" s="559" t="s">
        <v>5245</v>
      </c>
      <c r="J139" s="545"/>
      <c r="K139" s="547"/>
    </row>
    <row r="140" spans="1:11" s="8" customFormat="1" x14ac:dyDescent="0.25">
      <c r="A140" s="545"/>
      <c r="B140"/>
      <c r="C140" s="77"/>
      <c r="D140" s="8" t="s">
        <v>847</v>
      </c>
      <c r="F140" s="158" t="s">
        <v>3</v>
      </c>
      <c r="G140" s="32">
        <f>0.07*0.065*3*8*1.1</f>
        <v>0.12012000000000002</v>
      </c>
      <c r="H140" s="32"/>
      <c r="I140" s="559"/>
      <c r="J140" s="545"/>
      <c r="K140" s="547"/>
    </row>
    <row r="141" spans="1:11" s="8" customFormat="1" x14ac:dyDescent="0.25">
      <c r="A141" s="545"/>
      <c r="B141"/>
      <c r="D141" s="54" t="s">
        <v>5248</v>
      </c>
      <c r="F141" s="128"/>
      <c r="G141" s="32"/>
      <c r="H141" s="32"/>
      <c r="I141" s="559" t="s">
        <v>5247</v>
      </c>
      <c r="J141" s="545"/>
      <c r="K141" s="547"/>
    </row>
    <row r="142" spans="1:11" s="8" customFormat="1" x14ac:dyDescent="0.25">
      <c r="A142" s="545"/>
      <c r="B142"/>
      <c r="D142" s="8" t="s">
        <v>847</v>
      </c>
      <c r="F142" s="128" t="s">
        <v>3</v>
      </c>
      <c r="G142" s="32">
        <f>0.075*0.025*4*8*1.09</f>
        <v>6.54E-2</v>
      </c>
      <c r="H142" s="32"/>
      <c r="I142" s="559"/>
      <c r="J142" s="545"/>
      <c r="K142" s="547"/>
    </row>
    <row r="143" spans="1:11" s="8" customFormat="1" x14ac:dyDescent="0.25">
      <c r="A143" s="545"/>
      <c r="B143"/>
      <c r="C143" s="77"/>
      <c r="F143" s="158"/>
      <c r="G143" s="32"/>
      <c r="H143" s="32"/>
      <c r="I143" s="559"/>
      <c r="J143" s="545"/>
      <c r="K143" s="547"/>
    </row>
    <row r="144" spans="1:11" s="8" customFormat="1" x14ac:dyDescent="0.25">
      <c r="A144" s="545"/>
      <c r="B144"/>
      <c r="C144" s="78" t="s">
        <v>5250</v>
      </c>
      <c r="F144" s="158"/>
      <c r="G144" s="32"/>
      <c r="H144" s="32"/>
      <c r="I144" s="559" t="s">
        <v>5249</v>
      </c>
      <c r="J144" s="545"/>
      <c r="K144" s="547"/>
    </row>
    <row r="145" spans="1:11" s="8" customFormat="1" x14ac:dyDescent="0.25">
      <c r="A145" s="545"/>
      <c r="B145"/>
      <c r="C145" s="77"/>
      <c r="D145" s="78" t="s">
        <v>5252</v>
      </c>
      <c r="F145" s="158"/>
      <c r="G145" s="32"/>
      <c r="H145" s="32"/>
      <c r="I145" s="559" t="s">
        <v>5251</v>
      </c>
      <c r="J145" s="545"/>
      <c r="K145" s="547"/>
    </row>
    <row r="146" spans="1:11" s="8" customFormat="1" x14ac:dyDescent="0.25">
      <c r="A146" s="545"/>
      <c r="B146"/>
      <c r="C146" s="77"/>
      <c r="D146" s="8" t="s">
        <v>8</v>
      </c>
      <c r="F146" s="128" t="s">
        <v>3</v>
      </c>
      <c r="G146" s="32">
        <f>(0.275*0.265+0.125*0.075*2)*2*0.1*2*1.45</f>
        <v>5.3142500000000009E-2</v>
      </c>
      <c r="H146" s="32"/>
      <c r="I146" s="559"/>
      <c r="J146" s="545"/>
      <c r="K146" s="547"/>
    </row>
    <row r="147" spans="1:11" s="8" customFormat="1" x14ac:dyDescent="0.25">
      <c r="A147" s="545"/>
      <c r="B147"/>
      <c r="C147" s="77"/>
      <c r="D147" s="8" t="s">
        <v>12</v>
      </c>
      <c r="F147" s="128" t="s">
        <v>3</v>
      </c>
      <c r="G147" s="32">
        <f>0.3*G146</f>
        <v>1.5942750000000002E-2</v>
      </c>
      <c r="H147" s="32"/>
      <c r="I147" s="559"/>
      <c r="J147" s="545"/>
      <c r="K147" s="547"/>
    </row>
    <row r="148" spans="1:11" s="8" customFormat="1" x14ac:dyDescent="0.25">
      <c r="A148" s="545"/>
      <c r="B148"/>
      <c r="C148" s="77"/>
      <c r="D148" s="8" t="s">
        <v>72</v>
      </c>
      <c r="F148" s="128" t="s">
        <v>3</v>
      </c>
      <c r="G148" s="32">
        <f>(0.275*0.265+0.125*0.075*2)*2*0.15*2*1.39</f>
        <v>7.6415250000000004E-2</v>
      </c>
      <c r="H148" s="32"/>
      <c r="I148" s="559"/>
      <c r="J148" s="545"/>
      <c r="K148" s="547"/>
    </row>
    <row r="149" spans="1:11" s="8" customFormat="1" x14ac:dyDescent="0.25">
      <c r="A149" s="545"/>
      <c r="B149"/>
      <c r="C149" s="77"/>
      <c r="D149" s="8" t="s">
        <v>11</v>
      </c>
      <c r="F149" s="128" t="s">
        <v>3</v>
      </c>
      <c r="G149" s="32">
        <f>0.3*G148</f>
        <v>2.2924574999999999E-2</v>
      </c>
      <c r="H149" s="32"/>
      <c r="I149" s="559"/>
      <c r="J149" s="545"/>
      <c r="K149" s="547"/>
    </row>
    <row r="150" spans="1:11" s="8" customFormat="1" x14ac:dyDescent="0.25">
      <c r="A150" s="545"/>
      <c r="B150"/>
      <c r="C150" s="77"/>
      <c r="D150" s="8" t="s">
        <v>2749</v>
      </c>
      <c r="F150" s="128" t="s">
        <v>3</v>
      </c>
      <c r="G150" s="32">
        <v>0.1</v>
      </c>
      <c r="H150" s="32"/>
      <c r="I150" s="559"/>
      <c r="J150" s="545"/>
      <c r="K150" s="547"/>
    </row>
    <row r="151" spans="1:11" s="8" customFormat="1" x14ac:dyDescent="0.25">
      <c r="A151" s="545"/>
      <c r="B151"/>
      <c r="C151" s="77"/>
      <c r="E151" s="54" t="s">
        <v>5254</v>
      </c>
      <c r="F151" s="158"/>
      <c r="G151" s="32"/>
      <c r="H151" s="32"/>
      <c r="I151" s="559" t="s">
        <v>5253</v>
      </c>
      <c r="J151" s="545"/>
      <c r="K151" s="547"/>
    </row>
    <row r="152" spans="1:11" s="8" customFormat="1" x14ac:dyDescent="0.25">
      <c r="A152" s="545"/>
      <c r="B152"/>
      <c r="C152" s="77"/>
      <c r="E152" s="154" t="s">
        <v>37</v>
      </c>
      <c r="F152" s="158" t="s">
        <v>3</v>
      </c>
      <c r="G152" s="32">
        <f>0.24*0.12*0.2*1.39</f>
        <v>8.0064000000000003E-3</v>
      </c>
      <c r="H152" s="32"/>
      <c r="I152" s="559"/>
      <c r="J152" s="545"/>
      <c r="K152" s="547"/>
    </row>
    <row r="153" spans="1:11" s="8" customFormat="1" x14ac:dyDescent="0.25">
      <c r="A153" s="545"/>
      <c r="B153"/>
      <c r="C153" s="77"/>
      <c r="E153" s="8" t="s">
        <v>8</v>
      </c>
      <c r="F153" s="128" t="s">
        <v>3</v>
      </c>
      <c r="G153" s="32">
        <v>2.1999999999999999E-2</v>
      </c>
      <c r="H153" s="32"/>
      <c r="I153" s="559"/>
      <c r="J153" s="545"/>
      <c r="K153" s="547"/>
    </row>
    <row r="154" spans="1:11" s="8" customFormat="1" x14ac:dyDescent="0.25">
      <c r="A154" s="545"/>
      <c r="B154"/>
      <c r="C154" s="77"/>
      <c r="E154" s="8" t="s">
        <v>12</v>
      </c>
      <c r="F154" s="128" t="s">
        <v>3</v>
      </c>
      <c r="G154" s="32">
        <f>0.3*G153</f>
        <v>6.5999999999999991E-3</v>
      </c>
      <c r="H154" s="32"/>
      <c r="I154" s="559"/>
      <c r="J154" s="545"/>
      <c r="K154" s="547"/>
    </row>
    <row r="155" spans="1:11" s="8" customFormat="1" x14ac:dyDescent="0.25">
      <c r="A155" s="545"/>
      <c r="B155"/>
      <c r="C155" s="77"/>
      <c r="E155" s="8" t="s">
        <v>72</v>
      </c>
      <c r="F155" s="128" t="s">
        <v>3</v>
      </c>
      <c r="G155" s="32">
        <f>0.26*0.13*2*0.15*2*1.39</f>
        <v>2.8189200000000001E-2</v>
      </c>
      <c r="H155" s="32"/>
      <c r="I155" s="559"/>
      <c r="J155" s="545"/>
      <c r="K155" s="547"/>
    </row>
    <row r="156" spans="1:11" s="8" customFormat="1" x14ac:dyDescent="0.25">
      <c r="A156" s="545"/>
      <c r="B156"/>
      <c r="C156" s="77"/>
      <c r="E156" s="8" t="s">
        <v>11</v>
      </c>
      <c r="F156" s="128" t="s">
        <v>3</v>
      </c>
      <c r="G156" s="32">
        <f>0.3*G155</f>
        <v>8.4567600000000007E-3</v>
      </c>
      <c r="H156" s="32"/>
      <c r="I156" s="559"/>
      <c r="J156" s="545"/>
      <c r="K156" s="547"/>
    </row>
    <row r="157" spans="1:11" s="8" customFormat="1" x14ac:dyDescent="0.25">
      <c r="A157" s="545"/>
      <c r="B157"/>
      <c r="C157" s="77"/>
      <c r="E157" s="8" t="s">
        <v>2749</v>
      </c>
      <c r="F157" s="128" t="s">
        <v>3</v>
      </c>
      <c r="G157" s="32">
        <v>0.05</v>
      </c>
      <c r="H157" s="32"/>
      <c r="I157" s="559"/>
      <c r="J157" s="545"/>
      <c r="K157" s="547"/>
    </row>
    <row r="158" spans="1:11" s="8" customFormat="1" x14ac:dyDescent="0.25">
      <c r="A158" s="545"/>
      <c r="B158"/>
      <c r="C158" s="77"/>
      <c r="E158" s="54" t="s">
        <v>5256</v>
      </c>
      <c r="F158" s="158"/>
      <c r="G158" s="32"/>
      <c r="H158" s="32"/>
      <c r="I158" s="559" t="s">
        <v>5255</v>
      </c>
      <c r="J158" s="545"/>
      <c r="K158" s="547"/>
    </row>
    <row r="159" spans="1:11" s="8" customFormat="1" x14ac:dyDescent="0.25">
      <c r="A159" s="545"/>
      <c r="B159"/>
      <c r="C159" s="77"/>
      <c r="E159" s="8" t="s">
        <v>5257</v>
      </c>
      <c r="F159" s="158" t="s">
        <v>3</v>
      </c>
      <c r="G159" s="32">
        <f>0.16*0.07*1*8*1.12</f>
        <v>0.10035200000000002</v>
      </c>
      <c r="H159" s="32"/>
      <c r="I159" s="559"/>
      <c r="J159" s="545"/>
      <c r="K159" s="547"/>
    </row>
    <row r="160" spans="1:11" s="8" customFormat="1" x14ac:dyDescent="0.25">
      <c r="A160" s="545"/>
      <c r="B160"/>
      <c r="C160" s="77"/>
      <c r="F160" s="158"/>
      <c r="G160" s="32"/>
      <c r="H160" s="32"/>
      <c r="I160" s="559"/>
      <c r="J160" s="545"/>
      <c r="K160" s="547"/>
    </row>
    <row r="161" spans="1:11" s="8" customFormat="1" x14ac:dyDescent="0.25">
      <c r="A161" s="545"/>
      <c r="B161"/>
      <c r="C161" s="54" t="s">
        <v>5259</v>
      </c>
      <c r="D161" s="16"/>
      <c r="F161" s="128"/>
      <c r="G161" s="32"/>
      <c r="H161" s="32"/>
      <c r="I161" s="559" t="s">
        <v>5258</v>
      </c>
      <c r="J161" s="545"/>
      <c r="K161" s="547"/>
    </row>
    <row r="162" spans="1:11" s="8" customFormat="1" x14ac:dyDescent="0.25">
      <c r="A162" s="545"/>
      <c r="B162"/>
      <c r="C162" s="154" t="s">
        <v>8</v>
      </c>
      <c r="D162" s="16"/>
      <c r="F162" s="158" t="s">
        <v>3</v>
      </c>
      <c r="G162" s="32">
        <v>0.12</v>
      </c>
      <c r="H162" s="32"/>
      <c r="I162" s="559"/>
      <c r="J162" s="545"/>
      <c r="K162" s="547"/>
    </row>
    <row r="163" spans="1:11" s="8" customFormat="1" x14ac:dyDescent="0.25">
      <c r="A163" s="545"/>
      <c r="B163"/>
      <c r="C163" s="154" t="s">
        <v>12</v>
      </c>
      <c r="D163" s="16"/>
      <c r="F163" s="158" t="s">
        <v>3</v>
      </c>
      <c r="G163" s="32">
        <f>0.3*G162</f>
        <v>3.5999999999999997E-2</v>
      </c>
      <c r="H163" s="32"/>
      <c r="I163" s="559"/>
      <c r="J163" s="545"/>
      <c r="K163" s="547"/>
    </row>
    <row r="164" spans="1:11" s="8" customFormat="1" x14ac:dyDescent="0.25">
      <c r="A164" s="545"/>
      <c r="B164"/>
      <c r="C164" s="8" t="s">
        <v>72</v>
      </c>
      <c r="D164" s="16"/>
      <c r="F164" s="158" t="s">
        <v>3</v>
      </c>
      <c r="G164" s="32">
        <f>(0.4*0.17*4+0.06*1.05)*0.15*2*1.3</f>
        <v>0.13065000000000002</v>
      </c>
      <c r="H164" s="32"/>
      <c r="I164" s="559"/>
      <c r="J164" s="545"/>
      <c r="K164" s="547"/>
    </row>
    <row r="165" spans="1:11" s="8" customFormat="1" x14ac:dyDescent="0.25">
      <c r="A165" s="545"/>
      <c r="B165"/>
      <c r="C165" s="8" t="s">
        <v>11</v>
      </c>
      <c r="D165" s="16"/>
      <c r="F165" s="158" t="s">
        <v>3</v>
      </c>
      <c r="G165" s="32">
        <f>0.3*G164</f>
        <v>3.9195000000000001E-2</v>
      </c>
      <c r="H165" s="32"/>
      <c r="I165" s="559"/>
      <c r="J165" s="545"/>
      <c r="K165" s="547"/>
    </row>
    <row r="166" spans="1:11" s="8" customFormat="1" x14ac:dyDescent="0.25">
      <c r="A166" s="545"/>
      <c r="B166"/>
      <c r="C166" s="8" t="s">
        <v>13</v>
      </c>
      <c r="D166" s="16"/>
      <c r="F166" s="158" t="s">
        <v>3</v>
      </c>
      <c r="G166" s="32">
        <v>0.1</v>
      </c>
      <c r="H166" s="32"/>
      <c r="I166" s="559"/>
      <c r="J166" s="545"/>
      <c r="K166" s="547"/>
    </row>
    <row r="167" spans="1:11" s="8" customFormat="1" x14ac:dyDescent="0.25">
      <c r="A167" s="545"/>
      <c r="B167"/>
      <c r="D167" s="54" t="s">
        <v>5261</v>
      </c>
      <c r="F167" s="158"/>
      <c r="G167" s="32"/>
      <c r="H167" s="32"/>
      <c r="I167" s="559" t="s">
        <v>5260</v>
      </c>
      <c r="J167" s="545"/>
      <c r="K167" s="547"/>
    </row>
    <row r="168" spans="1:11" s="8" customFormat="1" x14ac:dyDescent="0.25">
      <c r="A168" s="545"/>
      <c r="B168"/>
      <c r="D168" s="77" t="s">
        <v>39</v>
      </c>
      <c r="F168" s="158" t="s">
        <v>3</v>
      </c>
      <c r="G168" s="32">
        <f>0.3*0.07*1.3</f>
        <v>2.7300000000000001E-2</v>
      </c>
      <c r="H168" s="32"/>
      <c r="I168" s="559"/>
      <c r="J168" s="545"/>
      <c r="K168" s="547"/>
    </row>
    <row r="169" spans="1:11" s="8" customFormat="1" ht="17.25" x14ac:dyDescent="0.25">
      <c r="A169" s="545"/>
      <c r="B169"/>
      <c r="D169" s="77" t="s">
        <v>1055</v>
      </c>
      <c r="F169" s="152" t="s">
        <v>596</v>
      </c>
      <c r="G169" s="32">
        <f>G168</f>
        <v>2.7300000000000001E-2</v>
      </c>
      <c r="H169" s="32"/>
      <c r="I169" s="559"/>
      <c r="J169" s="545"/>
      <c r="K169" s="547"/>
    </row>
    <row r="170" spans="1:11" s="8" customFormat="1" x14ac:dyDescent="0.25">
      <c r="A170" s="545"/>
      <c r="B170"/>
      <c r="E170" s="54" t="s">
        <v>5263</v>
      </c>
      <c r="F170" s="128"/>
      <c r="G170" s="32"/>
      <c r="H170" s="32"/>
      <c r="I170" s="559" t="s">
        <v>5262</v>
      </c>
      <c r="J170" s="545"/>
      <c r="K170" s="547"/>
    </row>
    <row r="171" spans="1:11" s="8" customFormat="1" x14ac:dyDescent="0.25">
      <c r="A171" s="545"/>
      <c r="B171"/>
      <c r="E171" s="154" t="s">
        <v>177</v>
      </c>
      <c r="F171" s="128" t="s">
        <v>3</v>
      </c>
      <c r="G171" s="32">
        <f>0.43*0.21*1*8*1.1</f>
        <v>0.79464000000000001</v>
      </c>
      <c r="H171" s="32"/>
      <c r="I171" s="559"/>
      <c r="J171" s="545"/>
      <c r="K171" s="547"/>
    </row>
    <row r="172" spans="1:11" s="8" customFormat="1" x14ac:dyDescent="0.25">
      <c r="A172" s="554"/>
      <c r="B172"/>
      <c r="C172" s="54"/>
      <c r="E172" s="54" t="s">
        <v>5265</v>
      </c>
      <c r="F172" s="128"/>
      <c r="G172" s="32"/>
      <c r="H172" s="32"/>
      <c r="I172" s="560" t="s">
        <v>5264</v>
      </c>
      <c r="J172" s="545"/>
      <c r="K172" s="547"/>
    </row>
    <row r="173" spans="1:11" s="8" customFormat="1" x14ac:dyDescent="0.25">
      <c r="A173" s="554"/>
      <c r="B173"/>
      <c r="C173" s="54"/>
      <c r="E173" s="154" t="s">
        <v>5142</v>
      </c>
      <c r="F173" s="128" t="s">
        <v>3</v>
      </c>
      <c r="G173" s="32">
        <f>0.045*0.021*2*8*1.159</f>
        <v>1.7524080000000001E-2</v>
      </c>
      <c r="H173" s="32"/>
      <c r="I173" s="560"/>
      <c r="J173" s="545"/>
      <c r="K173" s="547"/>
    </row>
    <row r="174" spans="1:11" s="8" customFormat="1" x14ac:dyDescent="0.25">
      <c r="A174" s="545"/>
      <c r="B174"/>
      <c r="E174" s="54" t="s">
        <v>5267</v>
      </c>
      <c r="F174" s="158"/>
      <c r="G174" s="32"/>
      <c r="H174" s="32"/>
      <c r="I174" s="559" t="s">
        <v>5266</v>
      </c>
      <c r="J174" s="545"/>
      <c r="K174" s="547"/>
    </row>
    <row r="175" spans="1:11" s="8" customFormat="1" x14ac:dyDescent="0.25">
      <c r="A175" s="545"/>
      <c r="B175"/>
      <c r="E175" s="8" t="s">
        <v>272</v>
      </c>
      <c r="F175" s="128" t="s">
        <v>3</v>
      </c>
      <c r="G175" s="32">
        <f>0.03*0.055*2*8*1.12</f>
        <v>2.9568000000000004E-2</v>
      </c>
      <c r="H175" s="32"/>
      <c r="I175" s="559"/>
      <c r="J175" s="545"/>
      <c r="K175" s="547"/>
    </row>
    <row r="176" spans="1:11" s="8" customFormat="1" x14ac:dyDescent="0.25">
      <c r="A176" s="545"/>
      <c r="B176"/>
      <c r="D176" s="54" t="s">
        <v>5269</v>
      </c>
      <c r="F176" s="158"/>
      <c r="G176" s="32"/>
      <c r="H176" s="32"/>
      <c r="I176" s="559" t="s">
        <v>5268</v>
      </c>
      <c r="J176" s="545"/>
      <c r="K176" s="547"/>
    </row>
    <row r="177" spans="1:11" s="547" customFormat="1" x14ac:dyDescent="0.25">
      <c r="A177" s="545"/>
      <c r="B177"/>
      <c r="C177" s="8"/>
      <c r="D177" s="154" t="s">
        <v>275</v>
      </c>
      <c r="E177" s="8"/>
      <c r="F177" s="158" t="s">
        <v>3</v>
      </c>
      <c r="G177" s="32">
        <f>0.52*0.29*1.5*8*1.1-0.001</f>
        <v>1.9895600000000002</v>
      </c>
      <c r="H177" s="32"/>
      <c r="I177" s="559"/>
      <c r="J177" s="545"/>
    </row>
    <row r="178" spans="1:11" s="547" customFormat="1" x14ac:dyDescent="0.25">
      <c r="A178" s="545"/>
      <c r="B178"/>
      <c r="C178" s="8"/>
      <c r="D178" s="77" t="s">
        <v>39</v>
      </c>
      <c r="E178" s="8"/>
      <c r="F178" s="158" t="s">
        <v>3</v>
      </c>
      <c r="G178" s="32">
        <f>0.25*0.05*1.3</f>
        <v>1.6250000000000001E-2</v>
      </c>
      <c r="H178" s="32"/>
      <c r="I178" s="559"/>
      <c r="J178" s="545"/>
    </row>
    <row r="179" spans="1:11" s="547" customFormat="1" ht="17.25" x14ac:dyDescent="0.25">
      <c r="A179" s="545"/>
      <c r="B179"/>
      <c r="C179" s="8"/>
      <c r="D179" s="77" t="s">
        <v>1055</v>
      </c>
      <c r="E179" s="8"/>
      <c r="F179" s="152" t="s">
        <v>596</v>
      </c>
      <c r="G179" s="32">
        <f>G178</f>
        <v>1.6250000000000001E-2</v>
      </c>
      <c r="H179" s="32"/>
      <c r="I179" s="559"/>
      <c r="J179" s="545"/>
    </row>
    <row r="180" spans="1:11" s="547" customFormat="1" x14ac:dyDescent="0.25">
      <c r="A180" s="545"/>
      <c r="B180"/>
      <c r="C180" s="8"/>
      <c r="D180" s="54" t="s">
        <v>5271</v>
      </c>
      <c r="E180" s="8"/>
      <c r="F180" s="128"/>
      <c r="G180" s="32"/>
      <c r="H180" s="32"/>
      <c r="I180" s="559" t="s">
        <v>5270</v>
      </c>
      <c r="J180" s="545"/>
    </row>
    <row r="181" spans="1:11" s="547" customFormat="1" x14ac:dyDescent="0.25">
      <c r="A181" s="545"/>
      <c r="B181"/>
      <c r="C181" s="8"/>
      <c r="D181" s="8" t="s">
        <v>847</v>
      </c>
      <c r="E181" s="8"/>
      <c r="F181" s="128" t="s">
        <v>3</v>
      </c>
      <c r="G181" s="32">
        <f>0.052*0.02*3*8*1.15</f>
        <v>2.8703999999999993E-2</v>
      </c>
      <c r="H181" s="32"/>
      <c r="I181" s="559"/>
      <c r="J181" s="545"/>
    </row>
    <row r="182" spans="1:11" s="8" customFormat="1" x14ac:dyDescent="0.25">
      <c r="A182" s="545"/>
      <c r="B182"/>
      <c r="F182" s="128"/>
      <c r="G182" s="32"/>
      <c r="H182" s="32"/>
      <c r="I182" s="559"/>
      <c r="J182" s="545"/>
      <c r="K182" s="547"/>
    </row>
    <row r="183" spans="1:11" s="547" customFormat="1" x14ac:dyDescent="0.25">
      <c r="A183" s="545"/>
      <c r="B183"/>
      <c r="C183" s="54" t="s">
        <v>5273</v>
      </c>
      <c r="D183" s="8"/>
      <c r="E183" s="8"/>
      <c r="F183" s="128" t="s">
        <v>195</v>
      </c>
      <c r="G183" s="32">
        <v>0.2</v>
      </c>
      <c r="H183" s="32"/>
      <c r="I183" s="559" t="s">
        <v>5272</v>
      </c>
      <c r="J183" s="545"/>
    </row>
    <row r="184" spans="1:11" s="8" customFormat="1" x14ac:dyDescent="0.25">
      <c r="A184" s="545"/>
      <c r="B184"/>
      <c r="F184" s="128"/>
      <c r="G184" s="32"/>
      <c r="H184" s="32"/>
      <c r="I184" s="559"/>
      <c r="J184" s="545"/>
      <c r="K184" s="547"/>
    </row>
    <row r="185" spans="1:11" s="547" customFormat="1" x14ac:dyDescent="0.25">
      <c r="A185" s="545"/>
      <c r="B185"/>
      <c r="C185" s="54" t="s">
        <v>5275</v>
      </c>
      <c r="D185" s="8"/>
      <c r="E185" s="8"/>
      <c r="F185" s="128"/>
      <c r="G185" s="32"/>
      <c r="H185" s="32"/>
      <c r="I185" s="559" t="s">
        <v>5274</v>
      </c>
      <c r="J185" s="545"/>
    </row>
    <row r="186" spans="1:11" s="547" customFormat="1" x14ac:dyDescent="0.25">
      <c r="A186" s="545"/>
      <c r="B186"/>
      <c r="C186" s="154" t="s">
        <v>5276</v>
      </c>
      <c r="D186" s="8"/>
      <c r="E186" s="8"/>
      <c r="F186" s="128" t="s">
        <v>3</v>
      </c>
      <c r="G186" s="32">
        <v>8.9999999999999993E-3</v>
      </c>
      <c r="H186" s="32"/>
      <c r="I186" s="559"/>
      <c r="J186" s="545"/>
    </row>
    <row r="187" spans="1:11" s="547" customFormat="1" x14ac:dyDescent="0.25">
      <c r="A187" s="545"/>
      <c r="B187"/>
      <c r="C187" s="154"/>
      <c r="D187" s="54" t="s">
        <v>5277</v>
      </c>
      <c r="E187" s="8"/>
      <c r="F187" s="128"/>
      <c r="G187" s="32"/>
      <c r="H187" s="32"/>
      <c r="I187" s="559"/>
      <c r="J187" s="545"/>
    </row>
    <row r="188" spans="1:11" s="547" customFormat="1" x14ac:dyDescent="0.25">
      <c r="A188" s="545"/>
      <c r="B188"/>
      <c r="C188" s="8"/>
      <c r="D188" s="8" t="s">
        <v>5278</v>
      </c>
      <c r="E188" s="8"/>
      <c r="F188" s="128" t="s">
        <v>195</v>
      </c>
      <c r="G188" s="32">
        <v>4.0999999999999996</v>
      </c>
      <c r="H188" s="32"/>
      <c r="I188" s="559"/>
      <c r="J188" s="545"/>
    </row>
    <row r="189" spans="1:11" s="8" customFormat="1" x14ac:dyDescent="0.25">
      <c r="A189" s="545"/>
      <c r="B189"/>
      <c r="F189" s="128"/>
      <c r="G189" s="32"/>
      <c r="H189" s="32"/>
      <c r="I189" s="559"/>
      <c r="J189" s="545"/>
      <c r="K189" s="547"/>
    </row>
    <row r="190" spans="1:11" s="547" customFormat="1" x14ac:dyDescent="0.25">
      <c r="A190" s="545"/>
      <c r="B190"/>
      <c r="C190" s="54" t="s">
        <v>5280</v>
      </c>
      <c r="D190" s="8"/>
      <c r="E190" s="8"/>
      <c r="F190" s="132"/>
      <c r="G190" s="32"/>
      <c r="H190" s="32"/>
      <c r="I190" s="559" t="s">
        <v>5279</v>
      </c>
      <c r="J190" s="545"/>
    </row>
    <row r="191" spans="1:11" s="547" customFormat="1" x14ac:dyDescent="0.25">
      <c r="A191" s="545"/>
      <c r="B191"/>
      <c r="C191" s="154" t="s">
        <v>8</v>
      </c>
      <c r="D191" s="8"/>
      <c r="E191" s="8"/>
      <c r="F191" s="128" t="s">
        <v>3</v>
      </c>
      <c r="G191" s="32">
        <v>0.74</v>
      </c>
      <c r="H191" s="32"/>
      <c r="I191" s="559"/>
      <c r="J191" s="545"/>
    </row>
    <row r="192" spans="1:11" s="547" customFormat="1" x14ac:dyDescent="0.25">
      <c r="A192" s="545"/>
      <c r="B192"/>
      <c r="C192" s="154" t="s">
        <v>649</v>
      </c>
      <c r="D192" s="8"/>
      <c r="E192" s="8"/>
      <c r="F192" s="128" t="s">
        <v>3</v>
      </c>
      <c r="G192" s="32">
        <v>0.76</v>
      </c>
      <c r="H192" s="32"/>
      <c r="I192" s="559"/>
      <c r="J192" s="555"/>
    </row>
    <row r="193" spans="1:11" s="8" customFormat="1" x14ac:dyDescent="0.25">
      <c r="A193" s="545"/>
      <c r="B193"/>
      <c r="C193" s="154" t="s">
        <v>12</v>
      </c>
      <c r="F193" s="128" t="s">
        <v>3</v>
      </c>
      <c r="G193" s="32">
        <f>0.3*(G192+G191)</f>
        <v>0.44999999999999996</v>
      </c>
      <c r="H193" s="32"/>
      <c r="I193" s="559"/>
      <c r="J193" s="545"/>
      <c r="K193" s="547"/>
    </row>
    <row r="194" spans="1:11" s="8" customFormat="1" x14ac:dyDescent="0.25">
      <c r="A194" s="545"/>
      <c r="B194"/>
      <c r="C194" s="77" t="s">
        <v>39</v>
      </c>
      <c r="F194" s="128" t="s">
        <v>3</v>
      </c>
      <c r="G194" s="32">
        <f>1*0.07*1.3</f>
        <v>9.1000000000000011E-2</v>
      </c>
      <c r="H194" s="32"/>
      <c r="I194" s="559"/>
      <c r="J194" s="545"/>
      <c r="K194" s="547"/>
    </row>
    <row r="195" spans="1:11" s="8" customFormat="1" ht="17.25" x14ac:dyDescent="0.25">
      <c r="A195" s="545"/>
      <c r="B195"/>
      <c r="C195" s="77" t="s">
        <v>1055</v>
      </c>
      <c r="F195" s="152" t="s">
        <v>596</v>
      </c>
      <c r="G195" s="32">
        <f>G194</f>
        <v>9.1000000000000011E-2</v>
      </c>
      <c r="H195" s="32"/>
      <c r="I195" s="559"/>
      <c r="J195" s="545"/>
      <c r="K195" s="547"/>
    </row>
    <row r="196" spans="1:11" s="8" customFormat="1" x14ac:dyDescent="0.25">
      <c r="A196" s="545"/>
      <c r="B196"/>
      <c r="C196" s="154" t="s">
        <v>5281</v>
      </c>
      <c r="F196" s="128" t="s">
        <v>3</v>
      </c>
      <c r="G196" s="32">
        <f>0.003</f>
        <v>3.0000000000000001E-3</v>
      </c>
      <c r="H196" s="32"/>
      <c r="I196" s="559"/>
      <c r="J196" s="545"/>
      <c r="K196" s="547"/>
    </row>
    <row r="197" spans="1:11" s="8" customFormat="1" x14ac:dyDescent="0.25">
      <c r="A197" s="545"/>
      <c r="B197"/>
      <c r="C197" s="154" t="s">
        <v>13</v>
      </c>
      <c r="F197" s="128" t="s">
        <v>3</v>
      </c>
      <c r="G197" s="32">
        <f>0.15</f>
        <v>0.15</v>
      </c>
      <c r="H197" s="32"/>
      <c r="I197" s="559"/>
      <c r="J197" s="545"/>
      <c r="K197" s="547"/>
    </row>
    <row r="198" spans="1:11" s="8" customFormat="1" x14ac:dyDescent="0.25">
      <c r="A198" s="545"/>
      <c r="B198"/>
      <c r="D198" s="54" t="s">
        <v>5283</v>
      </c>
      <c r="F198" s="128"/>
      <c r="G198" s="32"/>
      <c r="H198" s="32"/>
      <c r="I198" s="559" t="s">
        <v>5282</v>
      </c>
      <c r="J198" s="545"/>
      <c r="K198" s="547"/>
    </row>
    <row r="199" spans="1:11" s="8" customFormat="1" x14ac:dyDescent="0.25">
      <c r="A199" s="545"/>
      <c r="B199"/>
      <c r="D199" s="8" t="s">
        <v>5284</v>
      </c>
      <c r="F199" s="128" t="s">
        <v>3</v>
      </c>
      <c r="G199" s="32">
        <f>0.18*0.045*2*8*1.08</f>
        <v>0.13996800000000001</v>
      </c>
      <c r="H199" s="32"/>
      <c r="I199" s="559"/>
      <c r="J199" s="545"/>
      <c r="K199" s="547"/>
    </row>
    <row r="200" spans="1:11" s="8" customFormat="1" x14ac:dyDescent="0.25">
      <c r="A200" s="545"/>
      <c r="B200"/>
      <c r="D200" s="54" t="s">
        <v>5286</v>
      </c>
      <c r="F200" s="128"/>
      <c r="G200" s="32"/>
      <c r="H200" s="32"/>
      <c r="I200" s="559" t="s">
        <v>5285</v>
      </c>
      <c r="J200" s="545"/>
      <c r="K200" s="547"/>
    </row>
    <row r="201" spans="1:11" s="8" customFormat="1" x14ac:dyDescent="0.25">
      <c r="A201" s="545"/>
      <c r="B201"/>
      <c r="D201" s="8" t="s">
        <v>5284</v>
      </c>
      <c r="F201" s="128" t="s">
        <v>3</v>
      </c>
      <c r="G201" s="32">
        <f>0.05*0.11*2*8*1.08</f>
        <v>9.5040000000000013E-2</v>
      </c>
      <c r="H201" s="32"/>
      <c r="I201" s="559"/>
      <c r="J201" s="545"/>
      <c r="K201" s="547"/>
    </row>
    <row r="202" spans="1:11" s="8" customFormat="1" x14ac:dyDescent="0.25">
      <c r="A202" s="545"/>
      <c r="B202"/>
      <c r="D202" s="54" t="s">
        <v>5288</v>
      </c>
      <c r="F202" s="128"/>
      <c r="G202" s="32"/>
      <c r="H202" s="32"/>
      <c r="I202" s="559" t="s">
        <v>5287</v>
      </c>
      <c r="J202" s="545"/>
      <c r="K202" s="547"/>
    </row>
    <row r="203" spans="1:11" s="8" customFormat="1" x14ac:dyDescent="0.25">
      <c r="A203" s="545"/>
      <c r="B203"/>
      <c r="D203" s="154" t="s">
        <v>5289</v>
      </c>
      <c r="F203" s="128" t="s">
        <v>3</v>
      </c>
      <c r="G203" s="32">
        <f>0.04*0.04*3*8*1.18</f>
        <v>4.5312000000000005E-2</v>
      </c>
      <c r="H203" s="32"/>
      <c r="I203" s="559"/>
      <c r="J203" s="545"/>
      <c r="K203" s="547"/>
    </row>
    <row r="204" spans="1:11" s="8" customFormat="1" x14ac:dyDescent="0.25">
      <c r="A204" s="545"/>
      <c r="B204"/>
      <c r="D204" s="54" t="s">
        <v>5291</v>
      </c>
      <c r="F204" s="128"/>
      <c r="G204" s="32"/>
      <c r="H204" s="32"/>
      <c r="I204" s="559" t="s">
        <v>5290</v>
      </c>
      <c r="J204" s="545"/>
      <c r="K204" s="547"/>
    </row>
    <row r="205" spans="1:11" s="8" customFormat="1" x14ac:dyDescent="0.25">
      <c r="A205" s="545"/>
      <c r="B205"/>
      <c r="D205" s="77" t="s">
        <v>39</v>
      </c>
      <c r="F205" s="128" t="s">
        <v>3</v>
      </c>
      <c r="G205" s="32">
        <f>0.1*0.05*1.3</f>
        <v>6.5000000000000014E-3</v>
      </c>
      <c r="H205" s="32"/>
      <c r="I205" s="559"/>
      <c r="J205" s="545"/>
      <c r="K205" s="547"/>
    </row>
    <row r="206" spans="1:11" s="8" customFormat="1" ht="17.25" x14ac:dyDescent="0.25">
      <c r="A206" s="545"/>
      <c r="B206"/>
      <c r="D206" s="77" t="s">
        <v>1055</v>
      </c>
      <c r="F206" s="152" t="s">
        <v>596</v>
      </c>
      <c r="G206" s="32">
        <f>G205</f>
        <v>6.5000000000000014E-3</v>
      </c>
      <c r="H206" s="32"/>
      <c r="I206" s="559"/>
      <c r="J206" s="545"/>
      <c r="K206" s="547"/>
    </row>
    <row r="207" spans="1:11" s="8" customFormat="1" x14ac:dyDescent="0.25">
      <c r="A207" s="545"/>
      <c r="B207"/>
      <c r="E207" s="54" t="s">
        <v>5293</v>
      </c>
      <c r="F207" s="128"/>
      <c r="G207" s="32"/>
      <c r="H207" s="32"/>
      <c r="I207" s="559" t="s">
        <v>5292</v>
      </c>
      <c r="J207" s="545"/>
      <c r="K207" s="547"/>
    </row>
    <row r="208" spans="1:11" s="8" customFormat="1" x14ac:dyDescent="0.25">
      <c r="A208" s="545"/>
      <c r="B208"/>
      <c r="E208" s="8" t="s">
        <v>5284</v>
      </c>
      <c r="F208" s="128" t="s">
        <v>3</v>
      </c>
      <c r="G208" s="32">
        <f>0.18*0.18*2*8*1.12</f>
        <v>0.58060800000000001</v>
      </c>
      <c r="H208" s="32"/>
      <c r="I208" s="559"/>
      <c r="J208" s="545"/>
      <c r="K208" s="547"/>
    </row>
    <row r="209" spans="1:11" s="8" customFormat="1" x14ac:dyDescent="0.25">
      <c r="A209" s="545"/>
      <c r="B209"/>
      <c r="E209" s="54" t="s">
        <v>5295</v>
      </c>
      <c r="F209" s="128"/>
      <c r="G209" s="32"/>
      <c r="H209" s="32"/>
      <c r="I209" s="559" t="s">
        <v>5294</v>
      </c>
      <c r="J209" s="545"/>
      <c r="K209" s="547"/>
    </row>
    <row r="210" spans="1:11" s="8" customFormat="1" x14ac:dyDescent="0.25">
      <c r="A210" s="545"/>
      <c r="B210"/>
      <c r="E210" s="8" t="s">
        <v>5284</v>
      </c>
      <c r="F210" s="128" t="s">
        <v>3</v>
      </c>
      <c r="G210" s="32">
        <f>0.175*0.012*2*8*1.12</f>
        <v>3.7631999999999999E-2</v>
      </c>
      <c r="H210" s="32"/>
      <c r="I210" s="559"/>
      <c r="J210" s="545"/>
      <c r="K210" s="547"/>
    </row>
    <row r="211" spans="1:11" s="8" customFormat="1" x14ac:dyDescent="0.25">
      <c r="A211" s="545"/>
      <c r="B211"/>
      <c r="E211" s="54" t="s">
        <v>5297</v>
      </c>
      <c r="F211" s="128"/>
      <c r="G211" s="32"/>
      <c r="H211" s="32"/>
      <c r="I211" s="559" t="s">
        <v>5296</v>
      </c>
      <c r="J211" s="545"/>
      <c r="K211" s="547"/>
    </row>
    <row r="212" spans="1:11" s="8" customFormat="1" x14ac:dyDescent="0.25">
      <c r="A212" s="545"/>
      <c r="B212"/>
      <c r="E212" s="8" t="s">
        <v>5284</v>
      </c>
      <c r="F212" s="128" t="s">
        <v>3</v>
      </c>
      <c r="G212" s="32">
        <f>0.035*0.04*2*8*1.15</f>
        <v>2.5760000000000002E-2</v>
      </c>
      <c r="H212" s="32"/>
      <c r="I212" s="559"/>
      <c r="J212" s="545"/>
      <c r="K212" s="547"/>
    </row>
    <row r="213" spans="1:11" s="8" customFormat="1" x14ac:dyDescent="0.25">
      <c r="A213" s="545"/>
      <c r="B213"/>
      <c r="C213" s="154"/>
      <c r="D213" s="54" t="s">
        <v>5299</v>
      </c>
      <c r="F213" s="128"/>
      <c r="G213" s="32"/>
      <c r="H213" s="32"/>
      <c r="I213" s="559" t="s">
        <v>5298</v>
      </c>
      <c r="J213" s="545"/>
      <c r="K213" s="547"/>
    </row>
    <row r="214" spans="1:11" s="8" customFormat="1" x14ac:dyDescent="0.25">
      <c r="A214" s="545"/>
      <c r="B214"/>
      <c r="C214" s="154"/>
      <c r="D214" s="77" t="s">
        <v>39</v>
      </c>
      <c r="F214" s="128" t="s">
        <v>3</v>
      </c>
      <c r="G214" s="32">
        <f>0.17*3.14*0.07*1.2</f>
        <v>4.483920000000001E-2</v>
      </c>
      <c r="H214" s="32"/>
      <c r="I214" s="559"/>
      <c r="J214" s="545"/>
      <c r="K214" s="547"/>
    </row>
    <row r="215" spans="1:11" s="8" customFormat="1" ht="17.25" x14ac:dyDescent="0.25">
      <c r="A215" s="545"/>
      <c r="B215"/>
      <c r="C215" s="154"/>
      <c r="D215" s="77" t="s">
        <v>1055</v>
      </c>
      <c r="F215" s="152" t="s">
        <v>596</v>
      </c>
      <c r="G215" s="32">
        <f>G214</f>
        <v>4.483920000000001E-2</v>
      </c>
      <c r="H215" s="32"/>
      <c r="I215" s="559"/>
      <c r="J215" s="545"/>
      <c r="K215" s="547"/>
    </row>
    <row r="216" spans="1:11" s="8" customFormat="1" x14ac:dyDescent="0.25">
      <c r="A216" s="545"/>
      <c r="B216"/>
      <c r="C216" s="154"/>
      <c r="E216" s="54" t="s">
        <v>5301</v>
      </c>
      <c r="F216" s="128"/>
      <c r="G216" s="32"/>
      <c r="H216" s="32"/>
      <c r="I216" s="559" t="s">
        <v>5300</v>
      </c>
      <c r="J216" s="545"/>
      <c r="K216" s="547"/>
    </row>
    <row r="217" spans="1:11" s="8" customFormat="1" x14ac:dyDescent="0.25">
      <c r="A217" s="545"/>
      <c r="B217"/>
      <c r="C217" s="154"/>
      <c r="E217" s="8" t="s">
        <v>5284</v>
      </c>
      <c r="F217" s="128" t="s">
        <v>3</v>
      </c>
      <c r="G217" s="32">
        <f>2.14*0.53*2*8*1.1021</f>
        <v>20.000029120000004</v>
      </c>
      <c r="H217" s="32"/>
      <c r="I217" s="559"/>
      <c r="J217" s="545"/>
      <c r="K217" s="547"/>
    </row>
    <row r="218" spans="1:11" s="8" customFormat="1" x14ac:dyDescent="0.25">
      <c r="A218" s="545"/>
      <c r="B218"/>
      <c r="C218" s="154"/>
      <c r="E218" s="8" t="s">
        <v>5302</v>
      </c>
      <c r="F218" s="128" t="s">
        <v>3</v>
      </c>
      <c r="G218" s="32">
        <v>0.11</v>
      </c>
      <c r="H218" s="32"/>
      <c r="I218" s="559"/>
      <c r="J218" s="545"/>
      <c r="K218" s="547"/>
    </row>
    <row r="219" spans="1:11" s="8" customFormat="1" x14ac:dyDescent="0.25">
      <c r="A219" s="545"/>
      <c r="B219"/>
      <c r="C219" s="154"/>
      <c r="E219" s="77" t="s">
        <v>39</v>
      </c>
      <c r="F219" s="128" t="s">
        <v>3</v>
      </c>
      <c r="G219" s="32">
        <f>2*0.07*1.3</f>
        <v>0.18200000000000002</v>
      </c>
      <c r="H219" s="32"/>
      <c r="I219" s="559"/>
      <c r="J219" s="545"/>
      <c r="K219" s="547"/>
    </row>
    <row r="220" spans="1:11" s="8" customFormat="1" ht="17.25" x14ac:dyDescent="0.25">
      <c r="A220" s="545"/>
      <c r="B220"/>
      <c r="C220" s="154"/>
      <c r="E220" s="77" t="s">
        <v>1055</v>
      </c>
      <c r="F220" s="152" t="s">
        <v>596</v>
      </c>
      <c r="G220" s="32">
        <f>G219</f>
        <v>0.18200000000000002</v>
      </c>
      <c r="H220" s="32"/>
      <c r="I220" s="559"/>
      <c r="J220" s="545"/>
      <c r="K220" s="547"/>
    </row>
    <row r="221" spans="1:11" s="8" customFormat="1" x14ac:dyDescent="0.25">
      <c r="A221" s="545"/>
      <c r="B221"/>
      <c r="E221" s="54" t="s">
        <v>5304</v>
      </c>
      <c r="F221" s="128"/>
      <c r="G221" s="32"/>
      <c r="H221" s="32"/>
      <c r="I221" s="559" t="s">
        <v>5303</v>
      </c>
      <c r="J221" s="545"/>
      <c r="K221" s="547"/>
    </row>
    <row r="222" spans="1:11" s="8" customFormat="1" x14ac:dyDescent="0.25">
      <c r="A222" s="545"/>
      <c r="B222"/>
      <c r="E222" s="8" t="s">
        <v>5284</v>
      </c>
      <c r="F222" s="128" t="s">
        <v>3</v>
      </c>
      <c r="G222" s="32">
        <f>2.16*0.53*2*8*1.1001</f>
        <v>20.150311680000002</v>
      </c>
      <c r="H222" s="32"/>
      <c r="I222" s="559"/>
      <c r="J222" s="545"/>
      <c r="K222" s="547"/>
    </row>
    <row r="223" spans="1:11" s="8" customFormat="1" x14ac:dyDescent="0.25">
      <c r="A223" s="545"/>
      <c r="B223"/>
      <c r="E223" s="77" t="s">
        <v>39</v>
      </c>
      <c r="F223" s="128" t="s">
        <v>3</v>
      </c>
      <c r="G223" s="32">
        <f>1.5*0.07*1.33</f>
        <v>0.13965000000000002</v>
      </c>
      <c r="H223" s="32"/>
      <c r="I223" s="559"/>
      <c r="J223" s="545"/>
      <c r="K223" s="547"/>
    </row>
    <row r="224" spans="1:11" s="8" customFormat="1" ht="17.25" x14ac:dyDescent="0.25">
      <c r="A224" s="545"/>
      <c r="B224"/>
      <c r="E224" s="77" t="s">
        <v>1055</v>
      </c>
      <c r="F224" s="152" t="s">
        <v>596</v>
      </c>
      <c r="G224" s="32">
        <f>G223</f>
        <v>0.13965000000000002</v>
      </c>
      <c r="H224" s="32"/>
      <c r="I224" s="559"/>
      <c r="J224" s="545"/>
      <c r="K224" s="547"/>
    </row>
    <row r="225" spans="1:11" s="8" customFormat="1" x14ac:dyDescent="0.25">
      <c r="A225" s="545"/>
      <c r="B225"/>
      <c r="D225" s="54" t="s">
        <v>5306</v>
      </c>
      <c r="E225" s="16"/>
      <c r="F225" s="18"/>
      <c r="G225" s="32"/>
      <c r="H225" s="32"/>
      <c r="I225" s="559" t="s">
        <v>5305</v>
      </c>
      <c r="J225" s="545"/>
      <c r="K225" s="547"/>
    </row>
    <row r="226" spans="1:11" s="8" customFormat="1" x14ac:dyDescent="0.25">
      <c r="A226" s="545"/>
      <c r="B226"/>
      <c r="D226" s="8" t="s">
        <v>5284</v>
      </c>
      <c r="F226" s="128" t="s">
        <v>3</v>
      </c>
      <c r="G226" s="32">
        <f>0.18*0.18*2*8*1.08</f>
        <v>0.55987200000000004</v>
      </c>
      <c r="H226" s="32"/>
      <c r="I226" s="559"/>
      <c r="J226" s="545"/>
      <c r="K226" s="547"/>
    </row>
    <row r="227" spans="1:11" s="8" customFormat="1" x14ac:dyDescent="0.25">
      <c r="A227" s="545"/>
      <c r="B227"/>
      <c r="E227" s="16"/>
      <c r="F227" s="128"/>
      <c r="G227" s="32"/>
      <c r="H227" s="32"/>
      <c r="I227" s="559"/>
      <c r="J227" s="545"/>
      <c r="K227" s="547"/>
    </row>
    <row r="228" spans="1:11" s="8" customFormat="1" x14ac:dyDescent="0.25">
      <c r="A228" s="545"/>
      <c r="B228"/>
      <c r="C228" s="54" t="s">
        <v>5308</v>
      </c>
      <c r="F228" s="128"/>
      <c r="G228" s="32"/>
      <c r="H228" s="32"/>
      <c r="I228" s="559" t="s">
        <v>5307</v>
      </c>
      <c r="J228" s="545"/>
      <c r="K228" s="547"/>
    </row>
    <row r="229" spans="1:11" s="8" customFormat="1" x14ac:dyDescent="0.25">
      <c r="A229" s="545"/>
      <c r="B229"/>
      <c r="C229" s="154" t="s">
        <v>8</v>
      </c>
      <c r="F229" s="128" t="s">
        <v>3</v>
      </c>
      <c r="G229" s="32">
        <v>1.4999999999999999E-2</v>
      </c>
      <c r="H229" s="32"/>
      <c r="I229" s="559"/>
      <c r="J229" s="545"/>
      <c r="K229" s="547"/>
    </row>
    <row r="230" spans="1:11" s="8" customFormat="1" x14ac:dyDescent="0.25">
      <c r="A230" s="545"/>
      <c r="B230"/>
      <c r="C230" s="154" t="s">
        <v>649</v>
      </c>
      <c r="F230" s="128" t="s">
        <v>3</v>
      </c>
      <c r="G230" s="32">
        <v>1.6E-2</v>
      </c>
      <c r="H230" s="32"/>
      <c r="I230" s="559"/>
      <c r="J230" s="545"/>
      <c r="K230" s="547"/>
    </row>
    <row r="231" spans="1:11" s="8" customFormat="1" x14ac:dyDescent="0.25">
      <c r="A231" s="545"/>
      <c r="B231"/>
      <c r="C231" s="154" t="s">
        <v>12</v>
      </c>
      <c r="F231" s="128" t="s">
        <v>3</v>
      </c>
      <c r="G231" s="32">
        <f>0.3*(G230+G229)</f>
        <v>9.2999999999999992E-3</v>
      </c>
      <c r="H231" s="32"/>
      <c r="I231" s="559"/>
      <c r="J231" s="545"/>
      <c r="K231" s="547"/>
    </row>
    <row r="232" spans="1:11" s="8" customFormat="1" x14ac:dyDescent="0.25">
      <c r="A232" s="545"/>
      <c r="B232"/>
      <c r="C232" s="77" t="s">
        <v>39</v>
      </c>
      <c r="F232" s="128" t="s">
        <v>3</v>
      </c>
      <c r="G232" s="32">
        <f>0.1*0.06*1.3</f>
        <v>7.8000000000000005E-3</v>
      </c>
      <c r="H232" s="32"/>
      <c r="I232" s="559"/>
      <c r="J232" s="545"/>
      <c r="K232" s="547"/>
    </row>
    <row r="233" spans="1:11" s="8" customFormat="1" ht="17.25" x14ac:dyDescent="0.25">
      <c r="A233" s="545"/>
      <c r="B233"/>
      <c r="C233" s="77" t="s">
        <v>1055</v>
      </c>
      <c r="F233" s="152" t="s">
        <v>596</v>
      </c>
      <c r="G233" s="32">
        <f>G232</f>
        <v>7.8000000000000005E-3</v>
      </c>
      <c r="H233" s="32"/>
      <c r="I233" s="559"/>
      <c r="J233" s="545"/>
      <c r="K233" s="547"/>
    </row>
    <row r="234" spans="1:11" s="8" customFormat="1" x14ac:dyDescent="0.25">
      <c r="A234" s="545"/>
      <c r="B234"/>
      <c r="C234" s="154" t="s">
        <v>37</v>
      </c>
      <c r="F234" s="128" t="s">
        <v>3</v>
      </c>
      <c r="G234" s="32">
        <f>0.26*0.05*0.2*2</f>
        <v>5.2000000000000006E-3</v>
      </c>
      <c r="H234" s="32"/>
      <c r="I234" s="559"/>
      <c r="J234" s="545"/>
      <c r="K234" s="547"/>
    </row>
    <row r="235" spans="1:11" s="8" customFormat="1" x14ac:dyDescent="0.25">
      <c r="A235" s="545"/>
      <c r="B235"/>
      <c r="D235" s="54" t="s">
        <v>5310</v>
      </c>
      <c r="E235" s="16"/>
      <c r="F235" s="128"/>
      <c r="G235" s="32"/>
      <c r="H235" s="32"/>
      <c r="I235" s="559" t="s">
        <v>5309</v>
      </c>
      <c r="J235" s="545"/>
      <c r="K235" s="547"/>
    </row>
    <row r="236" spans="1:11" s="8" customFormat="1" x14ac:dyDescent="0.25">
      <c r="A236" s="545"/>
      <c r="B236"/>
      <c r="D236" s="8" t="s">
        <v>5284</v>
      </c>
      <c r="E236" s="16"/>
      <c r="F236" s="128" t="s">
        <v>3</v>
      </c>
      <c r="G236" s="32">
        <f>0.6*0.05*2*8*1.105</f>
        <v>0.53039999999999998</v>
      </c>
      <c r="H236" s="32"/>
      <c r="I236" s="559"/>
      <c r="J236" s="545"/>
      <c r="K236" s="547"/>
    </row>
    <row r="237" spans="1:11" s="8" customFormat="1" x14ac:dyDescent="0.25">
      <c r="A237" s="545"/>
      <c r="B237"/>
      <c r="F237" s="128"/>
      <c r="G237" s="32"/>
      <c r="H237" s="32"/>
      <c r="I237" s="559"/>
      <c r="J237" s="545"/>
      <c r="K237" s="547"/>
    </row>
    <row r="238" spans="1:11" s="8" customFormat="1" x14ac:dyDescent="0.25">
      <c r="A238" s="545"/>
      <c r="B238"/>
      <c r="C238" s="54" t="s">
        <v>5312</v>
      </c>
      <c r="F238" s="128"/>
      <c r="G238" s="32"/>
      <c r="H238" s="32"/>
      <c r="I238" s="559" t="s">
        <v>5311</v>
      </c>
      <c r="J238" s="545"/>
      <c r="K238" s="547"/>
    </row>
    <row r="239" spans="1:11" s="8" customFormat="1" x14ac:dyDescent="0.25">
      <c r="A239" s="545"/>
      <c r="B239"/>
      <c r="C239" s="154" t="s">
        <v>8</v>
      </c>
      <c r="F239" s="128" t="s">
        <v>3</v>
      </c>
      <c r="G239" s="32">
        <v>1.7999999999999999E-2</v>
      </c>
      <c r="H239" s="32"/>
      <c r="I239" s="559"/>
      <c r="J239" s="545"/>
      <c r="K239" s="547"/>
    </row>
    <row r="240" spans="1:11" s="8" customFormat="1" x14ac:dyDescent="0.25">
      <c r="A240" s="545"/>
      <c r="B240"/>
      <c r="C240" s="154" t="s">
        <v>649</v>
      </c>
      <c r="F240" s="128" t="s">
        <v>3</v>
      </c>
      <c r="G240" s="32">
        <v>0.02</v>
      </c>
      <c r="H240" s="32"/>
      <c r="I240" s="559"/>
      <c r="J240" s="545"/>
      <c r="K240" s="547"/>
    </row>
    <row r="241" spans="1:13" s="8" customFormat="1" x14ac:dyDescent="0.25">
      <c r="A241" s="545"/>
      <c r="B241"/>
      <c r="C241" s="154" t="s">
        <v>12</v>
      </c>
      <c r="F241" s="128" t="s">
        <v>3</v>
      </c>
      <c r="G241" s="32">
        <f>0.3*(G240+G239)</f>
        <v>1.1399999999999999E-2</v>
      </c>
      <c r="H241" s="32"/>
      <c r="I241" s="559"/>
      <c r="J241" s="545"/>
      <c r="K241" s="547"/>
    </row>
    <row r="242" spans="1:13" s="8" customFormat="1" x14ac:dyDescent="0.25">
      <c r="A242" s="545"/>
      <c r="B242"/>
      <c r="C242" s="77" t="s">
        <v>39</v>
      </c>
      <c r="F242" s="128" t="s">
        <v>3</v>
      </c>
      <c r="G242" s="32">
        <f>0.1*0.06*1.3</f>
        <v>7.8000000000000005E-3</v>
      </c>
      <c r="H242" s="32"/>
      <c r="I242" s="559"/>
      <c r="J242" s="545"/>
      <c r="K242" s="547"/>
    </row>
    <row r="243" spans="1:13" s="8" customFormat="1" ht="17.25" x14ac:dyDescent="0.25">
      <c r="A243" s="545"/>
      <c r="B243"/>
      <c r="C243" s="77" t="s">
        <v>1055</v>
      </c>
      <c r="F243" s="152" t="s">
        <v>596</v>
      </c>
      <c r="G243" s="32">
        <f>G242</f>
        <v>7.8000000000000005E-3</v>
      </c>
      <c r="H243" s="32"/>
      <c r="I243" s="559"/>
      <c r="J243" s="545"/>
      <c r="K243" s="547"/>
    </row>
    <row r="244" spans="1:13" s="8" customFormat="1" x14ac:dyDescent="0.25">
      <c r="A244" s="545"/>
      <c r="B244"/>
      <c r="C244" s="154" t="s">
        <v>37</v>
      </c>
      <c r="F244" s="128" t="s">
        <v>3</v>
      </c>
      <c r="G244" s="32">
        <f>0.26*0.05*0.2*2</f>
        <v>5.2000000000000006E-3</v>
      </c>
      <c r="H244" s="32"/>
      <c r="I244" s="559"/>
      <c r="J244" s="545"/>
      <c r="K244" s="547"/>
    </row>
    <row r="245" spans="1:13" s="8" customFormat="1" x14ac:dyDescent="0.25">
      <c r="A245" s="545"/>
      <c r="B245"/>
      <c r="D245" s="54" t="s">
        <v>5314</v>
      </c>
      <c r="E245" s="16"/>
      <c r="F245" s="128"/>
      <c r="G245" s="32"/>
      <c r="H245" s="32"/>
      <c r="I245" s="559" t="s">
        <v>5313</v>
      </c>
      <c r="J245" s="545"/>
      <c r="K245" s="547"/>
    </row>
    <row r="246" spans="1:13" s="8" customFormat="1" x14ac:dyDescent="0.25">
      <c r="A246" s="545"/>
      <c r="B246"/>
      <c r="D246" s="8" t="s">
        <v>5284</v>
      </c>
      <c r="E246" s="16"/>
      <c r="F246" s="128" t="s">
        <v>3</v>
      </c>
      <c r="G246" s="32">
        <f>0.485*0.05*2*8*1.108</f>
        <v>0.42990400000000006</v>
      </c>
      <c r="H246" s="32"/>
      <c r="I246" s="559"/>
      <c r="J246" s="545"/>
      <c r="K246" s="547"/>
    </row>
    <row r="247" spans="1:13" s="8" customFormat="1" x14ac:dyDescent="0.25">
      <c r="A247" s="545"/>
      <c r="B247"/>
      <c r="F247" s="128"/>
      <c r="G247" s="32"/>
      <c r="H247" s="32"/>
      <c r="I247" s="559"/>
      <c r="J247" s="545"/>
      <c r="K247" s="547"/>
    </row>
    <row r="248" spans="1:13" s="8" customFormat="1" x14ac:dyDescent="0.25">
      <c r="A248" s="545"/>
      <c r="B248"/>
      <c r="C248" s="54" t="s">
        <v>5316</v>
      </c>
      <c r="F248" s="128"/>
      <c r="G248" s="32"/>
      <c r="H248" s="32"/>
      <c r="I248" s="559" t="s">
        <v>5315</v>
      </c>
      <c r="J248" s="545"/>
      <c r="K248" s="547"/>
    </row>
    <row r="249" spans="1:13" s="8" customFormat="1" x14ac:dyDescent="0.25">
      <c r="A249" s="545"/>
      <c r="B249"/>
      <c r="C249" s="154" t="s">
        <v>8</v>
      </c>
      <c r="F249" s="128" t="s">
        <v>3</v>
      </c>
      <c r="G249" s="32">
        <v>0.95</v>
      </c>
      <c r="H249" s="32"/>
      <c r="I249" s="559"/>
      <c r="J249" s="545"/>
      <c r="K249" s="547"/>
    </row>
    <row r="250" spans="1:13" s="8" customFormat="1" x14ac:dyDescent="0.25">
      <c r="A250" s="545"/>
      <c r="B250"/>
      <c r="C250" s="154" t="s">
        <v>649</v>
      </c>
      <c r="F250" s="128" t="s">
        <v>3</v>
      </c>
      <c r="G250" s="32">
        <v>0.98</v>
      </c>
      <c r="H250" s="32"/>
      <c r="I250" s="559"/>
      <c r="J250" s="545"/>
      <c r="K250" s="547"/>
    </row>
    <row r="251" spans="1:13" s="8" customFormat="1" x14ac:dyDescent="0.25">
      <c r="A251" s="545"/>
      <c r="B251"/>
      <c r="C251" s="154" t="s">
        <v>12</v>
      </c>
      <c r="F251" s="128" t="s">
        <v>3</v>
      </c>
      <c r="G251" s="32">
        <f>0.3*(G250+G249)</f>
        <v>0.57899999999999996</v>
      </c>
      <c r="H251" s="32"/>
      <c r="I251" s="559"/>
      <c r="J251" s="545"/>
      <c r="K251" s="547"/>
    </row>
    <row r="252" spans="1:13" s="8" customFormat="1" x14ac:dyDescent="0.25">
      <c r="A252" s="545"/>
      <c r="B252"/>
      <c r="C252" s="77" t="s">
        <v>39</v>
      </c>
      <c r="F252" s="128" t="s">
        <v>3</v>
      </c>
      <c r="G252" s="32">
        <f>1*0.07*1.3</f>
        <v>9.1000000000000011E-2</v>
      </c>
      <c r="H252" s="32"/>
      <c r="I252" s="559"/>
      <c r="J252" s="545"/>
      <c r="K252" s="547"/>
    </row>
    <row r="253" spans="1:13" s="8" customFormat="1" ht="17.25" x14ac:dyDescent="0.25">
      <c r="A253" s="545"/>
      <c r="B253"/>
      <c r="C253" s="77" t="s">
        <v>1055</v>
      </c>
      <c r="F253" s="152" t="s">
        <v>596</v>
      </c>
      <c r="G253" s="32">
        <f>G252</f>
        <v>9.1000000000000011E-2</v>
      </c>
      <c r="H253" s="32"/>
      <c r="I253" s="559"/>
      <c r="J253" s="545"/>
      <c r="K253" s="547"/>
    </row>
    <row r="254" spans="1:13" s="8" customFormat="1" x14ac:dyDescent="0.25">
      <c r="A254" s="545"/>
      <c r="B254"/>
      <c r="C254" s="154" t="s">
        <v>5281</v>
      </c>
      <c r="F254" s="128" t="s">
        <v>3</v>
      </c>
      <c r="G254" s="32">
        <f>0.003</f>
        <v>3.0000000000000001E-3</v>
      </c>
      <c r="H254" s="32"/>
      <c r="I254" s="559"/>
      <c r="J254" s="545"/>
      <c r="K254" s="547"/>
    </row>
    <row r="255" spans="1:13" s="8" customFormat="1" x14ac:dyDescent="0.25">
      <c r="A255" s="545"/>
      <c r="B255"/>
      <c r="C255" s="154" t="s">
        <v>13</v>
      </c>
      <c r="F255" s="128" t="s">
        <v>3</v>
      </c>
      <c r="G255" s="32">
        <v>0.15</v>
      </c>
      <c r="H255" s="32"/>
      <c r="I255" s="559"/>
      <c r="J255" s="545"/>
      <c r="K255" s="547"/>
    </row>
    <row r="256" spans="1:13" s="8" customFormat="1" x14ac:dyDescent="0.25">
      <c r="A256" s="545"/>
      <c r="B256"/>
      <c r="D256" s="54" t="s">
        <v>5318</v>
      </c>
      <c r="F256" s="128"/>
      <c r="G256" s="32"/>
      <c r="H256" s="32"/>
      <c r="I256" s="559" t="s">
        <v>5317</v>
      </c>
      <c r="J256" s="545"/>
      <c r="K256" s="547"/>
      <c r="L256" s="556"/>
      <c r="M256" s="556"/>
    </row>
    <row r="257" spans="1:13" s="8" customFormat="1" x14ac:dyDescent="0.25">
      <c r="A257" s="545"/>
      <c r="B257"/>
      <c r="D257" s="77" t="s">
        <v>39</v>
      </c>
      <c r="F257" s="128" t="s">
        <v>3</v>
      </c>
      <c r="G257" s="32">
        <f>0.1*0.05*1.3</f>
        <v>6.5000000000000014E-3</v>
      </c>
      <c r="H257" s="32"/>
      <c r="I257" s="559"/>
      <c r="J257" s="545"/>
      <c r="K257" s="547"/>
      <c r="L257" s="556"/>
      <c r="M257" s="556"/>
    </row>
    <row r="258" spans="1:13" s="8" customFormat="1" ht="17.25" x14ac:dyDescent="0.25">
      <c r="A258" s="545"/>
      <c r="B258"/>
      <c r="D258" s="77" t="s">
        <v>1055</v>
      </c>
      <c r="F258" s="152" t="s">
        <v>596</v>
      </c>
      <c r="G258" s="32">
        <f>G257</f>
        <v>6.5000000000000014E-3</v>
      </c>
      <c r="H258" s="32"/>
      <c r="I258" s="559"/>
      <c r="J258" s="545"/>
      <c r="K258" s="547"/>
      <c r="L258" s="556"/>
      <c r="M258" s="556"/>
    </row>
    <row r="259" spans="1:13" s="8" customFormat="1" x14ac:dyDescent="0.25">
      <c r="A259" s="545"/>
      <c r="B259"/>
      <c r="E259" s="54" t="s">
        <v>5320</v>
      </c>
      <c r="F259" s="128"/>
      <c r="G259" s="32"/>
      <c r="H259" s="32"/>
      <c r="I259" s="559" t="s">
        <v>5319</v>
      </c>
      <c r="J259" s="545"/>
      <c r="K259" s="547"/>
      <c r="L259" s="556"/>
      <c r="M259" s="556"/>
    </row>
    <row r="260" spans="1:13" s="8" customFormat="1" x14ac:dyDescent="0.25">
      <c r="A260" s="545"/>
      <c r="B260"/>
      <c r="E260" s="8" t="s">
        <v>5284</v>
      </c>
      <c r="F260" s="128" t="s">
        <v>3</v>
      </c>
      <c r="G260" s="32">
        <f>0.035*0.045*2*8*1.19</f>
        <v>2.9987999999999997E-2</v>
      </c>
      <c r="H260" s="32"/>
      <c r="I260" s="559"/>
      <c r="J260" s="545"/>
      <c r="K260" s="547"/>
      <c r="L260" s="556"/>
      <c r="M260" s="556"/>
    </row>
    <row r="261" spans="1:13" s="8" customFormat="1" x14ac:dyDescent="0.25">
      <c r="A261" s="545"/>
      <c r="B261"/>
      <c r="E261" s="54" t="s">
        <v>5322</v>
      </c>
      <c r="F261" s="128"/>
      <c r="G261" s="32"/>
      <c r="H261" s="32"/>
      <c r="I261" s="559" t="s">
        <v>5321</v>
      </c>
      <c r="J261" s="545"/>
      <c r="K261" s="547"/>
      <c r="L261" s="556"/>
      <c r="M261" s="556"/>
    </row>
    <row r="262" spans="1:13" s="8" customFormat="1" x14ac:dyDescent="0.25">
      <c r="A262" s="545"/>
      <c r="B262"/>
      <c r="E262" s="8" t="s">
        <v>5284</v>
      </c>
      <c r="F262" s="128" t="s">
        <v>3</v>
      </c>
      <c r="G262" s="32">
        <f>0.245*0.245*2*8*1.119</f>
        <v>1.0746875999999999</v>
      </c>
      <c r="H262" s="32"/>
      <c r="I262" s="559"/>
      <c r="J262" s="545"/>
      <c r="K262" s="547"/>
      <c r="L262" s="556"/>
      <c r="M262" s="556"/>
    </row>
    <row r="263" spans="1:13" s="8" customFormat="1" x14ac:dyDescent="0.25">
      <c r="A263" s="545"/>
      <c r="B263"/>
      <c r="D263" s="54" t="s">
        <v>5324</v>
      </c>
      <c r="F263" s="128"/>
      <c r="G263" s="32"/>
      <c r="H263" s="32"/>
      <c r="I263" s="559" t="s">
        <v>5323</v>
      </c>
      <c r="J263" s="545"/>
      <c r="K263" s="547"/>
      <c r="L263" s="556"/>
      <c r="M263" s="556"/>
    </row>
    <row r="264" spans="1:13" s="8" customFormat="1" x14ac:dyDescent="0.25">
      <c r="A264" s="545"/>
      <c r="B264"/>
      <c r="D264" s="77" t="s">
        <v>39</v>
      </c>
      <c r="F264" s="128" t="s">
        <v>3</v>
      </c>
      <c r="G264" s="32">
        <f>0.25*3.14*0.07*1.19</f>
        <v>6.5390500000000004E-2</v>
      </c>
      <c r="H264" s="32"/>
      <c r="I264" s="559"/>
      <c r="J264" s="545"/>
      <c r="K264" s="547"/>
      <c r="L264" s="556"/>
      <c r="M264" s="556"/>
    </row>
    <row r="265" spans="1:13" s="8" customFormat="1" ht="17.25" x14ac:dyDescent="0.25">
      <c r="A265" s="545"/>
      <c r="B265"/>
      <c r="D265" s="77" t="s">
        <v>1055</v>
      </c>
      <c r="F265" s="152" t="s">
        <v>596</v>
      </c>
      <c r="G265" s="32">
        <f>G264</f>
        <v>6.5390500000000004E-2</v>
      </c>
      <c r="H265" s="32"/>
      <c r="I265" s="559"/>
      <c r="J265" s="545"/>
      <c r="K265" s="547"/>
      <c r="L265" s="556"/>
      <c r="M265" s="556"/>
    </row>
    <row r="266" spans="1:13" s="8" customFormat="1" x14ac:dyDescent="0.25">
      <c r="A266" s="545"/>
      <c r="B266"/>
      <c r="E266" s="54" t="s">
        <v>5326</v>
      </c>
      <c r="F266" s="128"/>
      <c r="G266" s="32"/>
      <c r="H266" s="32"/>
      <c r="I266" s="559" t="s">
        <v>5325</v>
      </c>
      <c r="J266" s="545"/>
      <c r="K266" s="547"/>
      <c r="L266" s="556"/>
      <c r="M266" s="556"/>
    </row>
    <row r="267" spans="1:13" s="8" customFormat="1" x14ac:dyDescent="0.25">
      <c r="A267" s="545"/>
      <c r="B267"/>
      <c r="E267" s="8" t="s">
        <v>5284</v>
      </c>
      <c r="F267" s="128" t="s">
        <v>3</v>
      </c>
      <c r="G267" s="32">
        <f>2.14*0.73*2*8*1.1022</f>
        <v>27.549709440000001</v>
      </c>
      <c r="H267" s="32"/>
      <c r="I267" s="559"/>
      <c r="J267" s="545"/>
      <c r="K267" s="547"/>
      <c r="L267" s="556"/>
      <c r="M267" s="556"/>
    </row>
    <row r="268" spans="1:13" s="8" customFormat="1" x14ac:dyDescent="0.25">
      <c r="A268" s="545"/>
      <c r="B268"/>
      <c r="E268" s="8" t="s">
        <v>5302</v>
      </c>
      <c r="F268" s="128" t="s">
        <v>3</v>
      </c>
      <c r="G268" s="32">
        <v>0.11</v>
      </c>
      <c r="H268" s="32"/>
      <c r="I268" s="559"/>
      <c r="J268" s="545"/>
      <c r="K268" s="547"/>
      <c r="L268" s="556"/>
      <c r="M268" s="556"/>
    </row>
    <row r="269" spans="1:13" s="8" customFormat="1" x14ac:dyDescent="0.25">
      <c r="A269" s="545"/>
      <c r="B269"/>
      <c r="E269" s="77" t="s">
        <v>39</v>
      </c>
      <c r="F269" s="128" t="s">
        <v>3</v>
      </c>
      <c r="G269" s="32">
        <f>2*0.07*1.3</f>
        <v>0.18200000000000002</v>
      </c>
      <c r="H269" s="32"/>
      <c r="I269" s="559"/>
      <c r="J269" s="545"/>
      <c r="K269" s="547"/>
      <c r="L269" s="556"/>
      <c r="M269" s="556"/>
    </row>
    <row r="270" spans="1:13" s="8" customFormat="1" ht="17.25" x14ac:dyDescent="0.25">
      <c r="A270" s="545"/>
      <c r="B270"/>
      <c r="E270" s="77" t="s">
        <v>1055</v>
      </c>
      <c r="F270" s="152" t="s">
        <v>596</v>
      </c>
      <c r="G270" s="32">
        <f>G269</f>
        <v>0.18200000000000002</v>
      </c>
      <c r="H270" s="32"/>
      <c r="I270" s="559"/>
      <c r="J270" s="545"/>
      <c r="K270" s="547"/>
      <c r="L270" s="556"/>
      <c r="M270" s="556"/>
    </row>
    <row r="271" spans="1:13" s="8" customFormat="1" x14ac:dyDescent="0.25">
      <c r="A271" s="545"/>
      <c r="B271"/>
      <c r="E271" s="54" t="s">
        <v>5328</v>
      </c>
      <c r="F271" s="128"/>
      <c r="G271" s="32"/>
      <c r="H271" s="32"/>
      <c r="I271" s="559" t="s">
        <v>5327</v>
      </c>
      <c r="J271" s="545"/>
      <c r="K271" s="547"/>
      <c r="L271" s="556"/>
      <c r="M271" s="556"/>
    </row>
    <row r="272" spans="1:13" s="8" customFormat="1" x14ac:dyDescent="0.25">
      <c r="A272" s="545"/>
      <c r="B272"/>
      <c r="E272" s="8" t="s">
        <v>5284</v>
      </c>
      <c r="F272" s="128" t="s">
        <v>3</v>
      </c>
      <c r="G272" s="32">
        <f>2.16*0.73*2*8*1.1001</f>
        <v>27.754202880000001</v>
      </c>
      <c r="H272" s="32"/>
      <c r="I272" s="559"/>
      <c r="J272" s="545"/>
      <c r="K272" s="547"/>
      <c r="L272" s="556"/>
      <c r="M272" s="556"/>
    </row>
    <row r="273" spans="1:13" s="8" customFormat="1" x14ac:dyDescent="0.25">
      <c r="A273" s="545"/>
      <c r="B273"/>
      <c r="E273" s="77" t="s">
        <v>39</v>
      </c>
      <c r="F273" s="128" t="s">
        <v>3</v>
      </c>
      <c r="G273" s="32">
        <f>1.5*0.07*1.33</f>
        <v>0.13965000000000002</v>
      </c>
      <c r="H273" s="32"/>
      <c r="I273" s="559"/>
      <c r="J273" s="545"/>
      <c r="K273" s="547"/>
      <c r="L273" s="556"/>
      <c r="M273" s="556"/>
    </row>
    <row r="274" spans="1:13" s="8" customFormat="1" ht="17.25" x14ac:dyDescent="0.25">
      <c r="A274" s="545"/>
      <c r="B274"/>
      <c r="E274" s="77" t="s">
        <v>1055</v>
      </c>
      <c r="F274" s="152" t="s">
        <v>596</v>
      </c>
      <c r="G274" s="32">
        <f>G273</f>
        <v>0.13965000000000002</v>
      </c>
      <c r="H274" s="32"/>
      <c r="I274" s="559"/>
      <c r="J274" s="545"/>
      <c r="K274" s="547"/>
      <c r="L274" s="556"/>
      <c r="M274" s="556"/>
    </row>
    <row r="275" spans="1:13" s="8" customFormat="1" x14ac:dyDescent="0.25">
      <c r="A275" s="545"/>
      <c r="B275"/>
      <c r="D275" s="54" t="s">
        <v>5330</v>
      </c>
      <c r="F275" s="128"/>
      <c r="G275" s="32"/>
      <c r="H275" s="32"/>
      <c r="I275" s="559" t="s">
        <v>5329</v>
      </c>
      <c r="J275" s="545"/>
      <c r="K275" s="547"/>
      <c r="L275" s="556"/>
      <c r="M275" s="556"/>
    </row>
    <row r="276" spans="1:13" s="8" customFormat="1" x14ac:dyDescent="0.25">
      <c r="A276" s="545"/>
      <c r="B276"/>
      <c r="D276" s="8" t="s">
        <v>5284</v>
      </c>
      <c r="F276" s="128" t="s">
        <v>3</v>
      </c>
      <c r="G276" s="32">
        <f>0.25*0.25*2*8*1.08</f>
        <v>1.08</v>
      </c>
      <c r="H276" s="32"/>
      <c r="I276" s="559"/>
      <c r="J276" s="545"/>
      <c r="K276" s="547"/>
      <c r="L276" s="556"/>
      <c r="M276" s="556"/>
    </row>
    <row r="277" spans="1:13" s="8" customFormat="1" x14ac:dyDescent="0.25">
      <c r="A277" s="545"/>
      <c r="B277"/>
      <c r="G277" s="797"/>
      <c r="H277" s="32"/>
      <c r="I277" s="559"/>
      <c r="J277" s="545"/>
      <c r="K277" s="547"/>
      <c r="L277" s="556"/>
      <c r="M277" s="556"/>
    </row>
    <row r="278" spans="1:13" s="8" customFormat="1" x14ac:dyDescent="0.25">
      <c r="A278" s="545"/>
      <c r="B278"/>
      <c r="C278" s="54" t="s">
        <v>5332</v>
      </c>
      <c r="F278" s="128"/>
      <c r="G278" s="32"/>
      <c r="H278" s="32"/>
      <c r="I278" s="559" t="s">
        <v>5331</v>
      </c>
      <c r="J278" s="545"/>
      <c r="K278" s="547"/>
      <c r="L278" s="556"/>
      <c r="M278" s="556"/>
    </row>
    <row r="279" spans="1:13" s="8" customFormat="1" x14ac:dyDescent="0.25">
      <c r="A279" s="545"/>
      <c r="B279"/>
      <c r="C279" s="154" t="s">
        <v>723</v>
      </c>
      <c r="F279" s="128" t="s">
        <v>3</v>
      </c>
      <c r="G279" s="32">
        <v>4.0000000000000001E-3</v>
      </c>
      <c r="H279" s="32"/>
      <c r="I279" s="559"/>
      <c r="J279" s="545"/>
      <c r="K279" s="547"/>
      <c r="L279" s="556"/>
      <c r="M279" s="556"/>
    </row>
    <row r="280" spans="1:13" s="8" customFormat="1" x14ac:dyDescent="0.25">
      <c r="A280" s="545"/>
      <c r="B280"/>
      <c r="C280" s="154" t="s">
        <v>671</v>
      </c>
      <c r="F280" s="128" t="s">
        <v>3</v>
      </c>
      <c r="G280" s="32">
        <v>0.01</v>
      </c>
      <c r="H280" s="32"/>
      <c r="I280" s="559"/>
      <c r="J280" s="545"/>
      <c r="K280" s="547"/>
      <c r="L280" s="556"/>
      <c r="M280" s="556"/>
    </row>
    <row r="281" spans="1:13" s="8" customFormat="1" x14ac:dyDescent="0.25">
      <c r="A281" s="545"/>
      <c r="B281"/>
      <c r="C281" s="154" t="s">
        <v>672</v>
      </c>
      <c r="F281" s="128" t="s">
        <v>3</v>
      </c>
      <c r="G281" s="32">
        <v>0.03</v>
      </c>
      <c r="H281" s="32"/>
      <c r="I281" s="559"/>
      <c r="J281" s="545"/>
      <c r="K281" s="547"/>
      <c r="L281" s="556"/>
      <c r="M281" s="556"/>
    </row>
    <row r="282" spans="1:13" s="8" customFormat="1" x14ac:dyDescent="0.25">
      <c r="A282" s="545"/>
      <c r="B282"/>
      <c r="D282" s="54" t="s">
        <v>5334</v>
      </c>
      <c r="F282" s="128"/>
      <c r="G282" s="544" t="s">
        <v>4588</v>
      </c>
      <c r="H282" s="32"/>
      <c r="I282" s="559" t="s">
        <v>5333</v>
      </c>
      <c r="J282" s="545"/>
      <c r="K282" s="547"/>
    </row>
    <row r="283" spans="1:13" s="8" customFormat="1" x14ac:dyDescent="0.25">
      <c r="A283" s="545"/>
      <c r="B283"/>
      <c r="D283" s="154" t="s">
        <v>5335</v>
      </c>
      <c r="F283" s="128" t="s">
        <v>195</v>
      </c>
      <c r="G283" s="32">
        <v>4.05</v>
      </c>
      <c r="H283" s="32"/>
      <c r="I283" s="559"/>
      <c r="J283" s="545"/>
      <c r="K283" s="547"/>
    </row>
    <row r="284" spans="1:13" s="8" customFormat="1" x14ac:dyDescent="0.25">
      <c r="A284" s="545"/>
      <c r="B284"/>
      <c r="D284" s="54" t="s">
        <v>5337</v>
      </c>
      <c r="F284" s="128"/>
      <c r="G284" s="32"/>
      <c r="H284" s="32"/>
      <c r="I284" s="559" t="s">
        <v>5336</v>
      </c>
      <c r="J284" s="545"/>
      <c r="K284" s="547"/>
    </row>
    <row r="285" spans="1:13" s="8" customFormat="1" x14ac:dyDescent="0.25">
      <c r="A285" s="545"/>
      <c r="B285"/>
      <c r="D285" s="154" t="s">
        <v>5338</v>
      </c>
      <c r="F285" s="128" t="s">
        <v>195</v>
      </c>
      <c r="G285" s="32">
        <v>0.55000000000000004</v>
      </c>
      <c r="H285" s="32"/>
      <c r="I285" s="559"/>
      <c r="J285" s="545"/>
      <c r="K285" s="547"/>
    </row>
    <row r="286" spans="1:13" s="8" customFormat="1" x14ac:dyDescent="0.25">
      <c r="A286" s="545"/>
      <c r="B286"/>
      <c r="C286" s="54"/>
      <c r="D286" s="54" t="s">
        <v>5340</v>
      </c>
      <c r="F286" s="128"/>
      <c r="G286" s="32"/>
      <c r="H286" s="32"/>
      <c r="I286" s="559" t="s">
        <v>5339</v>
      </c>
      <c r="J286" s="545"/>
      <c r="K286" s="547"/>
    </row>
    <row r="287" spans="1:13" s="8" customFormat="1" x14ac:dyDescent="0.25">
      <c r="A287" s="545"/>
      <c r="B287"/>
      <c r="C287" s="54"/>
      <c r="D287" s="8" t="s">
        <v>5284</v>
      </c>
      <c r="F287" s="128" t="s">
        <v>3</v>
      </c>
      <c r="G287" s="32">
        <f>0.02*0.02*2*8*1.1</f>
        <v>7.0400000000000011E-3</v>
      </c>
      <c r="H287" s="32"/>
      <c r="I287" s="559"/>
      <c r="J287" s="545"/>
      <c r="K287" s="547"/>
    </row>
    <row r="288" spans="1:13" s="8" customFormat="1" x14ac:dyDescent="0.25">
      <c r="A288" s="545"/>
      <c r="B288"/>
      <c r="D288" s="54" t="s">
        <v>5342</v>
      </c>
      <c r="F288" s="128"/>
      <c r="G288" s="32"/>
      <c r="H288" s="32"/>
      <c r="I288" s="559" t="s">
        <v>5341</v>
      </c>
      <c r="J288" s="545"/>
      <c r="K288" s="547"/>
    </row>
    <row r="289" spans="1:11" s="8" customFormat="1" x14ac:dyDescent="0.25">
      <c r="A289" s="545"/>
      <c r="B289"/>
      <c r="D289" s="8" t="s">
        <v>2546</v>
      </c>
      <c r="F289" s="128" t="s">
        <v>3</v>
      </c>
      <c r="G289" s="32">
        <f>0.075*0.02*3*8*1.1</f>
        <v>3.960000000000001E-2</v>
      </c>
      <c r="H289" s="32"/>
      <c r="I289" s="559"/>
      <c r="J289" s="545"/>
      <c r="K289" s="547"/>
    </row>
    <row r="290" spans="1:11" s="8" customFormat="1" x14ac:dyDescent="0.25">
      <c r="A290" s="545"/>
      <c r="B290"/>
      <c r="D290" s="54" t="s">
        <v>5344</v>
      </c>
      <c r="F290" s="128"/>
      <c r="G290" s="32"/>
      <c r="H290" s="32"/>
      <c r="I290" s="559" t="s">
        <v>5343</v>
      </c>
      <c r="J290" s="545"/>
      <c r="K290" s="547"/>
    </row>
    <row r="291" spans="1:11" s="8" customFormat="1" x14ac:dyDescent="0.25">
      <c r="A291" s="545"/>
      <c r="B291"/>
      <c r="D291" s="8" t="s">
        <v>2546</v>
      </c>
      <c r="F291" s="128" t="s">
        <v>3</v>
      </c>
      <c r="G291" s="32">
        <f>0.042*0.02*3*8*1.15</f>
        <v>2.3184E-2</v>
      </c>
      <c r="H291" s="32"/>
      <c r="I291" s="559"/>
      <c r="J291" s="545"/>
      <c r="K291" s="547"/>
    </row>
    <row r="292" spans="1:11" s="8" customFormat="1" x14ac:dyDescent="0.25">
      <c r="A292" s="545"/>
      <c r="B292"/>
      <c r="C292" s="54"/>
      <c r="G292" s="32"/>
      <c r="H292" s="32"/>
      <c r="I292" s="559"/>
      <c r="J292" s="545"/>
      <c r="K292" s="547"/>
    </row>
    <row r="293" spans="1:11" s="8" customFormat="1" x14ac:dyDescent="0.25">
      <c r="A293" s="545"/>
      <c r="B293"/>
      <c r="C293" s="54" t="s">
        <v>5346</v>
      </c>
      <c r="F293" s="128"/>
      <c r="G293" s="32"/>
      <c r="H293" s="32"/>
      <c r="I293" s="559" t="s">
        <v>5345</v>
      </c>
      <c r="J293" s="545"/>
      <c r="K293" s="547"/>
    </row>
    <row r="294" spans="1:11" s="8" customFormat="1" x14ac:dyDescent="0.25">
      <c r="A294" s="545"/>
      <c r="B294"/>
      <c r="C294" s="77" t="s">
        <v>39</v>
      </c>
      <c r="F294" s="128" t="s">
        <v>3</v>
      </c>
      <c r="G294" s="32">
        <f>0.1*0.05*1.3</f>
        <v>6.5000000000000014E-3</v>
      </c>
      <c r="H294" s="32"/>
      <c r="I294" s="559"/>
      <c r="J294" s="545"/>
      <c r="K294" s="547"/>
    </row>
    <row r="295" spans="1:11" s="8" customFormat="1" ht="17.25" x14ac:dyDescent="0.25">
      <c r="A295" s="545"/>
      <c r="B295"/>
      <c r="C295" s="77" t="s">
        <v>1055</v>
      </c>
      <c r="F295" s="152" t="s">
        <v>596</v>
      </c>
      <c r="G295" s="32">
        <f>1.5*G294</f>
        <v>9.7500000000000017E-3</v>
      </c>
      <c r="H295" s="32"/>
      <c r="I295" s="559"/>
      <c r="J295" s="545"/>
      <c r="K295" s="547"/>
    </row>
    <row r="296" spans="1:11" s="8" customFormat="1" x14ac:dyDescent="0.25">
      <c r="A296" s="545"/>
      <c r="B296"/>
      <c r="C296" s="154" t="s">
        <v>8</v>
      </c>
      <c r="F296" s="128" t="s">
        <v>3</v>
      </c>
      <c r="G296" s="32">
        <v>0.25</v>
      </c>
      <c r="H296" s="32"/>
      <c r="I296" s="559"/>
      <c r="J296" s="545"/>
      <c r="K296" s="547"/>
    </row>
    <row r="297" spans="1:11" s="8" customFormat="1" x14ac:dyDescent="0.25">
      <c r="A297" s="545"/>
      <c r="B297"/>
      <c r="C297" s="154" t="s">
        <v>12</v>
      </c>
      <c r="F297" s="128" t="s">
        <v>3</v>
      </c>
      <c r="G297" s="32">
        <f>0.3*G296</f>
        <v>7.4999999999999997E-2</v>
      </c>
      <c r="H297" s="32"/>
      <c r="I297" s="559"/>
      <c r="J297" s="545"/>
      <c r="K297" s="547"/>
    </row>
    <row r="298" spans="1:11" s="8" customFormat="1" x14ac:dyDescent="0.25">
      <c r="A298" s="545"/>
      <c r="B298"/>
      <c r="C298" s="154" t="s">
        <v>72</v>
      </c>
      <c r="F298" s="128" t="s">
        <v>3</v>
      </c>
      <c r="G298" s="32">
        <f>(0.64*0.43+0.14*0.18*2)*2*0.18*2*1.2-0.001</f>
        <v>0.28031839999999997</v>
      </c>
      <c r="H298" s="32"/>
      <c r="I298" s="559"/>
      <c r="J298" s="545"/>
      <c r="K298" s="547"/>
    </row>
    <row r="299" spans="1:11" s="8" customFormat="1" x14ac:dyDescent="0.25">
      <c r="A299" s="545"/>
      <c r="B299"/>
      <c r="C299" s="154" t="s">
        <v>11</v>
      </c>
      <c r="F299" s="128" t="s">
        <v>3</v>
      </c>
      <c r="G299" s="32">
        <f>0.3*G298</f>
        <v>8.4095519999999993E-2</v>
      </c>
      <c r="H299" s="32"/>
      <c r="I299" s="559"/>
      <c r="J299" s="545"/>
      <c r="K299" s="547"/>
    </row>
    <row r="300" spans="1:11" s="8" customFormat="1" x14ac:dyDescent="0.25">
      <c r="A300" s="545"/>
      <c r="B300"/>
      <c r="C300" s="54"/>
      <c r="D300" s="54" t="s">
        <v>5348</v>
      </c>
      <c r="F300" s="128"/>
      <c r="G300" s="32"/>
      <c r="H300" s="32"/>
      <c r="I300" s="559" t="s">
        <v>5347</v>
      </c>
      <c r="J300" s="545"/>
      <c r="K300" s="547"/>
    </row>
    <row r="301" spans="1:11" s="8" customFormat="1" x14ac:dyDescent="0.25">
      <c r="A301" s="545"/>
      <c r="B301"/>
      <c r="C301" s="54"/>
      <c r="D301" s="77" t="s">
        <v>39</v>
      </c>
      <c r="F301" s="128" t="s">
        <v>3</v>
      </c>
      <c r="G301" s="32">
        <f>0.2*0.07*1.3</f>
        <v>1.8200000000000004E-2</v>
      </c>
      <c r="H301" s="32"/>
      <c r="I301" s="559"/>
      <c r="J301" s="545"/>
      <c r="K301" s="547"/>
    </row>
    <row r="302" spans="1:11" s="8" customFormat="1" ht="17.25" x14ac:dyDescent="0.25">
      <c r="A302" s="545"/>
      <c r="B302"/>
      <c r="C302" s="54"/>
      <c r="D302" s="77" t="s">
        <v>1055</v>
      </c>
      <c r="F302" s="152" t="s">
        <v>596</v>
      </c>
      <c r="G302" s="32">
        <f>G301</f>
        <v>1.8200000000000004E-2</v>
      </c>
      <c r="H302" s="32"/>
      <c r="I302" s="559"/>
      <c r="J302" s="545"/>
      <c r="K302" s="547"/>
    </row>
    <row r="303" spans="1:11" s="8" customFormat="1" x14ac:dyDescent="0.25">
      <c r="A303" s="545"/>
      <c r="B303"/>
      <c r="C303" s="54"/>
      <c r="E303" s="54" t="s">
        <v>5350</v>
      </c>
      <c r="F303" s="557"/>
      <c r="G303" s="32"/>
      <c r="H303" s="32"/>
      <c r="I303" s="559" t="s">
        <v>5349</v>
      </c>
      <c r="J303" s="545"/>
      <c r="K303" s="547"/>
    </row>
    <row r="304" spans="1:11" s="8" customFormat="1" x14ac:dyDescent="0.25">
      <c r="A304" s="545"/>
      <c r="B304"/>
      <c r="C304" s="54"/>
      <c r="E304" s="54" t="s">
        <v>5436</v>
      </c>
      <c r="F304" s="128"/>
      <c r="G304" s="32"/>
      <c r="H304" s="32"/>
      <c r="I304" s="559" t="s">
        <v>5351</v>
      </c>
      <c r="J304" s="545"/>
      <c r="K304" s="547"/>
    </row>
    <row r="305" spans="1:11" s="8" customFormat="1" x14ac:dyDescent="0.25">
      <c r="A305" s="545"/>
      <c r="B305"/>
      <c r="C305" s="54"/>
      <c r="E305" s="154" t="s">
        <v>5437</v>
      </c>
      <c r="F305" s="128" t="s">
        <v>3</v>
      </c>
      <c r="G305" s="32">
        <f>0.051*0.036*0.8*8*1.15</f>
        <v>1.3512959999999997E-2</v>
      </c>
      <c r="H305" s="32"/>
      <c r="I305" s="559"/>
      <c r="J305" s="545"/>
      <c r="K305" s="547"/>
    </row>
    <row r="306" spans="1:11" s="8" customFormat="1" x14ac:dyDescent="0.25">
      <c r="A306" s="545"/>
      <c r="B306"/>
      <c r="C306" s="54"/>
      <c r="E306" s="54" t="s">
        <v>5353</v>
      </c>
      <c r="F306" s="128"/>
      <c r="G306" s="32"/>
      <c r="H306" s="32"/>
      <c r="I306" s="559" t="s">
        <v>5352</v>
      </c>
      <c r="J306" s="545"/>
      <c r="K306" s="547"/>
    </row>
    <row r="307" spans="1:11" s="8" customFormat="1" x14ac:dyDescent="0.25">
      <c r="A307" s="545"/>
      <c r="B307"/>
      <c r="C307" s="54"/>
      <c r="E307" s="154" t="s">
        <v>177</v>
      </c>
      <c r="F307" s="128" t="s">
        <v>3</v>
      </c>
      <c r="G307" s="32">
        <f>0.632*0.37*1*8*1.1225</f>
        <v>2.0998831999999998</v>
      </c>
      <c r="H307" s="32"/>
      <c r="I307" s="559"/>
      <c r="J307" s="545"/>
      <c r="K307" s="547"/>
    </row>
    <row r="308" spans="1:11" s="8" customFormat="1" x14ac:dyDescent="0.25">
      <c r="A308" s="545"/>
      <c r="B308"/>
      <c r="C308" s="54"/>
      <c r="E308" s="54" t="s">
        <v>5355</v>
      </c>
      <c r="F308" s="128"/>
      <c r="G308" s="32"/>
      <c r="H308" s="32"/>
      <c r="I308" s="559" t="s">
        <v>5354</v>
      </c>
      <c r="J308" s="545"/>
      <c r="K308" s="547"/>
    </row>
    <row r="309" spans="1:11" s="8" customFormat="1" x14ac:dyDescent="0.25">
      <c r="A309" s="545"/>
      <c r="B309"/>
      <c r="C309" s="54"/>
      <c r="E309" s="154" t="s">
        <v>177</v>
      </c>
      <c r="F309" s="128" t="s">
        <v>3</v>
      </c>
      <c r="G309" s="32">
        <f>0.195*0.155*1*8*1.12</f>
        <v>0.27081600000000006</v>
      </c>
      <c r="H309" s="32"/>
      <c r="I309" s="559"/>
      <c r="J309" s="545"/>
      <c r="K309" s="547"/>
    </row>
    <row r="310" spans="1:11" s="8" customFormat="1" x14ac:dyDescent="0.25">
      <c r="A310" s="545"/>
      <c r="B310"/>
      <c r="C310" s="54"/>
      <c r="E310" s="77" t="s">
        <v>39</v>
      </c>
      <c r="F310" s="128" t="s">
        <v>3</v>
      </c>
      <c r="G310" s="32">
        <f>0.05*0.08*1.2</f>
        <v>4.7999999999999996E-3</v>
      </c>
      <c r="H310" s="32"/>
      <c r="I310" s="559"/>
      <c r="J310" s="545"/>
      <c r="K310" s="547"/>
    </row>
    <row r="311" spans="1:11" s="8" customFormat="1" ht="17.25" x14ac:dyDescent="0.25">
      <c r="A311" s="545"/>
      <c r="B311"/>
      <c r="C311" s="54"/>
      <c r="E311" s="77" t="s">
        <v>1055</v>
      </c>
      <c r="F311" s="152" t="s">
        <v>596</v>
      </c>
      <c r="G311" s="32">
        <f>G310</f>
        <v>4.7999999999999996E-3</v>
      </c>
      <c r="H311" s="32"/>
      <c r="I311" s="559"/>
      <c r="J311" s="545"/>
      <c r="K311" s="547"/>
    </row>
    <row r="312" spans="1:11" s="8" customFormat="1" x14ac:dyDescent="0.25">
      <c r="A312" s="545"/>
      <c r="B312"/>
      <c r="C312" s="54"/>
      <c r="E312" s="54" t="s">
        <v>5357</v>
      </c>
      <c r="F312" s="128"/>
      <c r="G312" s="32"/>
      <c r="H312" s="32"/>
      <c r="I312" s="559" t="s">
        <v>5356</v>
      </c>
      <c r="J312" s="545"/>
      <c r="K312" s="547"/>
    </row>
    <row r="313" spans="1:11" s="8" customFormat="1" x14ac:dyDescent="0.25">
      <c r="A313" s="545"/>
      <c r="B313"/>
      <c r="C313" s="54"/>
      <c r="E313" s="154" t="s">
        <v>847</v>
      </c>
      <c r="F313" s="128" t="s">
        <v>3</v>
      </c>
      <c r="G313" s="32">
        <f>0.05*0.03*3*8*1.12</f>
        <v>4.0320000000000009E-2</v>
      </c>
      <c r="H313" s="32"/>
      <c r="I313" s="559"/>
      <c r="J313" s="545"/>
      <c r="K313" s="547"/>
    </row>
    <row r="314" spans="1:11" s="8" customFormat="1" x14ac:dyDescent="0.25">
      <c r="A314" s="545"/>
      <c r="B314"/>
      <c r="C314" s="54"/>
      <c r="E314" s="54" t="s">
        <v>5359</v>
      </c>
      <c r="F314" s="128"/>
      <c r="G314" s="32"/>
      <c r="H314" s="32"/>
      <c r="I314" s="559" t="s">
        <v>5358</v>
      </c>
      <c r="J314" s="545"/>
      <c r="K314" s="547"/>
    </row>
    <row r="315" spans="1:11" s="8" customFormat="1" x14ac:dyDescent="0.25">
      <c r="A315" s="545"/>
      <c r="B315"/>
      <c r="C315" s="54"/>
      <c r="E315" s="154" t="s">
        <v>177</v>
      </c>
      <c r="F315" s="128" t="s">
        <v>3</v>
      </c>
      <c r="G315" s="32">
        <f>0.47*0.18*1*8*1.123</f>
        <v>0.7600463999999999</v>
      </c>
      <c r="H315" s="32"/>
      <c r="I315" s="559"/>
      <c r="J315" s="545"/>
      <c r="K315" s="547"/>
    </row>
    <row r="316" spans="1:11" s="8" customFormat="1" x14ac:dyDescent="0.25">
      <c r="A316" s="545"/>
      <c r="B316"/>
      <c r="C316" s="54"/>
      <c r="E316" s="54" t="s">
        <v>5361</v>
      </c>
      <c r="F316" s="128"/>
      <c r="G316" s="32"/>
      <c r="H316" s="32"/>
      <c r="I316" s="559" t="s">
        <v>5360</v>
      </c>
      <c r="J316" s="545"/>
      <c r="K316" s="547"/>
    </row>
    <row r="317" spans="1:11" s="8" customFormat="1" x14ac:dyDescent="0.25">
      <c r="A317" s="545"/>
      <c r="B317"/>
      <c r="C317" s="54"/>
      <c r="E317" s="8" t="s">
        <v>5362</v>
      </c>
      <c r="F317" s="128" t="s">
        <v>3</v>
      </c>
      <c r="G317" s="32">
        <f>0.01*0.05*5*8*1.1</f>
        <v>2.2000000000000002E-2</v>
      </c>
      <c r="H317" s="32"/>
      <c r="I317" s="559"/>
      <c r="J317" s="545"/>
      <c r="K317" s="547"/>
    </row>
    <row r="318" spans="1:11" s="8" customFormat="1" x14ac:dyDescent="0.25">
      <c r="A318" s="545"/>
      <c r="B318"/>
      <c r="C318" s="54"/>
      <c r="E318" s="54" t="s">
        <v>5364</v>
      </c>
      <c r="F318" s="128"/>
      <c r="G318" s="32"/>
      <c r="H318" s="32"/>
      <c r="I318" s="559" t="s">
        <v>5363</v>
      </c>
      <c r="J318" s="545"/>
      <c r="K318" s="547"/>
    </row>
    <row r="319" spans="1:11" s="8" customFormat="1" x14ac:dyDescent="0.25">
      <c r="A319" s="545"/>
      <c r="B319"/>
      <c r="C319" s="54"/>
      <c r="E319" s="154" t="s">
        <v>177</v>
      </c>
      <c r="F319" s="128" t="s">
        <v>3</v>
      </c>
      <c r="G319" s="32">
        <f>0.085*0.06*1*8*1.1</f>
        <v>4.488000000000001E-2</v>
      </c>
      <c r="H319" s="32"/>
      <c r="I319" s="559"/>
      <c r="J319" s="545"/>
      <c r="K319" s="547"/>
    </row>
    <row r="320" spans="1:11" s="8" customFormat="1" x14ac:dyDescent="0.25">
      <c r="A320" s="545"/>
      <c r="B320"/>
      <c r="C320" s="54"/>
      <c r="D320" s="54" t="s">
        <v>5366</v>
      </c>
      <c r="F320" s="128"/>
      <c r="G320" s="32"/>
      <c r="H320" s="32"/>
      <c r="I320" s="559" t="s">
        <v>5365</v>
      </c>
      <c r="J320" s="545"/>
      <c r="K320" s="547"/>
    </row>
    <row r="321" spans="1:11" s="8" customFormat="1" x14ac:dyDescent="0.25">
      <c r="A321" s="545"/>
      <c r="B321"/>
      <c r="C321" s="54"/>
      <c r="D321" s="77" t="s">
        <v>39</v>
      </c>
      <c r="F321" s="128" t="s">
        <v>3</v>
      </c>
      <c r="G321" s="32">
        <f>0.15*0.05*1.2</f>
        <v>8.9999999999999993E-3</v>
      </c>
      <c r="H321" s="32"/>
      <c r="I321" s="559"/>
      <c r="J321" s="545"/>
      <c r="K321" s="547"/>
    </row>
    <row r="322" spans="1:11" s="8" customFormat="1" ht="17.25" x14ac:dyDescent="0.25">
      <c r="A322" s="545"/>
      <c r="B322"/>
      <c r="C322" s="54"/>
      <c r="D322" s="77" t="s">
        <v>1055</v>
      </c>
      <c r="F322" s="152" t="s">
        <v>596</v>
      </c>
      <c r="G322" s="32">
        <f>G321</f>
        <v>8.9999999999999993E-3</v>
      </c>
      <c r="H322" s="32"/>
      <c r="I322" s="559"/>
      <c r="J322" s="545"/>
      <c r="K322" s="547"/>
    </row>
    <row r="323" spans="1:11" s="8" customFormat="1" x14ac:dyDescent="0.25">
      <c r="A323" s="545"/>
      <c r="B323"/>
      <c r="C323" s="54"/>
      <c r="E323" s="54" t="s">
        <v>5368</v>
      </c>
      <c r="F323" s="128"/>
      <c r="G323" s="32"/>
      <c r="H323" s="32"/>
      <c r="I323" s="559" t="s">
        <v>5367</v>
      </c>
      <c r="J323" s="545"/>
      <c r="K323" s="547"/>
    </row>
    <row r="324" spans="1:11" s="8" customFormat="1" x14ac:dyDescent="0.25">
      <c r="A324" s="545"/>
      <c r="B324"/>
      <c r="C324" s="54"/>
      <c r="E324" s="77" t="s">
        <v>39</v>
      </c>
      <c r="F324" s="128" t="s">
        <v>3</v>
      </c>
      <c r="G324" s="32">
        <f>0.03*0.08*1.2</f>
        <v>2.8799999999999997E-3</v>
      </c>
      <c r="H324" s="32"/>
      <c r="I324" s="559"/>
      <c r="J324" s="545"/>
      <c r="K324" s="547"/>
    </row>
    <row r="325" spans="1:11" s="8" customFormat="1" ht="17.25" x14ac:dyDescent="0.25">
      <c r="A325" s="545"/>
      <c r="B325"/>
      <c r="C325" s="54"/>
      <c r="E325" s="77" t="s">
        <v>1055</v>
      </c>
      <c r="F325" s="152" t="s">
        <v>596</v>
      </c>
      <c r="G325" s="32">
        <f>G324</f>
        <v>2.8799999999999997E-3</v>
      </c>
      <c r="H325" s="32"/>
      <c r="I325" s="559"/>
      <c r="J325" s="545"/>
      <c r="K325" s="547"/>
    </row>
    <row r="326" spans="1:11" s="8" customFormat="1" x14ac:dyDescent="0.25">
      <c r="A326" s="545"/>
      <c r="B326"/>
      <c r="C326" s="54"/>
      <c r="E326" s="561" t="s">
        <v>5370</v>
      </c>
      <c r="F326" s="128"/>
      <c r="G326" s="32"/>
      <c r="H326" s="32"/>
      <c r="I326" s="559" t="s">
        <v>5369</v>
      </c>
      <c r="J326" s="545"/>
      <c r="K326" s="547"/>
    </row>
    <row r="327" spans="1:11" s="8" customFormat="1" x14ac:dyDescent="0.25">
      <c r="A327" s="545"/>
      <c r="B327"/>
      <c r="C327" s="54"/>
      <c r="E327" s="34" t="s">
        <v>5371</v>
      </c>
      <c r="F327" s="128" t="s">
        <v>3</v>
      </c>
      <c r="G327" s="32">
        <f>0.08*0.022*3*8*1.1</f>
        <v>4.6464000000000005E-2</v>
      </c>
      <c r="H327" s="32"/>
      <c r="I327" s="559"/>
      <c r="J327" s="545"/>
      <c r="K327" s="547"/>
    </row>
    <row r="328" spans="1:11" s="8" customFormat="1" x14ac:dyDescent="0.25">
      <c r="A328" s="545"/>
      <c r="B328"/>
      <c r="C328" s="54"/>
      <c r="E328" s="561" t="s">
        <v>5373</v>
      </c>
      <c r="F328" s="128"/>
      <c r="G328" s="32"/>
      <c r="H328" s="32"/>
      <c r="I328" s="559" t="s">
        <v>5372</v>
      </c>
      <c r="J328" s="545"/>
      <c r="K328" s="547"/>
    </row>
    <row r="329" spans="1:11" s="8" customFormat="1" x14ac:dyDescent="0.25">
      <c r="A329" s="545"/>
      <c r="B329"/>
      <c r="C329" s="54"/>
      <c r="E329" s="562" t="s">
        <v>920</v>
      </c>
      <c r="F329" s="128" t="s">
        <v>3</v>
      </c>
      <c r="G329" s="32">
        <f>0.13*0.035*4*8*1.15</f>
        <v>0.16744000000000001</v>
      </c>
      <c r="H329" s="32"/>
      <c r="I329" s="559"/>
      <c r="J329" s="545"/>
      <c r="K329" s="547"/>
    </row>
    <row r="330" spans="1:11" s="8" customFormat="1" x14ac:dyDescent="0.25">
      <c r="A330" s="545"/>
      <c r="B330"/>
      <c r="C330" s="54"/>
      <c r="E330" s="54" t="s">
        <v>5375</v>
      </c>
      <c r="F330" s="128"/>
      <c r="G330" s="32"/>
      <c r="H330" s="32"/>
      <c r="I330" s="559" t="s">
        <v>5374</v>
      </c>
      <c r="J330" s="545"/>
      <c r="K330" s="547"/>
    </row>
    <row r="331" spans="1:11" s="8" customFormat="1" x14ac:dyDescent="0.25">
      <c r="A331" s="545"/>
      <c r="B331"/>
      <c r="C331" s="54"/>
      <c r="E331" s="77" t="s">
        <v>39</v>
      </c>
      <c r="F331" s="128" t="s">
        <v>3</v>
      </c>
      <c r="G331" s="32">
        <f>0.03*0.08*1.2</f>
        <v>2.8799999999999997E-3</v>
      </c>
      <c r="H331" s="32"/>
      <c r="I331" s="559"/>
      <c r="J331" s="545"/>
      <c r="K331" s="547"/>
    </row>
    <row r="332" spans="1:11" s="8" customFormat="1" ht="17.25" x14ac:dyDescent="0.25">
      <c r="A332" s="545"/>
      <c r="B332"/>
      <c r="C332" s="54"/>
      <c r="E332" s="77" t="s">
        <v>1055</v>
      </c>
      <c r="F332" s="152" t="s">
        <v>596</v>
      </c>
      <c r="G332" s="32">
        <f>G331</f>
        <v>2.8799999999999997E-3</v>
      </c>
      <c r="H332" s="32"/>
      <c r="I332" s="559"/>
      <c r="J332" s="545"/>
      <c r="K332" s="547"/>
    </row>
    <row r="333" spans="1:11" s="8" customFormat="1" x14ac:dyDescent="0.25">
      <c r="A333" s="545"/>
      <c r="B333"/>
      <c r="C333" s="54"/>
      <c r="E333" s="561" t="s">
        <v>5377</v>
      </c>
      <c r="F333" s="128"/>
      <c r="G333" s="32"/>
      <c r="H333" s="32"/>
      <c r="I333" s="559" t="s">
        <v>5376</v>
      </c>
      <c r="J333" s="545"/>
      <c r="K333" s="547"/>
    </row>
    <row r="334" spans="1:11" s="8" customFormat="1" x14ac:dyDescent="0.25">
      <c r="A334" s="545"/>
      <c r="B334"/>
      <c r="C334" s="54"/>
      <c r="E334" s="562" t="s">
        <v>920</v>
      </c>
      <c r="F334" s="128" t="s">
        <v>3</v>
      </c>
      <c r="G334" s="32">
        <f>0.105*0.035*4*8*1.12</f>
        <v>0.13171200000000002</v>
      </c>
      <c r="H334" s="32"/>
      <c r="I334" s="559"/>
      <c r="J334" s="545"/>
      <c r="K334" s="547"/>
    </row>
    <row r="335" spans="1:11" s="8" customFormat="1" x14ac:dyDescent="0.25">
      <c r="A335" s="545"/>
      <c r="B335"/>
      <c r="C335" s="54"/>
      <c r="E335" s="561" t="s">
        <v>5379</v>
      </c>
      <c r="F335" s="128"/>
      <c r="G335" s="32"/>
      <c r="H335" s="32"/>
      <c r="I335" s="559" t="s">
        <v>5378</v>
      </c>
      <c r="J335" s="545"/>
      <c r="K335" s="547"/>
    </row>
    <row r="336" spans="1:11" s="8" customFormat="1" x14ac:dyDescent="0.25">
      <c r="A336" s="545"/>
      <c r="B336"/>
      <c r="C336" s="54"/>
      <c r="E336" s="34" t="s">
        <v>5371</v>
      </c>
      <c r="F336" s="128" t="s">
        <v>3</v>
      </c>
      <c r="G336" s="32">
        <f>0.07*0.022*3*8*1.12</f>
        <v>4.1395200000000014E-2</v>
      </c>
      <c r="H336" s="32"/>
      <c r="I336" s="559"/>
      <c r="J336" s="545"/>
      <c r="K336" s="547"/>
    </row>
    <row r="337" spans="1:11" s="8" customFormat="1" x14ac:dyDescent="0.25">
      <c r="A337" s="545"/>
      <c r="B337"/>
      <c r="C337" s="54"/>
      <c r="E337" s="54" t="s">
        <v>5381</v>
      </c>
      <c r="F337" s="128"/>
      <c r="G337" s="32"/>
      <c r="H337" s="32"/>
      <c r="I337" s="559" t="s">
        <v>5380</v>
      </c>
      <c r="J337" s="545"/>
      <c r="K337" s="547"/>
    </row>
    <row r="338" spans="1:11" s="8" customFormat="1" x14ac:dyDescent="0.25">
      <c r="A338" s="545"/>
      <c r="B338"/>
      <c r="C338" s="54"/>
      <c r="E338" s="8" t="s">
        <v>5142</v>
      </c>
      <c r="F338" s="128" t="s">
        <v>3</v>
      </c>
      <c r="G338" s="32">
        <f>0.03*0.02*2*8*1.12</f>
        <v>1.0751999999999999E-2</v>
      </c>
      <c r="H338" s="32"/>
      <c r="I338" s="559"/>
      <c r="J338" s="545"/>
      <c r="K338" s="547"/>
    </row>
    <row r="339" spans="1:11" s="8" customFormat="1" x14ac:dyDescent="0.25">
      <c r="A339" s="545"/>
      <c r="B339"/>
      <c r="C339" s="54"/>
      <c r="E339" s="54" t="s">
        <v>5383</v>
      </c>
      <c r="F339" s="128"/>
      <c r="G339" s="32"/>
      <c r="H339" s="32"/>
      <c r="I339" s="559" t="s">
        <v>5382</v>
      </c>
      <c r="J339" s="545"/>
      <c r="K339" s="547"/>
    </row>
    <row r="340" spans="1:11" s="8" customFormat="1" x14ac:dyDescent="0.25">
      <c r="A340" s="545"/>
      <c r="B340"/>
      <c r="C340" s="54"/>
      <c r="E340" s="154" t="s">
        <v>177</v>
      </c>
      <c r="F340" s="128" t="s">
        <v>3</v>
      </c>
      <c r="G340" s="32">
        <f>0.31*0.17*1*8*1.2</f>
        <v>0.50592000000000004</v>
      </c>
      <c r="H340" s="32"/>
      <c r="I340" s="559"/>
      <c r="J340" s="545"/>
      <c r="K340" s="547"/>
    </row>
    <row r="341" spans="1:11" s="8" customFormat="1" x14ac:dyDescent="0.25">
      <c r="A341" s="545"/>
      <c r="B341"/>
      <c r="C341" s="54"/>
      <c r="E341" s="77" t="s">
        <v>39</v>
      </c>
      <c r="F341" s="128" t="s">
        <v>3</v>
      </c>
      <c r="G341" s="32">
        <f>0.3*0.05*1.1</f>
        <v>1.6500000000000001E-2</v>
      </c>
      <c r="H341" s="32"/>
      <c r="I341" s="559"/>
      <c r="J341" s="545"/>
      <c r="K341" s="547"/>
    </row>
    <row r="342" spans="1:11" s="8" customFormat="1" ht="17.25" x14ac:dyDescent="0.25">
      <c r="A342" s="545"/>
      <c r="B342"/>
      <c r="C342" s="54"/>
      <c r="E342" s="77" t="s">
        <v>1055</v>
      </c>
      <c r="F342" s="152" t="s">
        <v>596</v>
      </c>
      <c r="G342" s="32">
        <f>G341</f>
        <v>1.6500000000000001E-2</v>
      </c>
      <c r="H342" s="32"/>
      <c r="I342" s="559"/>
      <c r="J342" s="545"/>
      <c r="K342" s="547"/>
    </row>
    <row r="343" spans="1:11" s="8" customFormat="1" x14ac:dyDescent="0.25">
      <c r="A343" s="545"/>
      <c r="B343"/>
      <c r="C343" s="54"/>
      <c r="E343" s="54" t="s">
        <v>5385</v>
      </c>
      <c r="F343" s="128"/>
      <c r="G343" s="32"/>
      <c r="H343" s="32"/>
      <c r="I343" s="559" t="s">
        <v>5384</v>
      </c>
      <c r="J343" s="545"/>
      <c r="K343" s="547"/>
    </row>
    <row r="344" spans="1:11" s="8" customFormat="1" x14ac:dyDescent="0.25">
      <c r="A344" s="545"/>
      <c r="B344"/>
      <c r="C344" s="54"/>
      <c r="E344" s="154" t="s">
        <v>177</v>
      </c>
      <c r="F344" s="128" t="s">
        <v>3</v>
      </c>
      <c r="G344" s="32">
        <f>0.6*0.021*1*8*1.1</f>
        <v>0.11088000000000001</v>
      </c>
      <c r="H344" s="32"/>
      <c r="I344" s="559"/>
      <c r="J344" s="545"/>
      <c r="K344" s="547"/>
    </row>
    <row r="345" spans="1:11" s="8" customFormat="1" x14ac:dyDescent="0.25">
      <c r="A345" s="545"/>
      <c r="B345"/>
      <c r="C345" s="154"/>
      <c r="E345" s="54"/>
      <c r="F345" s="128"/>
      <c r="G345" s="32"/>
      <c r="H345" s="32"/>
      <c r="I345" s="559"/>
      <c r="J345" s="545"/>
      <c r="K345" s="547"/>
    </row>
    <row r="346" spans="1:11" s="8" customFormat="1" x14ac:dyDescent="0.25">
      <c r="A346" s="545"/>
      <c r="B346"/>
      <c r="C346" s="54" t="s">
        <v>5387</v>
      </c>
      <c r="F346" s="128"/>
      <c r="G346" s="32"/>
      <c r="H346" s="32"/>
      <c r="I346" s="559" t="s">
        <v>5386</v>
      </c>
      <c r="J346" s="545"/>
      <c r="K346" s="547"/>
    </row>
    <row r="347" spans="1:11" s="8" customFormat="1" x14ac:dyDescent="0.25">
      <c r="A347" s="545"/>
      <c r="B347"/>
      <c r="C347" s="77" t="s">
        <v>39</v>
      </c>
      <c r="F347" s="128" t="s">
        <v>3</v>
      </c>
      <c r="G347" s="32">
        <f>0.55*0.05*1.3</f>
        <v>3.5750000000000004E-2</v>
      </c>
      <c r="H347" s="32"/>
      <c r="I347" s="559"/>
      <c r="J347" s="545"/>
      <c r="K347" s="547"/>
    </row>
    <row r="348" spans="1:11" s="8" customFormat="1" ht="17.25" x14ac:dyDescent="0.25">
      <c r="A348" s="545"/>
      <c r="B348"/>
      <c r="C348" s="77" t="s">
        <v>1055</v>
      </c>
      <c r="F348" s="152" t="s">
        <v>596</v>
      </c>
      <c r="G348" s="32">
        <f>G347</f>
        <v>3.5750000000000004E-2</v>
      </c>
      <c r="H348" s="32"/>
      <c r="I348" s="559"/>
      <c r="J348" s="545"/>
      <c r="K348" s="547"/>
    </row>
    <row r="349" spans="1:11" s="8" customFormat="1" x14ac:dyDescent="0.25">
      <c r="A349" s="545"/>
      <c r="B349"/>
      <c r="C349" s="77" t="s">
        <v>37</v>
      </c>
      <c r="F349" s="128" t="s">
        <v>3</v>
      </c>
      <c r="G349" s="32">
        <f>0.25*0.07*0.2*1.5</f>
        <v>5.2500000000000012E-3</v>
      </c>
      <c r="H349" s="32"/>
      <c r="I349" s="559"/>
      <c r="J349" s="545"/>
      <c r="K349" s="547"/>
    </row>
    <row r="350" spans="1:11" s="8" customFormat="1" x14ac:dyDescent="0.25">
      <c r="A350" s="545"/>
      <c r="B350"/>
      <c r="C350" s="154"/>
      <c r="D350" s="54" t="s">
        <v>5388</v>
      </c>
      <c r="F350" s="128"/>
      <c r="G350" s="32"/>
      <c r="H350" s="32"/>
      <c r="I350" s="559"/>
      <c r="J350" s="545"/>
      <c r="K350" s="547"/>
    </row>
    <row r="351" spans="1:11" s="8" customFormat="1" x14ac:dyDescent="0.25">
      <c r="A351" s="545"/>
      <c r="B351"/>
      <c r="C351" s="154"/>
      <c r="D351" s="8" t="s">
        <v>5284</v>
      </c>
      <c r="F351" s="128" t="s">
        <v>3</v>
      </c>
      <c r="G351" s="32">
        <f>0.27*0.07*2*8*1.125</f>
        <v>0.34020000000000006</v>
      </c>
      <c r="H351" s="32"/>
      <c r="I351" s="559"/>
      <c r="J351" s="545"/>
      <c r="K351" s="547"/>
    </row>
    <row r="352" spans="1:11" s="8" customFormat="1" x14ac:dyDescent="0.25">
      <c r="A352" s="545"/>
      <c r="B352"/>
      <c r="C352" s="154"/>
      <c r="D352" s="54" t="s">
        <v>5389</v>
      </c>
      <c r="F352" s="128"/>
      <c r="G352" s="32"/>
      <c r="H352" s="32"/>
      <c r="I352" s="559"/>
      <c r="J352" s="545"/>
      <c r="K352" s="547"/>
    </row>
    <row r="353" spans="1:11" s="8" customFormat="1" x14ac:dyDescent="0.25">
      <c r="A353" s="545"/>
      <c r="B353"/>
      <c r="C353" s="154"/>
      <c r="D353" s="8" t="s">
        <v>5284</v>
      </c>
      <c r="F353" s="128" t="s">
        <v>3</v>
      </c>
      <c r="G353" s="32">
        <f>0.4*0.015*2*8*1.12</f>
        <v>0.10752000000000002</v>
      </c>
      <c r="H353" s="32"/>
      <c r="I353" s="559"/>
      <c r="J353" s="545"/>
      <c r="K353" s="547"/>
    </row>
    <row r="354" spans="1:11" s="8" customFormat="1" x14ac:dyDescent="0.25">
      <c r="A354" s="545"/>
      <c r="B354"/>
      <c r="C354" s="154"/>
      <c r="D354" s="54" t="s">
        <v>5390</v>
      </c>
      <c r="F354" s="128"/>
      <c r="G354" s="32"/>
      <c r="H354" s="32"/>
      <c r="I354" s="559"/>
      <c r="J354" s="545"/>
      <c r="K354" s="547"/>
    </row>
    <row r="355" spans="1:11" s="8" customFormat="1" x14ac:dyDescent="0.25">
      <c r="A355" s="545"/>
      <c r="B355"/>
      <c r="C355" s="154"/>
      <c r="D355" s="8" t="s">
        <v>5284</v>
      </c>
      <c r="F355" s="128" t="s">
        <v>3</v>
      </c>
      <c r="G355" s="32">
        <f>0.045*0.035*2*8*1.12</f>
        <v>2.8224000000000003E-2</v>
      </c>
      <c r="H355" s="32"/>
      <c r="I355" s="559"/>
      <c r="J355" s="545"/>
      <c r="K355" s="547"/>
    </row>
    <row r="356" spans="1:11" s="8" customFormat="1" x14ac:dyDescent="0.25">
      <c r="A356" s="545"/>
      <c r="B356"/>
      <c r="C356" s="154"/>
      <c r="F356" s="128"/>
      <c r="G356" s="32"/>
      <c r="H356" s="32"/>
      <c r="I356" s="559"/>
      <c r="J356" s="545"/>
      <c r="K356" s="547"/>
    </row>
    <row r="357" spans="1:11" s="8" customFormat="1" x14ac:dyDescent="0.25">
      <c r="A357" s="545"/>
      <c r="B357"/>
      <c r="C357" s="54" t="s">
        <v>5224</v>
      </c>
      <c r="F357" s="128"/>
      <c r="G357" s="32"/>
      <c r="H357" s="32"/>
      <c r="I357" s="559" t="s">
        <v>5391</v>
      </c>
      <c r="J357" s="545"/>
      <c r="K357" s="547"/>
    </row>
    <row r="358" spans="1:11" s="8" customFormat="1" x14ac:dyDescent="0.25">
      <c r="A358" s="545"/>
      <c r="B358"/>
      <c r="C358" s="154"/>
      <c r="D358" s="78" t="s">
        <v>5210</v>
      </c>
      <c r="E358" s="77"/>
      <c r="F358" s="152"/>
      <c r="G358" s="427"/>
      <c r="H358" s="32"/>
      <c r="I358" s="559"/>
      <c r="J358" s="545"/>
      <c r="K358" s="547"/>
    </row>
    <row r="359" spans="1:11" s="8" customFormat="1" x14ac:dyDescent="0.25">
      <c r="A359" s="545"/>
      <c r="B359"/>
      <c r="C359" s="154"/>
      <c r="D359" s="8" t="s">
        <v>5211</v>
      </c>
      <c r="E359" s="77"/>
      <c r="F359" s="152" t="s">
        <v>195</v>
      </c>
      <c r="G359" s="427">
        <v>0.33</v>
      </c>
      <c r="H359" s="32"/>
      <c r="I359" s="559"/>
      <c r="J359" s="545"/>
      <c r="K359" s="547"/>
    </row>
    <row r="360" spans="1:11" s="8" customFormat="1" x14ac:dyDescent="0.25">
      <c r="A360" s="545"/>
      <c r="B360"/>
      <c r="C360" s="154"/>
      <c r="F360" s="128"/>
      <c r="G360" s="32"/>
      <c r="H360" s="32"/>
      <c r="I360" s="559"/>
      <c r="J360" s="545"/>
      <c r="K360" s="547"/>
    </row>
    <row r="361" spans="1:11" s="8" customFormat="1" x14ac:dyDescent="0.25">
      <c r="A361" s="545"/>
      <c r="B361"/>
      <c r="C361" s="54" t="s">
        <v>5393</v>
      </c>
      <c r="F361" s="128"/>
      <c r="G361" s="32"/>
      <c r="H361" s="32"/>
      <c r="I361" s="559" t="s">
        <v>5392</v>
      </c>
      <c r="J361" s="545"/>
      <c r="K361" s="547"/>
    </row>
    <row r="362" spans="1:11" s="8" customFormat="1" x14ac:dyDescent="0.25">
      <c r="A362" s="545"/>
      <c r="B362"/>
      <c r="C362" s="8" t="s">
        <v>5394</v>
      </c>
      <c r="F362" s="128" t="s">
        <v>3</v>
      </c>
      <c r="G362" s="32">
        <v>0.08</v>
      </c>
      <c r="H362" s="32"/>
      <c r="I362" s="559"/>
      <c r="J362" s="545"/>
      <c r="K362" s="547"/>
    </row>
    <row r="363" spans="1:11" s="8" customFormat="1" x14ac:dyDescent="0.25">
      <c r="A363" s="545"/>
      <c r="B363"/>
      <c r="C363" s="8" t="s">
        <v>5395</v>
      </c>
      <c r="F363" s="128" t="s">
        <v>195</v>
      </c>
      <c r="G363" s="32">
        <v>0.48</v>
      </c>
      <c r="H363" s="32"/>
      <c r="I363" s="559"/>
      <c r="J363" s="545"/>
      <c r="K363" s="547"/>
    </row>
    <row r="364" spans="1:11" s="8" customFormat="1" x14ac:dyDescent="0.25">
      <c r="A364" s="545"/>
      <c r="B364"/>
      <c r="C364" s="154"/>
      <c r="F364" s="128"/>
      <c r="G364" s="32"/>
      <c r="H364" s="32"/>
      <c r="I364" s="559"/>
      <c r="J364" s="545"/>
      <c r="K364" s="547"/>
    </row>
    <row r="365" spans="1:11" s="8" customFormat="1" x14ac:dyDescent="0.25">
      <c r="A365" s="545"/>
      <c r="B365"/>
      <c r="C365" s="54" t="s">
        <v>5397</v>
      </c>
      <c r="D365" s="16"/>
      <c r="E365" s="16"/>
      <c r="F365" s="128"/>
      <c r="G365" s="32"/>
      <c r="H365" s="32"/>
      <c r="I365" s="559" t="s">
        <v>5396</v>
      </c>
      <c r="J365" s="545"/>
      <c r="K365" s="547"/>
    </row>
    <row r="366" spans="1:11" s="8" customFormat="1" x14ac:dyDescent="0.25">
      <c r="A366" s="545"/>
      <c r="B366"/>
      <c r="C366" s="8" t="s">
        <v>5398</v>
      </c>
      <c r="F366" s="128" t="s">
        <v>3</v>
      </c>
      <c r="G366" s="32">
        <f>0.04*0.04*2*9*1.1</f>
        <v>3.1680000000000007E-2</v>
      </c>
      <c r="H366" s="32"/>
      <c r="I366" s="559"/>
      <c r="J366" s="545"/>
      <c r="K366" s="547"/>
    </row>
    <row r="367" spans="1:11" s="8" customFormat="1" x14ac:dyDescent="0.25">
      <c r="A367" s="545"/>
      <c r="B367"/>
      <c r="D367" s="16"/>
      <c r="F367" s="128"/>
      <c r="G367" s="32"/>
      <c r="H367" s="32"/>
      <c r="I367" s="559"/>
      <c r="J367" s="545"/>
      <c r="K367" s="547"/>
    </row>
    <row r="368" spans="1:11" s="8" customFormat="1" x14ac:dyDescent="0.25">
      <c r="A368" s="545"/>
      <c r="B368"/>
      <c r="C368" s="54" t="s">
        <v>5400</v>
      </c>
      <c r="E368" s="16"/>
      <c r="F368" s="128"/>
      <c r="G368" s="32"/>
      <c r="H368" s="32"/>
      <c r="I368" s="559" t="s">
        <v>5399</v>
      </c>
      <c r="J368" s="545"/>
      <c r="K368" s="547"/>
    </row>
    <row r="369" spans="1:10" s="547" customFormat="1" x14ac:dyDescent="0.25">
      <c r="A369" s="545"/>
      <c r="B369"/>
      <c r="C369" s="8" t="s">
        <v>5401</v>
      </c>
      <c r="D369" s="8"/>
      <c r="E369" s="8"/>
      <c r="F369" s="128" t="s">
        <v>3</v>
      </c>
      <c r="G369" s="32">
        <f>0.075*0.03*1*8*1.1</f>
        <v>1.9800000000000002E-2</v>
      </c>
      <c r="H369" s="32"/>
      <c r="I369" s="559"/>
      <c r="J369" s="545"/>
    </row>
    <row r="370" spans="1:10" s="547" customFormat="1" x14ac:dyDescent="0.25">
      <c r="A370" s="545"/>
      <c r="B370"/>
      <c r="C370" s="8"/>
      <c r="D370" s="16"/>
      <c r="E370" s="8"/>
      <c r="F370" s="128"/>
      <c r="G370" s="32"/>
      <c r="H370" s="32"/>
      <c r="I370" s="559"/>
      <c r="J370" s="545"/>
    </row>
    <row r="371" spans="1:10" s="547" customFormat="1" x14ac:dyDescent="0.25">
      <c r="A371" s="545"/>
      <c r="B371"/>
      <c r="C371" s="54" t="s">
        <v>5403</v>
      </c>
      <c r="D371" s="154"/>
      <c r="E371" s="8"/>
      <c r="F371" s="128"/>
      <c r="G371" s="32"/>
      <c r="H371" s="32"/>
      <c r="I371" s="559" t="s">
        <v>5402</v>
      </c>
      <c r="J371" s="545"/>
    </row>
    <row r="372" spans="1:10" s="547" customFormat="1" x14ac:dyDescent="0.25">
      <c r="A372" s="545"/>
      <c r="B372"/>
      <c r="C372" s="8" t="s">
        <v>433</v>
      </c>
      <c r="D372" s="154"/>
      <c r="E372" s="8"/>
      <c r="F372" s="128" t="s">
        <v>3</v>
      </c>
      <c r="G372" s="32">
        <f>0.032*0.032*2*2.7*1.08</f>
        <v>5.9719680000000002E-3</v>
      </c>
      <c r="H372" s="32"/>
      <c r="I372" s="559"/>
      <c r="J372" s="545"/>
    </row>
    <row r="373" spans="1:10" s="547" customFormat="1" x14ac:dyDescent="0.25">
      <c r="A373" s="545"/>
      <c r="B373"/>
      <c r="C373" s="8"/>
      <c r="D373" s="8"/>
      <c r="E373" s="16"/>
      <c r="F373" s="128"/>
      <c r="G373" s="32"/>
      <c r="H373" s="32"/>
      <c r="I373" s="559"/>
      <c r="J373" s="545"/>
    </row>
    <row r="374" spans="1:10" s="547" customFormat="1" x14ac:dyDescent="0.25">
      <c r="A374" s="545"/>
      <c r="B374"/>
      <c r="C374" s="54" t="s">
        <v>5404</v>
      </c>
      <c r="D374" s="8"/>
      <c r="E374" s="16"/>
      <c r="F374" s="128"/>
      <c r="G374" s="32"/>
      <c r="H374" s="32"/>
      <c r="I374" s="559"/>
      <c r="J374" s="545"/>
    </row>
    <row r="375" spans="1:10" s="547" customFormat="1" x14ac:dyDescent="0.25">
      <c r="A375" s="545"/>
      <c r="B375"/>
      <c r="C375" s="8" t="s">
        <v>275</v>
      </c>
      <c r="D375" s="8"/>
      <c r="E375" s="16"/>
      <c r="F375" s="128" t="s">
        <v>3</v>
      </c>
      <c r="G375" s="32">
        <f>0.035*0.03*1.5*8*1.12</f>
        <v>1.4112000000000003E-2</v>
      </c>
      <c r="H375" s="32"/>
      <c r="I375" s="559"/>
      <c r="J375" s="545"/>
    </row>
    <row r="376" spans="1:10" s="547" customFormat="1" x14ac:dyDescent="0.25">
      <c r="A376" s="545"/>
      <c r="B376"/>
      <c r="C376" s="8"/>
      <c r="D376" s="8"/>
      <c r="E376" s="16"/>
      <c r="F376" s="128"/>
      <c r="G376" s="32"/>
      <c r="H376" s="32"/>
      <c r="I376" s="559"/>
      <c r="J376" s="545"/>
    </row>
    <row r="377" spans="1:10" s="547" customFormat="1" x14ac:dyDescent="0.25">
      <c r="A377" s="545"/>
      <c r="B377"/>
      <c r="C377" s="54" t="s">
        <v>5405</v>
      </c>
      <c r="D377" s="8"/>
      <c r="E377" s="16"/>
      <c r="F377" s="128"/>
      <c r="G377" s="558" t="s">
        <v>624</v>
      </c>
      <c r="H377" s="32"/>
      <c r="I377" s="559"/>
      <c r="J377" s="545"/>
    </row>
    <row r="378" spans="1:10" s="547" customFormat="1" x14ac:dyDescent="0.25">
      <c r="A378" s="545"/>
      <c r="B378"/>
      <c r="C378" s="8" t="s">
        <v>5406</v>
      </c>
      <c r="D378" s="8"/>
      <c r="E378" s="16"/>
      <c r="F378" s="128" t="s">
        <v>3</v>
      </c>
      <c r="G378" s="32">
        <v>2.1999999999999999E-2</v>
      </c>
      <c r="H378" s="32"/>
      <c r="I378" s="559"/>
      <c r="J378" s="545" t="s">
        <v>5407</v>
      </c>
    </row>
    <row r="379" spans="1:10" s="547" customFormat="1" x14ac:dyDescent="0.25">
      <c r="A379" s="545"/>
      <c r="B379"/>
      <c r="C379" s="8"/>
      <c r="D379" s="8"/>
      <c r="E379" s="16"/>
      <c r="F379" s="128"/>
      <c r="G379" s="32"/>
      <c r="H379" s="32"/>
      <c r="I379" s="559"/>
      <c r="J379" s="545"/>
    </row>
    <row r="380" spans="1:10" s="547" customFormat="1" x14ac:dyDescent="0.25">
      <c r="A380" s="545"/>
      <c r="B380"/>
      <c r="C380" s="54" t="s">
        <v>5408</v>
      </c>
      <c r="D380" s="16"/>
      <c r="E380" s="8"/>
      <c r="F380" s="128"/>
      <c r="G380" s="32"/>
      <c r="H380" s="32"/>
      <c r="I380" s="559"/>
      <c r="J380" s="545"/>
    </row>
    <row r="381" spans="1:10" s="547" customFormat="1" x14ac:dyDescent="0.25">
      <c r="A381" s="545"/>
      <c r="B381"/>
      <c r="C381" s="154" t="s">
        <v>8</v>
      </c>
      <c r="D381" s="16"/>
      <c r="E381" s="8"/>
      <c r="F381" s="128" t="s">
        <v>3</v>
      </c>
      <c r="G381" s="32">
        <f>(0.2*0.2*4+0.8*0.07*2)*0.2*1.38</f>
        <v>7.5072E-2</v>
      </c>
      <c r="H381" s="32"/>
      <c r="I381" s="559"/>
      <c r="J381" s="545"/>
    </row>
    <row r="382" spans="1:10" s="547" customFormat="1" x14ac:dyDescent="0.25">
      <c r="A382" s="545"/>
      <c r="B382"/>
      <c r="C382" s="154" t="s">
        <v>36</v>
      </c>
      <c r="D382" s="16"/>
      <c r="E382" s="8"/>
      <c r="F382" s="128" t="s">
        <v>3</v>
      </c>
      <c r="G382" s="32">
        <f>(0.2*0.2*4+0.8*0.07*2)*0.18*2*1.28</f>
        <v>0.12533760000000002</v>
      </c>
      <c r="H382" s="32"/>
      <c r="I382" s="559"/>
      <c r="J382" s="545"/>
    </row>
    <row r="383" spans="1:10" s="547" customFormat="1" x14ac:dyDescent="0.25">
      <c r="A383" s="545"/>
      <c r="B383"/>
      <c r="C383" s="154" t="s">
        <v>649</v>
      </c>
      <c r="D383" s="16"/>
      <c r="E383" s="8"/>
      <c r="F383" s="128" t="s">
        <v>3</v>
      </c>
      <c r="G383" s="32">
        <v>5.0000000000000001E-3</v>
      </c>
      <c r="H383" s="32"/>
      <c r="I383" s="559"/>
      <c r="J383" s="545"/>
    </row>
    <row r="384" spans="1:10" s="547" customFormat="1" x14ac:dyDescent="0.25">
      <c r="A384" s="545"/>
      <c r="B384"/>
      <c r="C384" s="154" t="s">
        <v>12</v>
      </c>
      <c r="D384" s="16"/>
      <c r="E384" s="8"/>
      <c r="F384" s="128" t="s">
        <v>3</v>
      </c>
      <c r="G384" s="32">
        <f>0.3*(G383+G382+G381)</f>
        <v>6.1622880000000005E-2</v>
      </c>
      <c r="H384" s="32"/>
      <c r="I384" s="559"/>
      <c r="J384" s="545"/>
    </row>
    <row r="385" spans="1:10" s="547" customFormat="1" x14ac:dyDescent="0.25">
      <c r="A385" s="545"/>
      <c r="B385"/>
      <c r="C385" s="54"/>
      <c r="D385" s="54" t="s">
        <v>5409</v>
      </c>
      <c r="E385" s="8"/>
      <c r="F385" s="128"/>
      <c r="G385" s="32"/>
      <c r="H385" s="32"/>
      <c r="I385" s="559"/>
      <c r="J385" s="545"/>
    </row>
    <row r="386" spans="1:10" s="547" customFormat="1" x14ac:dyDescent="0.25">
      <c r="A386" s="545"/>
      <c r="B386"/>
      <c r="C386" s="54"/>
      <c r="D386" s="8" t="s">
        <v>321</v>
      </c>
      <c r="E386" s="8"/>
      <c r="F386" s="128" t="s">
        <v>3</v>
      </c>
      <c r="G386" s="32">
        <v>3.0000000000000001E-3</v>
      </c>
      <c r="H386" s="32"/>
      <c r="I386" s="559"/>
      <c r="J386" s="545" t="s">
        <v>5410</v>
      </c>
    </row>
    <row r="387" spans="1:10" s="547" customFormat="1" x14ac:dyDescent="0.25">
      <c r="A387" s="545"/>
      <c r="B387"/>
      <c r="C387" s="54"/>
      <c r="D387" s="8"/>
      <c r="E387" s="54" t="s">
        <v>5411</v>
      </c>
      <c r="F387" s="128"/>
      <c r="G387" s="32"/>
      <c r="H387" s="32"/>
      <c r="I387" s="559"/>
      <c r="J387" s="545"/>
    </row>
    <row r="388" spans="1:10" s="547" customFormat="1" x14ac:dyDescent="0.25">
      <c r="A388" s="545"/>
      <c r="B388"/>
      <c r="C388" s="54"/>
      <c r="D388" s="8"/>
      <c r="E388" s="8" t="s">
        <v>5412</v>
      </c>
      <c r="F388" s="128" t="s">
        <v>3</v>
      </c>
      <c r="G388" s="32">
        <f>0.03*0.03*0.7*8*1.3</f>
        <v>6.5519999999999997E-3</v>
      </c>
      <c r="H388" s="32"/>
      <c r="I388" s="559"/>
      <c r="J388" s="545"/>
    </row>
    <row r="389" spans="1:10" s="547" customFormat="1" x14ac:dyDescent="0.25">
      <c r="A389" s="545"/>
      <c r="B389"/>
      <c r="C389" s="54"/>
      <c r="D389" s="54" t="s">
        <v>5413</v>
      </c>
      <c r="E389" s="8"/>
      <c r="F389" s="128"/>
      <c r="G389" s="32"/>
      <c r="H389" s="32"/>
      <c r="I389" s="559"/>
      <c r="J389" s="545"/>
    </row>
    <row r="390" spans="1:10" s="547" customFormat="1" x14ac:dyDescent="0.25">
      <c r="A390" s="545"/>
      <c r="B390"/>
      <c r="C390" s="54"/>
      <c r="D390" s="8" t="s">
        <v>5414</v>
      </c>
      <c r="E390" s="8"/>
      <c r="F390" s="128" t="s">
        <v>1516</v>
      </c>
      <c r="G390" s="32">
        <v>6</v>
      </c>
      <c r="H390" s="32"/>
      <c r="I390" s="559"/>
      <c r="J390" s="545"/>
    </row>
    <row r="391" spans="1:10" s="547" customFormat="1" x14ac:dyDescent="0.25">
      <c r="A391" s="545"/>
      <c r="B391"/>
      <c r="C391" s="54"/>
      <c r="D391" s="42" t="s">
        <v>5415</v>
      </c>
      <c r="E391" s="8"/>
      <c r="F391" s="158" t="s">
        <v>3</v>
      </c>
      <c r="G391" s="12">
        <f>0.1*0.08*1.2</f>
        <v>9.5999999999999992E-3</v>
      </c>
      <c r="H391" s="32"/>
      <c r="I391" s="559"/>
      <c r="J391" s="545"/>
    </row>
    <row r="392" spans="1:10" s="547" customFormat="1" ht="17.25" x14ac:dyDescent="0.25">
      <c r="A392" s="545"/>
      <c r="B392"/>
      <c r="C392" s="54"/>
      <c r="D392" s="42" t="s">
        <v>23</v>
      </c>
      <c r="E392" s="8"/>
      <c r="F392" s="152" t="s">
        <v>596</v>
      </c>
      <c r="G392" s="12">
        <f>G391*2</f>
        <v>1.9199999999999998E-2</v>
      </c>
      <c r="H392" s="32"/>
      <c r="I392" s="559"/>
      <c r="J392" s="545"/>
    </row>
    <row r="393" spans="1:10" s="547" customFormat="1" x14ac:dyDescent="0.25">
      <c r="A393" s="545"/>
      <c r="B393"/>
      <c r="C393" s="54"/>
      <c r="D393" s="42" t="s">
        <v>5416</v>
      </c>
      <c r="E393" s="8"/>
      <c r="F393" s="158" t="s">
        <v>3</v>
      </c>
      <c r="G393" s="12">
        <f>G391/4</f>
        <v>2.3999999999999998E-3</v>
      </c>
      <c r="H393" s="32"/>
      <c r="I393" s="559"/>
      <c r="J393" s="545"/>
    </row>
    <row r="394" spans="1:10" s="547" customFormat="1" x14ac:dyDescent="0.25">
      <c r="A394" s="545"/>
      <c r="B394"/>
      <c r="C394" s="54"/>
      <c r="D394" s="8"/>
      <c r="E394" s="54" t="s">
        <v>5417</v>
      </c>
      <c r="F394" s="128"/>
      <c r="G394" s="32"/>
      <c r="H394" s="32"/>
      <c r="I394" s="559"/>
      <c r="J394" s="545"/>
    </row>
    <row r="395" spans="1:10" s="547" customFormat="1" x14ac:dyDescent="0.25">
      <c r="A395" s="545"/>
      <c r="B395"/>
      <c r="C395" s="54"/>
      <c r="D395" s="8"/>
      <c r="E395" s="8" t="s">
        <v>5418</v>
      </c>
      <c r="F395" s="128" t="s">
        <v>3</v>
      </c>
      <c r="G395" s="32">
        <f>0.1*0.02*1.5*8*1.12</f>
        <v>2.6880000000000005E-2</v>
      </c>
      <c r="H395" s="32"/>
      <c r="I395" s="559"/>
      <c r="J395" s="545"/>
    </row>
    <row r="396" spans="1:10" s="547" customFormat="1" x14ac:dyDescent="0.25">
      <c r="A396" s="545"/>
      <c r="B396"/>
      <c r="C396" s="54"/>
      <c r="D396" s="8"/>
      <c r="E396" s="54" t="s">
        <v>5419</v>
      </c>
      <c r="F396" s="128"/>
      <c r="G396" s="32"/>
      <c r="H396" s="32"/>
      <c r="I396" s="559"/>
      <c r="J396" s="545"/>
    </row>
    <row r="397" spans="1:10" s="547" customFormat="1" x14ac:dyDescent="0.25">
      <c r="A397" s="545"/>
      <c r="B397"/>
      <c r="C397" s="54"/>
      <c r="D397" s="8"/>
      <c r="E397" s="8" t="s">
        <v>177</v>
      </c>
      <c r="F397" s="128" t="s">
        <v>3</v>
      </c>
      <c r="G397" s="32">
        <f>0.27*0.27*1*8*1.2</f>
        <v>0.69984000000000002</v>
      </c>
      <c r="H397" s="32"/>
      <c r="I397" s="559"/>
      <c r="J397" s="545"/>
    </row>
    <row r="398" spans="1:10" s="547" customFormat="1" x14ac:dyDescent="0.25">
      <c r="A398" s="545"/>
      <c r="B398"/>
      <c r="C398" s="54"/>
      <c r="D398" s="8"/>
      <c r="E398" s="54" t="s">
        <v>5420</v>
      </c>
      <c r="F398" s="128"/>
      <c r="G398" s="32"/>
      <c r="H398" s="32"/>
      <c r="I398" s="559"/>
      <c r="J398" s="545"/>
    </row>
    <row r="399" spans="1:10" s="547" customFormat="1" x14ac:dyDescent="0.25">
      <c r="A399" s="545"/>
      <c r="B399"/>
      <c r="C399" s="54"/>
      <c r="D399" s="8"/>
      <c r="E399" s="8" t="s">
        <v>177</v>
      </c>
      <c r="F399" s="128" t="s">
        <v>3</v>
      </c>
      <c r="G399" s="32">
        <f>0.46*0.014*1*8*1.159</f>
        <v>5.9711680000000003E-2</v>
      </c>
      <c r="H399" s="32"/>
      <c r="I399" s="559"/>
      <c r="J399" s="545"/>
    </row>
    <row r="400" spans="1:10" s="547" customFormat="1" x14ac:dyDescent="0.25">
      <c r="A400" s="545"/>
      <c r="B400"/>
      <c r="C400" s="54"/>
      <c r="D400" s="8"/>
      <c r="E400" s="54" t="s">
        <v>5421</v>
      </c>
      <c r="F400" s="128"/>
      <c r="G400" s="32"/>
      <c r="H400" s="32"/>
      <c r="I400" s="559"/>
      <c r="J400" s="545"/>
    </row>
    <row r="401" spans="1:11" s="8" customFormat="1" x14ac:dyDescent="0.25">
      <c r="A401" s="545"/>
      <c r="B401"/>
      <c r="C401" s="54"/>
      <c r="E401" s="8" t="s">
        <v>177</v>
      </c>
      <c r="F401" s="128" t="s">
        <v>3</v>
      </c>
      <c r="G401" s="32">
        <f>0.085*0.23*1*8*1.15</f>
        <v>0.17985999999999999</v>
      </c>
      <c r="H401" s="32"/>
      <c r="I401" s="559"/>
      <c r="J401" s="545"/>
      <c r="K401" s="547"/>
    </row>
    <row r="402" spans="1:11" s="8" customFormat="1" x14ac:dyDescent="0.25">
      <c r="A402" s="545"/>
      <c r="B402"/>
      <c r="D402" s="54" t="s">
        <v>5422</v>
      </c>
      <c r="F402" s="128"/>
      <c r="G402" s="32"/>
      <c r="H402" s="32"/>
      <c r="I402" s="559"/>
      <c r="J402" s="545"/>
      <c r="K402" s="547"/>
    </row>
    <row r="403" spans="1:11" s="8" customFormat="1" x14ac:dyDescent="0.25">
      <c r="A403" s="545"/>
      <c r="B403"/>
      <c r="D403" s="8" t="s">
        <v>5423</v>
      </c>
      <c r="F403" s="128" t="s">
        <v>1516</v>
      </c>
      <c r="G403" s="32">
        <v>2</v>
      </c>
      <c r="H403" s="32"/>
      <c r="I403" s="559"/>
      <c r="J403" s="545"/>
      <c r="K403" s="547"/>
    </row>
    <row r="404" spans="1:11" s="8" customFormat="1" x14ac:dyDescent="0.25">
      <c r="A404" s="545"/>
      <c r="B404"/>
      <c r="E404" s="54" t="s">
        <v>5424</v>
      </c>
      <c r="F404" s="128"/>
      <c r="G404" s="32"/>
      <c r="H404" s="32"/>
      <c r="I404" s="559"/>
      <c r="J404" s="545"/>
      <c r="K404" s="547"/>
    </row>
    <row r="405" spans="1:11" s="8" customFormat="1" x14ac:dyDescent="0.25">
      <c r="A405" s="545"/>
      <c r="B405"/>
      <c r="E405" s="8" t="s">
        <v>2032</v>
      </c>
      <c r="F405" s="128" t="s">
        <v>3</v>
      </c>
      <c r="G405" s="32">
        <f>0.08*0.07*1.3</f>
        <v>7.2800000000000009E-3</v>
      </c>
      <c r="H405" s="32"/>
      <c r="I405" s="559"/>
      <c r="J405" s="545"/>
      <c r="K405" s="547"/>
    </row>
    <row r="406" spans="1:11" s="8" customFormat="1" x14ac:dyDescent="0.25">
      <c r="A406" s="545"/>
      <c r="B406"/>
      <c r="E406" s="8" t="s">
        <v>672</v>
      </c>
      <c r="F406" s="128" t="s">
        <v>3</v>
      </c>
      <c r="G406" s="32">
        <f>G405*2.2</f>
        <v>1.6016000000000002E-2</v>
      </c>
      <c r="H406" s="32"/>
      <c r="I406" s="559"/>
      <c r="J406" s="545"/>
      <c r="K406" s="547"/>
    </row>
    <row r="407" spans="1:11" s="8" customFormat="1" x14ac:dyDescent="0.25">
      <c r="A407" s="545"/>
      <c r="B407"/>
      <c r="E407" s="561" t="s">
        <v>5425</v>
      </c>
      <c r="F407" s="128"/>
      <c r="G407" s="32"/>
      <c r="H407" s="32"/>
      <c r="I407" s="559"/>
      <c r="J407" s="545"/>
      <c r="K407" s="547"/>
    </row>
    <row r="408" spans="1:11" s="8" customFormat="1" x14ac:dyDescent="0.25">
      <c r="A408" s="545"/>
      <c r="B408"/>
      <c r="E408" s="34" t="s">
        <v>177</v>
      </c>
      <c r="F408" s="128" t="s">
        <v>3</v>
      </c>
      <c r="G408" s="32">
        <f>0.19*0.06*1*8*1.15</f>
        <v>0.10488</v>
      </c>
      <c r="H408" s="32"/>
      <c r="I408" s="559"/>
      <c r="J408" s="545"/>
      <c r="K408" s="547"/>
    </row>
    <row r="409" spans="1:11" s="8" customFormat="1" x14ac:dyDescent="0.25">
      <c r="A409" s="545"/>
      <c r="B409"/>
      <c r="E409" s="561" t="s">
        <v>5426</v>
      </c>
      <c r="F409" s="128"/>
      <c r="G409" s="32"/>
      <c r="H409" s="32"/>
      <c r="I409" s="559"/>
      <c r="J409" s="545"/>
      <c r="K409" s="547"/>
    </row>
    <row r="410" spans="1:11" s="8" customFormat="1" x14ac:dyDescent="0.25">
      <c r="A410" s="545"/>
      <c r="B410"/>
      <c r="E410" s="34" t="s">
        <v>177</v>
      </c>
      <c r="F410" s="128" t="s">
        <v>3</v>
      </c>
      <c r="G410" s="32">
        <f>0.05*0.006*1*8*1.15</f>
        <v>2.7599999999999999E-3</v>
      </c>
      <c r="H410" s="32"/>
      <c r="I410" s="559"/>
      <c r="J410" s="545"/>
      <c r="K410" s="547"/>
    </row>
    <row r="411" spans="1:11" s="8" customFormat="1" x14ac:dyDescent="0.25">
      <c r="A411" s="545"/>
      <c r="B411"/>
      <c r="E411" s="561" t="s">
        <v>5427</v>
      </c>
      <c r="F411" s="128"/>
      <c r="G411" s="32"/>
      <c r="H411" s="32"/>
      <c r="I411" s="559"/>
      <c r="J411" s="545"/>
      <c r="K411" s="547"/>
    </row>
    <row r="412" spans="1:11" s="8" customFormat="1" x14ac:dyDescent="0.25">
      <c r="A412" s="545"/>
      <c r="B412"/>
      <c r="E412" s="34" t="s">
        <v>177</v>
      </c>
      <c r="F412" s="128" t="s">
        <v>3</v>
      </c>
      <c r="G412" s="32">
        <f>0.065*0.013*1*8*1.15</f>
        <v>7.7739999999999988E-3</v>
      </c>
      <c r="H412" s="32"/>
      <c r="I412" s="559"/>
      <c r="J412" s="545"/>
      <c r="K412" s="547"/>
    </row>
    <row r="413" spans="1:11" s="8" customFormat="1" x14ac:dyDescent="0.25">
      <c r="A413" s="545"/>
      <c r="B413"/>
      <c r="E413" s="54" t="s">
        <v>5428</v>
      </c>
      <c r="F413" s="128"/>
      <c r="G413" s="32"/>
      <c r="H413" s="32"/>
      <c r="I413" s="559"/>
      <c r="J413" s="545"/>
      <c r="K413" s="547"/>
    </row>
    <row r="414" spans="1:11" s="8" customFormat="1" x14ac:dyDescent="0.25">
      <c r="A414" s="545"/>
      <c r="B414"/>
      <c r="E414" s="8" t="s">
        <v>177</v>
      </c>
      <c r="F414" s="128" t="s">
        <v>3</v>
      </c>
      <c r="G414" s="32">
        <f>0.27*0.27*1*8*1.2</f>
        <v>0.69984000000000002</v>
      </c>
      <c r="H414" s="32"/>
      <c r="I414" s="559"/>
      <c r="J414" s="545"/>
      <c r="K414" s="547"/>
    </row>
    <row r="415" spans="1:11" s="8" customFormat="1" x14ac:dyDescent="0.25">
      <c r="A415" s="545"/>
      <c r="B415"/>
      <c r="E415" s="54" t="s">
        <v>5429</v>
      </c>
      <c r="F415" s="128"/>
      <c r="G415" s="32"/>
      <c r="H415" s="32"/>
      <c r="I415" s="559"/>
      <c r="J415" s="545"/>
      <c r="K415" s="547"/>
    </row>
    <row r="416" spans="1:11" s="8" customFormat="1" x14ac:dyDescent="0.25">
      <c r="A416" s="545"/>
      <c r="B416"/>
      <c r="E416" s="8" t="s">
        <v>177</v>
      </c>
      <c r="F416" s="128" t="s">
        <v>3</v>
      </c>
      <c r="G416" s="32">
        <f>0.23*0.05*1*8*1.15</f>
        <v>0.10580000000000001</v>
      </c>
      <c r="H416" s="32"/>
      <c r="I416" s="559"/>
      <c r="J416" s="545"/>
      <c r="K416" s="547"/>
    </row>
    <row r="417" spans="1:17" s="547" customFormat="1" x14ac:dyDescent="0.25">
      <c r="A417" s="545"/>
      <c r="B417"/>
      <c r="C417" s="8"/>
      <c r="D417" s="54" t="s">
        <v>5430</v>
      </c>
      <c r="E417" s="8"/>
      <c r="F417" s="128"/>
      <c r="G417" s="32"/>
      <c r="H417" s="32"/>
      <c r="I417" s="559"/>
      <c r="J417" s="545"/>
      <c r="L417" s="8"/>
      <c r="M417" s="8"/>
      <c r="N417" s="8"/>
      <c r="O417" s="8"/>
      <c r="P417" s="8"/>
      <c r="Q417" s="8"/>
    </row>
    <row r="418" spans="1:17" s="547" customFormat="1" x14ac:dyDescent="0.25">
      <c r="A418" s="545"/>
      <c r="B418"/>
      <c r="C418" s="8"/>
      <c r="D418" s="8" t="s">
        <v>5431</v>
      </c>
      <c r="E418" s="8"/>
      <c r="F418" s="128" t="s">
        <v>3</v>
      </c>
      <c r="G418" s="32">
        <f>0.032*0.018*1.5*8*1.12</f>
        <v>7.7414400000000005E-3</v>
      </c>
      <c r="H418" s="32"/>
      <c r="I418" s="559"/>
      <c r="J418" s="545"/>
      <c r="L418" s="8"/>
      <c r="M418" s="8"/>
      <c r="N418" s="8"/>
      <c r="O418" s="8"/>
      <c r="P418" s="8"/>
      <c r="Q418" s="8"/>
    </row>
    <row r="419" spans="1:17" s="547" customFormat="1" x14ac:dyDescent="0.25">
      <c r="A419" s="545"/>
      <c r="B419"/>
      <c r="C419" s="8"/>
      <c r="D419" s="154"/>
      <c r="E419" s="8"/>
      <c r="F419" s="128"/>
      <c r="G419" s="32"/>
      <c r="H419" s="32"/>
      <c r="I419" s="559"/>
      <c r="J419" s="545"/>
      <c r="L419" s="8"/>
      <c r="M419" s="8"/>
      <c r="N419" s="8"/>
      <c r="O419" s="8"/>
      <c r="P419" s="8"/>
      <c r="Q419" s="8"/>
    </row>
    <row r="420" spans="1:17" s="547" customFormat="1" x14ac:dyDescent="0.25">
      <c r="A420" s="545"/>
      <c r="B420"/>
      <c r="C420" s="54" t="s">
        <v>5432</v>
      </c>
      <c r="D420" s="154"/>
      <c r="E420" s="8"/>
      <c r="F420" s="128"/>
      <c r="G420" s="32"/>
      <c r="H420" s="32"/>
      <c r="I420" s="559"/>
      <c r="J420" s="545"/>
      <c r="L420" s="8"/>
      <c r="M420" s="8"/>
      <c r="N420" s="8"/>
      <c r="O420" s="8"/>
      <c r="P420" s="8"/>
      <c r="Q420" s="8"/>
    </row>
    <row r="421" spans="1:17" s="547" customFormat="1" x14ac:dyDescent="0.25">
      <c r="A421" s="545"/>
      <c r="B421"/>
      <c r="C421" s="8" t="s">
        <v>1119</v>
      </c>
      <c r="D421" s="154"/>
      <c r="E421" s="8"/>
      <c r="F421" s="128" t="s">
        <v>3</v>
      </c>
      <c r="G421" s="32">
        <f>9*0.009*0.5*8*1.158</f>
        <v>0.37519199999999991</v>
      </c>
      <c r="H421" s="32"/>
      <c r="I421" s="559"/>
      <c r="J421" s="545"/>
      <c r="L421" s="8"/>
      <c r="M421" s="8"/>
      <c r="N421" s="8"/>
      <c r="O421" s="8"/>
      <c r="P421" s="8"/>
      <c r="Q421" s="8"/>
    </row>
    <row r="422" spans="1:17" s="547" customFormat="1" x14ac:dyDescent="0.25">
      <c r="A422" s="545"/>
      <c r="B422"/>
      <c r="C422" s="8"/>
      <c r="D422" s="154"/>
      <c r="E422" s="8"/>
      <c r="F422" s="8"/>
      <c r="G422" s="7"/>
      <c r="H422" s="32"/>
      <c r="I422" s="559"/>
      <c r="J422" s="545"/>
      <c r="L422" s="8"/>
      <c r="M422" s="8"/>
      <c r="N422" s="8"/>
      <c r="O422" s="8"/>
      <c r="P422" s="8"/>
      <c r="Q422" s="8"/>
    </row>
    <row r="423" spans="1:17" s="547" customFormat="1" x14ac:dyDescent="0.25">
      <c r="A423" s="564"/>
      <c r="B423" s="73"/>
      <c r="C423" s="78" t="s">
        <v>5433</v>
      </c>
      <c r="D423" s="137"/>
      <c r="E423" s="77"/>
      <c r="F423" s="260" t="s">
        <v>5434</v>
      </c>
      <c r="G423" s="261"/>
      <c r="H423" s="32"/>
      <c r="I423" s="563"/>
      <c r="J423" s="564"/>
      <c r="L423" s="8"/>
      <c r="M423" s="8"/>
    </row>
    <row r="424" spans="1:17" s="547" customFormat="1" x14ac:dyDescent="0.25">
      <c r="A424" s="564"/>
      <c r="B424" s="73"/>
      <c r="C424" s="78"/>
      <c r="D424" s="137"/>
      <c r="E424" s="77"/>
      <c r="F424" s="152"/>
      <c r="G424" s="427"/>
      <c r="H424" s="32"/>
      <c r="I424" s="563"/>
      <c r="J424" s="564"/>
      <c r="L424" s="8"/>
      <c r="M424" s="8"/>
    </row>
    <row r="425" spans="1:17" s="547" customFormat="1" x14ac:dyDescent="0.25">
      <c r="A425" s="564"/>
      <c r="B425" s="73"/>
      <c r="C425" s="77" t="s">
        <v>5435</v>
      </c>
      <c r="D425" s="137"/>
      <c r="E425" s="77"/>
      <c r="F425" s="152" t="s">
        <v>3</v>
      </c>
      <c r="G425" s="427">
        <v>2.8000000000000001E-2</v>
      </c>
      <c r="H425" s="32"/>
      <c r="I425" s="563"/>
      <c r="J425" s="77"/>
      <c r="L425" s="8"/>
      <c r="M425" s="8"/>
    </row>
    <row r="426" spans="1:17" s="547" customFormat="1" x14ac:dyDescent="0.25">
      <c r="A426" s="545"/>
      <c r="B426"/>
      <c r="C426" s="8"/>
      <c r="D426" s="8"/>
      <c r="E426" s="16"/>
      <c r="F426" s="8"/>
      <c r="G426" s="7"/>
      <c r="H426" s="32"/>
      <c r="I426" s="559"/>
      <c r="J426" s="545"/>
      <c r="L426" s="8"/>
      <c r="M426" s="8"/>
    </row>
    <row r="427" spans="1:17" s="547" customFormat="1" x14ac:dyDescent="0.25">
      <c r="A427" s="545"/>
      <c r="B427"/>
      <c r="C427" s="8"/>
      <c r="D427" s="8"/>
      <c r="E427" s="16"/>
      <c r="F427" s="8"/>
      <c r="G427" s="7"/>
      <c r="H427" s="32"/>
      <c r="I427" s="559"/>
      <c r="J427" s="545"/>
      <c r="L427" s="8"/>
      <c r="M427" s="8"/>
    </row>
    <row r="428" spans="1:17" s="547" customFormat="1" x14ac:dyDescent="0.25">
      <c r="A428" s="545"/>
      <c r="B428"/>
      <c r="C428" s="8"/>
      <c r="D428" s="42"/>
      <c r="E428" s="42"/>
      <c r="F428" s="42"/>
      <c r="G428" s="2"/>
      <c r="H428" s="8"/>
      <c r="I428" s="559"/>
      <c r="J428" s="545"/>
      <c r="L428" s="8"/>
      <c r="M428" s="8"/>
    </row>
    <row r="429" spans="1:17" customFormat="1" ht="18.75" x14ac:dyDescent="0.3">
      <c r="A429" s="545"/>
      <c r="B429" s="242"/>
      <c r="E429" s="110" t="s">
        <v>5438</v>
      </c>
      <c r="F429" s="8"/>
      <c r="G429" s="2"/>
      <c r="H429" s="537"/>
      <c r="I429" s="10"/>
      <c r="J429" s="10"/>
    </row>
    <row r="430" spans="1:17" customFormat="1" x14ac:dyDescent="0.25">
      <c r="A430" s="545"/>
      <c r="B430" s="242"/>
      <c r="G430" s="2"/>
      <c r="H430" s="537"/>
      <c r="I430" s="10"/>
      <c r="J430" s="10"/>
    </row>
    <row r="431" spans="1:17" customFormat="1" ht="18.75" x14ac:dyDescent="0.3">
      <c r="A431" s="545"/>
      <c r="B431" s="242">
        <v>2</v>
      </c>
      <c r="E431" s="46" t="s">
        <v>5439</v>
      </c>
      <c r="G431" s="453"/>
      <c r="H431" s="537"/>
      <c r="I431" s="10"/>
      <c r="J431" s="10"/>
    </row>
    <row r="432" spans="1:17" customFormat="1" x14ac:dyDescent="0.25">
      <c r="A432" s="545"/>
      <c r="B432" s="242"/>
      <c r="G432" s="2"/>
      <c r="H432" s="537"/>
      <c r="I432" s="10"/>
      <c r="J432" s="10"/>
    </row>
    <row r="433" spans="1:12" customFormat="1" x14ac:dyDescent="0.25">
      <c r="A433" s="545"/>
      <c r="B433" s="565"/>
      <c r="C433" s="3" t="s">
        <v>5440</v>
      </c>
      <c r="G433" s="2"/>
      <c r="H433" s="537"/>
      <c r="I433" s="10"/>
      <c r="J433" s="10"/>
    </row>
    <row r="434" spans="1:12" customFormat="1" x14ac:dyDescent="0.25">
      <c r="A434" s="545"/>
      <c r="B434" s="242"/>
      <c r="C434" t="s">
        <v>1021</v>
      </c>
      <c r="F434" s="537" t="s">
        <v>3</v>
      </c>
      <c r="G434" s="10">
        <f>G436</f>
        <v>2.7600000000000003E-2</v>
      </c>
      <c r="H434" s="10"/>
      <c r="K434" s="547"/>
      <c r="L434" s="8"/>
    </row>
    <row r="435" spans="1:12" customFormat="1" x14ac:dyDescent="0.25">
      <c r="A435" s="545"/>
      <c r="B435" s="242"/>
      <c r="C435" t="s">
        <v>661</v>
      </c>
      <c r="F435" s="537" t="s">
        <v>3</v>
      </c>
      <c r="G435" s="10">
        <f>0.3*G434</f>
        <v>8.2800000000000009E-3</v>
      </c>
      <c r="H435" s="10"/>
      <c r="K435" s="547"/>
      <c r="L435" s="8"/>
    </row>
    <row r="436" spans="1:12" customFormat="1" x14ac:dyDescent="0.25">
      <c r="A436" s="545"/>
      <c r="B436" s="242"/>
      <c r="C436" s="8" t="s">
        <v>8</v>
      </c>
      <c r="D436" s="8"/>
      <c r="E436" s="8"/>
      <c r="F436" s="537" t="s">
        <v>3</v>
      </c>
      <c r="G436" s="10">
        <f>0.8*G437</f>
        <v>2.7600000000000003E-2</v>
      </c>
      <c r="H436" s="10"/>
      <c r="K436" s="547"/>
      <c r="L436" s="8"/>
    </row>
    <row r="437" spans="1:12" customFormat="1" x14ac:dyDescent="0.25">
      <c r="A437" s="545"/>
      <c r="B437" s="242"/>
      <c r="C437" s="8" t="s">
        <v>5441</v>
      </c>
      <c r="D437" s="8"/>
      <c r="E437" s="8"/>
      <c r="F437" s="537" t="s">
        <v>3</v>
      </c>
      <c r="G437" s="10">
        <f>1.15*0.02*1.5</f>
        <v>3.4500000000000003E-2</v>
      </c>
      <c r="H437" s="10"/>
      <c r="K437" s="547"/>
      <c r="L437" s="8"/>
    </row>
    <row r="438" spans="1:12" customFormat="1" x14ac:dyDescent="0.25">
      <c r="A438" s="545"/>
      <c r="B438" s="242"/>
      <c r="C438" s="8" t="s">
        <v>12</v>
      </c>
      <c r="D438" s="8"/>
      <c r="E438" s="8"/>
      <c r="F438" s="537" t="s">
        <v>3</v>
      </c>
      <c r="G438" s="10">
        <f>0.3*(G437+G436)</f>
        <v>1.8630000000000001E-2</v>
      </c>
      <c r="H438" s="10"/>
      <c r="K438" s="547"/>
      <c r="L438" s="8"/>
    </row>
    <row r="439" spans="1:12" customFormat="1" x14ac:dyDescent="0.25">
      <c r="A439" s="545"/>
      <c r="B439" s="242"/>
      <c r="C439" t="s">
        <v>140</v>
      </c>
      <c r="F439" s="537" t="s">
        <v>3</v>
      </c>
      <c r="G439" s="10">
        <f>0.03*3.14*0.08*1.2</f>
        <v>9.0432000000000012E-3</v>
      </c>
      <c r="H439" s="10"/>
      <c r="K439" s="547"/>
      <c r="L439" s="8"/>
    </row>
    <row r="440" spans="1:12" customFormat="1" ht="17.25" x14ac:dyDescent="0.25">
      <c r="A440" s="545"/>
      <c r="B440" s="242"/>
      <c r="C440" t="s">
        <v>23</v>
      </c>
      <c r="F440" s="566" t="s">
        <v>5442</v>
      </c>
      <c r="G440" s="10">
        <f>G439*2</f>
        <v>1.8086400000000002E-2</v>
      </c>
      <c r="H440" s="10"/>
      <c r="K440" s="547"/>
      <c r="L440" s="8"/>
    </row>
    <row r="441" spans="1:12" customFormat="1" x14ac:dyDescent="0.25">
      <c r="A441" s="545"/>
      <c r="B441" s="242"/>
      <c r="C441" t="s">
        <v>142</v>
      </c>
      <c r="F441" s="537" t="s">
        <v>3</v>
      </c>
      <c r="G441" s="10">
        <f>G439/4</f>
        <v>2.2608000000000003E-3</v>
      </c>
      <c r="H441" s="10"/>
      <c r="K441" s="547"/>
      <c r="L441" s="8"/>
    </row>
    <row r="442" spans="1:12" customFormat="1" x14ac:dyDescent="0.25">
      <c r="A442" s="545"/>
      <c r="B442" s="242"/>
      <c r="D442" s="4" t="s">
        <v>5443</v>
      </c>
      <c r="F442" s="537"/>
      <c r="G442" s="10"/>
      <c r="H442" s="10"/>
      <c r="K442" s="547"/>
      <c r="L442" s="8"/>
    </row>
    <row r="443" spans="1:12" customFormat="1" x14ac:dyDescent="0.25">
      <c r="A443" s="545"/>
      <c r="B443" s="242"/>
      <c r="D443" t="s">
        <v>5444</v>
      </c>
      <c r="F443" s="537" t="s">
        <v>3</v>
      </c>
      <c r="G443" s="10">
        <v>0.9</v>
      </c>
      <c r="H443" s="10"/>
      <c r="I443" t="s">
        <v>5445</v>
      </c>
      <c r="K443" s="547"/>
      <c r="L443" s="8"/>
    </row>
    <row r="444" spans="1:12" customFormat="1" x14ac:dyDescent="0.25">
      <c r="A444" s="545"/>
      <c r="B444" s="242"/>
      <c r="F444" s="537"/>
      <c r="G444" s="10"/>
      <c r="H444" s="10"/>
      <c r="K444" s="547"/>
      <c r="L444" s="8"/>
    </row>
    <row r="445" spans="1:12" customFormat="1" x14ac:dyDescent="0.25">
      <c r="A445" s="545"/>
      <c r="B445" s="565"/>
      <c r="C445" s="3" t="s">
        <v>5446</v>
      </c>
      <c r="F445" s="537"/>
      <c r="G445" s="10"/>
      <c r="H445" s="10"/>
      <c r="K445" s="547"/>
      <c r="L445" s="8"/>
    </row>
    <row r="446" spans="1:12" customFormat="1" x14ac:dyDescent="0.25">
      <c r="A446" s="545"/>
      <c r="B446" s="242"/>
      <c r="C446" t="s">
        <v>1021</v>
      </c>
      <c r="F446" s="537" t="s">
        <v>3</v>
      </c>
      <c r="G446" s="10">
        <f>G448</f>
        <v>4.104E-2</v>
      </c>
      <c r="H446" s="10"/>
      <c r="K446" s="547"/>
      <c r="L446" s="8"/>
    </row>
    <row r="447" spans="1:12" customFormat="1" x14ac:dyDescent="0.25">
      <c r="A447" s="545"/>
      <c r="B447" s="242"/>
      <c r="C447" t="s">
        <v>661</v>
      </c>
      <c r="F447" s="537" t="s">
        <v>3</v>
      </c>
      <c r="G447" s="10">
        <f>0.3*G446</f>
        <v>1.2312E-2</v>
      </c>
      <c r="H447" s="10"/>
      <c r="K447" s="547"/>
      <c r="L447" s="8"/>
    </row>
    <row r="448" spans="1:12" customFormat="1" x14ac:dyDescent="0.25">
      <c r="A448" s="545"/>
      <c r="B448" s="242"/>
      <c r="C448" s="8" t="s">
        <v>8</v>
      </c>
      <c r="D448" s="8"/>
      <c r="E448" s="8"/>
      <c r="F448" s="537" t="s">
        <v>3</v>
      </c>
      <c r="G448" s="10">
        <f>G449*0.8</f>
        <v>4.104E-2</v>
      </c>
      <c r="H448" s="10"/>
      <c r="K448" s="547"/>
      <c r="L448" s="8"/>
    </row>
    <row r="449" spans="1:12" customFormat="1" x14ac:dyDescent="0.25">
      <c r="A449" s="545"/>
      <c r="B449" s="242"/>
      <c r="C449" s="8" t="s">
        <v>5441</v>
      </c>
      <c r="D449" s="8"/>
      <c r="E449" s="8"/>
      <c r="F449" s="537" t="s">
        <v>3</v>
      </c>
      <c r="G449" s="10">
        <f>1.71*0.02*1.5</f>
        <v>5.1299999999999998E-2</v>
      </c>
      <c r="H449" s="10"/>
      <c r="K449" s="547"/>
      <c r="L449" s="8"/>
    </row>
    <row r="450" spans="1:12" customFormat="1" x14ac:dyDescent="0.25">
      <c r="A450" s="545"/>
      <c r="B450" s="242"/>
      <c r="C450" s="8" t="s">
        <v>12</v>
      </c>
      <c r="D450" s="8"/>
      <c r="E450" s="8"/>
      <c r="F450" s="537" t="s">
        <v>3</v>
      </c>
      <c r="G450" s="10">
        <f>0.3*(G449+G448)</f>
        <v>2.7702000000000001E-2</v>
      </c>
      <c r="H450" s="10"/>
      <c r="K450" s="547"/>
      <c r="L450" s="8"/>
    </row>
    <row r="451" spans="1:12" customFormat="1" x14ac:dyDescent="0.25">
      <c r="A451" s="545"/>
      <c r="B451" s="242"/>
      <c r="C451" t="s">
        <v>140</v>
      </c>
      <c r="F451" s="537" t="s">
        <v>3</v>
      </c>
      <c r="G451" s="10">
        <f>0.03*3.14*3*0.08</f>
        <v>2.2608000000000003E-2</v>
      </c>
      <c r="H451" s="10"/>
      <c r="K451" s="547"/>
      <c r="L451" s="8"/>
    </row>
    <row r="452" spans="1:12" customFormat="1" ht="17.25" x14ac:dyDescent="0.25">
      <c r="A452" s="545"/>
      <c r="B452" s="242"/>
      <c r="C452" t="s">
        <v>23</v>
      </c>
      <c r="F452" s="566" t="s">
        <v>5442</v>
      </c>
      <c r="G452" s="10">
        <f>G451*2</f>
        <v>4.5216000000000006E-2</v>
      </c>
      <c r="H452" s="10"/>
      <c r="K452" s="547"/>
      <c r="L452" s="8"/>
    </row>
    <row r="453" spans="1:12" customFormat="1" x14ac:dyDescent="0.25">
      <c r="A453" s="545"/>
      <c r="B453" s="242"/>
      <c r="C453" t="s">
        <v>142</v>
      </c>
      <c r="F453" s="537" t="s">
        <v>3</v>
      </c>
      <c r="G453" s="10">
        <f>G451/4</f>
        <v>5.6520000000000008E-3</v>
      </c>
      <c r="H453" s="10"/>
      <c r="K453" s="547"/>
      <c r="L453" s="8"/>
    </row>
    <row r="454" spans="1:12" customFormat="1" x14ac:dyDescent="0.25">
      <c r="A454" s="545"/>
      <c r="B454" s="242"/>
      <c r="D454" s="4" t="s">
        <v>5443</v>
      </c>
      <c r="F454" s="537"/>
      <c r="G454" s="10"/>
      <c r="H454" s="10"/>
      <c r="K454" s="547"/>
      <c r="L454" s="8"/>
    </row>
    <row r="455" spans="1:12" customFormat="1" x14ac:dyDescent="0.25">
      <c r="A455" s="545"/>
      <c r="B455" s="242"/>
      <c r="D455" t="s">
        <v>5444</v>
      </c>
      <c r="F455" s="537" t="s">
        <v>3</v>
      </c>
      <c r="G455" s="10">
        <v>1.36</v>
      </c>
      <c r="H455" s="10"/>
      <c r="I455" t="s">
        <v>5447</v>
      </c>
      <c r="K455" s="547"/>
      <c r="L455" s="8"/>
    </row>
    <row r="456" spans="1:12" customFormat="1" x14ac:dyDescent="0.25">
      <c r="A456" s="545"/>
      <c r="B456" s="242"/>
      <c r="D456" s="4" t="s">
        <v>5448</v>
      </c>
      <c r="F456" s="537"/>
      <c r="G456" s="10"/>
      <c r="H456" s="10"/>
      <c r="K456" s="547"/>
      <c r="L456" s="8"/>
    </row>
    <row r="457" spans="1:12" customFormat="1" x14ac:dyDescent="0.25">
      <c r="A457" s="545"/>
      <c r="B457" s="242"/>
      <c r="D457" t="s">
        <v>5449</v>
      </c>
      <c r="F457" s="128" t="s">
        <v>3</v>
      </c>
      <c r="G457" s="32">
        <v>4.2000000000000003E-2</v>
      </c>
      <c r="H457" s="32"/>
      <c r="I457" t="s">
        <v>3635</v>
      </c>
      <c r="K457" s="547"/>
      <c r="L457" s="8"/>
    </row>
    <row r="458" spans="1:12" customFormat="1" x14ac:dyDescent="0.25">
      <c r="A458" s="545"/>
      <c r="B458" s="242"/>
      <c r="F458" s="537"/>
      <c r="G458" s="10"/>
      <c r="H458" s="10"/>
      <c r="K458" s="547"/>
      <c r="L458" s="8"/>
    </row>
    <row r="459" spans="1:12" customFormat="1" x14ac:dyDescent="0.25">
      <c r="A459" s="545"/>
      <c r="B459" s="565"/>
      <c r="C459" s="3" t="s">
        <v>5450</v>
      </c>
      <c r="F459" s="537"/>
      <c r="G459" s="10"/>
      <c r="H459" s="10"/>
      <c r="K459" s="547"/>
      <c r="L459" s="8"/>
    </row>
    <row r="460" spans="1:12" customFormat="1" x14ac:dyDescent="0.25">
      <c r="A460" s="545"/>
      <c r="B460" s="242"/>
      <c r="C460" t="s">
        <v>1021</v>
      </c>
      <c r="F460" s="537" t="s">
        <v>3</v>
      </c>
      <c r="G460" s="10">
        <f>G462</f>
        <v>2.8800000000000006E-2</v>
      </c>
      <c r="H460" s="10"/>
      <c r="K460" s="547"/>
      <c r="L460" s="8"/>
    </row>
    <row r="461" spans="1:12" customFormat="1" x14ac:dyDescent="0.25">
      <c r="A461" s="545"/>
      <c r="B461" s="242"/>
      <c r="C461" t="s">
        <v>661</v>
      </c>
      <c r="F461" s="537" t="s">
        <v>3</v>
      </c>
      <c r="G461" s="10">
        <f>0.3*G460</f>
        <v>8.6400000000000018E-3</v>
      </c>
      <c r="H461" s="10"/>
      <c r="K461" s="547"/>
      <c r="L461" s="8"/>
    </row>
    <row r="462" spans="1:12" customFormat="1" x14ac:dyDescent="0.25">
      <c r="A462" s="545"/>
      <c r="B462" s="242"/>
      <c r="C462" s="8" t="s">
        <v>8</v>
      </c>
      <c r="D462" s="8"/>
      <c r="E462" s="8"/>
      <c r="F462" s="537" t="s">
        <v>3</v>
      </c>
      <c r="G462" s="10">
        <f>G463*0.8</f>
        <v>2.8800000000000006E-2</v>
      </c>
      <c r="H462" s="10"/>
      <c r="K462" s="547"/>
      <c r="L462" s="8"/>
    </row>
    <row r="463" spans="1:12" customFormat="1" x14ac:dyDescent="0.25">
      <c r="A463" s="545"/>
      <c r="B463" s="242"/>
      <c r="C463" s="8" t="s">
        <v>5441</v>
      </c>
      <c r="D463" s="8"/>
      <c r="E463" s="8"/>
      <c r="F463" s="537" t="s">
        <v>3</v>
      </c>
      <c r="G463" s="10">
        <f>1.2*0.02*1.5</f>
        <v>3.6000000000000004E-2</v>
      </c>
      <c r="H463" s="10"/>
      <c r="K463" s="547"/>
      <c r="L463" s="8"/>
    </row>
    <row r="464" spans="1:12" customFormat="1" x14ac:dyDescent="0.25">
      <c r="A464" s="545"/>
      <c r="B464" s="242"/>
      <c r="C464" s="8" t="s">
        <v>12</v>
      </c>
      <c r="D464" s="8"/>
      <c r="E464" s="8"/>
      <c r="F464" s="537" t="s">
        <v>3</v>
      </c>
      <c r="G464" s="10">
        <f>0.3*(G463+G462)</f>
        <v>1.9440000000000002E-2</v>
      </c>
      <c r="H464" s="10"/>
      <c r="K464" s="547"/>
      <c r="L464" s="8"/>
    </row>
    <row r="465" spans="1:12" customFormat="1" x14ac:dyDescent="0.25">
      <c r="A465" s="545"/>
      <c r="B465" s="242"/>
      <c r="C465" t="s">
        <v>140</v>
      </c>
      <c r="F465" s="537" t="s">
        <v>3</v>
      </c>
      <c r="G465" s="10">
        <f>(0.03*3.14*2+0.065)*0.08*1.2</f>
        <v>2.4326400000000001E-2</v>
      </c>
      <c r="H465" s="10"/>
      <c r="K465" s="547"/>
      <c r="L465" s="8"/>
    </row>
    <row r="466" spans="1:12" customFormat="1" ht="17.25" x14ac:dyDescent="0.25">
      <c r="A466" s="545"/>
      <c r="B466" s="242"/>
      <c r="C466" t="s">
        <v>23</v>
      </c>
      <c r="F466" s="566" t="s">
        <v>5442</v>
      </c>
      <c r="G466" s="10">
        <f>G465*2</f>
        <v>4.8652800000000003E-2</v>
      </c>
      <c r="H466" s="10"/>
      <c r="K466" s="547"/>
      <c r="L466" s="8"/>
    </row>
    <row r="467" spans="1:12" customFormat="1" x14ac:dyDescent="0.25">
      <c r="A467" s="545"/>
      <c r="B467" s="242"/>
      <c r="C467" t="s">
        <v>142</v>
      </c>
      <c r="F467" s="537" t="s">
        <v>3</v>
      </c>
      <c r="G467" s="10">
        <f>G465/4</f>
        <v>6.0816000000000004E-3</v>
      </c>
      <c r="H467" s="10"/>
      <c r="K467" s="547"/>
      <c r="L467" s="8"/>
    </row>
    <row r="468" spans="1:12" customFormat="1" x14ac:dyDescent="0.25">
      <c r="A468" s="545"/>
      <c r="B468" s="242"/>
      <c r="D468" s="4" t="s">
        <v>5451</v>
      </c>
      <c r="F468" s="537"/>
      <c r="G468" s="10"/>
      <c r="H468" s="10"/>
      <c r="K468" s="547"/>
      <c r="L468" s="8"/>
    </row>
    <row r="469" spans="1:12" customFormat="1" x14ac:dyDescent="0.25">
      <c r="A469" s="545"/>
      <c r="B469" s="242"/>
      <c r="D469" t="s">
        <v>5444</v>
      </c>
      <c r="F469" s="537" t="s">
        <v>3</v>
      </c>
      <c r="G469" s="10">
        <v>1</v>
      </c>
      <c r="H469" s="10"/>
      <c r="I469" t="s">
        <v>5452</v>
      </c>
      <c r="K469" s="547"/>
      <c r="L469" s="8"/>
    </row>
    <row r="470" spans="1:12" customFormat="1" x14ac:dyDescent="0.25">
      <c r="A470" s="545"/>
      <c r="B470" s="242"/>
      <c r="D470" s="4" t="s">
        <v>5453</v>
      </c>
      <c r="F470" s="537"/>
      <c r="G470" s="10"/>
      <c r="H470" s="10"/>
      <c r="K470" s="547"/>
      <c r="L470" s="8"/>
    </row>
    <row r="471" spans="1:12" customFormat="1" x14ac:dyDescent="0.25">
      <c r="A471" s="545"/>
      <c r="B471" s="242"/>
      <c r="D471" s="25" t="s">
        <v>928</v>
      </c>
      <c r="F471" s="537" t="s">
        <v>3</v>
      </c>
      <c r="G471" s="10">
        <v>1.2E-2</v>
      </c>
      <c r="H471" s="10"/>
      <c r="I471" t="s">
        <v>5454</v>
      </c>
      <c r="K471" s="547"/>
      <c r="L471" s="8"/>
    </row>
    <row r="472" spans="1:12" customFormat="1" x14ac:dyDescent="0.25">
      <c r="A472" s="545"/>
      <c r="B472" s="242"/>
      <c r="F472" s="537"/>
      <c r="G472" s="10"/>
      <c r="H472" s="10"/>
      <c r="K472" s="547"/>
      <c r="L472" s="8"/>
    </row>
    <row r="473" spans="1:12" customFormat="1" x14ac:dyDescent="0.25">
      <c r="A473" s="545"/>
      <c r="B473" s="565"/>
      <c r="C473" s="3" t="s">
        <v>5455</v>
      </c>
      <c r="F473" s="537"/>
      <c r="G473" s="10"/>
      <c r="H473" s="10"/>
      <c r="K473" s="547"/>
      <c r="L473" s="8"/>
    </row>
    <row r="474" spans="1:12" customFormat="1" x14ac:dyDescent="0.25">
      <c r="A474" s="545"/>
      <c r="B474" s="242"/>
      <c r="C474" t="s">
        <v>1021</v>
      </c>
      <c r="F474" s="537" t="s">
        <v>3</v>
      </c>
      <c r="G474" s="10">
        <f>G476</f>
        <v>2.0400000000000001E-2</v>
      </c>
      <c r="H474" s="10"/>
      <c r="K474" s="547"/>
      <c r="L474" s="8"/>
    </row>
    <row r="475" spans="1:12" customFormat="1" x14ac:dyDescent="0.25">
      <c r="A475" s="545"/>
      <c r="B475" s="242"/>
      <c r="C475" t="s">
        <v>661</v>
      </c>
      <c r="F475" s="537" t="s">
        <v>3</v>
      </c>
      <c r="G475" s="10">
        <f>0.3*G474</f>
        <v>6.1200000000000004E-3</v>
      </c>
      <c r="H475" s="10"/>
      <c r="K475" s="547"/>
      <c r="L475" s="8"/>
    </row>
    <row r="476" spans="1:12" customFormat="1" x14ac:dyDescent="0.25">
      <c r="A476" s="545"/>
      <c r="B476" s="242"/>
      <c r="C476" s="8" t="s">
        <v>8</v>
      </c>
      <c r="D476" s="8"/>
      <c r="E476" s="8"/>
      <c r="F476" s="537" t="s">
        <v>3</v>
      </c>
      <c r="G476" s="10">
        <f>G477*0.8</f>
        <v>2.0400000000000001E-2</v>
      </c>
      <c r="H476" s="10"/>
      <c r="K476" s="547"/>
      <c r="L476" s="8"/>
    </row>
    <row r="477" spans="1:12" customFormat="1" x14ac:dyDescent="0.25">
      <c r="A477" s="545"/>
      <c r="B477" s="242"/>
      <c r="C477" s="8" t="s">
        <v>5441</v>
      </c>
      <c r="D477" s="8"/>
      <c r="E477" s="8"/>
      <c r="F477" s="537" t="s">
        <v>3</v>
      </c>
      <c r="G477" s="10">
        <f>0.85*0.02*1.5</f>
        <v>2.5500000000000002E-2</v>
      </c>
      <c r="H477" s="10"/>
      <c r="K477" s="547"/>
      <c r="L477" s="8"/>
    </row>
    <row r="478" spans="1:12" customFormat="1" x14ac:dyDescent="0.25">
      <c r="A478" s="545"/>
      <c r="B478" s="242"/>
      <c r="C478" s="8" t="s">
        <v>12</v>
      </c>
      <c r="D478" s="8"/>
      <c r="E478" s="8"/>
      <c r="F478" s="537" t="s">
        <v>3</v>
      </c>
      <c r="G478" s="10">
        <f>0.3*(G477+G476)</f>
        <v>1.3770000000000001E-2</v>
      </c>
      <c r="H478" s="10"/>
      <c r="K478" s="547"/>
      <c r="L478" s="8"/>
    </row>
    <row r="479" spans="1:12" customFormat="1" x14ac:dyDescent="0.25">
      <c r="A479" s="545"/>
      <c r="B479" s="242"/>
      <c r="C479" t="s">
        <v>140</v>
      </c>
      <c r="F479" s="537" t="s">
        <v>3</v>
      </c>
      <c r="G479" s="10">
        <f>0.03*3.14*2*0.08*1.2</f>
        <v>1.8086400000000002E-2</v>
      </c>
      <c r="H479" s="10"/>
      <c r="K479" s="547"/>
      <c r="L479" s="8"/>
    </row>
    <row r="480" spans="1:12" customFormat="1" ht="17.25" x14ac:dyDescent="0.25">
      <c r="A480" s="545"/>
      <c r="B480" s="242"/>
      <c r="C480" t="s">
        <v>23</v>
      </c>
      <c r="F480" s="566" t="s">
        <v>5442</v>
      </c>
      <c r="G480" s="10">
        <f>G479*2</f>
        <v>3.6172800000000005E-2</v>
      </c>
      <c r="H480" s="10"/>
      <c r="K480" s="547"/>
      <c r="L480" s="8"/>
    </row>
    <row r="481" spans="1:12" customFormat="1" x14ac:dyDescent="0.25">
      <c r="A481" s="545"/>
      <c r="B481" s="242"/>
      <c r="C481" t="s">
        <v>142</v>
      </c>
      <c r="F481" s="537" t="s">
        <v>3</v>
      </c>
      <c r="G481" s="10">
        <f>G479/4</f>
        <v>4.5216000000000006E-3</v>
      </c>
      <c r="H481" s="10"/>
      <c r="K481" s="547"/>
      <c r="L481" s="8"/>
    </row>
    <row r="482" spans="1:12" customFormat="1" x14ac:dyDescent="0.25">
      <c r="A482" s="545"/>
      <c r="B482" s="242"/>
      <c r="D482" s="3" t="s">
        <v>5456</v>
      </c>
      <c r="F482" s="537"/>
      <c r="G482" s="10"/>
      <c r="H482" s="10"/>
      <c r="K482" s="547"/>
      <c r="L482" s="8"/>
    </row>
    <row r="483" spans="1:12" customFormat="1" x14ac:dyDescent="0.25">
      <c r="A483" s="545"/>
      <c r="B483" s="242"/>
      <c r="D483" t="s">
        <v>5444</v>
      </c>
      <c r="F483" s="537" t="s">
        <v>3</v>
      </c>
      <c r="G483" s="10">
        <v>0.68</v>
      </c>
      <c r="H483" s="10"/>
      <c r="I483" t="s">
        <v>5457</v>
      </c>
      <c r="K483" s="547"/>
      <c r="L483" s="8"/>
    </row>
    <row r="484" spans="1:12" customFormat="1" x14ac:dyDescent="0.25">
      <c r="A484" s="545"/>
      <c r="B484" s="242"/>
      <c r="F484" s="537"/>
      <c r="G484" s="10"/>
      <c r="H484" s="10"/>
      <c r="K484" s="547"/>
      <c r="L484" s="8"/>
    </row>
    <row r="485" spans="1:12" customFormat="1" x14ac:dyDescent="0.25">
      <c r="A485" s="545"/>
      <c r="B485" s="565"/>
      <c r="C485" s="3" t="s">
        <v>5458</v>
      </c>
      <c r="F485" s="537"/>
      <c r="G485" s="10"/>
      <c r="H485" s="10"/>
      <c r="K485" s="547"/>
      <c r="L485" s="8"/>
    </row>
    <row r="486" spans="1:12" customFormat="1" x14ac:dyDescent="0.25">
      <c r="A486" s="545"/>
      <c r="B486" s="242"/>
      <c r="C486" t="s">
        <v>1275</v>
      </c>
      <c r="F486" s="537" t="s">
        <v>3</v>
      </c>
      <c r="G486" s="10">
        <v>1E-3</v>
      </c>
      <c r="H486" s="10"/>
      <c r="K486" s="547"/>
      <c r="L486" s="8"/>
    </row>
    <row r="487" spans="1:12" customFormat="1" x14ac:dyDescent="0.25">
      <c r="A487" s="545"/>
      <c r="B487" s="242"/>
      <c r="C487" t="s">
        <v>671</v>
      </c>
      <c r="F487" s="537" t="s">
        <v>3</v>
      </c>
      <c r="G487" s="10">
        <v>7.0000000000000001E-3</v>
      </c>
      <c r="H487" s="10"/>
      <c r="K487" s="547"/>
      <c r="L487" s="8"/>
    </row>
    <row r="488" spans="1:12" customFormat="1" x14ac:dyDescent="0.25">
      <c r="A488" s="545"/>
      <c r="B488" s="242"/>
      <c r="C488" t="s">
        <v>672</v>
      </c>
      <c r="F488" s="537" t="s">
        <v>3</v>
      </c>
      <c r="G488" s="10">
        <f>3*G487</f>
        <v>2.1000000000000001E-2</v>
      </c>
      <c r="H488" s="10"/>
      <c r="K488" s="547"/>
      <c r="L488" s="8"/>
    </row>
    <row r="489" spans="1:12" customFormat="1" x14ac:dyDescent="0.25">
      <c r="A489" s="545"/>
      <c r="B489" s="242"/>
      <c r="D489" s="3" t="s">
        <v>5459</v>
      </c>
      <c r="F489" s="537"/>
      <c r="G489" s="10"/>
      <c r="H489" s="10"/>
      <c r="K489" s="547"/>
      <c r="L489" s="8"/>
    </row>
    <row r="490" spans="1:12" customFormat="1" x14ac:dyDescent="0.25">
      <c r="A490" s="545"/>
      <c r="B490" s="242"/>
      <c r="D490" t="s">
        <v>5460</v>
      </c>
      <c r="F490" s="537" t="s">
        <v>195</v>
      </c>
      <c r="G490" s="10">
        <v>2.4500000000000002</v>
      </c>
      <c r="H490" s="10"/>
      <c r="K490" s="547"/>
      <c r="L490" s="8"/>
    </row>
    <row r="491" spans="1:12" customFormat="1" x14ac:dyDescent="0.25">
      <c r="A491" s="545"/>
      <c r="B491" s="242"/>
      <c r="F491" s="537"/>
      <c r="G491" s="10"/>
      <c r="H491" s="10"/>
      <c r="K491" s="547"/>
      <c r="L491" s="8"/>
    </row>
    <row r="492" spans="1:12" customFormat="1" x14ac:dyDescent="0.25">
      <c r="A492" s="545"/>
      <c r="B492" s="565"/>
      <c r="C492" s="3" t="s">
        <v>5461</v>
      </c>
      <c r="F492" s="537"/>
      <c r="G492" s="10"/>
      <c r="H492" s="10"/>
      <c r="K492" s="547"/>
      <c r="L492" s="8"/>
    </row>
    <row r="493" spans="1:12" customFormat="1" x14ac:dyDescent="0.25">
      <c r="A493" s="545"/>
      <c r="B493" s="242"/>
      <c r="C493" t="s">
        <v>1275</v>
      </c>
      <c r="F493" s="537" t="s">
        <v>3</v>
      </c>
      <c r="G493" s="10">
        <v>1E-3</v>
      </c>
      <c r="H493" s="10"/>
      <c r="K493" s="547"/>
      <c r="L493" s="8"/>
    </row>
    <row r="494" spans="1:12" customFormat="1" x14ac:dyDescent="0.25">
      <c r="A494" s="545"/>
      <c r="B494" s="242"/>
      <c r="C494" t="s">
        <v>671</v>
      </c>
      <c r="F494" s="537" t="s">
        <v>3</v>
      </c>
      <c r="G494" s="10">
        <v>7.0000000000000001E-3</v>
      </c>
      <c r="H494" s="10"/>
      <c r="K494" s="547"/>
      <c r="L494" s="8"/>
    </row>
    <row r="495" spans="1:12" customFormat="1" x14ac:dyDescent="0.25">
      <c r="A495" s="545"/>
      <c r="B495" s="242"/>
      <c r="C495" t="s">
        <v>672</v>
      </c>
      <c r="F495" s="537" t="s">
        <v>3</v>
      </c>
      <c r="G495" s="10">
        <f>3*G494</f>
        <v>2.1000000000000001E-2</v>
      </c>
      <c r="H495" s="10"/>
      <c r="K495" s="547"/>
      <c r="L495" s="8"/>
    </row>
    <row r="496" spans="1:12" customFormat="1" x14ac:dyDescent="0.25">
      <c r="A496" s="545"/>
      <c r="B496" s="242"/>
      <c r="D496" s="3" t="s">
        <v>5462</v>
      </c>
      <c r="F496" s="537"/>
      <c r="G496" s="10"/>
      <c r="H496" s="10"/>
      <c r="K496" s="547"/>
      <c r="L496" s="8"/>
    </row>
    <row r="497" spans="1:12" customFormat="1" x14ac:dyDescent="0.25">
      <c r="A497" s="545"/>
      <c r="B497" s="242"/>
      <c r="D497" t="s">
        <v>5460</v>
      </c>
      <c r="F497" s="537" t="s">
        <v>195</v>
      </c>
      <c r="G497" s="10">
        <v>1</v>
      </c>
      <c r="H497" s="10"/>
      <c r="K497" s="547"/>
      <c r="L497" s="8"/>
    </row>
    <row r="498" spans="1:12" customFormat="1" x14ac:dyDescent="0.25">
      <c r="A498" s="545"/>
      <c r="B498" s="242"/>
      <c r="F498" s="537"/>
      <c r="G498" s="10"/>
      <c r="H498" s="10"/>
      <c r="K498" s="547"/>
      <c r="L498" s="8"/>
    </row>
    <row r="499" spans="1:12" customFormat="1" x14ac:dyDescent="0.25">
      <c r="A499" s="545"/>
      <c r="B499" s="565"/>
      <c r="C499" s="3" t="s">
        <v>5463</v>
      </c>
      <c r="F499" s="537"/>
      <c r="G499" s="10"/>
      <c r="H499" s="10"/>
      <c r="K499" s="547"/>
      <c r="L499" s="8"/>
    </row>
    <row r="500" spans="1:12" customFormat="1" x14ac:dyDescent="0.25">
      <c r="A500" s="545"/>
      <c r="B500" s="242"/>
      <c r="C500" t="s">
        <v>671</v>
      </c>
      <c r="F500" s="537" t="s">
        <v>3</v>
      </c>
      <c r="G500" s="10">
        <v>0.01</v>
      </c>
      <c r="H500" s="10"/>
      <c r="K500" s="547"/>
      <c r="L500" s="8"/>
    </row>
    <row r="501" spans="1:12" customFormat="1" x14ac:dyDescent="0.25">
      <c r="A501" s="545"/>
      <c r="B501" s="242"/>
      <c r="C501" t="s">
        <v>672</v>
      </c>
      <c r="F501" s="537" t="s">
        <v>3</v>
      </c>
      <c r="G501" s="10">
        <f>2.5*G500</f>
        <v>2.5000000000000001E-2</v>
      </c>
      <c r="H501" s="10"/>
      <c r="K501" s="547"/>
      <c r="L501" s="8"/>
    </row>
    <row r="502" spans="1:12" customFormat="1" x14ac:dyDescent="0.25">
      <c r="A502" s="545"/>
      <c r="B502" s="242"/>
      <c r="F502" s="537"/>
      <c r="G502" s="10"/>
      <c r="H502" s="10"/>
      <c r="K502" s="547"/>
      <c r="L502" s="8"/>
    </row>
    <row r="503" spans="1:12" customFormat="1" x14ac:dyDescent="0.25">
      <c r="A503" s="545"/>
      <c r="B503" s="565"/>
      <c r="C503" s="3" t="s">
        <v>5464</v>
      </c>
      <c r="F503" s="537"/>
      <c r="G503" s="10"/>
      <c r="H503" s="10"/>
      <c r="K503" s="547"/>
      <c r="L503" s="8"/>
    </row>
    <row r="504" spans="1:12" customFormat="1" x14ac:dyDescent="0.25">
      <c r="A504" s="545"/>
      <c r="B504" s="242"/>
      <c r="C504" t="s">
        <v>671</v>
      </c>
      <c r="F504" s="537" t="s">
        <v>3</v>
      </c>
      <c r="G504" s="10">
        <v>0.01</v>
      </c>
      <c r="H504" s="10"/>
      <c r="K504" s="547"/>
      <c r="L504" s="8"/>
    </row>
    <row r="505" spans="1:12" customFormat="1" x14ac:dyDescent="0.25">
      <c r="A505" s="545"/>
      <c r="B505" s="242"/>
      <c r="C505" t="s">
        <v>672</v>
      </c>
      <c r="F505" s="537" t="s">
        <v>3</v>
      </c>
      <c r="G505" s="10">
        <f>2.5*G504</f>
        <v>2.5000000000000001E-2</v>
      </c>
      <c r="H505" s="10"/>
      <c r="K505" s="547"/>
      <c r="L505" s="8"/>
    </row>
    <row r="506" spans="1:12" customFormat="1" x14ac:dyDescent="0.25">
      <c r="A506" s="545"/>
      <c r="B506" s="242"/>
      <c r="F506" s="537"/>
      <c r="G506" s="10"/>
      <c r="H506" s="10"/>
      <c r="K506" s="547"/>
      <c r="L506" s="8"/>
    </row>
    <row r="507" spans="1:12" customFormat="1" x14ac:dyDescent="0.25">
      <c r="A507" s="545"/>
      <c r="B507" s="565"/>
      <c r="C507" s="3" t="s">
        <v>5465</v>
      </c>
      <c r="F507" s="537"/>
      <c r="G507" s="10"/>
      <c r="H507" s="10"/>
      <c r="K507" s="547"/>
      <c r="L507" s="8"/>
    </row>
    <row r="508" spans="1:12" customFormat="1" x14ac:dyDescent="0.25">
      <c r="A508" s="545"/>
      <c r="B508" s="242"/>
      <c r="C508" t="s">
        <v>876</v>
      </c>
      <c r="F508" s="537" t="s">
        <v>3</v>
      </c>
      <c r="G508" s="10">
        <f>0.05*0.08*1.3</f>
        <v>5.2000000000000006E-3</v>
      </c>
      <c r="H508" s="10"/>
      <c r="K508" s="547"/>
      <c r="L508" s="8"/>
    </row>
    <row r="509" spans="1:12" customFormat="1" ht="17.25" x14ac:dyDescent="0.25">
      <c r="A509" s="545"/>
      <c r="B509" s="242"/>
      <c r="C509" t="s">
        <v>23</v>
      </c>
      <c r="F509" s="566" t="s">
        <v>5442</v>
      </c>
      <c r="G509" s="10">
        <f>G508*2</f>
        <v>1.0400000000000001E-2</v>
      </c>
      <c r="H509" s="10"/>
      <c r="K509" s="547"/>
      <c r="L509" s="8"/>
    </row>
    <row r="510" spans="1:12" customFormat="1" x14ac:dyDescent="0.25">
      <c r="A510" s="545"/>
      <c r="B510" s="242"/>
      <c r="C510" t="s">
        <v>142</v>
      </c>
      <c r="F510" s="537" t="s">
        <v>3</v>
      </c>
      <c r="G510" s="10">
        <f>G508/4</f>
        <v>1.3000000000000002E-3</v>
      </c>
      <c r="H510" s="10"/>
      <c r="K510" s="547"/>
      <c r="L510" s="8"/>
    </row>
    <row r="511" spans="1:12" customFormat="1" x14ac:dyDescent="0.25">
      <c r="A511" s="545"/>
      <c r="B511" s="242"/>
      <c r="C511" t="s">
        <v>1021</v>
      </c>
      <c r="F511" s="537" t="s">
        <v>3</v>
      </c>
      <c r="G511" s="10">
        <v>0.02</v>
      </c>
      <c r="H511" s="10"/>
      <c r="K511" s="547"/>
      <c r="L511" s="8"/>
    </row>
    <row r="512" spans="1:12" customFormat="1" x14ac:dyDescent="0.25">
      <c r="A512" s="545"/>
      <c r="B512" s="242"/>
      <c r="C512" t="s">
        <v>661</v>
      </c>
      <c r="F512" s="537" t="s">
        <v>3</v>
      </c>
      <c r="G512" s="10">
        <f>0.3*G511</f>
        <v>6.0000000000000001E-3</v>
      </c>
      <c r="H512" s="10"/>
      <c r="K512" s="547"/>
      <c r="L512" s="8"/>
    </row>
    <row r="513" spans="1:12" customFormat="1" x14ac:dyDescent="0.25">
      <c r="A513" s="545"/>
      <c r="B513" s="242"/>
      <c r="C513" s="8" t="s">
        <v>8</v>
      </c>
      <c r="D513" s="8"/>
      <c r="E513" s="8"/>
      <c r="F513" s="537" t="s">
        <v>3</v>
      </c>
      <c r="G513" s="10">
        <v>1.7999999999999999E-2</v>
      </c>
      <c r="H513" s="10"/>
      <c r="K513" s="547"/>
      <c r="L513" s="8"/>
    </row>
    <row r="514" spans="1:12" customFormat="1" x14ac:dyDescent="0.25">
      <c r="A514" s="545"/>
      <c r="B514" s="242"/>
      <c r="C514" s="8" t="s">
        <v>5441</v>
      </c>
      <c r="D514" s="8"/>
      <c r="E514" s="8"/>
      <c r="F514" s="537" t="s">
        <v>3</v>
      </c>
      <c r="G514" s="10">
        <f>0.4*0.03*1.69</f>
        <v>2.0279999999999999E-2</v>
      </c>
      <c r="H514" s="10"/>
      <c r="K514" s="547"/>
      <c r="L514" s="8"/>
    </row>
    <row r="515" spans="1:12" customFormat="1" x14ac:dyDescent="0.25">
      <c r="A515" s="545"/>
      <c r="B515" s="242"/>
      <c r="C515" s="8" t="s">
        <v>12</v>
      </c>
      <c r="D515" s="8"/>
      <c r="E515" s="8"/>
      <c r="F515" s="537" t="s">
        <v>3</v>
      </c>
      <c r="G515" s="10">
        <f>0.3*(G514+G513)</f>
        <v>1.1483999999999998E-2</v>
      </c>
      <c r="H515" s="10"/>
      <c r="K515" s="547"/>
      <c r="L515" s="8"/>
    </row>
    <row r="516" spans="1:12" customFormat="1" x14ac:dyDescent="0.25">
      <c r="A516" s="545"/>
      <c r="B516" s="242"/>
      <c r="D516" s="3" t="s">
        <v>5466</v>
      </c>
      <c r="F516" s="537"/>
      <c r="G516" s="10"/>
      <c r="H516" s="10"/>
      <c r="K516" s="547"/>
      <c r="L516" s="8"/>
    </row>
    <row r="517" spans="1:12" customFormat="1" x14ac:dyDescent="0.25">
      <c r="A517" s="545"/>
      <c r="B517" s="242"/>
      <c r="D517" t="s">
        <v>5467</v>
      </c>
      <c r="F517" s="537" t="s">
        <v>3</v>
      </c>
      <c r="G517" s="10">
        <v>0.86</v>
      </c>
      <c r="H517" s="10"/>
      <c r="I517" t="s">
        <v>5468</v>
      </c>
      <c r="K517" s="547"/>
      <c r="L517" s="8"/>
    </row>
    <row r="518" spans="1:12" customFormat="1" x14ac:dyDescent="0.25">
      <c r="A518" s="545"/>
      <c r="B518" s="242"/>
      <c r="D518" s="3" t="s">
        <v>5469</v>
      </c>
      <c r="F518" s="537"/>
      <c r="G518" s="10"/>
      <c r="H518" s="10"/>
      <c r="K518" s="547"/>
      <c r="L518" s="8"/>
    </row>
    <row r="519" spans="1:12" customFormat="1" x14ac:dyDescent="0.25">
      <c r="A519" s="545"/>
      <c r="B519" s="242"/>
      <c r="D519" t="s">
        <v>177</v>
      </c>
      <c r="F519" s="537" t="s">
        <v>3</v>
      </c>
      <c r="G519" s="10">
        <f>0.07*3.14*0.08*1*8*1.14</f>
        <v>0.16036608000000002</v>
      </c>
      <c r="H519" s="10"/>
      <c r="K519" s="547"/>
      <c r="L519" s="8"/>
    </row>
    <row r="520" spans="1:12" customFormat="1" x14ac:dyDescent="0.25">
      <c r="A520" s="545"/>
      <c r="B520" s="242"/>
      <c r="D520" s="77" t="s">
        <v>39</v>
      </c>
      <c r="F520" s="537" t="s">
        <v>3</v>
      </c>
      <c r="G520" s="10">
        <f>0.075*0.05*1.3</f>
        <v>4.875E-3</v>
      </c>
      <c r="H520" s="10"/>
      <c r="K520" s="547"/>
      <c r="L520" s="8"/>
    </row>
    <row r="521" spans="1:12" customFormat="1" ht="17.25" x14ac:dyDescent="0.25">
      <c r="A521" s="545"/>
      <c r="B521" s="242"/>
      <c r="D521" s="77" t="s">
        <v>1055</v>
      </c>
      <c r="F521" s="537" t="s">
        <v>596</v>
      </c>
      <c r="G521" s="10">
        <f>G520</f>
        <v>4.875E-3</v>
      </c>
      <c r="H521" s="10"/>
      <c r="K521" s="547"/>
      <c r="L521" s="8"/>
    </row>
    <row r="522" spans="1:12" customFormat="1" x14ac:dyDescent="0.25">
      <c r="A522" s="545"/>
      <c r="B522" s="242"/>
      <c r="F522" s="537"/>
      <c r="G522" s="10"/>
      <c r="H522" s="10"/>
      <c r="K522" s="547"/>
      <c r="L522" s="8"/>
    </row>
    <row r="523" spans="1:12" customFormat="1" x14ac:dyDescent="0.25">
      <c r="A523" s="545"/>
      <c r="B523" s="565"/>
      <c r="C523" s="3" t="s">
        <v>5470</v>
      </c>
      <c r="F523" s="537"/>
      <c r="G523" s="10"/>
      <c r="H523" s="10"/>
      <c r="K523" s="547"/>
      <c r="L523" s="8"/>
    </row>
    <row r="524" spans="1:12" customFormat="1" x14ac:dyDescent="0.25">
      <c r="A524" s="545"/>
      <c r="B524" s="242"/>
      <c r="D524" s="3" t="s">
        <v>5471</v>
      </c>
      <c r="F524" s="537"/>
      <c r="G524" s="10"/>
      <c r="H524" s="10"/>
      <c r="K524" s="547"/>
      <c r="L524" s="8"/>
    </row>
    <row r="525" spans="1:12" customFormat="1" x14ac:dyDescent="0.25">
      <c r="A525" s="545"/>
      <c r="B525" s="242"/>
      <c r="D525" s="3"/>
      <c r="E525" s="3" t="s">
        <v>5472</v>
      </c>
      <c r="F525" s="537"/>
      <c r="G525" s="10"/>
      <c r="H525" s="10"/>
      <c r="K525" s="547"/>
      <c r="L525" s="8"/>
    </row>
    <row r="526" spans="1:12" customFormat="1" x14ac:dyDescent="0.25">
      <c r="A526" s="545"/>
      <c r="B526" s="242"/>
      <c r="D526" s="3"/>
      <c r="E526" t="s">
        <v>5473</v>
      </c>
      <c r="F526" s="537" t="s">
        <v>3</v>
      </c>
      <c r="G526" s="10">
        <f>0.32*0.13*0.5*8*1.1</f>
        <v>0.18304000000000004</v>
      </c>
      <c r="H526" s="10"/>
      <c r="K526" s="547"/>
      <c r="L526" s="8"/>
    </row>
    <row r="527" spans="1:12" customFormat="1" x14ac:dyDescent="0.25">
      <c r="A527" s="545"/>
      <c r="B527" s="242"/>
      <c r="D527" s="3" t="s">
        <v>5474</v>
      </c>
      <c r="F527" s="537"/>
      <c r="G527" s="10"/>
      <c r="H527" s="10"/>
      <c r="K527" s="547"/>
      <c r="L527" s="8"/>
    </row>
    <row r="528" spans="1:12" customFormat="1" x14ac:dyDescent="0.25">
      <c r="A528" s="545"/>
      <c r="B528" s="242"/>
      <c r="D528" s="25" t="s">
        <v>5475</v>
      </c>
      <c r="F528" s="537" t="s">
        <v>3</v>
      </c>
      <c r="G528" s="10">
        <f>0.167*0.02*1*8*1.12</f>
        <v>2.9926400000000002E-2</v>
      </c>
      <c r="H528" s="10"/>
      <c r="K528" s="547"/>
      <c r="L528" s="8"/>
    </row>
    <row r="529" spans="1:12" customFormat="1" x14ac:dyDescent="0.25">
      <c r="A529" s="545"/>
      <c r="B529" s="242"/>
      <c r="D529" s="8" t="s">
        <v>912</v>
      </c>
      <c r="E529" s="8"/>
      <c r="F529" s="537" t="s">
        <v>3</v>
      </c>
      <c r="G529" s="10">
        <f>0.2*0.05*2*0.12*2*1.3</f>
        <v>6.2400000000000008E-3</v>
      </c>
      <c r="H529" s="10"/>
      <c r="K529" s="547"/>
      <c r="L529" s="8"/>
    </row>
    <row r="530" spans="1:12" customFormat="1" x14ac:dyDescent="0.25">
      <c r="A530" s="545"/>
      <c r="B530" s="242"/>
      <c r="D530" s="8" t="s">
        <v>2470</v>
      </c>
      <c r="E530" s="8"/>
      <c r="F530" s="537" t="s">
        <v>3</v>
      </c>
      <c r="G530" s="10">
        <f>G529/5</f>
        <v>1.2480000000000002E-3</v>
      </c>
      <c r="H530" s="10"/>
      <c r="K530" s="547"/>
      <c r="L530" s="8"/>
    </row>
    <row r="531" spans="1:12" customFormat="1" x14ac:dyDescent="0.25">
      <c r="A531" s="545"/>
      <c r="B531" s="242"/>
      <c r="D531" s="8" t="s">
        <v>5476</v>
      </c>
      <c r="E531" s="8"/>
      <c r="F531" s="537" t="s">
        <v>3</v>
      </c>
      <c r="G531" s="10">
        <f>0.25*G529</f>
        <v>1.5600000000000002E-3</v>
      </c>
      <c r="H531" s="10"/>
      <c r="K531" s="547"/>
      <c r="L531" s="8"/>
    </row>
    <row r="532" spans="1:12" customFormat="1" x14ac:dyDescent="0.25">
      <c r="A532" s="545"/>
      <c r="B532" s="242"/>
      <c r="D532" s="3" t="s">
        <v>5477</v>
      </c>
      <c r="F532" s="537"/>
      <c r="G532" s="10"/>
      <c r="H532" s="10"/>
      <c r="K532" s="547"/>
      <c r="L532" s="8"/>
    </row>
    <row r="533" spans="1:12" customFormat="1" x14ac:dyDescent="0.25">
      <c r="A533" s="545"/>
      <c r="B533" s="242"/>
      <c r="D533" t="s">
        <v>5478</v>
      </c>
      <c r="F533" s="537" t="s">
        <v>3</v>
      </c>
      <c r="G533" s="10">
        <f>0.222*0.02*0.5*8*1.1</f>
        <v>1.9536000000000005E-2</v>
      </c>
      <c r="H533" s="10"/>
      <c r="K533" s="547"/>
      <c r="L533" s="8"/>
    </row>
    <row r="534" spans="1:12" customFormat="1" x14ac:dyDescent="0.25">
      <c r="A534" s="545"/>
      <c r="B534" s="242"/>
      <c r="D534" s="8" t="s">
        <v>912</v>
      </c>
      <c r="E534" s="8"/>
      <c r="F534" s="537" t="s">
        <v>3</v>
      </c>
      <c r="G534" s="10">
        <f>0.222*0.05*2*0.12*2*1.3</f>
        <v>6.926400000000001E-3</v>
      </c>
      <c r="H534" s="10"/>
      <c r="K534" s="547"/>
      <c r="L534" s="8"/>
    </row>
    <row r="535" spans="1:12" customFormat="1" x14ac:dyDescent="0.25">
      <c r="A535" s="545"/>
      <c r="B535" s="242"/>
      <c r="D535" s="8" t="s">
        <v>2470</v>
      </c>
      <c r="E535" s="8"/>
      <c r="F535" s="537" t="s">
        <v>3</v>
      </c>
      <c r="G535" s="10">
        <f>G534/5</f>
        <v>1.3852800000000002E-3</v>
      </c>
      <c r="H535" s="10"/>
      <c r="K535" s="547"/>
      <c r="L535" s="8"/>
    </row>
    <row r="536" spans="1:12" customFormat="1" x14ac:dyDescent="0.25">
      <c r="A536" s="545"/>
      <c r="B536" s="242"/>
      <c r="D536" s="8" t="s">
        <v>5476</v>
      </c>
      <c r="E536" s="8"/>
      <c r="F536" s="537" t="s">
        <v>3</v>
      </c>
      <c r="G536" s="10">
        <f>0.25*G534</f>
        <v>1.7316000000000002E-3</v>
      </c>
      <c r="H536" s="10"/>
      <c r="K536" s="547"/>
      <c r="L536" s="8"/>
    </row>
    <row r="537" spans="1:12" customFormat="1" x14ac:dyDescent="0.25">
      <c r="A537" s="545"/>
      <c r="B537" s="242"/>
      <c r="D537" s="3" t="s">
        <v>5479</v>
      </c>
      <c r="F537" s="537"/>
      <c r="G537" s="10"/>
      <c r="H537" s="10"/>
      <c r="K537" s="547"/>
      <c r="L537" s="8"/>
    </row>
    <row r="538" spans="1:12" customFormat="1" x14ac:dyDescent="0.25">
      <c r="A538" s="545"/>
      <c r="B538" s="242"/>
      <c r="D538" t="s">
        <v>5478</v>
      </c>
      <c r="F538" s="537" t="s">
        <v>3</v>
      </c>
      <c r="G538" s="10">
        <f>0.095*0.015*0.5*8*1.15</f>
        <v>6.5550000000000001E-3</v>
      </c>
      <c r="H538" s="10"/>
      <c r="K538" s="547"/>
      <c r="L538" s="8"/>
    </row>
    <row r="539" spans="1:12" customFormat="1" x14ac:dyDescent="0.25">
      <c r="A539" s="545"/>
      <c r="B539" s="242"/>
      <c r="D539" s="8" t="s">
        <v>912</v>
      </c>
      <c r="E539" s="8"/>
      <c r="F539" s="537" t="s">
        <v>3</v>
      </c>
      <c r="G539" s="10">
        <f>0.12*0.05*2*0.12*2*1.5</f>
        <v>4.3199999999999992E-3</v>
      </c>
      <c r="H539" s="10"/>
      <c r="K539" s="547"/>
      <c r="L539" s="8"/>
    </row>
    <row r="540" spans="1:12" customFormat="1" x14ac:dyDescent="0.25">
      <c r="A540" s="545"/>
      <c r="B540" s="242"/>
      <c r="D540" s="8" t="s">
        <v>2470</v>
      </c>
      <c r="E540" s="8"/>
      <c r="F540" s="537" t="s">
        <v>3</v>
      </c>
      <c r="G540" s="10">
        <f>G539/5</f>
        <v>8.6399999999999986E-4</v>
      </c>
      <c r="H540" s="10"/>
      <c r="K540" s="547"/>
      <c r="L540" s="8"/>
    </row>
    <row r="541" spans="1:12" customFormat="1" x14ac:dyDescent="0.25">
      <c r="A541" s="545"/>
      <c r="B541" s="242"/>
      <c r="D541" s="8" t="s">
        <v>5476</v>
      </c>
      <c r="E541" s="8"/>
      <c r="F541" s="537" t="s">
        <v>3</v>
      </c>
      <c r="G541" s="10">
        <f>0.25*G539</f>
        <v>1.0799999999999998E-3</v>
      </c>
      <c r="H541" s="10"/>
      <c r="K541" s="547"/>
      <c r="L541" s="8"/>
    </row>
    <row r="542" spans="1:12" customFormat="1" x14ac:dyDescent="0.25">
      <c r="A542" s="545"/>
      <c r="B542" s="242"/>
      <c r="F542" s="537"/>
      <c r="G542" s="10"/>
      <c r="H542" s="10"/>
      <c r="K542" s="547"/>
      <c r="L542" s="8"/>
    </row>
    <row r="543" spans="1:12" customFormat="1" x14ac:dyDescent="0.25">
      <c r="A543" s="545"/>
      <c r="B543" s="565"/>
      <c r="C543" s="3" t="s">
        <v>5480</v>
      </c>
      <c r="F543" s="537"/>
      <c r="G543" s="10"/>
      <c r="H543" s="10"/>
      <c r="K543" s="547"/>
      <c r="L543" s="8"/>
    </row>
    <row r="544" spans="1:12" customFormat="1" x14ac:dyDescent="0.25">
      <c r="A544" s="545"/>
      <c r="B544" s="242"/>
      <c r="C544" t="s">
        <v>876</v>
      </c>
      <c r="F544" s="537" t="s">
        <v>3</v>
      </c>
      <c r="G544" s="10">
        <f>0.02*3.14*0.08*1.3</f>
        <v>6.5312000000000009E-3</v>
      </c>
      <c r="H544" s="10"/>
      <c r="K544" s="547"/>
      <c r="L544" s="8"/>
    </row>
    <row r="545" spans="1:12" customFormat="1" ht="17.25" x14ac:dyDescent="0.25">
      <c r="A545" s="545"/>
      <c r="B545" s="242"/>
      <c r="C545" t="s">
        <v>23</v>
      </c>
      <c r="F545" s="566" t="s">
        <v>5442</v>
      </c>
      <c r="G545" s="10">
        <f>G544*2</f>
        <v>1.3062400000000002E-2</v>
      </c>
      <c r="H545" s="10"/>
      <c r="K545" s="547"/>
      <c r="L545" s="8"/>
    </row>
    <row r="546" spans="1:12" customFormat="1" x14ac:dyDescent="0.25">
      <c r="A546" s="545"/>
      <c r="B546" s="242"/>
      <c r="C546" t="s">
        <v>142</v>
      </c>
      <c r="F546" s="537" t="s">
        <v>3</v>
      </c>
      <c r="G546" s="10">
        <f>G544/4</f>
        <v>1.6328000000000002E-3</v>
      </c>
      <c r="H546" s="10"/>
      <c r="K546" s="547"/>
      <c r="L546" s="8"/>
    </row>
    <row r="547" spans="1:12" customFormat="1" x14ac:dyDescent="0.25">
      <c r="A547" s="545"/>
      <c r="B547" s="242"/>
      <c r="C547" t="s">
        <v>1021</v>
      </c>
      <c r="F547" s="537" t="s">
        <v>3</v>
      </c>
      <c r="G547" s="10">
        <v>0.02</v>
      </c>
      <c r="H547" s="10"/>
      <c r="K547" s="547"/>
      <c r="L547" s="8"/>
    </row>
    <row r="548" spans="1:12" customFormat="1" x14ac:dyDescent="0.25">
      <c r="A548" s="545"/>
      <c r="B548" s="242"/>
      <c r="C548" t="s">
        <v>661</v>
      </c>
      <c r="F548" s="537" t="s">
        <v>3</v>
      </c>
      <c r="G548" s="10">
        <f>0.3*G547</f>
        <v>6.0000000000000001E-3</v>
      </c>
      <c r="H548" s="10"/>
      <c r="K548" s="547"/>
      <c r="L548" s="8"/>
    </row>
    <row r="549" spans="1:12" customFormat="1" x14ac:dyDescent="0.25">
      <c r="A549" s="545"/>
      <c r="B549" s="242"/>
      <c r="C549" s="8" t="s">
        <v>8</v>
      </c>
      <c r="F549" s="537" t="s">
        <v>3</v>
      </c>
      <c r="G549" s="10">
        <v>0.02</v>
      </c>
      <c r="H549" s="10"/>
      <c r="K549" s="547"/>
      <c r="L549" s="8"/>
    </row>
    <row r="550" spans="1:12" customFormat="1" x14ac:dyDescent="0.25">
      <c r="A550" s="545"/>
      <c r="B550" s="242"/>
      <c r="C550" s="8" t="s">
        <v>5441</v>
      </c>
      <c r="F550" s="537" t="s">
        <v>3</v>
      </c>
      <c r="G550" s="10">
        <f>0.15*0.011*2*1.3+0.35*0.02*2*1.3</f>
        <v>2.2489999999999996E-2</v>
      </c>
      <c r="H550" s="10"/>
      <c r="K550" s="547"/>
      <c r="L550" s="8"/>
    </row>
    <row r="551" spans="1:12" customFormat="1" x14ac:dyDescent="0.25">
      <c r="A551" s="545"/>
      <c r="B551" s="242"/>
      <c r="C551" s="8" t="s">
        <v>12</v>
      </c>
      <c r="F551" s="537" t="s">
        <v>3</v>
      </c>
      <c r="G551" s="10">
        <f>0.3*(G550+G549)</f>
        <v>1.2747E-2</v>
      </c>
      <c r="H551" s="10"/>
      <c r="K551" s="547"/>
      <c r="L551" s="8"/>
    </row>
    <row r="552" spans="1:12" customFormat="1" x14ac:dyDescent="0.25">
      <c r="A552" s="545"/>
      <c r="B552" s="242"/>
      <c r="D552" s="3" t="s">
        <v>5481</v>
      </c>
      <c r="F552" s="537"/>
      <c r="G552" s="10"/>
      <c r="H552" s="10"/>
      <c r="K552" s="547"/>
      <c r="L552" s="8"/>
    </row>
    <row r="553" spans="1:12" customFormat="1" x14ac:dyDescent="0.25">
      <c r="A553" s="545"/>
      <c r="B553" s="242"/>
      <c r="D553" t="s">
        <v>5482</v>
      </c>
      <c r="F553" s="537" t="s">
        <v>3</v>
      </c>
      <c r="G553" s="10">
        <v>7.4999999999999997E-2</v>
      </c>
      <c r="H553" s="10"/>
      <c r="I553" t="s">
        <v>5483</v>
      </c>
      <c r="K553" s="547"/>
      <c r="L553" s="8"/>
    </row>
    <row r="554" spans="1:12" customFormat="1" x14ac:dyDescent="0.25">
      <c r="A554" s="545"/>
      <c r="B554" s="242"/>
      <c r="D554" s="3" t="s">
        <v>5484</v>
      </c>
      <c r="F554" s="537"/>
      <c r="G554" s="10"/>
      <c r="H554" s="10"/>
      <c r="K554" s="547"/>
      <c r="L554" s="8"/>
    </row>
    <row r="555" spans="1:12" customFormat="1" x14ac:dyDescent="0.25">
      <c r="A555" s="545"/>
      <c r="B555" s="242"/>
      <c r="D555" t="s">
        <v>5444</v>
      </c>
      <c r="F555" s="537" t="s">
        <v>3</v>
      </c>
      <c r="G555" s="10">
        <v>0.32500000000000001</v>
      </c>
      <c r="H555" s="10"/>
      <c r="I555" t="s">
        <v>5485</v>
      </c>
      <c r="K555" s="547"/>
      <c r="L555" s="8"/>
    </row>
    <row r="556" spans="1:12" customFormat="1" x14ac:dyDescent="0.25">
      <c r="A556" s="545"/>
      <c r="B556" s="242"/>
      <c r="F556" s="537"/>
      <c r="G556" s="10"/>
      <c r="H556" s="10"/>
      <c r="K556" s="547"/>
      <c r="L556" s="8"/>
    </row>
    <row r="557" spans="1:12" customFormat="1" x14ac:dyDescent="0.25">
      <c r="A557" s="545"/>
      <c r="B557" s="567"/>
      <c r="C557" s="3" t="s">
        <v>5486</v>
      </c>
      <c r="F557" s="537" t="s">
        <v>5487</v>
      </c>
      <c r="G557" s="10"/>
      <c r="H557" s="10"/>
      <c r="K557" s="547"/>
      <c r="L557" s="8"/>
    </row>
    <row r="558" spans="1:12" customFormat="1" x14ac:dyDescent="0.25">
      <c r="A558" s="545"/>
      <c r="B558" s="242"/>
      <c r="F558" s="537"/>
      <c r="G558" s="10"/>
      <c r="H558" s="10"/>
      <c r="K558" s="547"/>
      <c r="L558" s="8"/>
    </row>
    <row r="559" spans="1:12" customFormat="1" x14ac:dyDescent="0.25">
      <c r="A559" s="545"/>
      <c r="B559" s="565"/>
      <c r="C559" s="3" t="s">
        <v>5488</v>
      </c>
      <c r="F559" s="537"/>
      <c r="G559" s="10"/>
      <c r="H559" s="10"/>
      <c r="K559" s="547"/>
      <c r="L559" s="8"/>
    </row>
    <row r="560" spans="1:12" customFormat="1" x14ac:dyDescent="0.25">
      <c r="A560" s="545"/>
      <c r="B560" s="242"/>
      <c r="D560" s="3" t="s">
        <v>5489</v>
      </c>
      <c r="F560" s="537"/>
      <c r="G560" s="10"/>
      <c r="H560" s="10"/>
      <c r="K560" s="547"/>
      <c r="L560" s="8"/>
    </row>
    <row r="561" spans="1:12" customFormat="1" x14ac:dyDescent="0.25">
      <c r="A561" s="545"/>
      <c r="B561" s="242"/>
      <c r="D561" t="s">
        <v>275</v>
      </c>
      <c r="F561" s="537" t="s">
        <v>3</v>
      </c>
      <c r="G561" s="10">
        <f>0.2*0.046*1.5*8*1.05</f>
        <v>0.11592000000000001</v>
      </c>
      <c r="H561" s="10"/>
      <c r="K561" s="547"/>
      <c r="L561" s="8"/>
    </row>
    <row r="562" spans="1:12" customFormat="1" x14ac:dyDescent="0.25">
      <c r="A562" s="545"/>
      <c r="B562" s="242"/>
      <c r="D562" s="3" t="s">
        <v>5490</v>
      </c>
      <c r="F562" s="537"/>
      <c r="G562" s="10"/>
      <c r="H562" s="10"/>
      <c r="K562" s="547"/>
      <c r="L562" s="8"/>
    </row>
    <row r="563" spans="1:12" customFormat="1" x14ac:dyDescent="0.25">
      <c r="A563" s="545"/>
      <c r="B563" s="242"/>
      <c r="D563" t="s">
        <v>5491</v>
      </c>
      <c r="F563" s="537" t="s">
        <v>3</v>
      </c>
      <c r="G563" s="10">
        <f>0.06*0.03*1*8*1.1</f>
        <v>1.584E-2</v>
      </c>
      <c r="H563" s="10"/>
      <c r="K563" s="547"/>
      <c r="L563" s="8"/>
    </row>
    <row r="564" spans="1:12" customFormat="1" x14ac:dyDescent="0.25">
      <c r="A564" s="545"/>
      <c r="B564" s="242"/>
      <c r="F564" s="537"/>
      <c r="G564" s="10"/>
      <c r="H564" s="10"/>
      <c r="K564" s="547"/>
      <c r="L564" s="8"/>
    </row>
    <row r="565" spans="1:12" customFormat="1" x14ac:dyDescent="0.25">
      <c r="A565" s="545"/>
      <c r="B565" s="565"/>
      <c r="C565" s="3" t="s">
        <v>5492</v>
      </c>
      <c r="F565" s="537"/>
      <c r="G565" s="10"/>
      <c r="H565" s="10"/>
      <c r="K565" s="547"/>
      <c r="L565" s="8"/>
    </row>
    <row r="566" spans="1:12" customFormat="1" x14ac:dyDescent="0.25">
      <c r="A566" s="545"/>
      <c r="B566" s="242"/>
      <c r="D566" s="3" t="s">
        <v>5493</v>
      </c>
      <c r="F566" s="537"/>
      <c r="G566" s="10"/>
      <c r="H566" s="10"/>
      <c r="K566" s="547"/>
      <c r="L566" s="8"/>
    </row>
    <row r="567" spans="1:12" customFormat="1" x14ac:dyDescent="0.25">
      <c r="A567" s="545"/>
      <c r="B567" s="242"/>
      <c r="D567" t="s">
        <v>275</v>
      </c>
      <c r="F567" s="537" t="s">
        <v>3</v>
      </c>
      <c r="G567" s="10">
        <f>0.265*0.05*1.5*8*1.05</f>
        <v>0.16695000000000004</v>
      </c>
      <c r="H567" s="10"/>
      <c r="K567" s="547"/>
      <c r="L567" s="8"/>
    </row>
    <row r="568" spans="1:12" customFormat="1" x14ac:dyDescent="0.25">
      <c r="A568" s="545"/>
      <c r="B568" s="242"/>
      <c r="D568" s="3" t="s">
        <v>5494</v>
      </c>
      <c r="F568" s="537"/>
      <c r="G568" s="10"/>
      <c r="H568" s="10"/>
      <c r="K568" s="547"/>
      <c r="L568" s="8"/>
    </row>
    <row r="569" spans="1:12" customFormat="1" x14ac:dyDescent="0.25">
      <c r="A569" s="545"/>
      <c r="B569" s="242"/>
      <c r="D569" t="s">
        <v>1730</v>
      </c>
      <c r="F569" s="537" t="s">
        <v>3</v>
      </c>
      <c r="G569" s="10">
        <f>0.065*0.03*1*8</f>
        <v>1.5599999999999999E-2</v>
      </c>
      <c r="H569" s="10"/>
      <c r="K569" s="547"/>
      <c r="L569" s="8"/>
    </row>
    <row r="570" spans="1:12" customFormat="1" x14ac:dyDescent="0.25">
      <c r="A570" s="545"/>
      <c r="B570" s="242"/>
      <c r="F570" s="537"/>
      <c r="G570" s="10"/>
      <c r="H570" s="10"/>
      <c r="K570" s="547"/>
      <c r="L570" s="8"/>
    </row>
    <row r="571" spans="1:12" customFormat="1" x14ac:dyDescent="0.25">
      <c r="A571" s="545"/>
      <c r="B571" s="565"/>
      <c r="C571" s="3" t="s">
        <v>5495</v>
      </c>
      <c r="F571" s="537"/>
      <c r="G571" s="10"/>
      <c r="H571" s="10"/>
      <c r="K571" s="547"/>
      <c r="L571" s="8"/>
    </row>
    <row r="572" spans="1:12" customFormat="1" x14ac:dyDescent="0.25">
      <c r="A572" s="545"/>
      <c r="B572" s="242"/>
      <c r="D572" s="3" t="s">
        <v>5496</v>
      </c>
      <c r="F572" s="537"/>
      <c r="G572" s="10"/>
      <c r="H572" s="10"/>
      <c r="K572" s="547"/>
      <c r="L572" s="8"/>
    </row>
    <row r="573" spans="1:12" customFormat="1" x14ac:dyDescent="0.25">
      <c r="A573" s="545"/>
      <c r="B573" s="242"/>
      <c r="D573" t="s">
        <v>275</v>
      </c>
      <c r="F573" s="537" t="s">
        <v>3</v>
      </c>
      <c r="G573" s="10">
        <f>0.19*0.046*1.5*8</f>
        <v>0.10488</v>
      </c>
      <c r="H573" s="10"/>
      <c r="K573" s="547"/>
      <c r="L573" s="8"/>
    </row>
    <row r="574" spans="1:12" customFormat="1" x14ac:dyDescent="0.25">
      <c r="A574" s="545"/>
      <c r="B574" s="242"/>
      <c r="D574" s="3" t="s">
        <v>3365</v>
      </c>
      <c r="F574" s="537"/>
      <c r="G574" s="10"/>
      <c r="H574" s="10"/>
      <c r="K574" s="547"/>
      <c r="L574" s="8"/>
    </row>
    <row r="575" spans="1:12" customFormat="1" x14ac:dyDescent="0.25">
      <c r="A575" s="545"/>
      <c r="B575" s="242"/>
      <c r="D575" t="s">
        <v>1730</v>
      </c>
      <c r="F575" s="537" t="s">
        <v>3</v>
      </c>
      <c r="G575" s="10">
        <f>0.065*0.03*1*8</f>
        <v>1.5599999999999999E-2</v>
      </c>
      <c r="H575" s="10"/>
      <c r="K575" s="547"/>
      <c r="L575" s="8"/>
    </row>
    <row r="576" spans="1:12" customFormat="1" x14ac:dyDescent="0.25">
      <c r="A576" s="545"/>
      <c r="B576" s="242"/>
      <c r="F576" s="537"/>
      <c r="G576" s="10"/>
      <c r="H576" s="10"/>
      <c r="K576" s="547"/>
      <c r="L576" s="8"/>
    </row>
    <row r="577" spans="1:12" customFormat="1" x14ac:dyDescent="0.25">
      <c r="A577" s="545"/>
      <c r="B577" s="565"/>
      <c r="C577" s="3" t="s">
        <v>5497</v>
      </c>
      <c r="F577" s="537"/>
      <c r="G577" s="10"/>
      <c r="H577" s="10"/>
      <c r="K577" s="547"/>
      <c r="L577" s="8"/>
    </row>
    <row r="578" spans="1:12" customFormat="1" x14ac:dyDescent="0.25">
      <c r="A578" s="545"/>
      <c r="B578" s="242"/>
      <c r="C578" t="s">
        <v>876</v>
      </c>
      <c r="F578" s="537" t="s">
        <v>3</v>
      </c>
      <c r="G578" s="10">
        <f>0.048*3.14*2*0.08*1.1</f>
        <v>2.6526720000000007E-2</v>
      </c>
      <c r="H578" s="10"/>
      <c r="K578" s="547"/>
      <c r="L578" s="8"/>
    </row>
    <row r="579" spans="1:12" customFormat="1" ht="17.25" x14ac:dyDescent="0.25">
      <c r="A579" s="545"/>
      <c r="B579" s="242"/>
      <c r="C579" t="s">
        <v>23</v>
      </c>
      <c r="F579" s="566" t="s">
        <v>5442</v>
      </c>
      <c r="G579" s="10">
        <f>G578*2</f>
        <v>5.3053440000000014E-2</v>
      </c>
      <c r="H579" s="10"/>
      <c r="K579" s="547"/>
      <c r="L579" s="8"/>
    </row>
    <row r="580" spans="1:12" customFormat="1" x14ac:dyDescent="0.25">
      <c r="A580" s="545"/>
      <c r="B580" s="242"/>
      <c r="C580" t="s">
        <v>142</v>
      </c>
      <c r="F580" s="537" t="s">
        <v>3</v>
      </c>
      <c r="G580" s="10">
        <f>G578/4</f>
        <v>6.6316800000000018E-3</v>
      </c>
      <c r="H580" s="10"/>
      <c r="K580" s="547"/>
      <c r="L580" s="8"/>
    </row>
    <row r="581" spans="1:12" customFormat="1" x14ac:dyDescent="0.25">
      <c r="A581" s="545"/>
      <c r="B581" s="242"/>
      <c r="C581" t="s">
        <v>1021</v>
      </c>
      <c r="F581" s="537" t="s">
        <v>3</v>
      </c>
      <c r="G581" s="10">
        <v>1.4999999999999999E-2</v>
      </c>
      <c r="H581" s="10"/>
      <c r="K581" s="547"/>
      <c r="L581" s="8"/>
    </row>
    <row r="582" spans="1:12" customFormat="1" x14ac:dyDescent="0.25">
      <c r="A582" s="545"/>
      <c r="B582" s="242"/>
      <c r="C582" t="s">
        <v>661</v>
      </c>
      <c r="F582" s="537" t="s">
        <v>3</v>
      </c>
      <c r="G582" s="10">
        <f>0.3*G581</f>
        <v>4.4999999999999997E-3</v>
      </c>
      <c r="H582" s="10"/>
      <c r="K582" s="547"/>
      <c r="L582" s="8"/>
    </row>
    <row r="583" spans="1:12" customFormat="1" x14ac:dyDescent="0.25">
      <c r="A583" s="545"/>
      <c r="B583" s="242"/>
      <c r="C583" s="8" t="s">
        <v>8</v>
      </c>
      <c r="D583" s="8"/>
      <c r="E583" s="8"/>
      <c r="F583" s="537" t="s">
        <v>3</v>
      </c>
      <c r="G583" s="10">
        <v>1.4999999999999999E-2</v>
      </c>
      <c r="H583" s="10"/>
      <c r="K583" s="547"/>
      <c r="L583" s="8"/>
    </row>
    <row r="584" spans="1:12" customFormat="1" x14ac:dyDescent="0.25">
      <c r="A584" s="545"/>
      <c r="B584" s="242"/>
      <c r="C584" s="8" t="s">
        <v>5441</v>
      </c>
      <c r="D584" s="8"/>
      <c r="E584" s="8"/>
      <c r="F584" s="537" t="s">
        <v>3</v>
      </c>
      <c r="G584" s="10">
        <f>0.255*0.03*2</f>
        <v>1.5299999999999999E-2</v>
      </c>
      <c r="H584" s="10"/>
      <c r="K584" s="547"/>
      <c r="L584" s="8"/>
    </row>
    <row r="585" spans="1:12" customFormat="1" x14ac:dyDescent="0.25">
      <c r="A585" s="545"/>
      <c r="B585" s="242"/>
      <c r="C585" s="8" t="s">
        <v>12</v>
      </c>
      <c r="D585" s="8"/>
      <c r="E585" s="8"/>
      <c r="F585" s="537" t="s">
        <v>3</v>
      </c>
      <c r="G585" s="10">
        <f>0.3*(G584+G583)</f>
        <v>9.0899999999999991E-3</v>
      </c>
      <c r="H585" s="10"/>
      <c r="K585" s="547"/>
      <c r="L585" s="8"/>
    </row>
    <row r="586" spans="1:12" customFormat="1" x14ac:dyDescent="0.25">
      <c r="A586" s="545"/>
      <c r="B586" s="242"/>
      <c r="C586" s="8" t="s">
        <v>5498</v>
      </c>
      <c r="D586" s="8"/>
      <c r="E586" s="8"/>
      <c r="F586" s="537" t="s">
        <v>3</v>
      </c>
      <c r="G586" s="10">
        <f>0.003</f>
        <v>3.0000000000000001E-3</v>
      </c>
      <c r="H586" s="10"/>
      <c r="K586" s="547"/>
      <c r="L586" s="8"/>
    </row>
    <row r="587" spans="1:12" customFormat="1" x14ac:dyDescent="0.25">
      <c r="A587" s="545"/>
      <c r="B587" s="242"/>
      <c r="D587" s="3" t="s">
        <v>5499</v>
      </c>
      <c r="F587" s="537"/>
      <c r="G587" s="10"/>
      <c r="H587" s="10"/>
      <c r="K587" s="547"/>
      <c r="L587" s="8"/>
    </row>
    <row r="588" spans="1:12" customFormat="1" x14ac:dyDescent="0.25">
      <c r="A588" s="545"/>
      <c r="B588" s="242"/>
      <c r="D588" t="s">
        <v>1346</v>
      </c>
      <c r="F588" s="537" t="s">
        <v>3</v>
      </c>
      <c r="G588" s="10">
        <v>0.69</v>
      </c>
      <c r="H588" s="10"/>
      <c r="I588" t="s">
        <v>5500</v>
      </c>
      <c r="K588" s="547"/>
      <c r="L588" s="8"/>
    </row>
    <row r="589" spans="1:12" customFormat="1" x14ac:dyDescent="0.25">
      <c r="A589" s="545"/>
      <c r="B589" s="242"/>
      <c r="F589" s="537"/>
      <c r="G589" s="10"/>
      <c r="H589" s="10"/>
      <c r="K589" s="547"/>
      <c r="L589" s="8"/>
    </row>
    <row r="590" spans="1:12" customFormat="1" x14ac:dyDescent="0.25">
      <c r="A590" s="545"/>
      <c r="B590" s="565"/>
      <c r="C590" s="3" t="s">
        <v>5501</v>
      </c>
      <c r="F590" s="537"/>
      <c r="G590" s="10"/>
      <c r="H590" s="10"/>
      <c r="K590" s="547"/>
      <c r="L590" s="8"/>
    </row>
    <row r="591" spans="1:12" customFormat="1" x14ac:dyDescent="0.25">
      <c r="A591" s="545"/>
      <c r="B591" s="242"/>
      <c r="C591" t="s">
        <v>876</v>
      </c>
      <c r="F591" s="537" t="s">
        <v>3</v>
      </c>
      <c r="G591" s="10">
        <f>0.03*0.08*1.2</f>
        <v>2.8799999999999997E-3</v>
      </c>
      <c r="H591" s="10"/>
      <c r="K591" s="547"/>
      <c r="L591" s="8"/>
    </row>
    <row r="592" spans="1:12" customFormat="1" ht="17.25" x14ac:dyDescent="0.25">
      <c r="A592" s="545"/>
      <c r="B592" s="242"/>
      <c r="C592" t="s">
        <v>23</v>
      </c>
      <c r="F592" s="566" t="s">
        <v>5442</v>
      </c>
      <c r="G592" s="10">
        <f>2*G591</f>
        <v>5.7599999999999995E-3</v>
      </c>
      <c r="H592" s="10"/>
      <c r="K592" s="547"/>
      <c r="L592" s="8"/>
    </row>
    <row r="593" spans="1:12" customFormat="1" x14ac:dyDescent="0.25">
      <c r="A593" s="545"/>
      <c r="B593" s="242"/>
      <c r="C593" t="s">
        <v>142</v>
      </c>
      <c r="F593" s="537" t="s">
        <v>3</v>
      </c>
      <c r="G593" s="10">
        <f>G591/4</f>
        <v>7.1999999999999994E-4</v>
      </c>
      <c r="H593" s="10"/>
      <c r="K593" s="547"/>
      <c r="L593" s="8"/>
    </row>
    <row r="594" spans="1:12" customFormat="1" x14ac:dyDescent="0.25">
      <c r="A594" s="545"/>
      <c r="B594" s="242"/>
      <c r="C594" t="s">
        <v>1021</v>
      </c>
      <c r="F594" s="537" t="s">
        <v>3</v>
      </c>
      <c r="G594" s="10">
        <v>5.0000000000000001E-3</v>
      </c>
      <c r="H594" s="10"/>
      <c r="K594" s="547"/>
      <c r="L594" s="8"/>
    </row>
    <row r="595" spans="1:12" customFormat="1" x14ac:dyDescent="0.25">
      <c r="A595" s="545"/>
      <c r="B595" s="242"/>
      <c r="C595" t="s">
        <v>661</v>
      </c>
      <c r="F595" s="537" t="s">
        <v>3</v>
      </c>
      <c r="G595" s="10">
        <f>0.3*G594</f>
        <v>1.5E-3</v>
      </c>
      <c r="H595" s="10"/>
      <c r="K595" s="547"/>
      <c r="L595" s="8"/>
    </row>
    <row r="596" spans="1:12" customFormat="1" x14ac:dyDescent="0.25">
      <c r="A596" s="545"/>
      <c r="B596" s="242"/>
      <c r="C596" s="8" t="s">
        <v>8</v>
      </c>
      <c r="F596" s="537" t="s">
        <v>3</v>
      </c>
      <c r="G596" s="10">
        <v>5.0000000000000001E-3</v>
      </c>
      <c r="H596" s="10"/>
      <c r="K596" s="547"/>
      <c r="L596" s="8"/>
    </row>
    <row r="597" spans="1:12" customFormat="1" x14ac:dyDescent="0.25">
      <c r="A597" s="545"/>
      <c r="B597" s="242"/>
      <c r="C597" s="8" t="s">
        <v>5441</v>
      </c>
      <c r="F597" s="537" t="s">
        <v>3</v>
      </c>
      <c r="G597" s="10">
        <v>5.0000000000000001E-3</v>
      </c>
      <c r="H597" s="10"/>
      <c r="K597" s="547"/>
      <c r="L597" s="8"/>
    </row>
    <row r="598" spans="1:12" customFormat="1" x14ac:dyDescent="0.25">
      <c r="A598" s="545"/>
      <c r="B598" s="242"/>
      <c r="C598" s="8" t="s">
        <v>12</v>
      </c>
      <c r="F598" s="537" t="s">
        <v>3</v>
      </c>
      <c r="G598" s="10">
        <f>0.3*(G597+G596)</f>
        <v>3.0000000000000001E-3</v>
      </c>
      <c r="H598" s="10"/>
      <c r="K598" s="547"/>
      <c r="L598" s="8"/>
    </row>
    <row r="599" spans="1:12" customFormat="1" x14ac:dyDescent="0.25">
      <c r="A599" s="545"/>
      <c r="B599" s="242"/>
      <c r="D599" s="3" t="s">
        <v>5502</v>
      </c>
      <c r="F599" s="537"/>
      <c r="G599" s="10"/>
      <c r="H599" s="10"/>
      <c r="K599" s="547"/>
      <c r="L599" s="8"/>
    </row>
    <row r="600" spans="1:12" customFormat="1" x14ac:dyDescent="0.25">
      <c r="A600" s="545"/>
      <c r="B600" s="242"/>
      <c r="D600" t="s">
        <v>5503</v>
      </c>
      <c r="F600" s="537" t="s">
        <v>3</v>
      </c>
      <c r="G600" s="10">
        <v>0.03</v>
      </c>
      <c r="H600" s="10"/>
      <c r="I600" t="s">
        <v>5504</v>
      </c>
      <c r="K600" s="547"/>
      <c r="L600" s="8"/>
    </row>
    <row r="601" spans="1:12" customFormat="1" x14ac:dyDescent="0.25">
      <c r="A601" s="545"/>
      <c r="B601" s="242"/>
      <c r="F601" s="537"/>
      <c r="G601" s="10"/>
      <c r="H601" s="10"/>
      <c r="K601" s="547"/>
      <c r="L601" s="8"/>
    </row>
    <row r="602" spans="1:12" customFormat="1" x14ac:dyDescent="0.25">
      <c r="A602" s="545"/>
      <c r="B602" s="565"/>
      <c r="C602" s="3" t="s">
        <v>5505</v>
      </c>
      <c r="F602" s="537"/>
      <c r="G602" s="10"/>
      <c r="H602" s="10"/>
      <c r="K602" s="547"/>
      <c r="L602" s="8"/>
    </row>
    <row r="603" spans="1:12" customFormat="1" x14ac:dyDescent="0.25">
      <c r="A603" s="545"/>
      <c r="B603" s="242"/>
      <c r="C603" t="s">
        <v>876</v>
      </c>
      <c r="F603" s="537" t="s">
        <v>3</v>
      </c>
      <c r="G603" s="10">
        <f>0.025*3.14*3*0.08*1.32</f>
        <v>2.4868800000000003E-2</v>
      </c>
      <c r="H603" s="10"/>
      <c r="K603" s="547"/>
      <c r="L603" s="8"/>
    </row>
    <row r="604" spans="1:12" customFormat="1" ht="17.25" x14ac:dyDescent="0.25">
      <c r="A604" s="545"/>
      <c r="B604" s="242"/>
      <c r="C604" t="s">
        <v>23</v>
      </c>
      <c r="F604" s="566" t="s">
        <v>5442</v>
      </c>
      <c r="G604" s="10">
        <f>2*G603</f>
        <v>4.9737600000000007E-2</v>
      </c>
      <c r="H604" s="10"/>
      <c r="K604" s="547"/>
      <c r="L604" s="8"/>
    </row>
    <row r="605" spans="1:12" customFormat="1" x14ac:dyDescent="0.25">
      <c r="A605" s="545"/>
      <c r="B605" s="242"/>
      <c r="C605" t="s">
        <v>142</v>
      </c>
      <c r="F605" s="537" t="s">
        <v>3</v>
      </c>
      <c r="G605" s="10">
        <f>G603/4</f>
        <v>6.2172000000000009E-3</v>
      </c>
      <c r="H605" s="10"/>
      <c r="K605" s="547"/>
      <c r="L605" s="8"/>
    </row>
    <row r="606" spans="1:12" customFormat="1" x14ac:dyDescent="0.25">
      <c r="A606" s="545"/>
      <c r="B606" s="242"/>
      <c r="C606" t="s">
        <v>1021</v>
      </c>
      <c r="F606" s="537" t="s">
        <v>3</v>
      </c>
      <c r="G606" s="10">
        <f>G608*2</f>
        <v>0.08</v>
      </c>
      <c r="H606" s="10"/>
      <c r="K606" s="547"/>
      <c r="L606" s="8"/>
    </row>
    <row r="607" spans="1:12" customFormat="1" x14ac:dyDescent="0.25">
      <c r="A607" s="545"/>
      <c r="B607" s="242"/>
      <c r="C607" t="s">
        <v>661</v>
      </c>
      <c r="F607" s="537" t="s">
        <v>3</v>
      </c>
      <c r="G607" s="10">
        <f>0.3*G606</f>
        <v>2.4E-2</v>
      </c>
      <c r="H607" s="10"/>
      <c r="K607" s="547"/>
      <c r="L607" s="8"/>
    </row>
    <row r="608" spans="1:12" customFormat="1" x14ac:dyDescent="0.25">
      <c r="A608" s="545"/>
      <c r="B608" s="242"/>
      <c r="C608" t="s">
        <v>8</v>
      </c>
      <c r="F608" s="537" t="s">
        <v>3</v>
      </c>
      <c r="G608" s="10">
        <v>0.04</v>
      </c>
      <c r="H608" s="10"/>
      <c r="K608" s="547"/>
      <c r="L608" s="8"/>
    </row>
    <row r="609" spans="1:12" customFormat="1" x14ac:dyDescent="0.25">
      <c r="A609" s="545"/>
      <c r="B609" s="242"/>
      <c r="C609" t="s">
        <v>500</v>
      </c>
      <c r="F609" s="537" t="s">
        <v>3</v>
      </c>
      <c r="G609" s="10">
        <f>2*0.02*1.2</f>
        <v>4.8000000000000001E-2</v>
      </c>
      <c r="H609" s="10"/>
      <c r="K609" s="547"/>
      <c r="L609" s="8"/>
    </row>
    <row r="610" spans="1:12" customFormat="1" x14ac:dyDescent="0.25">
      <c r="A610" s="545"/>
      <c r="B610" s="242"/>
      <c r="C610" t="s">
        <v>12</v>
      </c>
      <c r="F610" s="537" t="s">
        <v>3</v>
      </c>
      <c r="G610" s="10">
        <f>0.3*(G609+G608)</f>
        <v>2.6399999999999996E-2</v>
      </c>
      <c r="H610" s="10"/>
      <c r="K610" s="547"/>
      <c r="L610" s="8"/>
    </row>
    <row r="611" spans="1:12" customFormat="1" x14ac:dyDescent="0.25">
      <c r="A611" s="545"/>
      <c r="B611" s="242"/>
      <c r="D611" s="3" t="s">
        <v>5506</v>
      </c>
      <c r="F611" s="537"/>
      <c r="G611" s="10"/>
      <c r="H611" s="10"/>
      <c r="K611" s="547"/>
      <c r="L611" s="8"/>
    </row>
    <row r="612" spans="1:12" customFormat="1" x14ac:dyDescent="0.25">
      <c r="A612" s="545"/>
      <c r="B612" s="242"/>
      <c r="D612" t="s">
        <v>140</v>
      </c>
      <c r="F612" s="537" t="s">
        <v>3</v>
      </c>
      <c r="G612" s="10">
        <f>0.012*3.14*0.08*1.2</f>
        <v>3.6172800000000005E-3</v>
      </c>
      <c r="H612" s="10"/>
      <c r="K612" s="547"/>
      <c r="L612" s="8"/>
    </row>
    <row r="613" spans="1:12" customFormat="1" ht="17.25" x14ac:dyDescent="0.25">
      <c r="A613" s="545"/>
      <c r="B613" s="242"/>
      <c r="D613" t="s">
        <v>23</v>
      </c>
      <c r="F613" s="566" t="s">
        <v>5442</v>
      </c>
      <c r="G613" s="10">
        <f>2*G612</f>
        <v>7.234560000000001E-3</v>
      </c>
      <c r="H613" s="10"/>
      <c r="K613" s="547"/>
      <c r="L613" s="8"/>
    </row>
    <row r="614" spans="1:12" customFormat="1" x14ac:dyDescent="0.25">
      <c r="A614" s="545"/>
      <c r="B614" s="242"/>
      <c r="D614" t="s">
        <v>142</v>
      </c>
      <c r="F614" s="537" t="s">
        <v>3</v>
      </c>
      <c r="G614" s="10">
        <f>G612/4</f>
        <v>9.0432000000000012E-4</v>
      </c>
      <c r="H614" s="10"/>
      <c r="K614" s="547"/>
      <c r="L614" s="8"/>
    </row>
    <row r="615" spans="1:12" customFormat="1" x14ac:dyDescent="0.25">
      <c r="A615" s="545"/>
      <c r="B615" s="242"/>
      <c r="E615" s="3" t="s">
        <v>5507</v>
      </c>
      <c r="F615" s="537"/>
      <c r="G615" s="10"/>
      <c r="H615" s="10"/>
      <c r="K615" s="547"/>
      <c r="L615" s="8"/>
    </row>
    <row r="616" spans="1:12" customFormat="1" x14ac:dyDescent="0.25">
      <c r="A616" s="545"/>
      <c r="B616" s="242"/>
      <c r="E616" t="s">
        <v>5508</v>
      </c>
      <c r="F616" s="537" t="s">
        <v>3</v>
      </c>
      <c r="G616" s="10">
        <v>0.02</v>
      </c>
      <c r="H616" s="10"/>
      <c r="I616" t="s">
        <v>5509</v>
      </c>
      <c r="K616" s="547"/>
      <c r="L616" s="8"/>
    </row>
    <row r="617" spans="1:12" customFormat="1" x14ac:dyDescent="0.25">
      <c r="A617" s="545"/>
      <c r="B617" s="242"/>
      <c r="D617" s="3" t="s">
        <v>5510</v>
      </c>
      <c r="F617" s="537"/>
      <c r="G617" s="10"/>
      <c r="H617" s="10"/>
      <c r="K617" s="547"/>
      <c r="L617" s="8"/>
    </row>
    <row r="618" spans="1:12" customFormat="1" x14ac:dyDescent="0.25">
      <c r="A618" s="545"/>
      <c r="B618" s="242"/>
      <c r="D618" t="s">
        <v>5511</v>
      </c>
      <c r="F618" s="537" t="s">
        <v>3</v>
      </c>
      <c r="G618" s="10">
        <v>1.25</v>
      </c>
      <c r="H618" s="10"/>
      <c r="I618" t="s">
        <v>5512</v>
      </c>
      <c r="K618" s="547"/>
      <c r="L618" s="8"/>
    </row>
    <row r="619" spans="1:12" customFormat="1" x14ac:dyDescent="0.25">
      <c r="A619" s="545"/>
      <c r="B619" s="242"/>
      <c r="D619" t="s">
        <v>5513</v>
      </c>
      <c r="F619" s="537" t="s">
        <v>3</v>
      </c>
      <c r="G619" s="10">
        <f>0.1</f>
        <v>0.1</v>
      </c>
      <c r="H619" s="10"/>
      <c r="K619" s="547"/>
      <c r="L619" s="8"/>
    </row>
    <row r="620" spans="1:12" customFormat="1" x14ac:dyDescent="0.25">
      <c r="A620" s="545"/>
      <c r="B620" s="242"/>
      <c r="D620" s="8" t="s">
        <v>1054</v>
      </c>
      <c r="F620" s="537" t="s">
        <v>3</v>
      </c>
      <c r="G620" s="10">
        <f>0.025*3.14*2*0.05*1.3</f>
        <v>1.0205000000000002E-2</v>
      </c>
      <c r="H620" s="10"/>
      <c r="K620" s="547"/>
      <c r="L620" s="8"/>
    </row>
    <row r="621" spans="1:12" customFormat="1" ht="17.25" x14ac:dyDescent="0.25">
      <c r="A621" s="545"/>
      <c r="B621" s="242"/>
      <c r="D621" s="77" t="s">
        <v>1055</v>
      </c>
      <c r="F621" s="537" t="s">
        <v>596</v>
      </c>
      <c r="G621" s="10">
        <f>G620</f>
        <v>1.0205000000000002E-2</v>
      </c>
      <c r="H621" s="10"/>
      <c r="K621" s="547"/>
      <c r="L621" s="8"/>
    </row>
    <row r="622" spans="1:12" customFormat="1" x14ac:dyDescent="0.25">
      <c r="A622" s="545"/>
      <c r="B622" s="242"/>
      <c r="F622" s="537"/>
      <c r="G622" s="10"/>
      <c r="H622" s="10"/>
      <c r="K622" s="547"/>
      <c r="L622" s="8"/>
    </row>
    <row r="623" spans="1:12" customFormat="1" x14ac:dyDescent="0.25">
      <c r="A623" s="545"/>
      <c r="B623" s="565"/>
      <c r="C623" s="54" t="s">
        <v>5514</v>
      </c>
      <c r="D623" s="8"/>
      <c r="E623" s="8"/>
      <c r="F623" s="537"/>
      <c r="G623" s="10"/>
      <c r="H623" s="10"/>
      <c r="K623" s="547"/>
      <c r="L623" s="8"/>
    </row>
    <row r="624" spans="1:12" customFormat="1" x14ac:dyDescent="0.25">
      <c r="A624" s="545"/>
      <c r="B624" s="242"/>
      <c r="C624" t="s">
        <v>560</v>
      </c>
      <c r="F624" s="537" t="s">
        <v>3</v>
      </c>
      <c r="G624" s="10">
        <f>0.008</f>
        <v>8.0000000000000002E-3</v>
      </c>
      <c r="H624" s="10"/>
      <c r="K624" s="547"/>
      <c r="L624" s="8"/>
    </row>
    <row r="625" spans="1:12" customFormat="1" x14ac:dyDescent="0.25">
      <c r="A625" s="545"/>
      <c r="B625" s="242"/>
      <c r="D625" s="3" t="s">
        <v>5515</v>
      </c>
      <c r="F625" s="537"/>
      <c r="G625" s="10"/>
      <c r="H625" s="10"/>
      <c r="K625" s="547"/>
      <c r="L625" s="8"/>
    </row>
    <row r="626" spans="1:12" customFormat="1" x14ac:dyDescent="0.25">
      <c r="A626" s="545"/>
      <c r="B626" s="242"/>
      <c r="D626" t="s">
        <v>5516</v>
      </c>
      <c r="F626" s="537" t="s">
        <v>3</v>
      </c>
      <c r="G626" s="10">
        <f>G627*0.8</f>
        <v>2.0280000000000003E-2</v>
      </c>
      <c r="H626" s="10"/>
      <c r="K626" s="547"/>
      <c r="L626" s="8"/>
    </row>
    <row r="627" spans="1:12" customFormat="1" x14ac:dyDescent="0.25">
      <c r="A627" s="545"/>
      <c r="B627" s="242"/>
      <c r="D627" t="s">
        <v>5441</v>
      </c>
      <c r="F627" s="537" t="s">
        <v>3</v>
      </c>
      <c r="G627" s="10">
        <f>0.325*0.03*2*1.3</f>
        <v>2.5350000000000001E-2</v>
      </c>
      <c r="H627" s="10"/>
      <c r="K627" s="547"/>
      <c r="L627" s="8"/>
    </row>
    <row r="628" spans="1:12" customFormat="1" x14ac:dyDescent="0.25">
      <c r="A628" s="545"/>
      <c r="B628" s="242"/>
      <c r="D628" t="s">
        <v>12</v>
      </c>
      <c r="F628" s="537" t="s">
        <v>3</v>
      </c>
      <c r="G628" s="10">
        <f>0.3*(G626+G627)</f>
        <v>1.3689000000000002E-2</v>
      </c>
      <c r="H628" s="10"/>
      <c r="K628" s="547"/>
      <c r="L628" s="8"/>
    </row>
    <row r="629" spans="1:12" customFormat="1" x14ac:dyDescent="0.25">
      <c r="A629" s="545"/>
      <c r="B629" s="242"/>
      <c r="D629" t="s">
        <v>140</v>
      </c>
      <c r="F629" s="537" t="s">
        <v>3</v>
      </c>
      <c r="G629" s="10">
        <f>0.15*0.08*1.3</f>
        <v>1.5600000000000001E-2</v>
      </c>
      <c r="H629" s="10"/>
      <c r="K629" s="547"/>
      <c r="L629" s="8"/>
    </row>
    <row r="630" spans="1:12" customFormat="1" ht="17.25" x14ac:dyDescent="0.25">
      <c r="A630" s="545"/>
      <c r="B630" s="242"/>
      <c r="D630" t="s">
        <v>23</v>
      </c>
      <c r="F630" s="566" t="s">
        <v>5442</v>
      </c>
      <c r="G630" s="10">
        <f>2*G629</f>
        <v>3.1200000000000002E-2</v>
      </c>
      <c r="H630" s="10"/>
      <c r="K630" s="547"/>
      <c r="L630" s="8"/>
    </row>
    <row r="631" spans="1:12" customFormat="1" x14ac:dyDescent="0.25">
      <c r="A631" s="545"/>
      <c r="B631" s="242"/>
      <c r="D631" t="s">
        <v>142</v>
      </c>
      <c r="F631" s="537" t="s">
        <v>3</v>
      </c>
      <c r="G631" s="10">
        <f>G629/4</f>
        <v>3.9000000000000003E-3</v>
      </c>
      <c r="H631" s="10"/>
      <c r="K631" s="547"/>
      <c r="L631" s="8"/>
    </row>
    <row r="632" spans="1:12" customFormat="1" x14ac:dyDescent="0.25">
      <c r="A632" s="545"/>
      <c r="B632" s="242"/>
      <c r="E632" s="3" t="s">
        <v>5517</v>
      </c>
      <c r="F632" s="537"/>
      <c r="G632" s="10"/>
      <c r="H632" s="10"/>
      <c r="K632" s="547"/>
      <c r="L632" s="8"/>
    </row>
    <row r="633" spans="1:12" customFormat="1" x14ac:dyDescent="0.25">
      <c r="A633" s="545"/>
      <c r="B633" s="242"/>
      <c r="E633" t="s">
        <v>5518</v>
      </c>
      <c r="F633" s="537" t="s">
        <v>3</v>
      </c>
      <c r="G633" s="10">
        <v>0.36</v>
      </c>
      <c r="H633" s="10"/>
      <c r="I633" t="s">
        <v>5519</v>
      </c>
      <c r="K633" s="547"/>
      <c r="L633" s="8"/>
    </row>
    <row r="634" spans="1:12" customFormat="1" x14ac:dyDescent="0.25">
      <c r="A634" s="545"/>
      <c r="B634" s="242"/>
      <c r="E634" s="3" t="s">
        <v>5520</v>
      </c>
      <c r="F634" s="537"/>
      <c r="G634" s="10"/>
      <c r="H634" s="10"/>
      <c r="K634" s="547"/>
      <c r="L634" s="8"/>
    </row>
    <row r="635" spans="1:12" customFormat="1" x14ac:dyDescent="0.25">
      <c r="A635" s="545"/>
      <c r="B635" s="242"/>
      <c r="E635" t="s">
        <v>5521</v>
      </c>
      <c r="F635" s="537" t="s">
        <v>3</v>
      </c>
      <c r="G635" s="10">
        <v>2.3E-2</v>
      </c>
      <c r="H635" s="10"/>
      <c r="I635" t="s">
        <v>5522</v>
      </c>
      <c r="K635" s="547"/>
      <c r="L635" s="8"/>
    </row>
    <row r="636" spans="1:12" customFormat="1" x14ac:dyDescent="0.25">
      <c r="A636" s="545"/>
      <c r="B636" s="242"/>
      <c r="F636" s="537"/>
      <c r="G636" s="10"/>
      <c r="H636" s="10"/>
      <c r="K636" s="547"/>
      <c r="L636" s="8"/>
    </row>
    <row r="637" spans="1:12" customFormat="1" x14ac:dyDescent="0.25">
      <c r="A637" s="545"/>
      <c r="B637" s="565"/>
      <c r="C637" s="54" t="s">
        <v>5523</v>
      </c>
      <c r="F637" s="537"/>
      <c r="G637" s="10"/>
      <c r="H637" s="10"/>
      <c r="K637" s="547"/>
      <c r="L637" s="8"/>
    </row>
    <row r="638" spans="1:12" customFormat="1" x14ac:dyDescent="0.25">
      <c r="A638" s="545"/>
      <c r="B638" s="242"/>
      <c r="C638" s="154" t="s">
        <v>5524</v>
      </c>
      <c r="F638" s="537" t="s">
        <v>3</v>
      </c>
      <c r="G638" s="10">
        <f>0.115*0.055*5*8*1.08</f>
        <v>0.27324000000000004</v>
      </c>
      <c r="H638" s="10"/>
      <c r="K638" s="547"/>
      <c r="L638" s="8"/>
    </row>
    <row r="639" spans="1:12" customFormat="1" x14ac:dyDescent="0.25">
      <c r="A639" s="545"/>
      <c r="B639" s="242"/>
      <c r="C639" s="54"/>
      <c r="F639" s="537"/>
      <c r="G639" s="10"/>
      <c r="H639" s="10"/>
      <c r="K639" s="547"/>
      <c r="L639" s="8"/>
    </row>
    <row r="640" spans="1:12" customFormat="1" x14ac:dyDescent="0.25">
      <c r="A640" s="545"/>
      <c r="B640" s="565"/>
      <c r="C640" s="54" t="s">
        <v>5525</v>
      </c>
      <c r="F640" s="537"/>
      <c r="G640" s="10"/>
      <c r="H640" s="10"/>
      <c r="K640" s="547"/>
      <c r="L640" s="8"/>
    </row>
    <row r="641" spans="1:12" customFormat="1" x14ac:dyDescent="0.25">
      <c r="A641" s="545"/>
      <c r="B641" s="242"/>
      <c r="C641" s="154" t="s">
        <v>5524</v>
      </c>
      <c r="F641" s="537" t="s">
        <v>3</v>
      </c>
      <c r="G641" s="10">
        <f>0.085*0.06*5*8*1.08</f>
        <v>0.22032000000000004</v>
      </c>
      <c r="H641" s="10"/>
      <c r="K641" s="547"/>
      <c r="L641" s="8"/>
    </row>
    <row r="642" spans="1:12" customFormat="1" x14ac:dyDescent="0.25">
      <c r="A642" s="545"/>
      <c r="B642" s="242"/>
      <c r="F642" s="537"/>
      <c r="G642" s="10"/>
      <c r="H642" s="10"/>
      <c r="K642" s="547"/>
      <c r="L642" s="8"/>
    </row>
    <row r="643" spans="1:12" customFormat="1" x14ac:dyDescent="0.25">
      <c r="A643" s="545"/>
      <c r="B643" s="565"/>
      <c r="C643" s="3" t="s">
        <v>5526</v>
      </c>
      <c r="F643" s="537"/>
      <c r="G643" s="10"/>
      <c r="H643" s="10"/>
      <c r="K643" s="547"/>
      <c r="L643" s="8"/>
    </row>
    <row r="644" spans="1:12" customFormat="1" x14ac:dyDescent="0.25">
      <c r="A644" s="545"/>
      <c r="B644" s="242"/>
      <c r="C644" t="s">
        <v>5527</v>
      </c>
      <c r="F644" s="537" t="s">
        <v>3</v>
      </c>
      <c r="G644" s="10">
        <f>0.23*0.025*1.5*8*1.16</f>
        <v>8.004E-2</v>
      </c>
      <c r="H644" s="10"/>
      <c r="K644" s="547"/>
      <c r="L644" s="8"/>
    </row>
    <row r="645" spans="1:12" customFormat="1" x14ac:dyDescent="0.25">
      <c r="A645" s="545"/>
      <c r="B645" s="242"/>
      <c r="F645" s="537"/>
      <c r="G645" s="10"/>
      <c r="H645" s="10"/>
      <c r="K645" s="547"/>
      <c r="L645" s="8"/>
    </row>
    <row r="646" spans="1:12" customFormat="1" x14ac:dyDescent="0.25">
      <c r="A646" s="545"/>
      <c r="B646" s="565"/>
      <c r="C646" s="3" t="s">
        <v>5528</v>
      </c>
      <c r="F646" s="537"/>
      <c r="G646" s="10"/>
      <c r="H646" s="10"/>
      <c r="K646" s="547"/>
      <c r="L646" s="8"/>
    </row>
    <row r="647" spans="1:12" customFormat="1" x14ac:dyDescent="0.25">
      <c r="A647" s="545"/>
      <c r="B647" s="242"/>
      <c r="C647" t="s">
        <v>5529</v>
      </c>
      <c r="F647" s="537" t="s">
        <v>3</v>
      </c>
      <c r="G647" s="10">
        <f>0.135*0.025*5*8*1.11</f>
        <v>0.14985000000000001</v>
      </c>
      <c r="H647" s="10"/>
      <c r="K647" s="547"/>
      <c r="L647" s="8"/>
    </row>
    <row r="648" spans="1:12" customFormat="1" x14ac:dyDescent="0.25">
      <c r="A648" s="545"/>
      <c r="B648" s="242"/>
      <c r="F648" s="537"/>
      <c r="G648" s="10"/>
      <c r="H648" s="10"/>
      <c r="K648" s="547"/>
      <c r="L648" s="8"/>
    </row>
    <row r="649" spans="1:12" customFormat="1" x14ac:dyDescent="0.25">
      <c r="A649" s="545"/>
      <c r="B649" s="565"/>
      <c r="C649" s="54" t="s">
        <v>2865</v>
      </c>
      <c r="F649" s="537"/>
      <c r="G649" s="10"/>
      <c r="H649" s="10"/>
      <c r="K649" s="547"/>
      <c r="L649" s="8"/>
    </row>
    <row r="650" spans="1:12" customFormat="1" x14ac:dyDescent="0.25">
      <c r="A650" s="545"/>
      <c r="B650" s="242"/>
      <c r="C650" t="s">
        <v>5257</v>
      </c>
      <c r="F650" s="537" t="s">
        <v>3</v>
      </c>
      <c r="G650" s="10">
        <f>0.045*0.045*1*8*1.1</f>
        <v>1.7819999999999999E-2</v>
      </c>
      <c r="H650" s="10"/>
      <c r="K650" s="547"/>
      <c r="L650" s="8"/>
    </row>
    <row r="651" spans="1:12" customFormat="1" x14ac:dyDescent="0.25">
      <c r="A651" s="545"/>
      <c r="B651" s="242"/>
      <c r="F651" s="537"/>
      <c r="G651" s="10"/>
      <c r="H651" s="10"/>
      <c r="K651" s="547"/>
      <c r="L651" s="8"/>
    </row>
    <row r="652" spans="1:12" customFormat="1" x14ac:dyDescent="0.25">
      <c r="A652" s="545"/>
      <c r="B652" s="565"/>
      <c r="C652" s="3" t="s">
        <v>5530</v>
      </c>
      <c r="F652" s="537"/>
      <c r="G652" s="6" t="s">
        <v>549</v>
      </c>
      <c r="H652" s="6" t="s">
        <v>549</v>
      </c>
      <c r="K652" s="547"/>
      <c r="L652" s="8"/>
    </row>
    <row r="653" spans="1:12" customFormat="1" x14ac:dyDescent="0.25">
      <c r="A653" s="545"/>
      <c r="B653" s="242"/>
      <c r="C653" s="3"/>
      <c r="F653" s="537" t="s">
        <v>195</v>
      </c>
      <c r="G653" s="10">
        <v>0.08</v>
      </c>
      <c r="H653" s="10">
        <v>0.08</v>
      </c>
      <c r="K653" s="547"/>
      <c r="L653" s="8"/>
    </row>
    <row r="654" spans="1:12" customFormat="1" x14ac:dyDescent="0.25">
      <c r="A654" s="545"/>
      <c r="B654" s="242"/>
      <c r="C654" s="3"/>
      <c r="F654" s="537"/>
      <c r="G654" s="6"/>
      <c r="H654" s="6"/>
      <c r="K654" s="547"/>
      <c r="L654" s="8"/>
    </row>
    <row r="655" spans="1:12" customFormat="1" x14ac:dyDescent="0.25">
      <c r="A655" s="545"/>
      <c r="B655" s="565"/>
      <c r="C655" s="3" t="s">
        <v>5531</v>
      </c>
      <c r="F655" s="537"/>
      <c r="G655" s="6" t="s">
        <v>549</v>
      </c>
      <c r="H655" s="6" t="s">
        <v>5532</v>
      </c>
      <c r="K655" s="547"/>
      <c r="L655" s="8"/>
    </row>
    <row r="656" spans="1:12" customFormat="1" x14ac:dyDescent="0.25">
      <c r="A656" s="545"/>
      <c r="B656" s="242"/>
      <c r="C656" s="3"/>
      <c r="F656" s="537" t="s">
        <v>195</v>
      </c>
      <c r="G656" s="10">
        <v>0.1</v>
      </c>
      <c r="H656" s="10">
        <f>G656*6</f>
        <v>0.60000000000000009</v>
      </c>
      <c r="K656" s="547"/>
      <c r="L656" s="8"/>
    </row>
    <row r="657" spans="1:12" customFormat="1" x14ac:dyDescent="0.25">
      <c r="A657" s="545"/>
      <c r="B657" s="242"/>
      <c r="C657" s="3"/>
      <c r="F657" s="537"/>
      <c r="G657" s="10"/>
      <c r="H657" s="10"/>
      <c r="K657" s="547"/>
      <c r="L657" s="8"/>
    </row>
    <row r="658" spans="1:12" customFormat="1" x14ac:dyDescent="0.25">
      <c r="A658" s="545"/>
      <c r="B658" s="565"/>
      <c r="C658" s="3" t="s">
        <v>5533</v>
      </c>
      <c r="F658" s="537"/>
      <c r="G658" s="6" t="s">
        <v>549</v>
      </c>
      <c r="H658" s="6" t="s">
        <v>5534</v>
      </c>
      <c r="K658" s="547"/>
      <c r="L658" s="8"/>
    </row>
    <row r="659" spans="1:12" customFormat="1" x14ac:dyDescent="0.25">
      <c r="A659" s="545"/>
      <c r="B659" s="242"/>
      <c r="C659" s="3"/>
      <c r="F659" s="537" t="s">
        <v>195</v>
      </c>
      <c r="G659" s="10">
        <v>0.13</v>
      </c>
      <c r="H659" s="10">
        <f>G659*4</f>
        <v>0.52</v>
      </c>
      <c r="K659" s="547"/>
      <c r="L659" s="8"/>
    </row>
    <row r="660" spans="1:12" customFormat="1" x14ac:dyDescent="0.25">
      <c r="A660" s="545"/>
      <c r="B660" s="242"/>
      <c r="C660" s="3"/>
      <c r="F660" s="537"/>
      <c r="G660" s="10"/>
      <c r="H660" s="10"/>
      <c r="K660" s="547"/>
      <c r="L660" s="8"/>
    </row>
    <row r="661" spans="1:12" customFormat="1" x14ac:dyDescent="0.25">
      <c r="A661" s="545"/>
      <c r="B661" s="565"/>
      <c r="C661" s="3" t="s">
        <v>5535</v>
      </c>
      <c r="F661" s="537"/>
      <c r="G661" s="6" t="s">
        <v>549</v>
      </c>
      <c r="H661" s="6" t="s">
        <v>5536</v>
      </c>
      <c r="K661" s="547"/>
      <c r="L661" s="8"/>
    </row>
    <row r="662" spans="1:12" customFormat="1" x14ac:dyDescent="0.25">
      <c r="A662" s="545"/>
      <c r="B662" s="242"/>
      <c r="C662" s="3"/>
      <c r="F662" s="537" t="s">
        <v>195</v>
      </c>
      <c r="G662" s="10">
        <v>0.13</v>
      </c>
      <c r="H662" s="10">
        <f>G662*8</f>
        <v>1.04</v>
      </c>
      <c r="K662" s="547"/>
      <c r="L662" s="8"/>
    </row>
    <row r="663" spans="1:12" customFormat="1" x14ac:dyDescent="0.25">
      <c r="A663" s="545"/>
      <c r="B663" s="242"/>
      <c r="C663" s="3"/>
      <c r="F663" s="537"/>
      <c r="G663" s="10"/>
      <c r="H663" s="10"/>
      <c r="K663" s="547"/>
      <c r="L663" s="8"/>
    </row>
    <row r="664" spans="1:12" customFormat="1" x14ac:dyDescent="0.25">
      <c r="A664" s="545"/>
      <c r="B664" s="565"/>
      <c r="C664" s="3" t="s">
        <v>5537</v>
      </c>
      <c r="F664" s="537"/>
      <c r="G664" s="6" t="s">
        <v>549</v>
      </c>
      <c r="H664" s="6" t="s">
        <v>4858</v>
      </c>
      <c r="K664" s="547"/>
      <c r="L664" s="8"/>
    </row>
    <row r="665" spans="1:12" customFormat="1" x14ac:dyDescent="0.25">
      <c r="A665" s="545"/>
      <c r="B665" s="242"/>
      <c r="C665" s="3"/>
      <c r="F665" s="537" t="s">
        <v>195</v>
      </c>
      <c r="G665" s="10">
        <v>0.13</v>
      </c>
      <c r="H665" s="10">
        <f>G665*2</f>
        <v>0.26</v>
      </c>
      <c r="K665" s="547"/>
      <c r="L665" s="8"/>
    </row>
    <row r="666" spans="1:12" customFormat="1" x14ac:dyDescent="0.25">
      <c r="A666" s="545"/>
      <c r="B666" s="242"/>
      <c r="C666" s="3"/>
      <c r="F666" s="537"/>
      <c r="G666" s="10"/>
      <c r="H666" s="10"/>
      <c r="K666" s="547"/>
      <c r="L666" s="8"/>
    </row>
    <row r="667" spans="1:12" customFormat="1" x14ac:dyDescent="0.25">
      <c r="A667" s="545"/>
      <c r="B667" s="565"/>
      <c r="C667" s="3" t="s">
        <v>5538</v>
      </c>
      <c r="F667" s="537"/>
      <c r="G667" s="6" t="s">
        <v>549</v>
      </c>
      <c r="H667" s="6" t="s">
        <v>549</v>
      </c>
      <c r="K667" s="547"/>
      <c r="L667" s="8"/>
    </row>
    <row r="668" spans="1:12" customFormat="1" x14ac:dyDescent="0.25">
      <c r="A668" s="545"/>
      <c r="B668" s="242"/>
      <c r="C668" s="3"/>
      <c r="F668" s="537" t="s">
        <v>195</v>
      </c>
      <c r="G668" s="10">
        <v>0.3</v>
      </c>
      <c r="H668" s="10">
        <v>0.3</v>
      </c>
      <c r="K668" s="547"/>
      <c r="L668" s="8"/>
    </row>
    <row r="669" spans="1:12" customFormat="1" x14ac:dyDescent="0.25">
      <c r="A669" s="545"/>
      <c r="B669" s="242"/>
      <c r="C669" s="3"/>
      <c r="F669" s="537"/>
      <c r="G669" s="10"/>
      <c r="H669" s="10"/>
      <c r="K669" s="547"/>
      <c r="L669" s="8"/>
    </row>
    <row r="670" spans="1:12" customFormat="1" x14ac:dyDescent="0.25">
      <c r="A670" s="545"/>
      <c r="B670" s="565"/>
      <c r="C670" s="3" t="s">
        <v>5539</v>
      </c>
      <c r="F670" s="537"/>
      <c r="G670" s="6" t="s">
        <v>549</v>
      </c>
      <c r="H670" s="6" t="s">
        <v>549</v>
      </c>
      <c r="K670" s="547"/>
      <c r="L670" s="8"/>
    </row>
    <row r="671" spans="1:12" customFormat="1" x14ac:dyDescent="0.25">
      <c r="A671" s="545"/>
      <c r="B671" s="242"/>
      <c r="C671" s="3"/>
      <c r="F671" s="537" t="s">
        <v>195</v>
      </c>
      <c r="G671" s="10">
        <v>0.4</v>
      </c>
      <c r="H671" s="10">
        <v>0.4</v>
      </c>
      <c r="K671" s="547"/>
      <c r="L671" s="8"/>
    </row>
    <row r="672" spans="1:12" customFormat="1" x14ac:dyDescent="0.25">
      <c r="A672" s="545"/>
      <c r="B672" s="242"/>
      <c r="C672" s="3"/>
      <c r="F672" s="537"/>
      <c r="G672" s="10"/>
      <c r="H672" s="10"/>
      <c r="K672" s="547"/>
      <c r="L672" s="8"/>
    </row>
    <row r="673" spans="1:12" customFormat="1" x14ac:dyDescent="0.25">
      <c r="A673" s="545"/>
      <c r="B673" s="565"/>
      <c r="C673" s="3" t="s">
        <v>5540</v>
      </c>
      <c r="F673" s="537"/>
      <c r="G673" s="6" t="s">
        <v>549</v>
      </c>
      <c r="H673" s="6" t="s">
        <v>549</v>
      </c>
      <c r="K673" s="547"/>
      <c r="L673" s="8"/>
    </row>
    <row r="674" spans="1:12" customFormat="1" x14ac:dyDescent="0.25">
      <c r="A674" s="545"/>
      <c r="B674" s="242"/>
      <c r="F674" s="537" t="s">
        <v>195</v>
      </c>
      <c r="G674" s="10">
        <v>0.12</v>
      </c>
      <c r="H674" s="10">
        <v>0.12</v>
      </c>
      <c r="K674" s="547"/>
      <c r="L674" s="8"/>
    </row>
    <row r="675" spans="1:12" customFormat="1" x14ac:dyDescent="0.25">
      <c r="A675" s="545"/>
      <c r="B675" s="242"/>
      <c r="F675" s="537"/>
      <c r="G675" s="10"/>
      <c r="H675" s="10"/>
      <c r="K675" s="547"/>
      <c r="L675" s="8"/>
    </row>
    <row r="676" spans="1:12" customFormat="1" ht="18.75" x14ac:dyDescent="0.3">
      <c r="A676" s="545"/>
      <c r="B676" s="568">
        <v>3</v>
      </c>
      <c r="E676" s="46" t="s">
        <v>5541</v>
      </c>
      <c r="F676" s="537"/>
      <c r="G676" s="10"/>
      <c r="H676" s="10"/>
      <c r="K676" s="547"/>
      <c r="L676" s="8"/>
    </row>
    <row r="677" spans="1:12" customFormat="1" x14ac:dyDescent="0.25">
      <c r="A677" s="545"/>
      <c r="B677" s="242"/>
      <c r="F677" s="537"/>
      <c r="G677" s="10"/>
      <c r="H677" s="10"/>
      <c r="K677" s="547"/>
      <c r="L677" s="8"/>
    </row>
    <row r="678" spans="1:12" customFormat="1" x14ac:dyDescent="0.25">
      <c r="A678" s="545"/>
      <c r="B678" s="565"/>
      <c r="C678" s="3" t="s">
        <v>5542</v>
      </c>
      <c r="F678" s="537"/>
      <c r="G678" s="10"/>
      <c r="H678" s="10"/>
      <c r="K678" s="547"/>
      <c r="L678" s="8"/>
    </row>
    <row r="679" spans="1:12" customFormat="1" x14ac:dyDescent="0.25">
      <c r="A679" s="545"/>
      <c r="B679" s="242"/>
      <c r="C679" s="77" t="s">
        <v>39</v>
      </c>
      <c r="F679" s="537" t="s">
        <v>3</v>
      </c>
      <c r="G679" s="10">
        <f>0.016*3.14*0.05*1.3</f>
        <v>3.2656000000000004E-3</v>
      </c>
      <c r="H679" s="10"/>
      <c r="K679" s="547"/>
      <c r="L679" s="8"/>
    </row>
    <row r="680" spans="1:12" customFormat="1" ht="17.25" x14ac:dyDescent="0.25">
      <c r="A680" s="545"/>
      <c r="B680" s="242"/>
      <c r="C680" s="77" t="s">
        <v>1055</v>
      </c>
      <c r="F680" s="537" t="s">
        <v>596</v>
      </c>
      <c r="G680" s="10">
        <f>G679</f>
        <v>3.2656000000000004E-3</v>
      </c>
      <c r="H680" s="10"/>
      <c r="K680" s="547"/>
      <c r="L680" s="8"/>
    </row>
    <row r="681" spans="1:12" customFormat="1" x14ac:dyDescent="0.25">
      <c r="A681" s="545"/>
      <c r="B681" s="242"/>
      <c r="C681" t="s">
        <v>143</v>
      </c>
      <c r="F681" s="537" t="s">
        <v>3</v>
      </c>
      <c r="G681" s="10">
        <f>G683</f>
        <v>0.03</v>
      </c>
      <c r="H681" s="10"/>
      <c r="K681" s="547"/>
      <c r="L681" s="8"/>
    </row>
    <row r="682" spans="1:12" customFormat="1" x14ac:dyDescent="0.25">
      <c r="A682" s="545"/>
      <c r="B682" s="242"/>
      <c r="C682" t="s">
        <v>12</v>
      </c>
      <c r="F682" s="537" t="s">
        <v>3</v>
      </c>
      <c r="G682" s="10">
        <f>0.3*G681</f>
        <v>8.9999999999999993E-3</v>
      </c>
      <c r="H682" s="10"/>
      <c r="K682" s="547"/>
      <c r="L682" s="8"/>
    </row>
    <row r="683" spans="1:12" customFormat="1" x14ac:dyDescent="0.25">
      <c r="A683" s="545"/>
      <c r="B683" s="242"/>
      <c r="C683" s="77" t="s">
        <v>8</v>
      </c>
      <c r="D683" s="8"/>
      <c r="E683" s="8"/>
      <c r="F683" s="537" t="s">
        <v>3</v>
      </c>
      <c r="G683" s="10">
        <f>0.03</f>
        <v>0.03</v>
      </c>
      <c r="H683" s="10"/>
      <c r="K683" s="547"/>
      <c r="L683" s="8"/>
    </row>
    <row r="684" spans="1:12" customFormat="1" x14ac:dyDescent="0.25">
      <c r="A684" s="545"/>
      <c r="B684" s="242"/>
      <c r="C684" s="77" t="s">
        <v>5543</v>
      </c>
      <c r="D684" s="8"/>
      <c r="E684" s="8"/>
      <c r="F684" s="537" t="s">
        <v>3</v>
      </c>
      <c r="G684" s="10">
        <f>1.64*0.011*2*1.1</f>
        <v>3.9687999999999994E-2</v>
      </c>
      <c r="H684" s="10"/>
      <c r="K684" s="547"/>
      <c r="L684" s="8"/>
    </row>
    <row r="685" spans="1:12" customFormat="1" x14ac:dyDescent="0.25">
      <c r="A685" s="545"/>
      <c r="B685" s="242"/>
      <c r="C685" s="77" t="s">
        <v>12</v>
      </c>
      <c r="D685" s="8"/>
      <c r="E685" s="8"/>
      <c r="F685" s="537" t="s">
        <v>3</v>
      </c>
      <c r="G685" s="10">
        <f>0.3*(G684+G683)</f>
        <v>2.0906399999999999E-2</v>
      </c>
      <c r="H685" s="10"/>
      <c r="K685" s="547"/>
      <c r="L685" s="8"/>
    </row>
    <row r="686" spans="1:12" customFormat="1" x14ac:dyDescent="0.25">
      <c r="A686" s="545"/>
      <c r="B686" s="242"/>
      <c r="C686" s="3"/>
      <c r="D686" s="3" t="s">
        <v>5544</v>
      </c>
      <c r="F686" s="537"/>
      <c r="G686" s="10"/>
      <c r="H686" s="10"/>
      <c r="K686" s="547"/>
      <c r="L686" s="8"/>
    </row>
    <row r="687" spans="1:12" customFormat="1" x14ac:dyDescent="0.25">
      <c r="A687" s="545"/>
      <c r="B687" s="242"/>
      <c r="D687" s="25" t="s">
        <v>5545</v>
      </c>
      <c r="F687" s="537" t="s">
        <v>3</v>
      </c>
      <c r="G687" s="10">
        <v>0.63</v>
      </c>
      <c r="H687" s="10"/>
      <c r="I687" t="s">
        <v>5546</v>
      </c>
      <c r="K687" s="547"/>
      <c r="L687" s="8"/>
    </row>
    <row r="688" spans="1:12" customFormat="1" x14ac:dyDescent="0.25">
      <c r="A688" s="545"/>
      <c r="B688" s="242"/>
      <c r="C688" s="3"/>
      <c r="F688" s="537"/>
      <c r="G688" s="10"/>
      <c r="H688" s="10"/>
      <c r="K688" s="547"/>
      <c r="L688" s="8"/>
    </row>
    <row r="689" spans="1:12" customFormat="1" x14ac:dyDescent="0.25">
      <c r="A689" s="545"/>
      <c r="B689" s="565"/>
      <c r="C689" s="3" t="s">
        <v>5547</v>
      </c>
      <c r="F689" s="537"/>
      <c r="G689" s="10"/>
      <c r="H689" s="10"/>
      <c r="K689" s="547"/>
      <c r="L689" s="8"/>
    </row>
    <row r="690" spans="1:12" customFormat="1" x14ac:dyDescent="0.25">
      <c r="A690" s="545"/>
      <c r="B690" s="242"/>
      <c r="C690" s="77" t="s">
        <v>39</v>
      </c>
      <c r="F690" s="537" t="s">
        <v>3</v>
      </c>
      <c r="G690" s="10">
        <f>0.012*3.14*2*0.05*1.3</f>
        <v>4.8984000000000007E-3</v>
      </c>
      <c r="H690" s="10"/>
      <c r="K690" s="547"/>
      <c r="L690" s="8"/>
    </row>
    <row r="691" spans="1:12" customFormat="1" ht="17.25" x14ac:dyDescent="0.25">
      <c r="A691" s="545"/>
      <c r="B691" s="242"/>
      <c r="C691" s="77" t="s">
        <v>1055</v>
      </c>
      <c r="F691" s="537" t="s">
        <v>596</v>
      </c>
      <c r="G691" s="10">
        <f>G690</f>
        <v>4.8984000000000007E-3</v>
      </c>
      <c r="H691" s="10"/>
      <c r="K691" s="547"/>
      <c r="L691" s="8"/>
    </row>
    <row r="692" spans="1:12" customFormat="1" x14ac:dyDescent="0.25">
      <c r="A692" s="545"/>
      <c r="B692" s="242"/>
      <c r="C692" t="s">
        <v>143</v>
      </c>
      <c r="F692" s="537" t="s">
        <v>3</v>
      </c>
      <c r="G692" s="10">
        <f>G694</f>
        <v>3.7180000000000004E-3</v>
      </c>
      <c r="H692" s="10"/>
      <c r="K692" s="547"/>
      <c r="L692" s="8"/>
    </row>
    <row r="693" spans="1:12" customFormat="1" x14ac:dyDescent="0.25">
      <c r="A693" s="545"/>
      <c r="B693" s="242"/>
      <c r="C693" t="s">
        <v>12</v>
      </c>
      <c r="F693" s="537" t="s">
        <v>3</v>
      </c>
      <c r="G693" s="10">
        <f>0.3*G692</f>
        <v>1.1154000000000001E-3</v>
      </c>
      <c r="H693" s="10"/>
      <c r="K693" s="547"/>
      <c r="L693" s="8"/>
    </row>
    <row r="694" spans="1:12" customFormat="1" x14ac:dyDescent="0.25">
      <c r="A694" s="545"/>
      <c r="B694" s="242"/>
      <c r="C694" s="77" t="s">
        <v>8</v>
      </c>
      <c r="D694" s="8"/>
      <c r="E694" s="8"/>
      <c r="F694" s="537" t="s">
        <v>3</v>
      </c>
      <c r="G694" s="10">
        <f>G695</f>
        <v>3.7180000000000004E-3</v>
      </c>
      <c r="H694" s="10"/>
      <c r="K694" s="547"/>
      <c r="L694" s="8"/>
    </row>
    <row r="695" spans="1:12" customFormat="1" x14ac:dyDescent="0.25">
      <c r="A695" s="545"/>
      <c r="B695" s="242"/>
      <c r="C695" s="77" t="s">
        <v>5543</v>
      </c>
      <c r="D695" s="8"/>
      <c r="E695" s="8"/>
      <c r="F695" s="537" t="s">
        <v>3</v>
      </c>
      <c r="G695" s="10">
        <f>0.13*0.011*2*1.3</f>
        <v>3.7180000000000004E-3</v>
      </c>
      <c r="H695" s="10"/>
      <c r="K695" s="547"/>
      <c r="L695" s="8"/>
    </row>
    <row r="696" spans="1:12" customFormat="1" x14ac:dyDescent="0.25">
      <c r="A696" s="545"/>
      <c r="B696" s="242"/>
      <c r="C696" s="77" t="s">
        <v>12</v>
      </c>
      <c r="D696" s="8"/>
      <c r="E696" s="8"/>
      <c r="F696" s="537" t="s">
        <v>3</v>
      </c>
      <c r="G696" s="10">
        <f>0.3*(G693)</f>
        <v>3.3462000000000005E-4</v>
      </c>
      <c r="H696" s="10"/>
      <c r="K696" s="547"/>
      <c r="L696" s="8"/>
    </row>
    <row r="697" spans="1:12" customFormat="1" x14ac:dyDescent="0.25">
      <c r="A697" s="545"/>
      <c r="B697" s="242"/>
      <c r="C697" s="8"/>
      <c r="D697" s="3" t="s">
        <v>5548</v>
      </c>
      <c r="E697" s="8"/>
      <c r="F697" s="537"/>
      <c r="G697" s="10"/>
      <c r="H697" s="10"/>
      <c r="K697" s="547"/>
      <c r="L697" s="8"/>
    </row>
    <row r="698" spans="1:12" customFormat="1" x14ac:dyDescent="0.25">
      <c r="A698" s="545"/>
      <c r="B698" s="242"/>
      <c r="C698" s="8"/>
      <c r="D698" s="25" t="s">
        <v>5545</v>
      </c>
      <c r="E698" s="8"/>
      <c r="F698" s="537" t="s">
        <v>3</v>
      </c>
      <c r="G698" s="10">
        <v>1.2E-2</v>
      </c>
      <c r="H698" s="10"/>
      <c r="K698" s="547"/>
      <c r="L698" s="8"/>
    </row>
    <row r="699" spans="1:12" customFormat="1" x14ac:dyDescent="0.25">
      <c r="A699" s="545"/>
      <c r="B699" s="242"/>
      <c r="C699" s="8"/>
      <c r="D699" s="3" t="s">
        <v>5549</v>
      </c>
      <c r="E699" s="8"/>
      <c r="F699" s="537"/>
      <c r="G699" s="10"/>
      <c r="H699" s="10"/>
      <c r="K699" s="547"/>
      <c r="L699" s="8"/>
    </row>
    <row r="700" spans="1:12" customFormat="1" x14ac:dyDescent="0.25">
      <c r="A700" s="545"/>
      <c r="B700" s="242"/>
      <c r="C700" s="8"/>
      <c r="D700" t="s">
        <v>5550</v>
      </c>
      <c r="E700" s="8"/>
      <c r="F700" s="537" t="s">
        <v>3</v>
      </c>
      <c r="G700" s="10">
        <v>3.5000000000000003E-2</v>
      </c>
      <c r="H700" s="10"/>
      <c r="I700" t="s">
        <v>1174</v>
      </c>
      <c r="K700" s="547"/>
      <c r="L700" s="8"/>
    </row>
    <row r="701" spans="1:12" customFormat="1" x14ac:dyDescent="0.25">
      <c r="A701" s="545"/>
      <c r="B701" s="242"/>
      <c r="C701" s="8"/>
      <c r="D701" s="8"/>
      <c r="E701" s="8"/>
      <c r="F701" s="537"/>
      <c r="G701" s="10"/>
      <c r="H701" s="10"/>
      <c r="K701" s="547"/>
      <c r="L701" s="8"/>
    </row>
    <row r="702" spans="1:12" customFormat="1" x14ac:dyDescent="0.25">
      <c r="A702" s="545"/>
      <c r="B702" s="565"/>
      <c r="C702" s="3" t="s">
        <v>5551</v>
      </c>
      <c r="F702" s="537"/>
      <c r="G702" s="10"/>
      <c r="H702" s="10"/>
      <c r="K702" s="547"/>
      <c r="L702" s="8"/>
    </row>
    <row r="703" spans="1:12" customFormat="1" x14ac:dyDescent="0.25">
      <c r="A703" s="545"/>
      <c r="B703" s="242"/>
      <c r="C703" s="77" t="s">
        <v>39</v>
      </c>
      <c r="F703" s="537" t="s">
        <v>3</v>
      </c>
      <c r="G703" s="10">
        <v>3.0000000000000001E-3</v>
      </c>
      <c r="H703" s="10"/>
      <c r="K703" s="547"/>
      <c r="L703" s="8"/>
    </row>
    <row r="704" spans="1:12" customFormat="1" ht="17.25" x14ac:dyDescent="0.25">
      <c r="A704" s="545"/>
      <c r="B704" s="242"/>
      <c r="C704" s="77" t="s">
        <v>1055</v>
      </c>
      <c r="F704" s="537" t="s">
        <v>596</v>
      </c>
      <c r="G704" s="10">
        <f>G703</f>
        <v>3.0000000000000001E-3</v>
      </c>
      <c r="H704" s="10"/>
      <c r="K704" s="547"/>
      <c r="L704" s="8"/>
    </row>
    <row r="705" spans="1:12" customFormat="1" x14ac:dyDescent="0.25">
      <c r="A705" s="545"/>
      <c r="B705" s="242"/>
      <c r="C705" t="s">
        <v>143</v>
      </c>
      <c r="F705" s="537" t="s">
        <v>3</v>
      </c>
      <c r="G705" s="10">
        <f>G707</f>
        <v>4.5496000000000002E-2</v>
      </c>
      <c r="H705" s="10"/>
      <c r="K705" s="547"/>
      <c r="L705" s="8"/>
    </row>
    <row r="706" spans="1:12" customFormat="1" x14ac:dyDescent="0.25">
      <c r="A706" s="545"/>
      <c r="B706" s="242"/>
      <c r="C706" t="s">
        <v>12</v>
      </c>
      <c r="F706" s="537" t="s">
        <v>3</v>
      </c>
      <c r="G706" s="10">
        <f>0.3*G705</f>
        <v>1.3648800000000001E-2</v>
      </c>
      <c r="H706" s="10"/>
      <c r="K706" s="547"/>
      <c r="L706" s="8"/>
    </row>
    <row r="707" spans="1:12" customFormat="1" x14ac:dyDescent="0.25">
      <c r="A707" s="545"/>
      <c r="B707" s="242"/>
      <c r="C707" s="77" t="s">
        <v>8</v>
      </c>
      <c r="D707" s="8"/>
      <c r="E707" s="8"/>
      <c r="F707" s="537" t="s">
        <v>3</v>
      </c>
      <c r="G707" s="10">
        <f>G708*0.8</f>
        <v>4.5496000000000002E-2</v>
      </c>
      <c r="H707" s="10"/>
      <c r="K707" s="547"/>
      <c r="L707" s="8"/>
    </row>
    <row r="708" spans="1:12" customFormat="1" x14ac:dyDescent="0.25">
      <c r="A708" s="545"/>
      <c r="B708" s="242"/>
      <c r="C708" s="77" t="s">
        <v>5543</v>
      </c>
      <c r="D708" s="8"/>
      <c r="E708" s="8"/>
      <c r="F708" s="537" t="s">
        <v>3</v>
      </c>
      <c r="G708" s="10">
        <f>2.35*0.011*2*1.1</f>
        <v>5.6869999999999997E-2</v>
      </c>
      <c r="H708" s="10"/>
      <c r="K708" s="547"/>
      <c r="L708" s="8"/>
    </row>
    <row r="709" spans="1:12" customFormat="1" x14ac:dyDescent="0.25">
      <c r="A709" s="545"/>
      <c r="B709" s="242"/>
      <c r="C709" s="77" t="s">
        <v>12</v>
      </c>
      <c r="D709" s="8"/>
      <c r="E709" s="8"/>
      <c r="F709" s="537" t="s">
        <v>3</v>
      </c>
      <c r="G709" s="10">
        <f>0.3*(G708+G707)</f>
        <v>3.0709799999999999E-2</v>
      </c>
      <c r="H709" s="10"/>
      <c r="K709" s="547"/>
      <c r="L709" s="8"/>
    </row>
    <row r="710" spans="1:12" customFormat="1" x14ac:dyDescent="0.25">
      <c r="A710" s="545"/>
      <c r="B710" s="242"/>
      <c r="C710" s="8"/>
      <c r="D710" s="3" t="s">
        <v>5552</v>
      </c>
      <c r="E710" s="8"/>
      <c r="F710" s="537"/>
      <c r="G710" s="10"/>
      <c r="H710" s="10"/>
      <c r="K710" s="547"/>
      <c r="L710" s="8"/>
    </row>
    <row r="711" spans="1:12" customFormat="1" x14ac:dyDescent="0.25">
      <c r="A711" s="545"/>
      <c r="B711" s="242"/>
      <c r="C711" s="8"/>
      <c r="D711" s="25" t="s">
        <v>5553</v>
      </c>
      <c r="E711" s="8"/>
      <c r="F711" s="537" t="s">
        <v>3</v>
      </c>
      <c r="G711" s="10">
        <v>0.56999999999999995</v>
      </c>
      <c r="H711" s="10"/>
      <c r="I711" t="s">
        <v>5554</v>
      </c>
      <c r="K711" s="547"/>
      <c r="L711" s="8"/>
    </row>
    <row r="712" spans="1:12" customFormat="1" x14ac:dyDescent="0.25">
      <c r="A712" s="545"/>
      <c r="B712" s="242"/>
      <c r="C712" s="3"/>
      <c r="F712" s="537"/>
      <c r="G712" s="10"/>
      <c r="H712" s="10"/>
      <c r="K712" s="547"/>
      <c r="L712" s="8"/>
    </row>
    <row r="713" spans="1:12" customFormat="1" x14ac:dyDescent="0.25">
      <c r="A713" s="545"/>
      <c r="B713" s="567">
        <v>1</v>
      </c>
      <c r="C713" s="3" t="s">
        <v>5555</v>
      </c>
      <c r="F713" s="537"/>
      <c r="G713" s="10"/>
      <c r="H713" s="10"/>
      <c r="K713" s="547"/>
      <c r="L713" s="8"/>
    </row>
    <row r="714" spans="1:12" customFormat="1" x14ac:dyDescent="0.25">
      <c r="A714" s="545"/>
      <c r="B714" s="545"/>
      <c r="C714" s="77" t="s">
        <v>39</v>
      </c>
      <c r="F714" s="537" t="s">
        <v>3</v>
      </c>
      <c r="G714" s="10">
        <f>(0.04*3.14*2+0.4+0.016*3.14*3+2.67*2+1.6+0.2+0.3+0.2*0.1*4+1)*0.05*1.308</f>
        <v>0.60965356800000015</v>
      </c>
      <c r="H714" s="10"/>
      <c r="K714" s="547"/>
      <c r="L714" s="8"/>
    </row>
    <row r="715" spans="1:12" customFormat="1" ht="17.25" x14ac:dyDescent="0.25">
      <c r="A715" s="545"/>
      <c r="B715" s="545"/>
      <c r="C715" s="77" t="s">
        <v>1055</v>
      </c>
      <c r="F715" s="537" t="s">
        <v>596</v>
      </c>
      <c r="G715" s="10">
        <f>G714</f>
        <v>0.60965356800000015</v>
      </c>
      <c r="H715" s="10"/>
      <c r="K715" s="547"/>
      <c r="L715" s="8"/>
    </row>
    <row r="716" spans="1:12" customFormat="1" x14ac:dyDescent="0.25">
      <c r="A716" s="545"/>
      <c r="B716" s="545"/>
      <c r="C716" s="77" t="s">
        <v>1297</v>
      </c>
      <c r="F716" s="537" t="s">
        <v>3</v>
      </c>
      <c r="G716" s="10">
        <v>1E-3</v>
      </c>
      <c r="H716" s="10"/>
      <c r="K716" s="547"/>
      <c r="L716" s="8"/>
    </row>
    <row r="717" spans="1:12" customFormat="1" x14ac:dyDescent="0.25">
      <c r="A717" s="545"/>
      <c r="B717" s="545"/>
      <c r="C717" s="77" t="s">
        <v>1021</v>
      </c>
      <c r="F717" s="537" t="s">
        <v>3</v>
      </c>
      <c r="G717" s="10">
        <v>1</v>
      </c>
      <c r="H717" s="10"/>
      <c r="K717" s="547"/>
      <c r="L717" s="8"/>
    </row>
    <row r="718" spans="1:12" customFormat="1" x14ac:dyDescent="0.25">
      <c r="A718" s="545"/>
      <c r="B718" s="545"/>
      <c r="C718" s="77" t="s">
        <v>661</v>
      </c>
      <c r="F718" s="537" t="s">
        <v>3</v>
      </c>
      <c r="G718" s="10">
        <f>0.3*G717</f>
        <v>0.3</v>
      </c>
      <c r="H718" s="10"/>
      <c r="K718" s="547"/>
      <c r="L718" s="8"/>
    </row>
    <row r="719" spans="1:12" customFormat="1" x14ac:dyDescent="0.25">
      <c r="A719" s="545"/>
      <c r="B719" s="545"/>
      <c r="C719" s="77" t="s">
        <v>8</v>
      </c>
      <c r="F719" s="537" t="s">
        <v>3</v>
      </c>
      <c r="G719" s="10">
        <v>1</v>
      </c>
      <c r="H719" s="10"/>
      <c r="K719" s="547"/>
      <c r="L719" s="8"/>
    </row>
    <row r="720" spans="1:12" customFormat="1" x14ac:dyDescent="0.25">
      <c r="A720" s="545"/>
      <c r="B720" s="545"/>
      <c r="C720" s="77" t="s">
        <v>5543</v>
      </c>
      <c r="F720" s="537" t="s">
        <v>3</v>
      </c>
      <c r="G720" s="10">
        <f>(2.67*0.87+0.98*0.482+1.08*0.48)*0.15*2*1.152</f>
        <v>1.1452008959999997</v>
      </c>
      <c r="H720" s="10"/>
      <c r="K720" s="547"/>
      <c r="L720" s="8"/>
    </row>
    <row r="721" spans="1:12" customFormat="1" x14ac:dyDescent="0.25">
      <c r="A721" s="545"/>
      <c r="B721" s="545"/>
      <c r="C721" s="77" t="s">
        <v>12</v>
      </c>
      <c r="F721" s="537" t="s">
        <v>3</v>
      </c>
      <c r="G721" s="10">
        <f>0.3*(G720+G719)</f>
        <v>0.64356026879999984</v>
      </c>
      <c r="H721" s="10"/>
      <c r="K721" s="547"/>
      <c r="L721" s="8"/>
    </row>
    <row r="722" spans="1:12" customFormat="1" x14ac:dyDescent="0.25">
      <c r="A722" s="545"/>
      <c r="B722" s="242" t="s">
        <v>5556</v>
      </c>
      <c r="D722" s="3" t="s">
        <v>5557</v>
      </c>
      <c r="F722" s="537"/>
      <c r="G722" s="10"/>
      <c r="H722" s="10"/>
      <c r="I722">
        <f>9/21</f>
        <v>0.42857142857142855</v>
      </c>
      <c r="K722" s="547"/>
      <c r="L722" s="8"/>
    </row>
    <row r="723" spans="1:12" customFormat="1" x14ac:dyDescent="0.25">
      <c r="A723" s="545"/>
      <c r="B723" s="242"/>
      <c r="D723" s="77" t="s">
        <v>39</v>
      </c>
      <c r="F723" s="537" t="s">
        <v>3</v>
      </c>
      <c r="G723" s="10">
        <f>0.015*3.14*2*0.08*1.3</f>
        <v>9.7968000000000013E-3</v>
      </c>
      <c r="H723" s="10"/>
      <c r="K723" s="547"/>
      <c r="L723" s="8"/>
    </row>
    <row r="724" spans="1:12" customFormat="1" ht="17.25" x14ac:dyDescent="0.25">
      <c r="A724" s="545"/>
      <c r="B724" s="242"/>
      <c r="D724" s="77" t="s">
        <v>1055</v>
      </c>
      <c r="F724" s="537" t="s">
        <v>596</v>
      </c>
      <c r="G724" s="10">
        <f>G723</f>
        <v>9.7968000000000013E-3</v>
      </c>
      <c r="H724" s="10"/>
      <c r="I724">
        <f>0.45*21</f>
        <v>9.4500000000000011</v>
      </c>
      <c r="K724" s="547"/>
      <c r="L724" s="8"/>
    </row>
    <row r="725" spans="1:12" customFormat="1" x14ac:dyDescent="0.25">
      <c r="A725" s="545"/>
      <c r="B725" s="242"/>
      <c r="D725" s="3"/>
      <c r="E725" s="3" t="s">
        <v>5558</v>
      </c>
      <c r="F725" s="537"/>
      <c r="G725" s="10"/>
      <c r="H725" s="10"/>
      <c r="K725" s="547"/>
      <c r="L725" s="8"/>
    </row>
    <row r="726" spans="1:12" customFormat="1" x14ac:dyDescent="0.25">
      <c r="A726" s="545"/>
      <c r="B726" s="242"/>
      <c r="D726" s="3"/>
      <c r="E726" t="s">
        <v>5559</v>
      </c>
      <c r="F726" s="537" t="s">
        <v>3</v>
      </c>
      <c r="G726" s="10">
        <f>0.17*0.04*4*8*1.103</f>
        <v>0.24001280000000003</v>
      </c>
      <c r="H726" s="10"/>
      <c r="K726" s="547"/>
      <c r="L726" s="8"/>
    </row>
    <row r="727" spans="1:12" customFormat="1" x14ac:dyDescent="0.25">
      <c r="A727" s="545"/>
      <c r="B727" s="242" t="s">
        <v>5560</v>
      </c>
      <c r="D727" s="3" t="s">
        <v>5561</v>
      </c>
      <c r="F727" s="537"/>
      <c r="G727" s="10"/>
      <c r="H727" s="10"/>
      <c r="K727" s="547"/>
      <c r="L727" s="8"/>
    </row>
    <row r="728" spans="1:12" customFormat="1" x14ac:dyDescent="0.25">
      <c r="A728" s="545"/>
      <c r="B728" s="242"/>
      <c r="D728" s="25" t="s">
        <v>5562</v>
      </c>
      <c r="F728" s="537" t="s">
        <v>3</v>
      </c>
      <c r="G728" s="10">
        <f>0.001</f>
        <v>1E-3</v>
      </c>
      <c r="H728" s="10"/>
      <c r="K728" s="547"/>
      <c r="L728" s="8"/>
    </row>
    <row r="729" spans="1:12" customFormat="1" x14ac:dyDescent="0.25">
      <c r="A729" s="545"/>
      <c r="B729" s="242" t="s">
        <v>5563</v>
      </c>
      <c r="E729" s="3" t="s">
        <v>5564</v>
      </c>
      <c r="F729" s="537"/>
      <c r="G729" s="10"/>
      <c r="H729" s="10"/>
      <c r="K729" s="547"/>
      <c r="L729" s="8"/>
    </row>
    <row r="730" spans="1:12" customFormat="1" x14ac:dyDescent="0.25">
      <c r="A730" s="545"/>
      <c r="B730" s="242"/>
      <c r="E730" s="25" t="s">
        <v>5415</v>
      </c>
      <c r="F730" s="537" t="s">
        <v>3</v>
      </c>
      <c r="G730" s="10">
        <v>8.0000000000000002E-3</v>
      </c>
      <c r="H730" s="10"/>
      <c r="K730" s="547"/>
      <c r="L730" s="8"/>
    </row>
    <row r="731" spans="1:12" customFormat="1" x14ac:dyDescent="0.25">
      <c r="A731" s="545"/>
      <c r="B731" s="242"/>
      <c r="E731" s="25" t="s">
        <v>104</v>
      </c>
      <c r="F731" s="537" t="s">
        <v>3</v>
      </c>
      <c r="G731" s="10">
        <f>G730*2</f>
        <v>1.6E-2</v>
      </c>
      <c r="H731" s="10"/>
      <c r="K731" s="547"/>
      <c r="L731" s="8"/>
    </row>
    <row r="732" spans="1:12" customFormat="1" x14ac:dyDescent="0.25">
      <c r="A732" s="545"/>
      <c r="B732" s="242" t="s">
        <v>5565</v>
      </c>
      <c r="E732" s="33" t="s">
        <v>5566</v>
      </c>
      <c r="F732" s="537"/>
      <c r="G732" s="10"/>
      <c r="H732" s="10"/>
      <c r="K732" s="547"/>
      <c r="L732" s="8"/>
    </row>
    <row r="733" spans="1:12" customFormat="1" x14ac:dyDescent="0.25">
      <c r="A733" s="545"/>
      <c r="B733" s="242"/>
      <c r="E733" s="577" t="s">
        <v>5567</v>
      </c>
      <c r="F733" s="537" t="s">
        <v>3</v>
      </c>
      <c r="G733" s="10">
        <v>0.17499999999999999</v>
      </c>
      <c r="H733" s="10"/>
      <c r="K733" s="547"/>
      <c r="L733" s="8"/>
    </row>
    <row r="734" spans="1:12" customFormat="1" x14ac:dyDescent="0.25">
      <c r="A734" s="545"/>
      <c r="B734" s="242" t="s">
        <v>5568</v>
      </c>
      <c r="E734" s="3" t="s">
        <v>5569</v>
      </c>
      <c r="F734" s="537"/>
      <c r="G734" s="10"/>
      <c r="H734" s="10"/>
      <c r="K734" s="547"/>
      <c r="L734" s="8"/>
    </row>
    <row r="735" spans="1:12" customFormat="1" x14ac:dyDescent="0.25">
      <c r="A735" s="545"/>
      <c r="B735" s="242"/>
      <c r="E735" s="25" t="s">
        <v>2032</v>
      </c>
      <c r="F735" s="537" t="s">
        <v>3</v>
      </c>
      <c r="G735" s="10">
        <v>0.01</v>
      </c>
      <c r="H735" s="10"/>
      <c r="K735" s="547"/>
      <c r="L735" s="8"/>
    </row>
    <row r="736" spans="1:12" customFormat="1" x14ac:dyDescent="0.25">
      <c r="A736" s="545"/>
      <c r="B736" s="242"/>
      <c r="E736" s="25" t="s">
        <v>104</v>
      </c>
      <c r="F736" s="537" t="s">
        <v>3</v>
      </c>
      <c r="G736" s="10">
        <f>2.5*G735</f>
        <v>2.5000000000000001E-2</v>
      </c>
      <c r="H736" s="10"/>
      <c r="K736" s="547"/>
      <c r="L736" s="8"/>
    </row>
    <row r="737" spans="1:12" customFormat="1" x14ac:dyDescent="0.25">
      <c r="A737" s="545"/>
      <c r="B737" s="242" t="s">
        <v>5570</v>
      </c>
      <c r="E737" s="33" t="s">
        <v>5571</v>
      </c>
      <c r="F737" s="537"/>
      <c r="G737" s="10"/>
      <c r="H737" s="10"/>
      <c r="K737" s="547"/>
      <c r="L737" s="8"/>
    </row>
    <row r="738" spans="1:12" customFormat="1" x14ac:dyDescent="0.25">
      <c r="A738" s="545"/>
      <c r="B738" s="242"/>
      <c r="E738" s="577" t="s">
        <v>5572</v>
      </c>
      <c r="F738" s="537" t="s">
        <v>3</v>
      </c>
      <c r="G738" s="10">
        <f>0.033*3.14*0.095*0.18*8.5*1.12</f>
        <v>1.6868507040000001E-2</v>
      </c>
      <c r="H738" s="10"/>
      <c r="K738" s="547"/>
      <c r="L738" s="8"/>
    </row>
    <row r="739" spans="1:12" customFormat="1" x14ac:dyDescent="0.25">
      <c r="A739" s="545"/>
      <c r="B739" s="242"/>
      <c r="E739" s="577" t="s">
        <v>2032</v>
      </c>
      <c r="F739" s="537" t="s">
        <v>3</v>
      </c>
      <c r="G739" s="10">
        <v>5.0000000000000001E-3</v>
      </c>
      <c r="H739" s="10"/>
      <c r="K739" s="547"/>
      <c r="L739" s="8"/>
    </row>
    <row r="740" spans="1:12" customFormat="1" x14ac:dyDescent="0.25">
      <c r="A740" s="545"/>
      <c r="B740" s="242"/>
      <c r="E740" s="577" t="s">
        <v>104</v>
      </c>
      <c r="F740" s="537" t="s">
        <v>3</v>
      </c>
      <c r="G740" s="10">
        <f>G739*2.5</f>
        <v>1.2500000000000001E-2</v>
      </c>
      <c r="H740" s="10"/>
      <c r="K740" s="547"/>
      <c r="L740" s="8"/>
    </row>
    <row r="741" spans="1:12" customFormat="1" x14ac:dyDescent="0.25">
      <c r="A741" s="545"/>
      <c r="B741" s="242" t="s">
        <v>5573</v>
      </c>
      <c r="E741" s="33" t="s">
        <v>5574</v>
      </c>
      <c r="F741" s="537"/>
      <c r="G741" s="10"/>
      <c r="H741" s="10"/>
      <c r="K741" s="547"/>
      <c r="L741" s="8"/>
    </row>
    <row r="742" spans="1:12" customFormat="1" x14ac:dyDescent="0.25">
      <c r="A742" s="545"/>
      <c r="B742" s="242"/>
      <c r="E742" s="577" t="s">
        <v>5572</v>
      </c>
      <c r="F742" s="537" t="s">
        <v>3</v>
      </c>
      <c r="G742" s="10">
        <f>0.055*0.055*0.18*8.5*1.1</f>
        <v>5.0910749999999996E-3</v>
      </c>
      <c r="H742" s="10"/>
      <c r="K742" s="547"/>
      <c r="L742" s="8"/>
    </row>
    <row r="743" spans="1:12" customFormat="1" x14ac:dyDescent="0.25">
      <c r="A743" s="545"/>
      <c r="B743" s="242" t="s">
        <v>5575</v>
      </c>
      <c r="E743" s="33" t="s">
        <v>5576</v>
      </c>
      <c r="F743" s="537"/>
      <c r="G743" s="10"/>
      <c r="H743" s="10"/>
      <c r="K743" s="547"/>
      <c r="L743" s="8"/>
    </row>
    <row r="744" spans="1:12" customFormat="1" x14ac:dyDescent="0.25">
      <c r="A744" s="545"/>
      <c r="B744" s="242"/>
      <c r="E744" s="577" t="s">
        <v>5572</v>
      </c>
      <c r="F744" s="537" t="s">
        <v>3</v>
      </c>
      <c r="G744" s="10">
        <f>0.055*0.055*0.18*8.5*1.1</f>
        <v>5.0910749999999996E-3</v>
      </c>
      <c r="H744" s="10"/>
      <c r="K744" s="547"/>
      <c r="L744" s="8"/>
    </row>
    <row r="745" spans="1:12" customFormat="1" x14ac:dyDescent="0.25">
      <c r="A745" s="545"/>
      <c r="B745" s="242" t="s">
        <v>5577</v>
      </c>
      <c r="D745" s="569" t="s">
        <v>5578</v>
      </c>
      <c r="E745" s="26"/>
      <c r="F745" s="537"/>
      <c r="G745" s="10"/>
      <c r="H745" s="10"/>
      <c r="K745" s="547"/>
      <c r="L745" s="8"/>
    </row>
    <row r="746" spans="1:12" customFormat="1" x14ac:dyDescent="0.25">
      <c r="A746" s="545"/>
      <c r="B746" s="242" t="s">
        <v>5579</v>
      </c>
      <c r="D746" s="569" t="s">
        <v>5580</v>
      </c>
      <c r="E746" s="26"/>
      <c r="F746" s="537"/>
      <c r="G746" s="10"/>
      <c r="H746" s="10"/>
      <c r="K746" s="547"/>
      <c r="L746" s="8"/>
    </row>
    <row r="747" spans="1:12" customFormat="1" x14ac:dyDescent="0.25">
      <c r="A747" s="545"/>
      <c r="B747" s="242" t="s">
        <v>5581</v>
      </c>
      <c r="D747" s="54" t="s">
        <v>5582</v>
      </c>
      <c r="E747" s="8"/>
      <c r="F747" s="537"/>
      <c r="G747" s="10"/>
      <c r="H747" s="10"/>
      <c r="K747" s="547"/>
      <c r="L747" s="8"/>
    </row>
    <row r="748" spans="1:12" customFormat="1" x14ac:dyDescent="0.25">
      <c r="A748" s="545"/>
      <c r="B748" s="242"/>
      <c r="D748" s="8" t="s">
        <v>5415</v>
      </c>
      <c r="E748" s="8"/>
      <c r="F748" s="537" t="s">
        <v>3</v>
      </c>
      <c r="G748" s="10">
        <f>0.45*0.05*1.32</f>
        <v>2.9700000000000004E-2</v>
      </c>
      <c r="H748" s="10"/>
      <c r="K748" s="547"/>
      <c r="L748" s="8"/>
    </row>
    <row r="749" spans="1:12" customFormat="1" x14ac:dyDescent="0.25">
      <c r="A749" s="545"/>
      <c r="B749" s="242"/>
      <c r="D749" s="154" t="s">
        <v>104</v>
      </c>
      <c r="E749" s="8"/>
      <c r="F749" s="537" t="s">
        <v>3</v>
      </c>
      <c r="G749" s="10">
        <f>2.5*G748</f>
        <v>7.425000000000001E-2</v>
      </c>
      <c r="H749" s="10"/>
      <c r="K749" s="547"/>
      <c r="L749" s="8"/>
    </row>
    <row r="750" spans="1:12" customFormat="1" x14ac:dyDescent="0.25">
      <c r="A750" s="545"/>
      <c r="B750" s="242"/>
      <c r="D750" s="54"/>
      <c r="E750" s="54" t="s">
        <v>5583</v>
      </c>
      <c r="F750" s="537"/>
      <c r="G750" s="10"/>
      <c r="H750" s="10"/>
      <c r="K750" s="547"/>
      <c r="L750" s="8"/>
    </row>
    <row r="751" spans="1:12" customFormat="1" x14ac:dyDescent="0.25">
      <c r="A751" s="545"/>
      <c r="B751" s="242"/>
      <c r="D751" s="54"/>
      <c r="E751" s="154" t="s">
        <v>957</v>
      </c>
      <c r="F751" s="537" t="s">
        <v>3</v>
      </c>
      <c r="G751" s="10">
        <f>0.07*0.07*1*8.5*1.05</f>
        <v>4.3732500000000007E-2</v>
      </c>
      <c r="H751" s="10"/>
      <c r="K751" s="547"/>
      <c r="L751" s="8"/>
    </row>
    <row r="752" spans="1:12" customFormat="1" x14ac:dyDescent="0.25">
      <c r="A752" s="545"/>
      <c r="B752" s="242"/>
      <c r="D752" s="54"/>
      <c r="E752" s="54" t="s">
        <v>5584</v>
      </c>
      <c r="F752" s="537"/>
      <c r="G752" s="10"/>
      <c r="H752" s="10"/>
      <c r="K752" s="547"/>
      <c r="L752" s="8"/>
    </row>
    <row r="753" spans="1:12" customFormat="1" x14ac:dyDescent="0.25">
      <c r="A753" s="545"/>
      <c r="B753" s="242"/>
      <c r="D753" s="54"/>
      <c r="E753" s="154" t="s">
        <v>957</v>
      </c>
      <c r="F753" s="537" t="s">
        <v>3</v>
      </c>
      <c r="G753" s="10">
        <f>0.07*0.07*1*8.5*1.05</f>
        <v>4.3732500000000007E-2</v>
      </c>
      <c r="H753" s="10"/>
      <c r="K753" s="547"/>
      <c r="L753" s="8"/>
    </row>
    <row r="754" spans="1:12" customFormat="1" x14ac:dyDescent="0.25">
      <c r="A754" s="545"/>
      <c r="B754" s="242"/>
      <c r="D754" s="54"/>
      <c r="E754" s="54" t="s">
        <v>5585</v>
      </c>
      <c r="F754" s="537"/>
      <c r="G754" s="10"/>
      <c r="H754" s="10"/>
      <c r="K754" s="547"/>
      <c r="L754" s="8"/>
    </row>
    <row r="755" spans="1:12" customFormat="1" x14ac:dyDescent="0.25">
      <c r="A755" s="545"/>
      <c r="B755" s="242"/>
      <c r="D755" s="54"/>
      <c r="E755" s="154" t="s">
        <v>957</v>
      </c>
      <c r="F755" s="537" t="s">
        <v>3</v>
      </c>
      <c r="G755" s="10">
        <f>0.1*0.006*1*8.5*1.1</f>
        <v>5.6100000000000013E-3</v>
      </c>
      <c r="H755" s="10"/>
      <c r="K755" s="547"/>
      <c r="L755" s="8"/>
    </row>
    <row r="756" spans="1:12" customFormat="1" x14ac:dyDescent="0.25">
      <c r="A756" s="545"/>
      <c r="B756" s="242"/>
      <c r="D756" s="54"/>
      <c r="E756" s="54" t="s">
        <v>5586</v>
      </c>
      <c r="F756" s="537"/>
      <c r="G756" s="10"/>
      <c r="H756" s="10"/>
      <c r="K756" s="547"/>
      <c r="L756" s="8"/>
    </row>
    <row r="757" spans="1:12" customFormat="1" x14ac:dyDescent="0.25">
      <c r="A757" s="545"/>
      <c r="B757" s="242"/>
      <c r="D757" s="54"/>
      <c r="E757" s="154" t="s">
        <v>5587</v>
      </c>
      <c r="F757" s="537" t="s">
        <v>3</v>
      </c>
      <c r="G757" s="10">
        <f>0.15*0.1*1.12</f>
        <v>1.6800000000000002E-2</v>
      </c>
      <c r="H757" s="10"/>
      <c r="K757" s="547"/>
      <c r="L757" s="8"/>
    </row>
    <row r="758" spans="1:12" customFormat="1" x14ac:dyDescent="0.25">
      <c r="A758" s="545"/>
      <c r="B758" s="242"/>
      <c r="D758" s="54"/>
      <c r="E758" s="54" t="s">
        <v>5588</v>
      </c>
      <c r="F758" s="537"/>
      <c r="G758" s="10"/>
      <c r="H758" s="10"/>
      <c r="K758" s="547"/>
      <c r="L758" s="8"/>
    </row>
    <row r="759" spans="1:12" customFormat="1" x14ac:dyDescent="0.25">
      <c r="A759" s="545"/>
      <c r="B759" s="242"/>
      <c r="D759" s="54"/>
      <c r="E759" s="154" t="s">
        <v>5587</v>
      </c>
      <c r="F759" s="537" t="s">
        <v>3</v>
      </c>
      <c r="G759" s="10">
        <f>0.05*0.05*1.05</f>
        <v>2.6250000000000006E-3</v>
      </c>
      <c r="H759" s="10"/>
      <c r="K759" s="547"/>
      <c r="L759" s="8"/>
    </row>
    <row r="760" spans="1:12" customFormat="1" x14ac:dyDescent="0.25">
      <c r="A760" s="545"/>
      <c r="B760" s="242" t="s">
        <v>5589</v>
      </c>
      <c r="D760" s="3" t="s">
        <v>5590</v>
      </c>
      <c r="F760" s="537"/>
      <c r="G760" s="10"/>
      <c r="H760" s="10"/>
      <c r="K760" s="547"/>
      <c r="L760" s="8"/>
    </row>
    <row r="761" spans="1:12" customFormat="1" x14ac:dyDescent="0.25">
      <c r="A761" s="545"/>
      <c r="B761" s="242"/>
      <c r="D761" t="s">
        <v>5284</v>
      </c>
      <c r="F761" s="537" t="s">
        <v>3</v>
      </c>
      <c r="G761" s="10">
        <f>0.595*0.21*2*8*1.1005</f>
        <v>2.2001195999999998</v>
      </c>
      <c r="H761" s="10"/>
      <c r="K761" s="547"/>
      <c r="L761" s="8"/>
    </row>
    <row r="762" spans="1:12" customFormat="1" x14ac:dyDescent="0.25">
      <c r="A762" s="545"/>
      <c r="B762" s="242" t="s">
        <v>5591</v>
      </c>
      <c r="D762" s="3" t="s">
        <v>5592</v>
      </c>
      <c r="F762" s="537"/>
      <c r="G762" s="10"/>
      <c r="H762" s="10"/>
      <c r="K762" s="547"/>
      <c r="L762" s="8"/>
    </row>
    <row r="763" spans="1:12" customFormat="1" x14ac:dyDescent="0.25">
      <c r="A763" s="545"/>
      <c r="B763" s="242"/>
      <c r="D763" t="s">
        <v>5284</v>
      </c>
      <c r="F763" s="537" t="s">
        <v>3</v>
      </c>
      <c r="G763" s="10">
        <f>2.67*0.87*2*8*1.1</f>
        <v>40.883040000000001</v>
      </c>
      <c r="H763" s="10"/>
      <c r="K763" s="547"/>
      <c r="L763" s="8"/>
    </row>
    <row r="764" spans="1:12" customFormat="1" x14ac:dyDescent="0.25">
      <c r="A764" s="545"/>
      <c r="B764" s="242"/>
      <c r="D764" s="77" t="s">
        <v>39</v>
      </c>
      <c r="F764" s="537" t="s">
        <v>3</v>
      </c>
      <c r="G764" s="10">
        <f>0.9*0.08*1.32</f>
        <v>9.5040000000000013E-2</v>
      </c>
      <c r="H764" s="10"/>
      <c r="K764" s="547"/>
      <c r="L764" s="8"/>
    </row>
    <row r="765" spans="1:12" customFormat="1" ht="17.25" x14ac:dyDescent="0.25">
      <c r="A765" s="545"/>
      <c r="B765" s="242"/>
      <c r="D765" s="77" t="s">
        <v>1055</v>
      </c>
      <c r="F765" s="537" t="s">
        <v>596</v>
      </c>
      <c r="G765" s="10">
        <f>G764</f>
        <v>9.5040000000000013E-2</v>
      </c>
      <c r="H765" s="10"/>
      <c r="K765" s="547"/>
      <c r="L765" s="8"/>
    </row>
    <row r="766" spans="1:12" customFormat="1" x14ac:dyDescent="0.25">
      <c r="A766" s="545"/>
      <c r="B766" s="242" t="s">
        <v>5593</v>
      </c>
      <c r="D766" s="3" t="s">
        <v>5594</v>
      </c>
      <c r="F766" s="537"/>
      <c r="G766" s="10"/>
      <c r="H766" s="10"/>
      <c r="K766" s="547"/>
      <c r="L766" s="8"/>
    </row>
    <row r="767" spans="1:12" customFormat="1" x14ac:dyDescent="0.25">
      <c r="A767" s="545"/>
      <c r="B767" s="242"/>
      <c r="D767" t="s">
        <v>5284</v>
      </c>
      <c r="F767" s="537" t="s">
        <v>3</v>
      </c>
      <c r="G767" s="10">
        <f>0.98*0.482*2*8*1.1002</f>
        <v>8.3150475520000011</v>
      </c>
      <c r="H767" s="10"/>
      <c r="K767" s="547"/>
      <c r="L767" s="8"/>
    </row>
    <row r="768" spans="1:12" customFormat="1" x14ac:dyDescent="0.25">
      <c r="A768" s="545"/>
      <c r="B768" s="242" t="s">
        <v>5595</v>
      </c>
      <c r="D768" s="3" t="s">
        <v>5596</v>
      </c>
      <c r="F768" s="537"/>
      <c r="G768" s="10"/>
      <c r="H768" s="10"/>
      <c r="K768" s="547"/>
      <c r="L768" s="8"/>
    </row>
    <row r="769" spans="1:12" customFormat="1" x14ac:dyDescent="0.25">
      <c r="A769" s="545"/>
      <c r="B769" s="242"/>
      <c r="D769" t="s">
        <v>5284</v>
      </c>
      <c r="F769" s="537" t="s">
        <v>3</v>
      </c>
      <c r="G769" s="10">
        <f>1.08*0.48*2*8*1.1</f>
        <v>9.1238399999999995</v>
      </c>
      <c r="H769" s="10"/>
      <c r="K769" s="547"/>
      <c r="L769" s="8"/>
    </row>
    <row r="770" spans="1:12" customFormat="1" x14ac:dyDescent="0.25">
      <c r="A770" s="545"/>
      <c r="B770" s="242" t="s">
        <v>5597</v>
      </c>
      <c r="D770" s="3" t="s">
        <v>5598</v>
      </c>
      <c r="F770" s="537"/>
      <c r="G770" s="10"/>
      <c r="H770" s="10"/>
      <c r="K770" s="547"/>
      <c r="L770" s="8"/>
    </row>
    <row r="771" spans="1:12" customFormat="1" x14ac:dyDescent="0.25">
      <c r="A771" s="545"/>
      <c r="B771" s="242"/>
      <c r="D771" t="s">
        <v>5284</v>
      </c>
      <c r="F771" s="537" t="s">
        <v>3</v>
      </c>
      <c r="G771" s="10">
        <f>0.895*0.476*2*8*1.1003</f>
        <v>7.4999968960000007</v>
      </c>
      <c r="H771" s="10"/>
      <c r="K771" s="547"/>
      <c r="L771" s="8"/>
    </row>
    <row r="772" spans="1:12" customFormat="1" x14ac:dyDescent="0.25">
      <c r="A772" s="545"/>
      <c r="B772" s="242" t="s">
        <v>5599</v>
      </c>
      <c r="D772" s="3" t="s">
        <v>5600</v>
      </c>
      <c r="F772" s="537"/>
      <c r="G772" s="10"/>
      <c r="H772" s="10"/>
      <c r="K772" s="547"/>
      <c r="L772" s="8"/>
    </row>
    <row r="773" spans="1:12" customFormat="1" x14ac:dyDescent="0.25">
      <c r="A773" s="545"/>
      <c r="B773" s="242"/>
      <c r="D773" t="s">
        <v>5284</v>
      </c>
      <c r="F773" s="537" t="s">
        <v>3</v>
      </c>
      <c r="G773" s="10">
        <f>0.105*0.475*2*8*1.103</f>
        <v>0.88019399999999992</v>
      </c>
      <c r="H773" s="10"/>
      <c r="K773" s="547"/>
      <c r="L773" s="8"/>
    </row>
    <row r="774" spans="1:12" customFormat="1" x14ac:dyDescent="0.25">
      <c r="A774" s="545"/>
      <c r="B774" s="242" t="s">
        <v>5601</v>
      </c>
      <c r="D774" s="3" t="s">
        <v>5602</v>
      </c>
      <c r="F774" s="537"/>
      <c r="G774" s="10"/>
      <c r="H774" s="10"/>
      <c r="K774" s="547"/>
      <c r="L774" s="8"/>
    </row>
    <row r="775" spans="1:12" customFormat="1" x14ac:dyDescent="0.25">
      <c r="A775" s="545"/>
      <c r="B775" s="242"/>
      <c r="D775" s="25" t="s">
        <v>2546</v>
      </c>
      <c r="F775" s="537" t="s">
        <v>3</v>
      </c>
      <c r="G775" s="10">
        <f>0.2*0.1*3*8*1.05</f>
        <v>0.50400000000000011</v>
      </c>
      <c r="H775" s="10"/>
      <c r="K775" s="547"/>
      <c r="L775" s="8"/>
    </row>
    <row r="776" spans="1:12" customFormat="1" x14ac:dyDescent="0.25">
      <c r="A776" s="545"/>
      <c r="B776" s="242" t="s">
        <v>5603</v>
      </c>
      <c r="D776" s="3" t="s">
        <v>5604</v>
      </c>
      <c r="F776" s="570" t="s">
        <v>624</v>
      </c>
      <c r="G776" s="10"/>
      <c r="H776" s="10"/>
      <c r="K776" s="547"/>
      <c r="L776" s="8"/>
    </row>
    <row r="777" spans="1:12" customFormat="1" x14ac:dyDescent="0.25">
      <c r="A777" s="545"/>
      <c r="B777" s="242" t="s">
        <v>5605</v>
      </c>
      <c r="D777" s="3" t="s">
        <v>5606</v>
      </c>
      <c r="F777" s="570" t="s">
        <v>624</v>
      </c>
      <c r="G777" s="10"/>
      <c r="H777" s="10"/>
      <c r="K777" s="547"/>
      <c r="L777" s="8"/>
    </row>
    <row r="778" spans="1:12" customFormat="1" x14ac:dyDescent="0.25">
      <c r="A778" s="545"/>
      <c r="B778" s="242" t="s">
        <v>5607</v>
      </c>
      <c r="D778" s="3" t="s">
        <v>5608</v>
      </c>
      <c r="F778" s="537"/>
      <c r="G778" s="10"/>
      <c r="H778" s="10"/>
      <c r="K778" s="547"/>
      <c r="L778" s="8"/>
    </row>
    <row r="779" spans="1:12" customFormat="1" x14ac:dyDescent="0.25">
      <c r="A779" s="545"/>
      <c r="B779" s="242"/>
      <c r="D779" t="s">
        <v>5609</v>
      </c>
      <c r="F779" s="537" t="s">
        <v>3</v>
      </c>
      <c r="G779" s="10">
        <f>0.175*0.06*5*8*1.1</f>
        <v>0.46199999999999997</v>
      </c>
      <c r="H779" s="10"/>
      <c r="K779" s="547"/>
      <c r="L779" s="8"/>
    </row>
    <row r="780" spans="1:12" customFormat="1" x14ac:dyDescent="0.25">
      <c r="A780" s="545"/>
      <c r="B780" s="242" t="s">
        <v>5610</v>
      </c>
      <c r="D780" s="3" t="s">
        <v>5611</v>
      </c>
      <c r="F780" s="537"/>
      <c r="G780" s="10"/>
      <c r="H780" s="10"/>
      <c r="K780" s="547"/>
      <c r="L780" s="8"/>
    </row>
    <row r="781" spans="1:12" customFormat="1" x14ac:dyDescent="0.25">
      <c r="A781" s="545"/>
      <c r="B781" s="242"/>
      <c r="D781" s="25" t="s">
        <v>2546</v>
      </c>
      <c r="F781" s="537" t="s">
        <v>3</v>
      </c>
      <c r="G781" s="10">
        <f>0.06*0.1*3*8*1.05</f>
        <v>0.15120000000000003</v>
      </c>
      <c r="H781" s="10"/>
      <c r="K781" s="547"/>
      <c r="L781" s="8"/>
    </row>
    <row r="782" spans="1:12" customFormat="1" x14ac:dyDescent="0.25">
      <c r="A782" s="545"/>
      <c r="B782" s="242" t="s">
        <v>5612</v>
      </c>
      <c r="D782" s="3" t="s">
        <v>5613</v>
      </c>
      <c r="F782" s="570" t="s">
        <v>624</v>
      </c>
      <c r="G782" s="10"/>
      <c r="H782" s="10"/>
      <c r="K782" s="547"/>
      <c r="L782" s="8"/>
    </row>
    <row r="783" spans="1:12" customFormat="1" x14ac:dyDescent="0.25">
      <c r="A783" s="545"/>
      <c r="B783" s="242" t="s">
        <v>5614</v>
      </c>
      <c r="D783" s="3" t="s">
        <v>5615</v>
      </c>
      <c r="F783" s="537"/>
      <c r="G783" s="10"/>
      <c r="H783" s="10"/>
      <c r="K783" s="547"/>
      <c r="L783" s="8"/>
    </row>
    <row r="784" spans="1:12" customFormat="1" x14ac:dyDescent="0.25">
      <c r="A784" s="545"/>
      <c r="B784" s="242"/>
      <c r="D784" s="25" t="s">
        <v>2546</v>
      </c>
      <c r="F784" s="537" t="s">
        <v>3</v>
      </c>
      <c r="G784" s="10">
        <f>0.1*0.1*3*8*1.1</f>
        <v>0.26400000000000007</v>
      </c>
      <c r="H784" s="10"/>
      <c r="K784" s="547"/>
      <c r="L784" s="8"/>
    </row>
    <row r="785" spans="1:12" customFormat="1" x14ac:dyDescent="0.25">
      <c r="A785" s="545"/>
      <c r="B785" s="242" t="s">
        <v>5616</v>
      </c>
      <c r="D785" s="3" t="s">
        <v>5617</v>
      </c>
      <c r="F785" s="537"/>
      <c r="G785" s="10"/>
      <c r="H785" s="10"/>
      <c r="K785" s="547"/>
      <c r="L785" s="8"/>
    </row>
    <row r="786" spans="1:12" customFormat="1" x14ac:dyDescent="0.25">
      <c r="A786" s="545"/>
      <c r="B786" s="242"/>
      <c r="D786" s="25" t="s">
        <v>2546</v>
      </c>
      <c r="F786" s="537" t="s">
        <v>3</v>
      </c>
      <c r="G786" s="10">
        <f>0.1*0.16*3*8*1.1</f>
        <v>0.42240000000000005</v>
      </c>
      <c r="H786" s="10"/>
      <c r="K786" s="547"/>
      <c r="L786" s="8"/>
    </row>
    <row r="787" spans="1:12" customFormat="1" x14ac:dyDescent="0.25">
      <c r="A787" s="545"/>
      <c r="B787" s="242" t="s">
        <v>5618</v>
      </c>
      <c r="D787" s="54" t="s">
        <v>5619</v>
      </c>
      <c r="E787" s="8"/>
      <c r="F787" s="128"/>
      <c r="G787" s="10"/>
      <c r="H787" s="10"/>
      <c r="K787" s="547"/>
      <c r="L787" s="8"/>
    </row>
    <row r="788" spans="1:12" customFormat="1" x14ac:dyDescent="0.25">
      <c r="A788" s="545"/>
      <c r="B788" s="242"/>
      <c r="D788" s="25" t="s">
        <v>5545</v>
      </c>
      <c r="F788" s="537" t="s">
        <v>3</v>
      </c>
      <c r="G788" s="10">
        <v>0.24</v>
      </c>
      <c r="H788" s="10"/>
      <c r="I788" t="s">
        <v>5620</v>
      </c>
      <c r="K788" s="547"/>
      <c r="L788" s="8"/>
    </row>
    <row r="789" spans="1:12" customFormat="1" x14ac:dyDescent="0.25">
      <c r="A789" s="545"/>
      <c r="B789" s="242" t="s">
        <v>5621</v>
      </c>
      <c r="D789" s="3" t="s">
        <v>5622</v>
      </c>
      <c r="F789" s="537"/>
      <c r="G789" s="10"/>
      <c r="H789" s="10"/>
      <c r="K789" s="547"/>
      <c r="L789" s="8"/>
    </row>
    <row r="790" spans="1:12" customFormat="1" x14ac:dyDescent="0.25">
      <c r="A790" s="545"/>
      <c r="B790" s="242"/>
      <c r="D790" s="25" t="s">
        <v>272</v>
      </c>
      <c r="F790" s="537" t="s">
        <v>3</v>
      </c>
      <c r="G790" s="10">
        <f>0.045*0.05*2*8*1.1</f>
        <v>3.9600000000000003E-2</v>
      </c>
      <c r="H790" s="10"/>
      <c r="K790" s="547"/>
      <c r="L790" s="8"/>
    </row>
    <row r="791" spans="1:12" customFormat="1" x14ac:dyDescent="0.25">
      <c r="A791" s="545"/>
      <c r="B791" s="242" t="s">
        <v>5623</v>
      </c>
      <c r="D791" s="3" t="s">
        <v>5624</v>
      </c>
      <c r="F791" s="537"/>
      <c r="G791" s="10"/>
      <c r="H791" s="10"/>
      <c r="K791" s="547"/>
      <c r="L791" s="8"/>
    </row>
    <row r="792" spans="1:12" customFormat="1" x14ac:dyDescent="0.25">
      <c r="A792" s="545"/>
      <c r="B792" s="242"/>
      <c r="D792" s="25" t="s">
        <v>275</v>
      </c>
      <c r="F792" s="537" t="s">
        <v>3</v>
      </c>
      <c r="G792" s="10">
        <f>0.064*3.14*0.12*1.5*8*1.1</f>
        <v>0.31832063999999999</v>
      </c>
      <c r="H792" s="10"/>
      <c r="K792" s="547"/>
      <c r="L792" s="8"/>
    </row>
    <row r="793" spans="1:12" customFormat="1" x14ac:dyDescent="0.25">
      <c r="A793" s="545"/>
      <c r="B793" s="242"/>
      <c r="D793" s="77" t="s">
        <v>39</v>
      </c>
      <c r="F793" s="537" t="s">
        <v>3</v>
      </c>
      <c r="G793" s="10">
        <f>0.12*0.05*1.3</f>
        <v>7.8000000000000005E-3</v>
      </c>
      <c r="H793" s="10"/>
      <c r="K793" s="547"/>
      <c r="L793" s="8"/>
    </row>
    <row r="794" spans="1:12" customFormat="1" ht="17.25" x14ac:dyDescent="0.25">
      <c r="A794" s="545"/>
      <c r="B794" s="242"/>
      <c r="D794" s="77" t="s">
        <v>1055</v>
      </c>
      <c r="F794" s="537" t="s">
        <v>596</v>
      </c>
      <c r="G794" s="10">
        <f>G793</f>
        <v>7.8000000000000005E-3</v>
      </c>
      <c r="H794" s="10"/>
      <c r="K794" s="547"/>
      <c r="L794" s="8"/>
    </row>
    <row r="795" spans="1:12" customFormat="1" x14ac:dyDescent="0.25">
      <c r="A795" s="545"/>
      <c r="B795" s="242"/>
      <c r="F795" s="537"/>
      <c r="G795" s="10"/>
      <c r="H795" s="10"/>
      <c r="K795" s="547"/>
      <c r="L795" s="8"/>
    </row>
    <row r="796" spans="1:12" customFormat="1" x14ac:dyDescent="0.25">
      <c r="A796" s="545"/>
      <c r="B796" s="567"/>
      <c r="C796" s="3" t="s">
        <v>5625</v>
      </c>
      <c r="F796" s="537"/>
      <c r="G796" s="10"/>
      <c r="H796" s="10"/>
      <c r="K796" s="547"/>
      <c r="L796" s="8"/>
    </row>
    <row r="797" spans="1:12" customFormat="1" x14ac:dyDescent="0.25">
      <c r="A797" s="545"/>
      <c r="B797" s="242" t="s">
        <v>2968</v>
      </c>
      <c r="D797" s="3" t="s">
        <v>5626</v>
      </c>
      <c r="F797" s="13" t="s">
        <v>5627</v>
      </c>
      <c r="G797" s="10"/>
      <c r="H797" s="10"/>
      <c r="K797" s="547"/>
      <c r="L797" s="8"/>
    </row>
    <row r="798" spans="1:12" customFormat="1" x14ac:dyDescent="0.25">
      <c r="A798" s="545"/>
      <c r="B798" s="242"/>
      <c r="C798" s="3"/>
      <c r="F798" s="537"/>
      <c r="G798" s="10"/>
      <c r="H798" s="10"/>
      <c r="K798" s="547"/>
      <c r="L798" s="8"/>
    </row>
    <row r="799" spans="1:12" customFormat="1" x14ac:dyDescent="0.25">
      <c r="A799" s="545"/>
      <c r="B799" s="565"/>
      <c r="C799" s="3" t="s">
        <v>5628</v>
      </c>
      <c r="F799" s="537"/>
      <c r="G799" s="10"/>
      <c r="H799" s="10"/>
      <c r="K799" s="547"/>
      <c r="L799" s="8"/>
    </row>
    <row r="800" spans="1:12" customFormat="1" x14ac:dyDescent="0.25">
      <c r="A800" s="545"/>
      <c r="B800" s="242"/>
      <c r="C800" s="3"/>
      <c r="D800" s="3" t="s">
        <v>5629</v>
      </c>
      <c r="F800" s="537"/>
      <c r="G800" s="10"/>
      <c r="H800" s="10"/>
      <c r="K800" s="547"/>
      <c r="L800" s="8"/>
    </row>
    <row r="801" spans="1:12" customFormat="1" x14ac:dyDescent="0.25">
      <c r="A801" s="545"/>
      <c r="B801" s="242"/>
      <c r="C801" s="3"/>
      <c r="D801" s="77" t="s">
        <v>39</v>
      </c>
      <c r="F801" s="537" t="s">
        <v>3</v>
      </c>
      <c r="G801" s="10">
        <f>(0.08*3.14*2+0.05*3.14+0.025*3.14+0.05*3.14)*0.08*1.2</f>
        <v>8.5910400000000012E-2</v>
      </c>
      <c r="H801" s="10"/>
      <c r="K801" s="547"/>
      <c r="L801" s="8"/>
    </row>
    <row r="802" spans="1:12" customFormat="1" ht="17.25" x14ac:dyDescent="0.25">
      <c r="A802" s="545"/>
      <c r="B802" s="242"/>
      <c r="C802" s="3"/>
      <c r="D802" s="77" t="s">
        <v>1055</v>
      </c>
      <c r="F802" s="537" t="s">
        <v>596</v>
      </c>
      <c r="G802" s="10">
        <f>G801</f>
        <v>8.5910400000000012E-2</v>
      </c>
      <c r="H802" s="10"/>
      <c r="K802" s="547"/>
      <c r="L802" s="8"/>
    </row>
    <row r="803" spans="1:12" customFormat="1" x14ac:dyDescent="0.25">
      <c r="A803" s="545"/>
      <c r="B803" s="242"/>
      <c r="C803" s="3"/>
      <c r="D803" s="25" t="s">
        <v>1021</v>
      </c>
      <c r="F803" s="537" t="s">
        <v>3</v>
      </c>
      <c r="G803" s="10">
        <f>G805</f>
        <v>0.05</v>
      </c>
      <c r="H803" s="10"/>
      <c r="K803" s="547"/>
      <c r="L803" s="8"/>
    </row>
    <row r="804" spans="1:12" customFormat="1" x14ac:dyDescent="0.25">
      <c r="A804" s="545"/>
      <c r="B804" s="242"/>
      <c r="C804" s="3"/>
      <c r="D804" s="25" t="s">
        <v>661</v>
      </c>
      <c r="F804" s="537" t="s">
        <v>3</v>
      </c>
      <c r="G804" s="10">
        <f>0.3*G803</f>
        <v>1.4999999999999999E-2</v>
      </c>
      <c r="H804" s="10"/>
      <c r="K804" s="547"/>
      <c r="L804" s="8"/>
    </row>
    <row r="805" spans="1:12" customFormat="1" x14ac:dyDescent="0.25">
      <c r="A805" s="545"/>
      <c r="B805" s="242"/>
      <c r="C805" s="3"/>
      <c r="D805" s="154" t="s">
        <v>8</v>
      </c>
      <c r="E805" s="8"/>
      <c r="F805" s="537" t="s">
        <v>3</v>
      </c>
      <c r="G805" s="10">
        <v>0.05</v>
      </c>
      <c r="H805" s="10"/>
      <c r="K805" s="547"/>
      <c r="L805" s="8"/>
    </row>
    <row r="806" spans="1:12" customFormat="1" x14ac:dyDescent="0.25">
      <c r="A806" s="545"/>
      <c r="B806" s="242"/>
      <c r="C806" s="3"/>
      <c r="D806" s="154" t="s">
        <v>5630</v>
      </c>
      <c r="E806" s="8"/>
      <c r="F806" s="537" t="s">
        <v>3</v>
      </c>
      <c r="G806" s="10">
        <f>0.85*0.03*2*1.18</f>
        <v>6.017999999999999E-2</v>
      </c>
      <c r="H806" s="10"/>
      <c r="K806" s="547"/>
      <c r="L806" s="8"/>
    </row>
    <row r="807" spans="1:12" customFormat="1" x14ac:dyDescent="0.25">
      <c r="A807" s="545"/>
      <c r="B807" s="242"/>
      <c r="C807" s="3"/>
      <c r="D807" s="154" t="s">
        <v>12</v>
      </c>
      <c r="E807" s="8"/>
      <c r="F807" s="537" t="s">
        <v>3</v>
      </c>
      <c r="G807" s="10">
        <f>0.3*(G806+G805)</f>
        <v>3.3054E-2</v>
      </c>
      <c r="H807" s="10"/>
      <c r="K807" s="547"/>
      <c r="L807" s="8"/>
    </row>
    <row r="808" spans="1:12" customFormat="1" x14ac:dyDescent="0.25">
      <c r="A808" s="545"/>
      <c r="B808" s="242"/>
      <c r="C808" s="3"/>
      <c r="D808" s="3"/>
      <c r="E808" s="3" t="s">
        <v>5631</v>
      </c>
      <c r="F808" s="537"/>
      <c r="G808" s="10"/>
      <c r="H808" s="10"/>
      <c r="K808" s="547"/>
      <c r="L808" s="8"/>
    </row>
    <row r="809" spans="1:12" customFormat="1" x14ac:dyDescent="0.25">
      <c r="A809" s="545"/>
      <c r="B809" s="242"/>
      <c r="C809" s="3"/>
      <c r="D809" s="3"/>
      <c r="E809" t="s">
        <v>140</v>
      </c>
      <c r="F809" s="537" t="s">
        <v>3</v>
      </c>
      <c r="G809" s="10">
        <f>0.012*3.14*0.08*1.2</f>
        <v>3.6172800000000005E-3</v>
      </c>
      <c r="H809" s="10"/>
      <c r="K809" s="547"/>
      <c r="L809" s="8"/>
    </row>
    <row r="810" spans="1:12" customFormat="1" ht="17.25" x14ac:dyDescent="0.25">
      <c r="A810" s="545"/>
      <c r="B810" s="242"/>
      <c r="C810" s="3"/>
      <c r="D810" s="3"/>
      <c r="E810" t="s">
        <v>23</v>
      </c>
      <c r="F810" s="566" t="s">
        <v>5442</v>
      </c>
      <c r="G810" s="10">
        <f>G809*2</f>
        <v>7.234560000000001E-3</v>
      </c>
      <c r="H810" s="10"/>
      <c r="K810" s="547"/>
      <c r="L810" s="8"/>
    </row>
    <row r="811" spans="1:12" customFormat="1" x14ac:dyDescent="0.25">
      <c r="A811" s="545"/>
      <c r="B811" s="242"/>
      <c r="C811" s="3"/>
      <c r="D811" s="3"/>
      <c r="E811" t="s">
        <v>142</v>
      </c>
      <c r="F811" s="537" t="s">
        <v>3</v>
      </c>
      <c r="G811" s="10">
        <f>G809/4</f>
        <v>9.0432000000000012E-4</v>
      </c>
      <c r="H811" s="10"/>
      <c r="K811" s="547"/>
      <c r="L811" s="8"/>
    </row>
    <row r="812" spans="1:12" customFormat="1" x14ac:dyDescent="0.25">
      <c r="A812" s="545"/>
      <c r="B812" s="242"/>
      <c r="C812" s="3"/>
      <c r="D812" s="3"/>
      <c r="E812" s="33" t="s">
        <v>5632</v>
      </c>
      <c r="F812" s="537"/>
      <c r="G812" s="10"/>
      <c r="H812" s="10"/>
      <c r="K812" s="547"/>
      <c r="L812" s="8"/>
    </row>
    <row r="813" spans="1:12" customFormat="1" x14ac:dyDescent="0.25">
      <c r="A813" s="545"/>
      <c r="B813" s="242"/>
      <c r="C813" s="3"/>
      <c r="D813" s="3"/>
      <c r="E813" s="334" t="s">
        <v>5633</v>
      </c>
      <c r="F813" s="537" t="s">
        <v>3</v>
      </c>
      <c r="G813" s="10">
        <v>0.03</v>
      </c>
      <c r="H813" s="10"/>
      <c r="I813" t="s">
        <v>5634</v>
      </c>
      <c r="K813" s="547"/>
      <c r="L813" s="8"/>
    </row>
    <row r="814" spans="1:12" customFormat="1" x14ac:dyDescent="0.25">
      <c r="A814" s="545"/>
      <c r="B814" s="242"/>
      <c r="C814" s="54"/>
      <c r="D814" s="3"/>
      <c r="E814" s="3" t="s">
        <v>5635</v>
      </c>
      <c r="F814" s="537"/>
      <c r="G814" s="10"/>
      <c r="H814" s="10"/>
      <c r="K814" s="547"/>
      <c r="L814" s="8"/>
    </row>
    <row r="815" spans="1:12" customFormat="1" x14ac:dyDescent="0.25">
      <c r="A815" s="545"/>
      <c r="B815" s="242"/>
      <c r="C815" s="54"/>
      <c r="D815" s="3"/>
      <c r="E815" s="25" t="s">
        <v>5636</v>
      </c>
      <c r="F815" s="537" t="s">
        <v>3</v>
      </c>
      <c r="G815" s="10">
        <v>0.215</v>
      </c>
      <c r="H815" s="10"/>
      <c r="I815" t="s">
        <v>5637</v>
      </c>
      <c r="K815" s="547"/>
      <c r="L815" s="8"/>
    </row>
    <row r="816" spans="1:12" customFormat="1" x14ac:dyDescent="0.25">
      <c r="A816" s="545"/>
      <c r="B816" s="242"/>
      <c r="C816" s="54"/>
      <c r="D816" s="3"/>
      <c r="E816" s="3" t="s">
        <v>5638</v>
      </c>
      <c r="F816" s="537"/>
      <c r="G816" s="10"/>
      <c r="H816" s="10"/>
      <c r="K816" s="547"/>
      <c r="L816" s="8"/>
    </row>
    <row r="817" spans="1:12" customFormat="1" x14ac:dyDescent="0.25">
      <c r="A817" s="545"/>
      <c r="B817" s="242"/>
      <c r="C817" s="54"/>
      <c r="D817" s="3"/>
      <c r="E817" s="25" t="s">
        <v>5639</v>
      </c>
      <c r="F817" s="537" t="s">
        <v>3</v>
      </c>
      <c r="G817" s="10">
        <f>0.22*0.08*1*8*1.1</f>
        <v>0.15488000000000002</v>
      </c>
      <c r="H817" s="10"/>
      <c r="K817" s="547"/>
      <c r="L817" s="8"/>
    </row>
    <row r="818" spans="1:12" customFormat="1" x14ac:dyDescent="0.25">
      <c r="A818" s="545"/>
      <c r="B818" s="242"/>
      <c r="C818" s="3"/>
      <c r="D818" s="3"/>
      <c r="E818" s="3" t="s">
        <v>5640</v>
      </c>
      <c r="F818" s="537"/>
      <c r="G818" s="10"/>
      <c r="H818" s="10"/>
      <c r="K818" s="547"/>
      <c r="L818" s="8"/>
    </row>
    <row r="819" spans="1:12" customFormat="1" x14ac:dyDescent="0.25">
      <c r="A819" s="545"/>
      <c r="B819" s="242"/>
      <c r="C819" s="3"/>
      <c r="D819" s="3"/>
      <c r="E819" s="25" t="s">
        <v>5641</v>
      </c>
      <c r="F819" s="537" t="s">
        <v>3</v>
      </c>
      <c r="G819" s="10">
        <v>0.34499999999999997</v>
      </c>
      <c r="H819" s="10"/>
      <c r="I819" t="s">
        <v>1365</v>
      </c>
      <c r="K819" s="547"/>
      <c r="L819" s="8"/>
    </row>
    <row r="820" spans="1:12" customFormat="1" x14ac:dyDescent="0.25">
      <c r="A820" s="545"/>
      <c r="B820" s="242"/>
      <c r="C820" s="54"/>
      <c r="E820" s="3" t="s">
        <v>5642</v>
      </c>
      <c r="F820" s="537"/>
      <c r="G820" s="32"/>
      <c r="H820" s="10"/>
      <c r="K820" s="547"/>
      <c r="L820" s="8"/>
    </row>
    <row r="821" spans="1:12" customFormat="1" x14ac:dyDescent="0.25">
      <c r="A821" s="545"/>
      <c r="B821" s="242"/>
      <c r="C821" s="3"/>
      <c r="E821" s="25" t="s">
        <v>5636</v>
      </c>
      <c r="F821" s="537" t="s">
        <v>3</v>
      </c>
      <c r="G821" s="32">
        <f>0.215</f>
        <v>0.215</v>
      </c>
      <c r="H821" s="10"/>
      <c r="I821" t="s">
        <v>5637</v>
      </c>
      <c r="K821" s="547"/>
      <c r="L821" s="8"/>
    </row>
    <row r="822" spans="1:12" customFormat="1" x14ac:dyDescent="0.25">
      <c r="A822" s="545"/>
      <c r="B822" s="242"/>
      <c r="C822" s="3"/>
      <c r="D822" s="3" t="s">
        <v>5643</v>
      </c>
      <c r="F822" s="537"/>
      <c r="G822" s="10"/>
      <c r="H822" s="10"/>
      <c r="K822" s="547"/>
      <c r="L822" s="8"/>
    </row>
    <row r="823" spans="1:12" customFormat="1" x14ac:dyDescent="0.25">
      <c r="A823" s="545"/>
      <c r="B823" s="242"/>
      <c r="C823" s="3"/>
      <c r="D823" s="8" t="s">
        <v>5415</v>
      </c>
      <c r="F823" s="537" t="s">
        <v>3</v>
      </c>
      <c r="G823" s="10">
        <v>1.2E-2</v>
      </c>
      <c r="H823" s="10"/>
      <c r="K823" s="547"/>
      <c r="L823" s="8"/>
    </row>
    <row r="824" spans="1:12" customFormat="1" x14ac:dyDescent="0.25">
      <c r="A824" s="545"/>
      <c r="B824" s="242"/>
      <c r="C824" s="3"/>
      <c r="D824" s="154" t="s">
        <v>104</v>
      </c>
      <c r="F824" s="537" t="s">
        <v>3</v>
      </c>
      <c r="G824" s="10">
        <f>G823*2</f>
        <v>2.4E-2</v>
      </c>
      <c r="H824" s="10"/>
      <c r="K824" s="547"/>
      <c r="L824" s="8"/>
    </row>
    <row r="825" spans="1:12" customFormat="1" x14ac:dyDescent="0.25">
      <c r="A825" s="545"/>
      <c r="B825" s="242"/>
      <c r="C825" s="3"/>
      <c r="D825" s="154"/>
      <c r="E825" s="3" t="s">
        <v>5644</v>
      </c>
      <c r="F825" s="537"/>
      <c r="G825" s="10"/>
      <c r="H825" s="10"/>
      <c r="K825" s="547"/>
      <c r="L825" s="8"/>
    </row>
    <row r="826" spans="1:12" customFormat="1" x14ac:dyDescent="0.25">
      <c r="A826" s="545"/>
      <c r="B826" s="242"/>
      <c r="C826" s="3"/>
      <c r="D826" s="154"/>
      <c r="E826" t="s">
        <v>957</v>
      </c>
      <c r="F826" s="537" t="s">
        <v>3</v>
      </c>
      <c r="G826" s="10">
        <f>0.175*0.145*1*8*1.159</f>
        <v>0.23527699999999999</v>
      </c>
      <c r="H826" s="10"/>
      <c r="K826" s="547"/>
      <c r="L826" s="8"/>
    </row>
    <row r="827" spans="1:12" customFormat="1" x14ac:dyDescent="0.25">
      <c r="A827" s="545"/>
      <c r="B827" s="242"/>
      <c r="C827" s="3"/>
      <c r="D827" s="154"/>
      <c r="E827" s="8" t="s">
        <v>5415</v>
      </c>
      <c r="F827" s="537" t="s">
        <v>3</v>
      </c>
      <c r="G827" s="10">
        <v>7.0000000000000001E-3</v>
      </c>
      <c r="H827" s="10"/>
      <c r="K827" s="547"/>
      <c r="L827" s="8"/>
    </row>
    <row r="828" spans="1:12" customFormat="1" x14ac:dyDescent="0.25">
      <c r="A828" s="545"/>
      <c r="B828" s="242"/>
      <c r="C828" s="3"/>
      <c r="D828" s="154"/>
      <c r="E828" s="154" t="s">
        <v>104</v>
      </c>
      <c r="F828" s="537" t="s">
        <v>3</v>
      </c>
      <c r="G828" s="10">
        <f>G827*2</f>
        <v>1.4E-2</v>
      </c>
      <c r="H828" s="10"/>
      <c r="K828" s="547"/>
      <c r="L828" s="8"/>
    </row>
    <row r="829" spans="1:12" customFormat="1" x14ac:dyDescent="0.25">
      <c r="A829" s="545"/>
      <c r="B829" s="242"/>
      <c r="C829" s="3"/>
      <c r="D829" s="154"/>
      <c r="E829" s="54" t="s">
        <v>5645</v>
      </c>
      <c r="F829" s="537"/>
      <c r="G829" s="10"/>
      <c r="H829" s="10"/>
      <c r="K829" s="547"/>
      <c r="L829" s="8"/>
    </row>
    <row r="830" spans="1:12" customFormat="1" ht="17.25" x14ac:dyDescent="0.25">
      <c r="A830" s="545"/>
      <c r="B830" s="242"/>
      <c r="C830" s="3"/>
      <c r="D830" s="154"/>
      <c r="E830" s="154" t="s">
        <v>5646</v>
      </c>
      <c r="F830" s="537" t="s">
        <v>677</v>
      </c>
      <c r="G830" s="10">
        <v>6.0000000000000001E-3</v>
      </c>
      <c r="H830" s="10"/>
      <c r="K830" s="547"/>
      <c r="L830" s="8"/>
    </row>
    <row r="831" spans="1:12" customFormat="1" x14ac:dyDescent="0.25">
      <c r="A831" s="545"/>
      <c r="B831" s="242"/>
      <c r="C831" s="3"/>
      <c r="D831" s="154"/>
      <c r="E831" s="8" t="s">
        <v>5415</v>
      </c>
      <c r="F831" s="537" t="s">
        <v>3</v>
      </c>
      <c r="G831" s="10"/>
      <c r="H831" s="10"/>
      <c r="K831" s="547"/>
      <c r="L831" s="8"/>
    </row>
    <row r="832" spans="1:12" customFormat="1" x14ac:dyDescent="0.25">
      <c r="A832" s="545"/>
      <c r="B832" s="242"/>
      <c r="C832" s="3"/>
      <c r="D832" s="154"/>
      <c r="E832" s="154" t="s">
        <v>104</v>
      </c>
      <c r="F832" s="537" t="s">
        <v>3</v>
      </c>
      <c r="G832" s="10">
        <f>2*G831</f>
        <v>0</v>
      </c>
      <c r="H832" s="10"/>
      <c r="K832" s="547"/>
      <c r="L832" s="8"/>
    </row>
    <row r="833" spans="1:12" customFormat="1" x14ac:dyDescent="0.25">
      <c r="A833" s="545"/>
      <c r="B833" s="242"/>
      <c r="C833" s="3"/>
      <c r="D833" s="154"/>
      <c r="E833" s="54" t="s">
        <v>5647</v>
      </c>
      <c r="F833" s="537"/>
      <c r="G833" s="10"/>
      <c r="H833" s="10"/>
      <c r="K833" s="547"/>
      <c r="L833" s="8"/>
    </row>
    <row r="834" spans="1:12" customFormat="1" ht="17.25" x14ac:dyDescent="0.25">
      <c r="A834" s="545"/>
      <c r="B834" s="242"/>
      <c r="C834" s="3"/>
      <c r="D834" s="154"/>
      <c r="E834" s="154" t="s">
        <v>5646</v>
      </c>
      <c r="F834" s="537" t="s">
        <v>677</v>
      </c>
      <c r="G834" s="10">
        <f>0.055*0.055*1.05</f>
        <v>3.1762500000000003E-3</v>
      </c>
      <c r="H834" s="10"/>
      <c r="K834" s="547"/>
      <c r="L834" s="8"/>
    </row>
    <row r="835" spans="1:12" customFormat="1" x14ac:dyDescent="0.25">
      <c r="A835" s="545"/>
      <c r="B835" s="545"/>
      <c r="C835" s="3"/>
      <c r="D835" s="154"/>
      <c r="E835" s="54" t="s">
        <v>5648</v>
      </c>
      <c r="F835" s="537"/>
      <c r="G835" s="10"/>
      <c r="H835" s="10"/>
      <c r="K835" s="547"/>
      <c r="L835" s="8"/>
    </row>
    <row r="836" spans="1:12" customFormat="1" x14ac:dyDescent="0.25">
      <c r="A836" s="545"/>
      <c r="B836" s="242"/>
      <c r="C836" s="3"/>
      <c r="D836" s="154"/>
      <c r="E836" s="8" t="s">
        <v>5649</v>
      </c>
      <c r="F836" s="537" t="s">
        <v>3</v>
      </c>
      <c r="G836" s="10">
        <f>0.05*0.05*1*8.5*1.03</f>
        <v>2.1887500000000004E-2</v>
      </c>
      <c r="H836" s="10"/>
      <c r="K836" s="547"/>
      <c r="L836" s="8"/>
    </row>
    <row r="837" spans="1:12" customFormat="1" x14ac:dyDescent="0.25">
      <c r="A837" s="545"/>
      <c r="B837" s="242"/>
      <c r="C837" s="3"/>
      <c r="D837" s="154"/>
      <c r="E837" s="154" t="s">
        <v>671</v>
      </c>
      <c r="F837" s="537" t="s">
        <v>3</v>
      </c>
      <c r="G837" s="10">
        <f>0.002</f>
        <v>2E-3</v>
      </c>
      <c r="H837" s="10"/>
      <c r="K837" s="547"/>
      <c r="L837" s="8"/>
    </row>
    <row r="838" spans="1:12" customFormat="1" x14ac:dyDescent="0.25">
      <c r="A838" s="545"/>
      <c r="B838" s="242"/>
      <c r="C838" s="3"/>
      <c r="D838" s="154"/>
      <c r="E838" s="8" t="s">
        <v>104</v>
      </c>
      <c r="F838" s="537" t="s">
        <v>3</v>
      </c>
      <c r="G838" s="10">
        <f>G837*2</f>
        <v>4.0000000000000001E-3</v>
      </c>
      <c r="H838" s="10"/>
      <c r="K838" s="547"/>
      <c r="L838" s="8"/>
    </row>
    <row r="839" spans="1:12" customFormat="1" x14ac:dyDescent="0.25">
      <c r="A839" s="545"/>
      <c r="B839" s="242"/>
      <c r="C839" s="3"/>
      <c r="D839" s="154"/>
      <c r="E839" s="154"/>
      <c r="F839" s="537"/>
      <c r="G839" s="10"/>
      <c r="H839" s="10"/>
      <c r="K839" s="547"/>
      <c r="L839" s="8"/>
    </row>
    <row r="840" spans="1:12" customFormat="1" x14ac:dyDescent="0.25">
      <c r="A840" s="545"/>
      <c r="B840" s="567" t="s">
        <v>2968</v>
      </c>
      <c r="C840" s="3" t="s">
        <v>5650</v>
      </c>
      <c r="F840" s="537"/>
      <c r="G840" s="10"/>
      <c r="H840" s="10"/>
      <c r="K840" s="547"/>
      <c r="L840" s="8"/>
    </row>
    <row r="841" spans="1:12" customFormat="1" x14ac:dyDescent="0.25">
      <c r="A841" s="545"/>
      <c r="B841" s="567"/>
      <c r="C841" s="3"/>
      <c r="D841" s="3" t="s">
        <v>5651</v>
      </c>
      <c r="F841" s="537"/>
      <c r="G841" s="10"/>
      <c r="H841" s="10"/>
      <c r="K841" s="547"/>
      <c r="L841" s="8"/>
    </row>
    <row r="842" spans="1:12" customFormat="1" x14ac:dyDescent="0.25">
      <c r="A842" s="545"/>
      <c r="B842" s="242"/>
      <c r="F842" s="537"/>
      <c r="G842" s="10"/>
      <c r="H842" s="10"/>
      <c r="K842" s="547"/>
      <c r="L842" s="8"/>
    </row>
    <row r="843" spans="1:12" customFormat="1" x14ac:dyDescent="0.25">
      <c r="A843" s="545"/>
      <c r="B843" s="567" t="s">
        <v>2968</v>
      </c>
      <c r="C843" s="3" t="s">
        <v>5652</v>
      </c>
      <c r="F843" s="537" t="s">
        <v>5653</v>
      </c>
      <c r="G843" s="10"/>
      <c r="H843" s="10"/>
      <c r="K843" s="547"/>
      <c r="L843" s="8"/>
    </row>
    <row r="844" spans="1:12" customFormat="1" x14ac:dyDescent="0.25">
      <c r="A844" s="545"/>
      <c r="B844" s="242"/>
      <c r="F844" s="537"/>
      <c r="G844" s="10"/>
      <c r="H844" s="10"/>
      <c r="K844" s="547"/>
      <c r="L844" s="8"/>
    </row>
    <row r="845" spans="1:12" customFormat="1" x14ac:dyDescent="0.25">
      <c r="A845" s="545"/>
      <c r="B845" s="567" t="s">
        <v>2968</v>
      </c>
      <c r="C845" s="3" t="s">
        <v>5654</v>
      </c>
      <c r="F845" s="537"/>
      <c r="G845" s="10"/>
      <c r="H845" s="10"/>
      <c r="K845" s="547"/>
      <c r="L845" s="8"/>
    </row>
    <row r="846" spans="1:12" customFormat="1" x14ac:dyDescent="0.25">
      <c r="A846" s="545"/>
      <c r="B846" s="242"/>
      <c r="C846" t="s">
        <v>140</v>
      </c>
      <c r="F846" s="537" t="s">
        <v>3</v>
      </c>
      <c r="G846" s="10">
        <f>0.012*3.14*2*0.08*1.2</f>
        <v>7.234560000000001E-3</v>
      </c>
      <c r="H846" s="10"/>
      <c r="K846" s="547"/>
      <c r="L846" s="8"/>
    </row>
    <row r="847" spans="1:12" customFormat="1" ht="17.25" x14ac:dyDescent="0.25">
      <c r="A847" s="545"/>
      <c r="B847" s="242"/>
      <c r="C847" t="s">
        <v>23</v>
      </c>
      <c r="F847" s="566" t="s">
        <v>5442</v>
      </c>
      <c r="G847" s="10">
        <f>G846*2</f>
        <v>1.4469120000000002E-2</v>
      </c>
      <c r="H847" s="10"/>
      <c r="K847" s="547"/>
      <c r="L847" s="8"/>
    </row>
    <row r="848" spans="1:12" customFormat="1" x14ac:dyDescent="0.25">
      <c r="A848" s="545"/>
      <c r="B848" s="242"/>
      <c r="C848" t="s">
        <v>142</v>
      </c>
      <c r="F848" s="537" t="s">
        <v>3</v>
      </c>
      <c r="G848" s="10">
        <f>G846/4</f>
        <v>1.8086400000000002E-3</v>
      </c>
      <c r="H848" s="10"/>
      <c r="K848" s="547"/>
      <c r="L848" s="8"/>
    </row>
    <row r="849" spans="1:12" customFormat="1" x14ac:dyDescent="0.25">
      <c r="A849" s="545"/>
      <c r="B849" s="242"/>
      <c r="C849" t="s">
        <v>143</v>
      </c>
      <c r="F849" s="537" t="s">
        <v>3</v>
      </c>
      <c r="G849" s="10"/>
      <c r="H849" s="10"/>
      <c r="K849" s="547"/>
      <c r="L849" s="8"/>
    </row>
    <row r="850" spans="1:12" customFormat="1" x14ac:dyDescent="0.25">
      <c r="A850" s="545"/>
      <c r="B850" s="242"/>
      <c r="C850" s="26" t="s">
        <v>5655</v>
      </c>
      <c r="D850" s="26"/>
      <c r="E850" s="26"/>
      <c r="F850" s="537" t="s">
        <v>3</v>
      </c>
      <c r="G850" s="10"/>
      <c r="H850" s="10"/>
      <c r="K850" s="547"/>
      <c r="L850" s="8"/>
    </row>
    <row r="851" spans="1:12" customFormat="1" x14ac:dyDescent="0.25">
      <c r="A851" s="545"/>
      <c r="B851" s="242"/>
      <c r="D851" s="3" t="s">
        <v>5656</v>
      </c>
      <c r="F851" s="537"/>
      <c r="G851" s="10"/>
      <c r="H851" s="10"/>
      <c r="K851" s="547"/>
      <c r="L851" s="8"/>
    </row>
    <row r="852" spans="1:12" customFormat="1" x14ac:dyDescent="0.25">
      <c r="A852" s="545"/>
      <c r="B852" s="242"/>
      <c r="D852" t="s">
        <v>5657</v>
      </c>
      <c r="F852" s="537" t="s">
        <v>3</v>
      </c>
      <c r="G852" s="10">
        <v>0.23</v>
      </c>
      <c r="H852" s="10"/>
      <c r="I852" t="s">
        <v>5658</v>
      </c>
      <c r="K852" s="547"/>
      <c r="L852" s="8"/>
    </row>
    <row r="853" spans="1:12" customFormat="1" x14ac:dyDescent="0.25">
      <c r="A853" s="545"/>
      <c r="B853" s="242"/>
      <c r="F853" s="537"/>
      <c r="G853" s="10"/>
      <c r="H853" s="10"/>
      <c r="K853" s="547"/>
      <c r="L853" s="8"/>
    </row>
    <row r="854" spans="1:12" customFormat="1" x14ac:dyDescent="0.25">
      <c r="A854" s="545"/>
      <c r="B854" s="565"/>
      <c r="C854" s="3" t="s">
        <v>5659</v>
      </c>
      <c r="F854" s="537"/>
      <c r="G854" s="10"/>
      <c r="H854" s="10"/>
      <c r="K854" s="547"/>
      <c r="L854" s="8"/>
    </row>
    <row r="855" spans="1:12" customFormat="1" x14ac:dyDescent="0.25">
      <c r="A855" s="545"/>
      <c r="B855" s="242"/>
      <c r="C855" t="s">
        <v>140</v>
      </c>
      <c r="F855" s="537" t="s">
        <v>3</v>
      </c>
      <c r="G855" s="10">
        <f>0.018*3.14*0.08*1.2</f>
        <v>5.4259199999999999E-3</v>
      </c>
      <c r="H855" s="10"/>
      <c r="K855" s="547"/>
      <c r="L855" s="8"/>
    </row>
    <row r="856" spans="1:12" customFormat="1" ht="17.25" x14ac:dyDescent="0.25">
      <c r="A856" s="545"/>
      <c r="B856" s="242"/>
      <c r="C856" t="s">
        <v>23</v>
      </c>
      <c r="F856" s="566" t="s">
        <v>5442</v>
      </c>
      <c r="G856" s="10">
        <f>G855*2</f>
        <v>1.085184E-2</v>
      </c>
      <c r="H856" s="10"/>
      <c r="K856" s="547"/>
      <c r="L856" s="8"/>
    </row>
    <row r="857" spans="1:12" customFormat="1" x14ac:dyDescent="0.25">
      <c r="A857" s="545"/>
      <c r="B857" s="242"/>
      <c r="C857" t="s">
        <v>142</v>
      </c>
      <c r="F857" s="537" t="s">
        <v>3</v>
      </c>
      <c r="G857" s="10">
        <f>G855/4</f>
        <v>1.35648E-3</v>
      </c>
      <c r="H857" s="10"/>
      <c r="K857" s="547"/>
      <c r="L857" s="8"/>
    </row>
    <row r="858" spans="1:12" customFormat="1" x14ac:dyDescent="0.25">
      <c r="A858" s="545"/>
      <c r="B858" s="242"/>
      <c r="C858" t="s">
        <v>143</v>
      </c>
      <c r="F858" s="537" t="s">
        <v>3</v>
      </c>
      <c r="G858" s="10">
        <f>0.06*0.03*2*1.3</f>
        <v>4.6800000000000001E-3</v>
      </c>
      <c r="H858" s="10"/>
      <c r="K858" s="547"/>
      <c r="L858" s="8"/>
    </row>
    <row r="859" spans="1:12" customFormat="1" x14ac:dyDescent="0.25">
      <c r="A859" s="545"/>
      <c r="B859" s="242"/>
      <c r="C859" t="s">
        <v>661</v>
      </c>
      <c r="F859" s="537" t="s">
        <v>3</v>
      </c>
      <c r="G859" s="10">
        <f>0.3*G858</f>
        <v>1.4040000000000001E-3</v>
      </c>
      <c r="H859" s="10"/>
      <c r="K859" s="547"/>
      <c r="L859" s="8"/>
    </row>
    <row r="860" spans="1:12" customFormat="1" x14ac:dyDescent="0.25">
      <c r="A860" s="545"/>
      <c r="B860" s="242"/>
      <c r="D860" s="3" t="s">
        <v>5660</v>
      </c>
      <c r="F860" s="537"/>
      <c r="G860" s="10"/>
      <c r="H860" s="10"/>
      <c r="K860" s="547"/>
      <c r="L860" s="8"/>
    </row>
    <row r="861" spans="1:12" customFormat="1" x14ac:dyDescent="0.25">
      <c r="A861" s="545"/>
      <c r="B861" s="242"/>
      <c r="D861" t="s">
        <v>5661</v>
      </c>
      <c r="F861" s="537" t="s">
        <v>3</v>
      </c>
      <c r="G861" s="10">
        <v>3.5000000000000003E-2</v>
      </c>
      <c r="H861" s="10"/>
      <c r="I861" t="s">
        <v>5662</v>
      </c>
      <c r="K861" s="547"/>
      <c r="L861" s="8"/>
    </row>
    <row r="862" spans="1:12" customFormat="1" x14ac:dyDescent="0.25">
      <c r="A862" s="545"/>
      <c r="B862" s="242"/>
      <c r="F862" s="537"/>
      <c r="G862" s="10"/>
      <c r="H862" s="10"/>
      <c r="K862" s="547"/>
      <c r="L862" s="8"/>
    </row>
    <row r="863" spans="1:12" customFormat="1" x14ac:dyDescent="0.25">
      <c r="A863" s="545"/>
      <c r="B863" s="565"/>
      <c r="C863" s="3" t="s">
        <v>5663</v>
      </c>
      <c r="F863" s="537"/>
      <c r="G863" s="10"/>
      <c r="H863" s="10"/>
      <c r="K863" s="547"/>
      <c r="L863" s="8"/>
    </row>
    <row r="864" spans="1:12" customFormat="1" x14ac:dyDescent="0.25">
      <c r="A864" s="545"/>
      <c r="B864" s="242"/>
      <c r="C864" t="s">
        <v>5394</v>
      </c>
      <c r="F864" s="537" t="s">
        <v>3</v>
      </c>
      <c r="G864" s="10">
        <v>2E-3</v>
      </c>
      <c r="H864" s="10"/>
      <c r="K864" s="547"/>
      <c r="L864" s="8"/>
    </row>
    <row r="865" spans="1:12" customFormat="1" x14ac:dyDescent="0.25">
      <c r="A865" s="545"/>
      <c r="B865" s="242"/>
      <c r="D865" s="3" t="s">
        <v>5664</v>
      </c>
      <c r="F865" s="537"/>
      <c r="G865" s="10"/>
      <c r="H865" s="10"/>
      <c r="K865" s="547"/>
      <c r="L865" s="8"/>
    </row>
    <row r="866" spans="1:12" customFormat="1" x14ac:dyDescent="0.25">
      <c r="A866" s="545"/>
      <c r="B866" s="242"/>
      <c r="D866" s="77" t="s">
        <v>39</v>
      </c>
      <c r="F866" s="537" t="s">
        <v>3</v>
      </c>
      <c r="G866" s="10">
        <f>0.008*3.14*2*0.05*1.3+0.06*0.05*1.3</f>
        <v>7.1656000000000011E-3</v>
      </c>
      <c r="H866" s="10"/>
      <c r="K866" s="547"/>
      <c r="L866" s="8"/>
    </row>
    <row r="867" spans="1:12" customFormat="1" ht="17.25" x14ac:dyDescent="0.25">
      <c r="A867" s="545"/>
      <c r="B867" s="242"/>
      <c r="D867" s="77" t="s">
        <v>1055</v>
      </c>
      <c r="F867" s="566" t="s">
        <v>5442</v>
      </c>
      <c r="G867" s="10">
        <f>G866</f>
        <v>7.1656000000000011E-3</v>
      </c>
      <c r="H867" s="10"/>
      <c r="K867" s="547"/>
      <c r="L867" s="8"/>
    </row>
    <row r="868" spans="1:12" customFormat="1" x14ac:dyDescent="0.25">
      <c r="A868" s="545"/>
      <c r="B868" s="242"/>
      <c r="D868" t="s">
        <v>140</v>
      </c>
      <c r="F868" s="537" t="s">
        <v>3</v>
      </c>
      <c r="G868" s="10">
        <f>0.008*3.14*2*0.08*1.2</f>
        <v>4.8230399999999998E-3</v>
      </c>
      <c r="H868" s="10"/>
      <c r="K868" s="547"/>
      <c r="L868" s="8"/>
    </row>
    <row r="869" spans="1:12" customFormat="1" ht="17.25" x14ac:dyDescent="0.25">
      <c r="A869" s="545"/>
      <c r="B869" s="242"/>
      <c r="D869" t="s">
        <v>23</v>
      </c>
      <c r="F869" s="566" t="s">
        <v>5442</v>
      </c>
      <c r="G869" s="10">
        <f>G868*2</f>
        <v>9.6460799999999996E-3</v>
      </c>
      <c r="H869" s="10"/>
      <c r="K869" s="547"/>
      <c r="L869" s="8"/>
    </row>
    <row r="870" spans="1:12" customFormat="1" x14ac:dyDescent="0.25">
      <c r="A870" s="545"/>
      <c r="B870" s="242"/>
      <c r="D870" t="s">
        <v>142</v>
      </c>
      <c r="F870" s="537" t="s">
        <v>3</v>
      </c>
      <c r="G870" s="10">
        <f>G868/4</f>
        <v>1.2057599999999999E-3</v>
      </c>
      <c r="H870" s="10"/>
      <c r="K870" s="547"/>
      <c r="L870" s="8"/>
    </row>
    <row r="871" spans="1:12" customFormat="1" x14ac:dyDescent="0.25">
      <c r="A871" s="545"/>
      <c r="B871" s="242"/>
      <c r="D871" t="s">
        <v>5665</v>
      </c>
      <c r="F871" s="537" t="s">
        <v>3</v>
      </c>
      <c r="G871" s="10">
        <f>0.1*0.03*2*1.3</f>
        <v>7.8000000000000005E-3</v>
      </c>
      <c r="H871" s="10"/>
      <c r="K871" s="547"/>
      <c r="L871" s="8"/>
    </row>
    <row r="872" spans="1:12" customFormat="1" x14ac:dyDescent="0.25">
      <c r="A872" s="545"/>
      <c r="B872" s="242"/>
      <c r="E872" s="3" t="s">
        <v>5666</v>
      </c>
      <c r="F872" s="537"/>
      <c r="G872" s="10"/>
      <c r="H872" s="10"/>
      <c r="K872" s="547"/>
      <c r="L872" s="8"/>
    </row>
    <row r="873" spans="1:12" customFormat="1" x14ac:dyDescent="0.25">
      <c r="A873" s="545"/>
      <c r="B873" s="242"/>
      <c r="E873" t="s">
        <v>5667</v>
      </c>
      <c r="F873" s="537" t="s">
        <v>3</v>
      </c>
      <c r="G873" s="10">
        <v>2.5000000000000001E-2</v>
      </c>
      <c r="H873" s="10"/>
      <c r="I873" t="s">
        <v>5522</v>
      </c>
      <c r="K873" s="547"/>
      <c r="L873" s="8"/>
    </row>
    <row r="874" spans="1:12" customFormat="1" x14ac:dyDescent="0.25">
      <c r="A874" s="545"/>
      <c r="B874" s="242"/>
      <c r="E874" s="3" t="s">
        <v>5668</v>
      </c>
      <c r="F874" s="537"/>
      <c r="G874" s="10"/>
      <c r="H874" s="10"/>
      <c r="K874" s="547"/>
      <c r="L874" s="8"/>
    </row>
    <row r="875" spans="1:12" customFormat="1" x14ac:dyDescent="0.25">
      <c r="A875" s="545"/>
      <c r="B875" s="242"/>
      <c r="E875" t="s">
        <v>5667</v>
      </c>
      <c r="F875" s="537" t="s">
        <v>3</v>
      </c>
      <c r="G875" s="10">
        <v>2.5000000000000001E-2</v>
      </c>
      <c r="H875" s="10"/>
      <c r="I875" t="s">
        <v>5669</v>
      </c>
      <c r="K875" s="547"/>
      <c r="L875" s="8"/>
    </row>
    <row r="876" spans="1:12" customFormat="1" x14ac:dyDescent="0.25">
      <c r="A876" s="545"/>
      <c r="B876" s="242"/>
      <c r="D876" s="3" t="s">
        <v>5670</v>
      </c>
      <c r="F876" s="537"/>
      <c r="G876" s="10"/>
      <c r="H876" s="10"/>
      <c r="K876" s="547"/>
      <c r="L876" s="8"/>
    </row>
    <row r="877" spans="1:12" customFormat="1" x14ac:dyDescent="0.25">
      <c r="A877" s="545"/>
      <c r="B877" s="242"/>
      <c r="D877" t="s">
        <v>5671</v>
      </c>
      <c r="F877" s="537" t="s">
        <v>3</v>
      </c>
      <c r="G877" s="10">
        <v>6.0000000000000001E-3</v>
      </c>
      <c r="H877" s="10"/>
      <c r="K877" s="547"/>
      <c r="L877" s="8"/>
    </row>
    <row r="878" spans="1:12" customFormat="1" x14ac:dyDescent="0.25">
      <c r="A878" s="545"/>
      <c r="B878" s="242"/>
      <c r="F878" s="537"/>
      <c r="G878" s="10"/>
      <c r="H878" s="10"/>
      <c r="K878" s="547"/>
      <c r="L878" s="8"/>
    </row>
    <row r="879" spans="1:12" customFormat="1" x14ac:dyDescent="0.25">
      <c r="A879" s="545"/>
      <c r="B879" s="565"/>
      <c r="C879" s="3" t="s">
        <v>5672</v>
      </c>
      <c r="F879" s="537"/>
      <c r="G879" s="10"/>
      <c r="H879" s="10"/>
      <c r="K879" s="547"/>
      <c r="L879" s="8"/>
    </row>
    <row r="880" spans="1:12" customFormat="1" x14ac:dyDescent="0.25">
      <c r="A880" s="545"/>
      <c r="B880" s="242"/>
      <c r="C880" t="s">
        <v>140</v>
      </c>
      <c r="F880" s="537" t="s">
        <v>3</v>
      </c>
      <c r="G880" s="10">
        <f>0.01*3.14*2*0.08*1.3</f>
        <v>6.5312000000000009E-3</v>
      </c>
      <c r="H880" s="10"/>
      <c r="K880" s="547"/>
      <c r="L880" s="8"/>
    </row>
    <row r="881" spans="1:12" customFormat="1" ht="17.25" x14ac:dyDescent="0.25">
      <c r="A881" s="545"/>
      <c r="B881" s="242"/>
      <c r="C881" t="s">
        <v>23</v>
      </c>
      <c r="F881" s="566" t="s">
        <v>5442</v>
      </c>
      <c r="G881" s="10">
        <f>G880*2</f>
        <v>1.3062400000000002E-2</v>
      </c>
      <c r="H881" s="10"/>
      <c r="K881" s="547"/>
      <c r="L881" s="8"/>
    </row>
    <row r="882" spans="1:12" customFormat="1" x14ac:dyDescent="0.25">
      <c r="A882" s="545"/>
      <c r="B882" s="242"/>
      <c r="C882" t="s">
        <v>142</v>
      </c>
      <c r="F882" s="537" t="s">
        <v>3</v>
      </c>
      <c r="G882" s="10">
        <f>G880/4</f>
        <v>1.6328000000000002E-3</v>
      </c>
      <c r="H882" s="10"/>
      <c r="K882" s="547"/>
      <c r="L882" s="8"/>
    </row>
    <row r="883" spans="1:12" customFormat="1" x14ac:dyDescent="0.25">
      <c r="A883" s="545"/>
      <c r="B883" s="242"/>
      <c r="D883" s="3" t="s">
        <v>5673</v>
      </c>
      <c r="F883" s="537"/>
      <c r="G883" s="10"/>
      <c r="H883" s="10"/>
      <c r="K883" s="547"/>
      <c r="L883" s="8"/>
    </row>
    <row r="884" spans="1:12" customFormat="1" x14ac:dyDescent="0.25">
      <c r="A884" s="545"/>
      <c r="B884" s="242"/>
      <c r="D884" t="s">
        <v>847</v>
      </c>
      <c r="F884" s="537" t="s">
        <v>3</v>
      </c>
      <c r="G884" s="10">
        <f>0.035*0.08*3*8*1.11</f>
        <v>7.4592000000000019E-2</v>
      </c>
      <c r="H884" s="10"/>
      <c r="K884" s="547"/>
      <c r="L884" s="8"/>
    </row>
    <row r="885" spans="1:12" customFormat="1" x14ac:dyDescent="0.25">
      <c r="A885" s="545"/>
      <c r="B885" s="242"/>
      <c r="F885" s="537"/>
      <c r="G885" s="10"/>
      <c r="H885" s="10"/>
      <c r="K885" s="547"/>
      <c r="L885" s="8"/>
    </row>
    <row r="886" spans="1:12" customFormat="1" x14ac:dyDescent="0.25">
      <c r="A886" s="545"/>
      <c r="B886" s="565"/>
      <c r="C886" s="3" t="s">
        <v>5674</v>
      </c>
      <c r="F886" s="537"/>
      <c r="G886" s="10"/>
      <c r="H886" s="10"/>
      <c r="K886" s="547"/>
      <c r="L886" s="8"/>
    </row>
    <row r="887" spans="1:12" customFormat="1" x14ac:dyDescent="0.25">
      <c r="A887" s="545"/>
      <c r="B887" s="242"/>
      <c r="C887" t="s">
        <v>140</v>
      </c>
      <c r="F887" s="537" t="s">
        <v>3</v>
      </c>
      <c r="G887" s="10">
        <f>0.008*3.14*2*0.08*1.2</f>
        <v>4.8230399999999998E-3</v>
      </c>
      <c r="H887" s="10"/>
      <c r="K887" s="547"/>
      <c r="L887" s="8"/>
    </row>
    <row r="888" spans="1:12" customFormat="1" ht="17.25" x14ac:dyDescent="0.25">
      <c r="A888" s="545"/>
      <c r="B888" s="242"/>
      <c r="C888" t="s">
        <v>23</v>
      </c>
      <c r="F888" s="566" t="s">
        <v>5442</v>
      </c>
      <c r="G888" s="10">
        <f>G887*2</f>
        <v>9.6460799999999996E-3</v>
      </c>
      <c r="H888" s="10"/>
      <c r="K888" s="547"/>
      <c r="L888" s="8"/>
    </row>
    <row r="889" spans="1:12" customFormat="1" x14ac:dyDescent="0.25">
      <c r="A889" s="545"/>
      <c r="B889" s="242"/>
      <c r="C889" t="s">
        <v>142</v>
      </c>
      <c r="F889" s="537" t="s">
        <v>3</v>
      </c>
      <c r="G889" s="10">
        <f>G887/4</f>
        <v>1.2057599999999999E-3</v>
      </c>
      <c r="H889" s="10"/>
      <c r="K889" s="547"/>
      <c r="L889" s="8"/>
    </row>
    <row r="890" spans="1:12" customFormat="1" x14ac:dyDescent="0.25">
      <c r="A890" s="545"/>
      <c r="B890" s="242"/>
      <c r="C890" t="s">
        <v>143</v>
      </c>
      <c r="F890" s="537" t="s">
        <v>3</v>
      </c>
      <c r="G890" s="10">
        <f>0.55*0.011*2*1.3</f>
        <v>1.5730000000000001E-2</v>
      </c>
      <c r="H890" s="10"/>
      <c r="K890" s="547"/>
      <c r="L890" s="8"/>
    </row>
    <row r="891" spans="1:12" customFormat="1" x14ac:dyDescent="0.25">
      <c r="A891" s="545"/>
      <c r="B891" s="242"/>
      <c r="C891" t="s">
        <v>8</v>
      </c>
      <c r="F891" s="537" t="s">
        <v>3</v>
      </c>
      <c r="G891" s="10">
        <v>1.4999999999999999E-2</v>
      </c>
      <c r="H891" s="10"/>
      <c r="K891" s="547"/>
      <c r="L891" s="8"/>
    </row>
    <row r="892" spans="1:12" customFormat="1" x14ac:dyDescent="0.25">
      <c r="A892" s="545"/>
      <c r="B892" s="242"/>
      <c r="C892" t="s">
        <v>5543</v>
      </c>
      <c r="D892" s="8"/>
      <c r="E892" s="8"/>
      <c r="F892" s="537" t="s">
        <v>3</v>
      </c>
      <c r="G892" s="10">
        <f>0.53*0.011*2*1.3</f>
        <v>1.5158000000000001E-2</v>
      </c>
      <c r="H892" s="10"/>
      <c r="K892" s="547"/>
      <c r="L892" s="8"/>
    </row>
    <row r="893" spans="1:12" customFormat="1" x14ac:dyDescent="0.25">
      <c r="A893" s="545"/>
      <c r="B893" s="242"/>
      <c r="C893" t="s">
        <v>566</v>
      </c>
      <c r="F893" s="537" t="s">
        <v>3</v>
      </c>
      <c r="G893" s="10">
        <f>0.3*(G892+G891+G890)</f>
        <v>1.37664E-2</v>
      </c>
      <c r="H893" s="10"/>
      <c r="K893" s="547"/>
      <c r="L893" s="8"/>
    </row>
    <row r="894" spans="1:12" customFormat="1" x14ac:dyDescent="0.25">
      <c r="A894" s="545"/>
      <c r="B894" s="242"/>
      <c r="D894" s="3" t="s">
        <v>5675</v>
      </c>
      <c r="F894" s="537"/>
      <c r="G894" s="10"/>
      <c r="H894" s="10"/>
      <c r="K894" s="547"/>
      <c r="L894" s="8"/>
    </row>
    <row r="895" spans="1:12" customFormat="1" x14ac:dyDescent="0.25">
      <c r="A895" s="545"/>
      <c r="B895" s="242"/>
      <c r="D895" t="s">
        <v>5676</v>
      </c>
      <c r="F895" s="537" t="s">
        <v>3</v>
      </c>
      <c r="G895" s="10">
        <f>0.16</f>
        <v>0.16</v>
      </c>
      <c r="H895" s="10"/>
      <c r="I895" t="s">
        <v>5677</v>
      </c>
      <c r="K895" s="547"/>
      <c r="L895" s="8"/>
    </row>
    <row r="896" spans="1:12" customFormat="1" x14ac:dyDescent="0.25">
      <c r="A896" s="545"/>
      <c r="B896" s="242"/>
      <c r="F896" s="537"/>
      <c r="G896" s="10"/>
      <c r="H896" s="10"/>
      <c r="K896" s="547"/>
      <c r="L896" s="8"/>
    </row>
    <row r="897" spans="1:12" customFormat="1" x14ac:dyDescent="0.25">
      <c r="A897" s="545"/>
      <c r="B897" s="565"/>
      <c r="C897" s="3" t="s">
        <v>5678</v>
      </c>
      <c r="F897" s="537"/>
      <c r="G897" s="10"/>
      <c r="H897" s="10"/>
      <c r="K897" s="547"/>
      <c r="L897" s="8"/>
    </row>
    <row r="898" spans="1:12" customFormat="1" x14ac:dyDescent="0.25">
      <c r="A898" s="545"/>
      <c r="B898" s="242"/>
      <c r="C898" t="s">
        <v>143</v>
      </c>
      <c r="F898" s="537" t="s">
        <v>3</v>
      </c>
      <c r="G898" s="10">
        <f>0.35*0.02*2*1.41</f>
        <v>1.9739999999999997E-2</v>
      </c>
      <c r="H898" s="10"/>
      <c r="K898" s="547"/>
      <c r="L898" s="8"/>
    </row>
    <row r="899" spans="1:12" customFormat="1" x14ac:dyDescent="0.25">
      <c r="A899" s="545"/>
      <c r="B899" s="242"/>
      <c r="C899" t="s">
        <v>8</v>
      </c>
      <c r="D899" s="8"/>
      <c r="E899" s="8"/>
      <c r="F899" s="537" t="s">
        <v>3</v>
      </c>
      <c r="G899" s="10">
        <v>0.02</v>
      </c>
      <c r="H899" s="10"/>
      <c r="K899" s="547"/>
      <c r="L899" s="8"/>
    </row>
    <row r="900" spans="1:12" customFormat="1" x14ac:dyDescent="0.25">
      <c r="A900" s="545"/>
      <c r="B900" s="242"/>
      <c r="C900" t="s">
        <v>5543</v>
      </c>
      <c r="D900" s="8"/>
      <c r="E900" s="8"/>
      <c r="F900" s="537" t="s">
        <v>3</v>
      </c>
      <c r="G900" s="10">
        <f>0.35*0.03*2*1.3</f>
        <v>2.7299999999999998E-2</v>
      </c>
      <c r="H900" s="10"/>
      <c r="K900" s="547"/>
      <c r="L900" s="8"/>
    </row>
    <row r="901" spans="1:12" customFormat="1" x14ac:dyDescent="0.25">
      <c r="A901" s="545"/>
      <c r="B901" s="242"/>
      <c r="C901" t="s">
        <v>566</v>
      </c>
      <c r="F901" s="537" t="s">
        <v>3</v>
      </c>
      <c r="G901" s="10">
        <f>0.3*(G898+G899+G900)</f>
        <v>2.0111999999999994E-2</v>
      </c>
      <c r="H901" s="10"/>
      <c r="K901" s="547"/>
      <c r="L901" s="8"/>
    </row>
    <row r="902" spans="1:12" customFormat="1" x14ac:dyDescent="0.25">
      <c r="A902" s="545"/>
      <c r="B902" s="242"/>
      <c r="C902" t="s">
        <v>140</v>
      </c>
      <c r="F902" s="537" t="s">
        <v>3</v>
      </c>
      <c r="G902" s="10">
        <f>(0.008*3.14*3+0.03*3.14*2)*0.08*1.2</f>
        <v>2.532096E-2</v>
      </c>
      <c r="H902" s="10"/>
      <c r="K902" s="547"/>
      <c r="L902" s="8"/>
    </row>
    <row r="903" spans="1:12" customFormat="1" ht="17.25" x14ac:dyDescent="0.25">
      <c r="A903" s="545"/>
      <c r="B903" s="242"/>
      <c r="C903" t="s">
        <v>23</v>
      </c>
      <c r="F903" s="566" t="s">
        <v>5442</v>
      </c>
      <c r="G903" s="10">
        <f>G902*2</f>
        <v>5.064192E-2</v>
      </c>
      <c r="H903" s="10"/>
      <c r="K903" s="547"/>
      <c r="L903" s="8"/>
    </row>
    <row r="904" spans="1:12" customFormat="1" x14ac:dyDescent="0.25">
      <c r="A904" s="545"/>
      <c r="B904" s="242"/>
      <c r="C904" t="s">
        <v>142</v>
      </c>
      <c r="F904" s="537" t="s">
        <v>3</v>
      </c>
      <c r="G904" s="10">
        <f>G902/4</f>
        <v>6.33024E-3</v>
      </c>
      <c r="H904" s="10"/>
      <c r="K904" s="547"/>
      <c r="L904" s="8"/>
    </row>
    <row r="905" spans="1:12" customFormat="1" x14ac:dyDescent="0.25">
      <c r="A905" s="545"/>
      <c r="B905" s="242"/>
      <c r="D905" s="3" t="s">
        <v>5679</v>
      </c>
      <c r="F905" s="537"/>
      <c r="G905" s="10"/>
      <c r="H905" s="10"/>
      <c r="K905" s="547"/>
      <c r="L905" s="8"/>
    </row>
    <row r="906" spans="1:12" customFormat="1" x14ac:dyDescent="0.25">
      <c r="A906" s="545"/>
      <c r="B906" s="242"/>
      <c r="D906" t="s">
        <v>140</v>
      </c>
      <c r="F906" s="537" t="s">
        <v>3</v>
      </c>
      <c r="G906" s="10">
        <f>0.008*3.14*0.08*1.3</f>
        <v>2.6124799999999999E-3</v>
      </c>
      <c r="H906" s="10"/>
      <c r="K906" s="547"/>
      <c r="L906" s="8"/>
    </row>
    <row r="907" spans="1:12" customFormat="1" ht="17.25" x14ac:dyDescent="0.25">
      <c r="A907" s="545"/>
      <c r="B907" s="242"/>
      <c r="D907" t="s">
        <v>23</v>
      </c>
      <c r="F907" s="566" t="s">
        <v>5442</v>
      </c>
      <c r="G907" s="10">
        <f>G906*2</f>
        <v>5.2249599999999998E-3</v>
      </c>
      <c r="H907" s="10"/>
      <c r="K907" s="547"/>
      <c r="L907" s="8"/>
    </row>
    <row r="908" spans="1:12" customFormat="1" x14ac:dyDescent="0.25">
      <c r="A908" s="545"/>
      <c r="B908" s="242"/>
      <c r="D908" t="s">
        <v>142</v>
      </c>
      <c r="F908" s="537" t="s">
        <v>3</v>
      </c>
      <c r="G908" s="10">
        <f>G906/4</f>
        <v>6.5311999999999998E-4</v>
      </c>
      <c r="H908" s="10"/>
      <c r="K908" s="547"/>
      <c r="L908" s="8"/>
    </row>
    <row r="909" spans="1:12" customFormat="1" x14ac:dyDescent="0.25">
      <c r="A909" s="545"/>
      <c r="B909" s="242"/>
      <c r="E909" s="3" t="s">
        <v>5680</v>
      </c>
      <c r="F909" s="537"/>
      <c r="G909" s="10"/>
      <c r="H909" s="10"/>
      <c r="K909" s="547"/>
      <c r="L909" s="8"/>
    </row>
    <row r="910" spans="1:12" customFormat="1" x14ac:dyDescent="0.25">
      <c r="A910" s="545"/>
      <c r="B910" s="242"/>
      <c r="E910" t="s">
        <v>5676</v>
      </c>
      <c r="F910" s="537" t="s">
        <v>3</v>
      </c>
      <c r="G910" s="10">
        <v>0.06</v>
      </c>
      <c r="H910" s="10"/>
      <c r="I910" t="s">
        <v>2401</v>
      </c>
      <c r="K910" s="547"/>
      <c r="L910" s="8"/>
    </row>
    <row r="911" spans="1:12" customFormat="1" x14ac:dyDescent="0.25">
      <c r="A911" s="545"/>
      <c r="B911" s="242"/>
      <c r="D911" s="3" t="s">
        <v>5681</v>
      </c>
      <c r="F911" s="537"/>
      <c r="G911" s="10"/>
      <c r="H911" s="10"/>
      <c r="K911" s="547"/>
      <c r="L911" s="8"/>
    </row>
    <row r="912" spans="1:12" customFormat="1" x14ac:dyDescent="0.25">
      <c r="A912" s="545"/>
      <c r="B912" s="242"/>
      <c r="D912" t="s">
        <v>140</v>
      </c>
      <c r="F912" s="537" t="s">
        <v>3</v>
      </c>
      <c r="G912" s="10">
        <f>0.008*3.14*0.08*1.3</f>
        <v>2.6124799999999999E-3</v>
      </c>
      <c r="H912" s="10"/>
      <c r="K912" s="547"/>
      <c r="L912" s="8"/>
    </row>
    <row r="913" spans="1:12" customFormat="1" ht="17.25" x14ac:dyDescent="0.25">
      <c r="A913" s="545"/>
      <c r="B913" s="242"/>
      <c r="D913" t="s">
        <v>23</v>
      </c>
      <c r="F913" s="566" t="s">
        <v>5442</v>
      </c>
      <c r="G913" s="10">
        <f>G912*2</f>
        <v>5.2249599999999998E-3</v>
      </c>
      <c r="H913" s="10"/>
      <c r="K913" s="547"/>
      <c r="L913" s="8"/>
    </row>
    <row r="914" spans="1:12" customFormat="1" x14ac:dyDescent="0.25">
      <c r="A914" s="545"/>
      <c r="B914" s="242"/>
      <c r="D914" t="s">
        <v>142</v>
      </c>
      <c r="F914" s="537" t="s">
        <v>3</v>
      </c>
      <c r="G914" s="10">
        <f>G912/4</f>
        <v>6.5311999999999998E-4</v>
      </c>
      <c r="H914" s="10"/>
      <c r="K914" s="547"/>
      <c r="L914" s="8"/>
    </row>
    <row r="915" spans="1:12" customFormat="1" x14ac:dyDescent="0.25">
      <c r="A915" s="545"/>
      <c r="B915" s="242"/>
      <c r="E915" s="3" t="s">
        <v>5682</v>
      </c>
      <c r="F915" s="537"/>
      <c r="G915" s="10"/>
      <c r="H915" s="10"/>
      <c r="K915" s="547"/>
      <c r="L915" s="8"/>
    </row>
    <row r="916" spans="1:12" customFormat="1" x14ac:dyDescent="0.25">
      <c r="A916" s="545"/>
      <c r="B916" s="242"/>
      <c r="E916" t="s">
        <v>5676</v>
      </c>
      <c r="F916" s="537" t="s">
        <v>3</v>
      </c>
      <c r="G916" s="10">
        <v>7.1999999999999995E-2</v>
      </c>
      <c r="H916" s="10"/>
      <c r="I916" t="s">
        <v>5683</v>
      </c>
      <c r="K916" s="547"/>
      <c r="L916" s="8"/>
    </row>
    <row r="917" spans="1:12" customFormat="1" x14ac:dyDescent="0.25">
      <c r="A917" s="545"/>
      <c r="B917" s="242"/>
      <c r="D917" s="3" t="s">
        <v>5684</v>
      </c>
      <c r="F917" s="537"/>
      <c r="G917" s="10"/>
      <c r="H917" s="10"/>
      <c r="K917" s="547"/>
      <c r="L917" s="8"/>
    </row>
    <row r="918" spans="1:12" customFormat="1" x14ac:dyDescent="0.25">
      <c r="A918" s="545"/>
      <c r="B918" s="242"/>
      <c r="D918" t="s">
        <v>140</v>
      </c>
      <c r="F918" s="537" t="s">
        <v>3</v>
      </c>
      <c r="G918" s="10">
        <f>0.008*3.14*0.08*1.3</f>
        <v>2.6124799999999999E-3</v>
      </c>
      <c r="H918" s="10"/>
      <c r="K918" s="547"/>
      <c r="L918" s="8"/>
    </row>
    <row r="919" spans="1:12" customFormat="1" ht="17.25" x14ac:dyDescent="0.25">
      <c r="A919" s="545"/>
      <c r="B919" s="242"/>
      <c r="D919" t="s">
        <v>23</v>
      </c>
      <c r="F919" s="566" t="s">
        <v>5442</v>
      </c>
      <c r="G919" s="10">
        <f>G918*2</f>
        <v>5.2249599999999998E-3</v>
      </c>
      <c r="H919" s="10"/>
      <c r="K919" s="547"/>
      <c r="L919" s="8"/>
    </row>
    <row r="920" spans="1:12" customFormat="1" x14ac:dyDescent="0.25">
      <c r="A920" s="545"/>
      <c r="B920" s="242"/>
      <c r="D920" t="s">
        <v>142</v>
      </c>
      <c r="F920" s="537" t="s">
        <v>3</v>
      </c>
      <c r="G920" s="10">
        <f>G918/4</f>
        <v>6.5311999999999998E-4</v>
      </c>
      <c r="H920" s="10"/>
      <c r="K920" s="547"/>
      <c r="L920" s="8"/>
    </row>
    <row r="921" spans="1:12" customFormat="1" x14ac:dyDescent="0.25">
      <c r="A921" s="545"/>
      <c r="B921" s="242"/>
      <c r="E921" s="3" t="s">
        <v>5682</v>
      </c>
      <c r="F921" s="537"/>
      <c r="G921" s="10"/>
      <c r="H921" s="10"/>
      <c r="K921" s="547"/>
      <c r="L921" s="8"/>
    </row>
    <row r="922" spans="1:12" customFormat="1" x14ac:dyDescent="0.25">
      <c r="A922" s="545"/>
      <c r="B922" s="242"/>
      <c r="E922" t="s">
        <v>5676</v>
      </c>
      <c r="F922" s="537" t="s">
        <v>3</v>
      </c>
      <c r="G922" s="10">
        <v>1.2E-2</v>
      </c>
      <c r="H922" s="10"/>
      <c r="I922" t="s">
        <v>1351</v>
      </c>
      <c r="K922" s="547"/>
      <c r="L922" s="8"/>
    </row>
    <row r="923" spans="1:12" customFormat="1" x14ac:dyDescent="0.25">
      <c r="A923" s="545"/>
      <c r="B923" s="242"/>
      <c r="D923" s="3" t="s">
        <v>5685</v>
      </c>
      <c r="F923" s="537"/>
      <c r="G923" s="10"/>
      <c r="H923" s="10"/>
      <c r="K923" s="547"/>
      <c r="L923" s="8"/>
    </row>
    <row r="924" spans="1:12" customFormat="1" x14ac:dyDescent="0.25">
      <c r="A924" s="545"/>
      <c r="B924" s="242"/>
      <c r="D924" t="s">
        <v>5686</v>
      </c>
      <c r="F924" s="537" t="s">
        <v>3</v>
      </c>
      <c r="G924" s="10">
        <v>0.06</v>
      </c>
      <c r="H924" s="10"/>
      <c r="I924" t="s">
        <v>5687</v>
      </c>
      <c r="K924" s="547"/>
      <c r="L924" s="8"/>
    </row>
    <row r="925" spans="1:12" customFormat="1" x14ac:dyDescent="0.25">
      <c r="A925" s="545"/>
      <c r="B925" s="242"/>
      <c r="D925" s="3" t="s">
        <v>5688</v>
      </c>
      <c r="F925" s="537"/>
      <c r="G925" s="10"/>
      <c r="H925" s="10"/>
      <c r="K925" s="547"/>
      <c r="L925" s="8"/>
    </row>
    <row r="926" spans="1:12" customFormat="1" x14ac:dyDescent="0.25">
      <c r="A926" s="545"/>
      <c r="B926" s="242"/>
      <c r="D926" t="s">
        <v>5689</v>
      </c>
      <c r="F926" s="537" t="s">
        <v>3</v>
      </c>
      <c r="G926" s="10">
        <f>0.25</f>
        <v>0.25</v>
      </c>
      <c r="H926" s="10"/>
      <c r="I926" t="s">
        <v>2005</v>
      </c>
      <c r="K926" s="547"/>
      <c r="L926" s="8"/>
    </row>
    <row r="927" spans="1:12" customFormat="1" x14ac:dyDescent="0.25">
      <c r="A927" s="545"/>
      <c r="B927" s="242"/>
      <c r="D927" s="3" t="s">
        <v>5690</v>
      </c>
      <c r="F927" s="537"/>
      <c r="G927" s="10"/>
      <c r="H927" s="10"/>
      <c r="K927" s="547"/>
      <c r="L927" s="8"/>
    </row>
    <row r="928" spans="1:12" customFormat="1" ht="17.25" x14ac:dyDescent="0.25">
      <c r="A928" s="545"/>
      <c r="B928" s="242"/>
      <c r="D928" t="s">
        <v>5691</v>
      </c>
      <c r="F928" s="566" t="s">
        <v>5692</v>
      </c>
      <c r="G928" s="10">
        <f>0.04*0.04*1.05</f>
        <v>1.6800000000000001E-3</v>
      </c>
      <c r="H928" s="10"/>
      <c r="K928" s="547"/>
      <c r="L928" s="8"/>
    </row>
    <row r="929" spans="1:12" customFormat="1" x14ac:dyDescent="0.25">
      <c r="A929" s="545"/>
      <c r="B929" s="242"/>
      <c r="D929" s="3" t="s">
        <v>5693</v>
      </c>
      <c r="F929" s="537"/>
      <c r="G929" s="10"/>
      <c r="H929" s="10"/>
      <c r="K929" s="547"/>
      <c r="L929" s="8"/>
    </row>
    <row r="930" spans="1:12" customFormat="1" x14ac:dyDescent="0.25">
      <c r="A930" s="545"/>
      <c r="B930" s="242"/>
      <c r="D930" t="s">
        <v>953</v>
      </c>
      <c r="F930" s="537" t="s">
        <v>3</v>
      </c>
      <c r="G930" s="10">
        <v>5.0000000000000001E-3</v>
      </c>
      <c r="H930" s="10"/>
      <c r="K930" s="547"/>
      <c r="L930" s="8"/>
    </row>
    <row r="931" spans="1:12" customFormat="1" x14ac:dyDescent="0.25">
      <c r="A931" s="545"/>
      <c r="B931" s="242"/>
      <c r="F931" s="537"/>
      <c r="G931" s="10"/>
      <c r="H931" s="10"/>
      <c r="K931" s="547"/>
      <c r="L931" s="8"/>
    </row>
    <row r="932" spans="1:12" customFormat="1" x14ac:dyDescent="0.25">
      <c r="A932" s="545"/>
      <c r="B932" s="565"/>
      <c r="C932" s="3" t="s">
        <v>5694</v>
      </c>
      <c r="F932" s="537"/>
      <c r="G932" s="10"/>
      <c r="H932" s="10"/>
      <c r="K932" s="547"/>
      <c r="L932" s="8"/>
    </row>
    <row r="933" spans="1:12" customFormat="1" x14ac:dyDescent="0.25">
      <c r="A933" s="545"/>
      <c r="B933" s="242"/>
      <c r="C933" t="s">
        <v>143</v>
      </c>
      <c r="F933" s="537" t="s">
        <v>3</v>
      </c>
      <c r="G933" s="10">
        <f>0.23*0.015*2*1.3</f>
        <v>8.9700000000000005E-3</v>
      </c>
      <c r="H933" s="10"/>
      <c r="K933" s="547"/>
      <c r="L933" s="8"/>
    </row>
    <row r="934" spans="1:12" customFormat="1" x14ac:dyDescent="0.25">
      <c r="A934" s="545"/>
      <c r="B934" s="242"/>
      <c r="C934" t="s">
        <v>8</v>
      </c>
      <c r="F934" s="537" t="s">
        <v>3</v>
      </c>
      <c r="G934" s="10">
        <f>0.3*G933</f>
        <v>2.6910000000000002E-3</v>
      </c>
      <c r="H934" s="10"/>
      <c r="K934" s="547"/>
      <c r="L934" s="8"/>
    </row>
    <row r="935" spans="1:12" customFormat="1" x14ac:dyDescent="0.25">
      <c r="A935" s="545"/>
      <c r="B935" s="242"/>
      <c r="C935" t="s">
        <v>5543</v>
      </c>
      <c r="F935" s="537" t="s">
        <v>3</v>
      </c>
      <c r="G935" s="10">
        <f>0.23*0.011*2*1.3</f>
        <v>6.5780000000000005E-3</v>
      </c>
      <c r="H935" s="10"/>
      <c r="K935" s="547"/>
      <c r="L935" s="8"/>
    </row>
    <row r="936" spans="1:12" customFormat="1" x14ac:dyDescent="0.25">
      <c r="A936" s="545"/>
      <c r="B936" s="242"/>
      <c r="C936" t="s">
        <v>566</v>
      </c>
      <c r="F936" s="537" t="s">
        <v>3</v>
      </c>
      <c r="G936" s="10">
        <f>0.3*(G935+G934+G933)</f>
        <v>5.4717000000000003E-3</v>
      </c>
      <c r="H936" s="10"/>
      <c r="K936" s="547"/>
      <c r="L936" s="8"/>
    </row>
    <row r="937" spans="1:12" customFormat="1" x14ac:dyDescent="0.25">
      <c r="A937" s="545"/>
      <c r="B937" s="242"/>
      <c r="C937" t="s">
        <v>140</v>
      </c>
      <c r="F937" s="537" t="s">
        <v>3</v>
      </c>
      <c r="G937" s="10">
        <f>0.008*3.14*2*0.08*1.2</f>
        <v>4.8230399999999998E-3</v>
      </c>
      <c r="H937" s="10"/>
      <c r="K937" s="547"/>
      <c r="L937" s="8"/>
    </row>
    <row r="938" spans="1:12" customFormat="1" ht="17.25" x14ac:dyDescent="0.25">
      <c r="A938" s="545"/>
      <c r="B938" s="242"/>
      <c r="C938" t="s">
        <v>23</v>
      </c>
      <c r="F938" s="566" t="s">
        <v>5442</v>
      </c>
      <c r="G938" s="10">
        <f>G937*2</f>
        <v>9.6460799999999996E-3</v>
      </c>
      <c r="H938" s="10"/>
      <c r="K938" s="547"/>
      <c r="L938" s="8"/>
    </row>
    <row r="939" spans="1:12" customFormat="1" x14ac:dyDescent="0.25">
      <c r="A939" s="545"/>
      <c r="B939" s="242"/>
      <c r="C939" t="s">
        <v>142</v>
      </c>
      <c r="F939" s="537" t="s">
        <v>3</v>
      </c>
      <c r="G939" s="10">
        <f>G937/4</f>
        <v>1.2057599999999999E-3</v>
      </c>
      <c r="H939" s="10"/>
      <c r="K939" s="547"/>
      <c r="L939" s="8"/>
    </row>
    <row r="940" spans="1:12" customFormat="1" x14ac:dyDescent="0.25">
      <c r="A940" s="545"/>
      <c r="B940" s="242"/>
      <c r="D940" s="3" t="s">
        <v>5695</v>
      </c>
      <c r="F940" s="537"/>
      <c r="G940" s="10"/>
      <c r="H940" s="10"/>
      <c r="K940" s="547"/>
      <c r="L940" s="8"/>
    </row>
    <row r="941" spans="1:12" customFormat="1" x14ac:dyDescent="0.25">
      <c r="A941" s="545"/>
      <c r="B941" s="242"/>
      <c r="D941" t="s">
        <v>5676</v>
      </c>
      <c r="F941" s="537" t="s">
        <v>3</v>
      </c>
      <c r="G941" s="10">
        <v>7.1999999999999995E-2</v>
      </c>
      <c r="H941" s="10"/>
      <c r="I941" t="s">
        <v>5696</v>
      </c>
      <c r="K941" s="547"/>
      <c r="L941" s="8"/>
    </row>
    <row r="942" spans="1:12" customFormat="1" x14ac:dyDescent="0.25">
      <c r="A942" s="545"/>
      <c r="B942" s="242"/>
      <c r="F942" s="537"/>
      <c r="G942" s="10"/>
      <c r="H942" s="10"/>
      <c r="K942" s="547"/>
      <c r="L942" s="8"/>
    </row>
    <row r="943" spans="1:12" customFormat="1" x14ac:dyDescent="0.25">
      <c r="A943" s="545"/>
      <c r="B943" s="567"/>
      <c r="C943" s="3" t="s">
        <v>5697</v>
      </c>
      <c r="F943" s="537"/>
      <c r="G943" s="10"/>
      <c r="H943" s="10"/>
      <c r="K943" s="547"/>
      <c r="L943" s="8"/>
    </row>
    <row r="944" spans="1:12" customFormat="1" x14ac:dyDescent="0.25">
      <c r="A944" s="545"/>
      <c r="B944" s="242"/>
      <c r="D944" s="3" t="s">
        <v>5698</v>
      </c>
      <c r="F944" s="537"/>
      <c r="G944" s="10"/>
      <c r="H944" s="10"/>
      <c r="K944" s="547"/>
      <c r="L944" s="8"/>
    </row>
    <row r="945" spans="1:12" customFormat="1" x14ac:dyDescent="0.25">
      <c r="A945" s="545"/>
      <c r="B945" s="242"/>
      <c r="D945" t="s">
        <v>671</v>
      </c>
      <c r="F945" s="537" t="s">
        <v>3</v>
      </c>
      <c r="G945" s="10">
        <v>0.01</v>
      </c>
      <c r="H945" s="10"/>
      <c r="K945" s="547"/>
      <c r="L945" s="8"/>
    </row>
    <row r="946" spans="1:12" customFormat="1" x14ac:dyDescent="0.25">
      <c r="A946" s="545"/>
      <c r="B946" s="242"/>
      <c r="D946" t="s">
        <v>672</v>
      </c>
      <c r="F946" s="537" t="s">
        <v>3</v>
      </c>
      <c r="G946" s="10">
        <f>2*G945</f>
        <v>0.02</v>
      </c>
      <c r="H946" s="10"/>
      <c r="K946" s="547"/>
      <c r="L946" s="8"/>
    </row>
    <row r="947" spans="1:12" customFormat="1" x14ac:dyDescent="0.25">
      <c r="A947" s="545"/>
      <c r="B947" s="242"/>
      <c r="D947" t="s">
        <v>143</v>
      </c>
      <c r="F947" s="537" t="s">
        <v>3</v>
      </c>
      <c r="G947" s="10">
        <v>0.02</v>
      </c>
      <c r="H947" s="10"/>
      <c r="K947" s="547"/>
      <c r="L947" s="8"/>
    </row>
    <row r="948" spans="1:12" customFormat="1" x14ac:dyDescent="0.25">
      <c r="A948" s="545"/>
      <c r="B948" s="242"/>
      <c r="D948" t="s">
        <v>14</v>
      </c>
      <c r="F948" s="537" t="s">
        <v>3</v>
      </c>
      <c r="G948" s="10">
        <v>1.4999999999999999E-2</v>
      </c>
      <c r="H948" s="10"/>
      <c r="K948" s="547"/>
      <c r="L948" s="8"/>
    </row>
    <row r="949" spans="1:12" customFormat="1" x14ac:dyDescent="0.25">
      <c r="A949" s="545"/>
      <c r="B949" s="242"/>
      <c r="D949" t="s">
        <v>5630</v>
      </c>
      <c r="F949" s="537" t="s">
        <v>3</v>
      </c>
      <c r="G949" s="10">
        <f>0.12*0.12*2*0.2*2*1.7</f>
        <v>1.9584000000000001E-2</v>
      </c>
      <c r="H949" s="10"/>
      <c r="K949" s="547"/>
      <c r="L949" s="8"/>
    </row>
    <row r="950" spans="1:12" customFormat="1" x14ac:dyDescent="0.25">
      <c r="A950" s="545"/>
      <c r="B950" s="242"/>
      <c r="D950" t="s">
        <v>12</v>
      </c>
      <c r="F950" s="537" t="s">
        <v>3</v>
      </c>
      <c r="G950" s="10">
        <f>0.3*(G947+G948+G949)</f>
        <v>1.6375200000000003E-2</v>
      </c>
      <c r="H950" s="10"/>
      <c r="K950" s="547"/>
      <c r="L950" s="8"/>
    </row>
    <row r="951" spans="1:12" customFormat="1" x14ac:dyDescent="0.25">
      <c r="A951" s="545"/>
      <c r="B951" s="242"/>
      <c r="E951" s="3" t="s">
        <v>5699</v>
      </c>
      <c r="F951" s="537"/>
      <c r="G951" s="10"/>
      <c r="H951" s="10"/>
      <c r="K951" s="547"/>
      <c r="L951" s="8"/>
    </row>
    <row r="952" spans="1:12" customFormat="1" x14ac:dyDescent="0.25">
      <c r="A952" s="545"/>
      <c r="B952" s="242"/>
      <c r="E952" t="s">
        <v>5700</v>
      </c>
      <c r="F952" s="537" t="s">
        <v>3</v>
      </c>
      <c r="G952" s="10">
        <f>0.025*0.025*1*8.5*1.05</f>
        <v>5.5781250000000015E-3</v>
      </c>
      <c r="H952" s="10"/>
      <c r="K952" s="547"/>
      <c r="L952" s="8"/>
    </row>
    <row r="953" spans="1:12" customFormat="1" x14ac:dyDescent="0.25">
      <c r="A953" s="545"/>
      <c r="B953" s="242"/>
      <c r="D953" s="3" t="s">
        <v>5701</v>
      </c>
      <c r="F953" s="537"/>
      <c r="G953" s="10"/>
      <c r="H953" s="10"/>
      <c r="K953" s="547"/>
      <c r="L953" s="8"/>
    </row>
    <row r="954" spans="1:12" customFormat="1" x14ac:dyDescent="0.25">
      <c r="A954" s="545"/>
      <c r="B954" s="242"/>
      <c r="D954" t="s">
        <v>140</v>
      </c>
      <c r="F954" s="537" t="s">
        <v>3</v>
      </c>
      <c r="G954" s="10">
        <f>0.008*3.14*4*0.08*1.3</f>
        <v>1.044992E-2</v>
      </c>
      <c r="H954" s="10"/>
      <c r="K954" s="547"/>
      <c r="L954" s="8"/>
    </row>
    <row r="955" spans="1:12" customFormat="1" ht="17.25" x14ac:dyDescent="0.25">
      <c r="A955" s="545"/>
      <c r="B955" s="242"/>
      <c r="D955" t="s">
        <v>23</v>
      </c>
      <c r="F955" s="566" t="s">
        <v>5442</v>
      </c>
      <c r="G955" s="10">
        <f>G954*2</f>
        <v>2.0899839999999999E-2</v>
      </c>
      <c r="H955" s="10"/>
      <c r="K955" s="547"/>
      <c r="L955" s="8"/>
    </row>
    <row r="956" spans="1:12" customFormat="1" x14ac:dyDescent="0.25">
      <c r="A956" s="545"/>
      <c r="B956" s="242"/>
      <c r="D956" t="s">
        <v>142</v>
      </c>
      <c r="F956" s="537" t="s">
        <v>3</v>
      </c>
      <c r="G956" s="10">
        <f>G954/4</f>
        <v>2.6124799999999999E-3</v>
      </c>
      <c r="H956" s="10"/>
      <c r="K956" s="547"/>
      <c r="L956" s="8"/>
    </row>
    <row r="957" spans="1:12" customFormat="1" x14ac:dyDescent="0.25">
      <c r="A957" s="545"/>
      <c r="B957" s="242"/>
      <c r="E957" s="3" t="s">
        <v>5702</v>
      </c>
      <c r="F957" s="537"/>
      <c r="G957" s="10"/>
      <c r="H957" s="10"/>
      <c r="K957" s="547"/>
      <c r="L957" s="8"/>
    </row>
    <row r="958" spans="1:12" customFormat="1" x14ac:dyDescent="0.25">
      <c r="A958" s="545"/>
      <c r="B958" s="242"/>
      <c r="E958" t="s">
        <v>832</v>
      </c>
      <c r="F958" s="537" t="s">
        <v>3</v>
      </c>
      <c r="G958" s="10">
        <v>4.5999999999999999E-2</v>
      </c>
      <c r="H958" s="10"/>
      <c r="I958" t="s">
        <v>5703</v>
      </c>
      <c r="K958" s="547"/>
      <c r="L958" s="8"/>
    </row>
    <row r="959" spans="1:12" customFormat="1" x14ac:dyDescent="0.25">
      <c r="A959" s="545"/>
      <c r="B959" s="242"/>
      <c r="E959" s="3" t="s">
        <v>5704</v>
      </c>
      <c r="F959" s="537"/>
      <c r="G959" s="10"/>
      <c r="H959" s="10"/>
      <c r="K959" s="547"/>
      <c r="L959" s="8"/>
    </row>
    <row r="960" spans="1:12" customFormat="1" x14ac:dyDescent="0.25">
      <c r="A960" s="545"/>
      <c r="B960" s="242"/>
      <c r="E960" t="s">
        <v>832</v>
      </c>
      <c r="F960" s="537" t="s">
        <v>3</v>
      </c>
      <c r="G960" s="10">
        <v>4.4999999999999998E-2</v>
      </c>
      <c r="H960" s="10"/>
      <c r="I960" t="s">
        <v>5705</v>
      </c>
      <c r="K960" s="547"/>
      <c r="L960" s="8"/>
    </row>
    <row r="961" spans="1:12" customFormat="1" x14ac:dyDescent="0.25">
      <c r="A961" s="545"/>
      <c r="B961" s="242"/>
      <c r="E961" s="3" t="s">
        <v>5706</v>
      </c>
      <c r="F961" s="537"/>
      <c r="G961" s="10"/>
      <c r="H961" s="10"/>
      <c r="K961" s="547"/>
      <c r="L961" s="8"/>
    </row>
    <row r="962" spans="1:12" customFormat="1" x14ac:dyDescent="0.25">
      <c r="A962" s="545"/>
      <c r="B962" s="242"/>
      <c r="E962" t="s">
        <v>832</v>
      </c>
      <c r="F962" s="537" t="s">
        <v>3</v>
      </c>
      <c r="G962" s="10">
        <v>7.4999999999999997E-2</v>
      </c>
      <c r="H962" s="10"/>
      <c r="I962" t="s">
        <v>5707</v>
      </c>
      <c r="K962" s="547"/>
      <c r="L962" s="8"/>
    </row>
    <row r="963" spans="1:12" customFormat="1" x14ac:dyDescent="0.25">
      <c r="A963" s="545"/>
      <c r="B963" s="242"/>
      <c r="E963" s="3" t="s">
        <v>5708</v>
      </c>
      <c r="F963" s="537"/>
      <c r="G963" s="10"/>
      <c r="H963" s="10"/>
      <c r="K963" s="547"/>
      <c r="L963" s="8"/>
    </row>
    <row r="964" spans="1:12" customFormat="1" x14ac:dyDescent="0.25">
      <c r="A964" s="545"/>
      <c r="B964" s="242"/>
      <c r="E964" t="s">
        <v>832</v>
      </c>
      <c r="F964" s="537" t="s">
        <v>3</v>
      </c>
      <c r="G964" s="10">
        <v>1.6E-2</v>
      </c>
      <c r="H964" s="10"/>
      <c r="I964" t="s">
        <v>5709</v>
      </c>
      <c r="K964" s="547"/>
      <c r="L964" s="8"/>
    </row>
    <row r="965" spans="1:12" customFormat="1" x14ac:dyDescent="0.25">
      <c r="A965" s="545"/>
      <c r="B965" s="242" t="s">
        <v>2968</v>
      </c>
      <c r="D965" s="3" t="s">
        <v>5626</v>
      </c>
      <c r="F965" s="537" t="s">
        <v>5710</v>
      </c>
      <c r="G965" s="10"/>
      <c r="H965" s="10"/>
      <c r="K965" s="547"/>
      <c r="L965" s="8"/>
    </row>
    <row r="966" spans="1:12" customFormat="1" x14ac:dyDescent="0.25">
      <c r="A966" s="545"/>
      <c r="B966" s="242"/>
      <c r="F966" s="537"/>
      <c r="G966" s="10"/>
      <c r="H966" s="10"/>
      <c r="K966" s="547"/>
      <c r="L966" s="8"/>
    </row>
    <row r="967" spans="1:12" customFormat="1" x14ac:dyDescent="0.25">
      <c r="A967" s="545"/>
      <c r="B967" s="565"/>
      <c r="C967" s="3" t="s">
        <v>5711</v>
      </c>
      <c r="F967" s="537"/>
      <c r="G967" s="10"/>
      <c r="H967" s="10"/>
      <c r="K967" s="547"/>
      <c r="L967" s="8"/>
    </row>
    <row r="968" spans="1:12" customFormat="1" x14ac:dyDescent="0.25">
      <c r="A968" s="545"/>
      <c r="B968" s="242"/>
      <c r="C968" t="s">
        <v>143</v>
      </c>
      <c r="F968" s="537" t="s">
        <v>3</v>
      </c>
      <c r="G968" s="10">
        <f>0.5*0.011*2*1.3</f>
        <v>1.43E-2</v>
      </c>
      <c r="H968" s="10"/>
      <c r="K968" s="547"/>
      <c r="L968" s="8"/>
    </row>
    <row r="969" spans="1:12" customFormat="1" x14ac:dyDescent="0.25">
      <c r="A969" s="545"/>
      <c r="B969" s="242"/>
      <c r="C969" t="s">
        <v>8</v>
      </c>
      <c r="F969" s="537" t="s">
        <v>3</v>
      </c>
      <c r="G969" s="10">
        <f>0.3*G968</f>
        <v>4.2899999999999995E-3</v>
      </c>
      <c r="H969" s="10"/>
      <c r="K969" s="547"/>
      <c r="L969" s="8"/>
    </row>
    <row r="970" spans="1:12" customFormat="1" x14ac:dyDescent="0.25">
      <c r="A970" s="545"/>
      <c r="B970" s="242"/>
      <c r="C970" t="s">
        <v>5543</v>
      </c>
      <c r="F970" s="537" t="s">
        <v>3</v>
      </c>
      <c r="G970" s="10">
        <f>0.5*0.011*2*1.3</f>
        <v>1.43E-2</v>
      </c>
      <c r="H970" s="10"/>
      <c r="K970" s="547"/>
      <c r="L970" s="8"/>
    </row>
    <row r="971" spans="1:12" customFormat="1" x14ac:dyDescent="0.25">
      <c r="A971" s="545"/>
      <c r="B971" s="242"/>
      <c r="C971" t="s">
        <v>12</v>
      </c>
      <c r="F971" s="537" t="s">
        <v>3</v>
      </c>
      <c r="G971" s="10">
        <f>0.3*(G970+G969+G968)</f>
        <v>9.8670000000000008E-3</v>
      </c>
      <c r="H971" s="10"/>
      <c r="K971" s="547"/>
      <c r="L971" s="8"/>
    </row>
    <row r="972" spans="1:12" customFormat="1" x14ac:dyDescent="0.25">
      <c r="A972" s="545"/>
      <c r="B972" s="242"/>
      <c r="C972" t="s">
        <v>140</v>
      </c>
      <c r="F972" s="537" t="s">
        <v>3</v>
      </c>
      <c r="G972" s="10">
        <f>0.008*3.14*2*0.08*1.3</f>
        <v>5.2249599999999998E-3</v>
      </c>
      <c r="H972" s="10"/>
      <c r="K972" s="547"/>
      <c r="L972" s="8"/>
    </row>
    <row r="973" spans="1:12" customFormat="1" ht="17.25" x14ac:dyDescent="0.25">
      <c r="A973" s="545"/>
      <c r="B973" s="242"/>
      <c r="C973" t="s">
        <v>23</v>
      </c>
      <c r="F973" s="566" t="s">
        <v>5442</v>
      </c>
      <c r="G973" s="10">
        <f>G972*2</f>
        <v>1.044992E-2</v>
      </c>
      <c r="H973" s="10"/>
      <c r="K973" s="547"/>
      <c r="L973" s="8"/>
    </row>
    <row r="974" spans="1:12" customFormat="1" x14ac:dyDescent="0.25">
      <c r="A974" s="545"/>
      <c r="B974" s="242"/>
      <c r="C974" t="s">
        <v>142</v>
      </c>
      <c r="F974" s="537" t="s">
        <v>3</v>
      </c>
      <c r="G974" s="10">
        <f>G972/4</f>
        <v>1.30624E-3</v>
      </c>
      <c r="H974" s="10"/>
      <c r="K974" s="547"/>
      <c r="L974" s="8"/>
    </row>
    <row r="975" spans="1:12" customFormat="1" x14ac:dyDescent="0.25">
      <c r="A975" s="545"/>
      <c r="B975" s="242"/>
      <c r="D975" s="3" t="s">
        <v>5712</v>
      </c>
      <c r="F975" s="537"/>
      <c r="G975" s="10"/>
      <c r="H975" s="10"/>
      <c r="K975" s="547"/>
      <c r="L975" s="8"/>
    </row>
    <row r="976" spans="1:12" customFormat="1" x14ac:dyDescent="0.25">
      <c r="A976" s="545"/>
      <c r="B976" s="242"/>
      <c r="D976" t="s">
        <v>5676</v>
      </c>
      <c r="F976" s="537" t="s">
        <v>3</v>
      </c>
      <c r="G976" s="10">
        <v>0.14499999999999999</v>
      </c>
      <c r="H976" s="10"/>
      <c r="I976" t="s">
        <v>5713</v>
      </c>
      <c r="K976" s="547"/>
      <c r="L976" s="8"/>
    </row>
    <row r="977" spans="1:12" customFormat="1" x14ac:dyDescent="0.25">
      <c r="A977" s="545"/>
      <c r="B977" s="242"/>
      <c r="F977" s="537"/>
      <c r="G977" s="10"/>
      <c r="H977" s="10"/>
      <c r="K977" s="547"/>
      <c r="L977" s="8"/>
    </row>
    <row r="978" spans="1:12" customFormat="1" x14ac:dyDescent="0.25">
      <c r="A978" s="545"/>
      <c r="B978" s="565"/>
      <c r="C978" s="3" t="s">
        <v>5714</v>
      </c>
      <c r="F978" s="537"/>
      <c r="G978" s="10"/>
      <c r="H978" s="10"/>
      <c r="K978" s="547"/>
      <c r="L978" s="8"/>
    </row>
    <row r="979" spans="1:12" customFormat="1" x14ac:dyDescent="0.25">
      <c r="A979" s="545"/>
      <c r="B979" s="242"/>
      <c r="C979" t="s">
        <v>5545</v>
      </c>
      <c r="F979" s="537" t="s">
        <v>3</v>
      </c>
      <c r="G979" s="10">
        <v>0.93</v>
      </c>
      <c r="H979" s="10"/>
      <c r="I979" t="s">
        <v>5715</v>
      </c>
      <c r="K979" s="547"/>
      <c r="L979" s="8"/>
    </row>
    <row r="980" spans="1:12" customFormat="1" x14ac:dyDescent="0.25">
      <c r="A980" s="545"/>
      <c r="B980" s="242"/>
      <c r="C980" t="s">
        <v>143</v>
      </c>
      <c r="F980" s="537" t="s">
        <v>3</v>
      </c>
      <c r="G980" s="10">
        <v>0.04</v>
      </c>
      <c r="H980" s="10"/>
      <c r="K980" s="547"/>
      <c r="L980" s="8"/>
    </row>
    <row r="981" spans="1:12" customFormat="1" x14ac:dyDescent="0.25">
      <c r="A981" s="545"/>
      <c r="B981" s="242"/>
      <c r="C981" t="s">
        <v>8</v>
      </c>
      <c r="F981" s="537" t="s">
        <v>3</v>
      </c>
      <c r="G981" s="10">
        <f>2.3*0.011*1.5</f>
        <v>3.7949999999999998E-2</v>
      </c>
      <c r="H981" s="10"/>
      <c r="K981" s="547"/>
      <c r="L981" s="8"/>
    </row>
    <row r="982" spans="1:12" customFormat="1" x14ac:dyDescent="0.25">
      <c r="A982" s="545"/>
      <c r="B982" s="242"/>
      <c r="C982" t="s">
        <v>5716</v>
      </c>
      <c r="F982" s="537" t="s">
        <v>3</v>
      </c>
      <c r="G982" s="10">
        <f>2.3*0.011*2*1.1</f>
        <v>5.5659999999999994E-2</v>
      </c>
      <c r="H982" s="10"/>
      <c r="K982" s="547"/>
      <c r="L982" s="8"/>
    </row>
    <row r="983" spans="1:12" customFormat="1" x14ac:dyDescent="0.25">
      <c r="A983" s="545"/>
      <c r="B983" s="242"/>
      <c r="C983" t="s">
        <v>12</v>
      </c>
      <c r="F983" s="537" t="s">
        <v>3</v>
      </c>
      <c r="G983" s="10">
        <f>0.3*(G982+G981+G980)</f>
        <v>4.0083000000000001E-2</v>
      </c>
      <c r="H983" s="10"/>
      <c r="K983" s="547"/>
      <c r="L983" s="8"/>
    </row>
    <row r="984" spans="1:12" customFormat="1" x14ac:dyDescent="0.25">
      <c r="A984" s="545"/>
      <c r="B984" s="242"/>
      <c r="F984" s="537"/>
      <c r="G984" s="10"/>
      <c r="H984" s="10"/>
      <c r="K984" s="547"/>
      <c r="L984" s="8"/>
    </row>
    <row r="985" spans="1:12" customFormat="1" x14ac:dyDescent="0.25">
      <c r="A985" s="545"/>
      <c r="B985" s="565"/>
      <c r="C985" s="3" t="s">
        <v>5717</v>
      </c>
      <c r="F985" s="537"/>
      <c r="G985" s="10"/>
      <c r="H985" s="10"/>
      <c r="K985" s="547"/>
      <c r="L985" s="8"/>
    </row>
    <row r="986" spans="1:12" customFormat="1" x14ac:dyDescent="0.25">
      <c r="A986" s="545"/>
      <c r="B986" s="242"/>
      <c r="C986" t="s">
        <v>5545</v>
      </c>
      <c r="F986" s="537" t="s">
        <v>3</v>
      </c>
      <c r="G986" s="10">
        <v>0.37</v>
      </c>
      <c r="H986" s="10"/>
      <c r="I986" t="s">
        <v>5718</v>
      </c>
      <c r="K986" s="547"/>
      <c r="L986" s="8"/>
    </row>
    <row r="987" spans="1:12" customFormat="1" x14ac:dyDescent="0.25">
      <c r="A987" s="545"/>
      <c r="B987" s="242"/>
      <c r="C987" t="s">
        <v>143</v>
      </c>
      <c r="F987" s="537" t="s">
        <v>3</v>
      </c>
      <c r="G987" s="10">
        <f>G988</f>
        <v>1.9448E-2</v>
      </c>
      <c r="H987" s="10"/>
      <c r="K987" s="547"/>
      <c r="L987" s="8"/>
    </row>
    <row r="988" spans="1:12" customFormat="1" x14ac:dyDescent="0.25">
      <c r="A988" s="545"/>
      <c r="B988" s="242"/>
      <c r="C988" t="s">
        <v>8</v>
      </c>
      <c r="F988" s="537" t="s">
        <v>3</v>
      </c>
      <c r="G988" s="10">
        <f>G989*0.8</f>
        <v>1.9448E-2</v>
      </c>
      <c r="H988" s="10"/>
      <c r="K988" s="547"/>
      <c r="L988" s="8"/>
    </row>
    <row r="989" spans="1:12" customFormat="1" x14ac:dyDescent="0.25">
      <c r="A989" s="545"/>
      <c r="B989" s="242"/>
      <c r="C989" t="s">
        <v>5716</v>
      </c>
      <c r="F989" s="537" t="s">
        <v>3</v>
      </c>
      <c r="G989" s="10">
        <f>0.85*0.011*2*1.3</f>
        <v>2.4309999999999998E-2</v>
      </c>
      <c r="H989" s="10"/>
      <c r="K989" s="547"/>
      <c r="L989" s="8"/>
    </row>
    <row r="990" spans="1:12" customFormat="1" x14ac:dyDescent="0.25">
      <c r="A990" s="545"/>
      <c r="B990" s="242"/>
      <c r="C990" t="s">
        <v>12</v>
      </c>
      <c r="F990" s="537" t="s">
        <v>3</v>
      </c>
      <c r="G990" s="10">
        <f>0.3*(G989+G988+G987)</f>
        <v>1.8961799999999997E-2</v>
      </c>
      <c r="H990" s="10"/>
      <c r="K990" s="547"/>
      <c r="L990" s="8"/>
    </row>
    <row r="991" spans="1:12" customFormat="1" x14ac:dyDescent="0.25">
      <c r="A991" s="545"/>
      <c r="B991" s="242"/>
      <c r="C991" s="3"/>
      <c r="F991" s="537"/>
      <c r="G991" s="10"/>
      <c r="H991" s="10"/>
      <c r="K991" s="547"/>
      <c r="L991" s="8"/>
    </row>
    <row r="992" spans="1:12" customFormat="1" x14ac:dyDescent="0.25">
      <c r="A992" s="545"/>
      <c r="B992" s="565"/>
      <c r="C992" s="3" t="s">
        <v>5719</v>
      </c>
      <c r="F992" s="537"/>
      <c r="G992" s="10"/>
      <c r="H992" s="10"/>
      <c r="K992" s="547"/>
      <c r="L992" s="8"/>
    </row>
    <row r="993" spans="1:12" customFormat="1" x14ac:dyDescent="0.25">
      <c r="A993" s="545"/>
      <c r="B993" s="242"/>
      <c r="C993" t="s">
        <v>5720</v>
      </c>
      <c r="F993" s="537" t="s">
        <v>3</v>
      </c>
      <c r="G993" s="10">
        <v>0.13600000000000001</v>
      </c>
      <c r="H993" s="10"/>
      <c r="I993" t="s">
        <v>5721</v>
      </c>
      <c r="K993" s="547"/>
      <c r="L993" s="8"/>
    </row>
    <row r="994" spans="1:12" customFormat="1" x14ac:dyDescent="0.25">
      <c r="A994" s="545"/>
      <c r="B994" s="242"/>
      <c r="C994" t="s">
        <v>143</v>
      </c>
      <c r="F994" s="537" t="s">
        <v>3</v>
      </c>
      <c r="G994" s="10">
        <f>G995</f>
        <v>9.1520000000000004E-3</v>
      </c>
      <c r="H994" s="10"/>
      <c r="K994" s="547"/>
      <c r="L994" s="8"/>
    </row>
    <row r="995" spans="1:12" customFormat="1" x14ac:dyDescent="0.25">
      <c r="A995" s="545"/>
      <c r="B995" s="242"/>
      <c r="C995" t="s">
        <v>8</v>
      </c>
      <c r="F995" s="537" t="s">
        <v>3</v>
      </c>
      <c r="G995" s="10">
        <f>G996*0.8</f>
        <v>9.1520000000000004E-3</v>
      </c>
      <c r="H995" s="10"/>
      <c r="K995" s="547"/>
      <c r="L995" s="8"/>
    </row>
    <row r="996" spans="1:12" customFormat="1" x14ac:dyDescent="0.25">
      <c r="A996" s="545"/>
      <c r="B996" s="242"/>
      <c r="C996" t="s">
        <v>5716</v>
      </c>
      <c r="F996" s="537" t="s">
        <v>3</v>
      </c>
      <c r="G996" s="10">
        <f>0.4*0.011*2*1.3</f>
        <v>1.1440000000000001E-2</v>
      </c>
      <c r="H996" s="10"/>
      <c r="K996" s="547"/>
      <c r="L996" s="8"/>
    </row>
    <row r="997" spans="1:12" customFormat="1" x14ac:dyDescent="0.25">
      <c r="A997" s="545"/>
      <c r="B997" s="242"/>
      <c r="C997" t="s">
        <v>12</v>
      </c>
      <c r="F997" s="537" t="s">
        <v>3</v>
      </c>
      <c r="G997" s="10">
        <f>0.3*(G996+G995+G994)</f>
        <v>8.9231999999999992E-3</v>
      </c>
      <c r="H997" s="10"/>
      <c r="K997" s="547"/>
      <c r="L997" s="8"/>
    </row>
    <row r="998" spans="1:12" customFormat="1" x14ac:dyDescent="0.25">
      <c r="A998" s="545"/>
      <c r="B998" s="242"/>
      <c r="C998" s="3"/>
      <c r="F998" s="537"/>
      <c r="G998" s="10"/>
      <c r="H998" s="10"/>
      <c r="K998" s="547"/>
      <c r="L998" s="8"/>
    </row>
    <row r="999" spans="1:12" customFormat="1" x14ac:dyDescent="0.25">
      <c r="A999" s="545"/>
      <c r="B999" s="565"/>
      <c r="C999" s="3" t="s">
        <v>5722</v>
      </c>
      <c r="F999" s="537"/>
      <c r="G999" s="10"/>
      <c r="H999" s="10"/>
      <c r="K999" s="547"/>
      <c r="L999" s="8"/>
    </row>
    <row r="1000" spans="1:12" customFormat="1" x14ac:dyDescent="0.25">
      <c r="A1000" s="545"/>
      <c r="B1000" s="242"/>
      <c r="C1000" t="s">
        <v>5550</v>
      </c>
      <c r="F1000" s="537" t="s">
        <v>3</v>
      </c>
      <c r="G1000" s="10">
        <v>0.26</v>
      </c>
      <c r="H1000" s="10"/>
      <c r="I1000" t="s">
        <v>5723</v>
      </c>
      <c r="K1000" s="547"/>
      <c r="L1000" s="8"/>
    </row>
    <row r="1001" spans="1:12" customFormat="1" x14ac:dyDescent="0.25">
      <c r="A1001" s="545"/>
      <c r="B1001" s="242"/>
      <c r="C1001" t="s">
        <v>143</v>
      </c>
      <c r="F1001" s="537" t="s">
        <v>3</v>
      </c>
      <c r="G1001" s="10">
        <f>G1002</f>
        <v>2.2880000000000001E-2</v>
      </c>
      <c r="H1001" s="10"/>
      <c r="K1001" s="547"/>
      <c r="L1001" s="8"/>
    </row>
    <row r="1002" spans="1:12" customFormat="1" x14ac:dyDescent="0.25">
      <c r="A1002" s="545"/>
      <c r="B1002" s="242"/>
      <c r="C1002" t="s">
        <v>8</v>
      </c>
      <c r="F1002" s="537" t="s">
        <v>3</v>
      </c>
      <c r="G1002" s="10">
        <f>G1003*0.8</f>
        <v>2.2880000000000001E-2</v>
      </c>
      <c r="H1002" s="10"/>
      <c r="K1002" s="547"/>
      <c r="L1002" s="8"/>
    </row>
    <row r="1003" spans="1:12" customFormat="1" x14ac:dyDescent="0.25">
      <c r="A1003" s="545"/>
      <c r="B1003" s="242"/>
      <c r="C1003" t="s">
        <v>5716</v>
      </c>
      <c r="F1003" s="537" t="s">
        <v>3</v>
      </c>
      <c r="G1003" s="10">
        <f>1*0.011*2*1.3</f>
        <v>2.86E-2</v>
      </c>
      <c r="H1003" s="10"/>
      <c r="K1003" s="547"/>
      <c r="L1003" s="8"/>
    </row>
    <row r="1004" spans="1:12" customFormat="1" x14ac:dyDescent="0.25">
      <c r="A1004" s="545"/>
      <c r="B1004" s="242"/>
      <c r="C1004" t="s">
        <v>12</v>
      </c>
      <c r="F1004" s="537" t="s">
        <v>3</v>
      </c>
      <c r="G1004" s="10">
        <f>0.3*(G1003+G1002+G1001)</f>
        <v>2.2307999999999998E-2</v>
      </c>
      <c r="H1004" s="10"/>
      <c r="K1004" s="547"/>
      <c r="L1004" s="8"/>
    </row>
    <row r="1005" spans="1:12" customFormat="1" x14ac:dyDescent="0.25">
      <c r="A1005" s="545"/>
      <c r="B1005" s="242"/>
      <c r="C1005" s="3"/>
      <c r="F1005" s="537"/>
      <c r="G1005" s="10"/>
      <c r="H1005" s="10"/>
      <c r="K1005" s="547"/>
      <c r="L1005" s="8"/>
    </row>
    <row r="1006" spans="1:12" customFormat="1" x14ac:dyDescent="0.25">
      <c r="A1006" s="545"/>
      <c r="B1006" s="565"/>
      <c r="C1006" s="3" t="s">
        <v>5724</v>
      </c>
      <c r="F1006" s="537"/>
      <c r="G1006" s="10"/>
      <c r="H1006" s="10"/>
      <c r="K1006" s="547"/>
      <c r="L1006" s="8"/>
    </row>
    <row r="1007" spans="1:12" customFormat="1" x14ac:dyDescent="0.25">
      <c r="A1007" s="545"/>
      <c r="B1007" s="242"/>
      <c r="C1007" t="s">
        <v>5553</v>
      </c>
      <c r="F1007" s="537" t="s">
        <v>3</v>
      </c>
      <c r="G1007" s="10">
        <v>0.48</v>
      </c>
      <c r="H1007" s="10"/>
      <c r="I1007" t="s">
        <v>5725</v>
      </c>
      <c r="K1007" s="547"/>
      <c r="L1007" s="8"/>
    </row>
    <row r="1008" spans="1:12" customFormat="1" x14ac:dyDescent="0.25">
      <c r="A1008" s="545"/>
      <c r="B1008" s="242"/>
      <c r="C1008" t="s">
        <v>143</v>
      </c>
      <c r="F1008" s="537" t="s">
        <v>3</v>
      </c>
      <c r="G1008" s="10">
        <f>G1009</f>
        <v>4.3472000000000004E-2</v>
      </c>
      <c r="H1008" s="10"/>
      <c r="K1008" s="547"/>
      <c r="L1008" s="8"/>
    </row>
    <row r="1009" spans="1:12" customFormat="1" x14ac:dyDescent="0.25">
      <c r="A1009" s="545"/>
      <c r="B1009" s="242"/>
      <c r="C1009" t="s">
        <v>8</v>
      </c>
      <c r="F1009" s="537" t="s">
        <v>3</v>
      </c>
      <c r="G1009" s="10">
        <f>G1010*0.8</f>
        <v>4.3472000000000004E-2</v>
      </c>
      <c r="H1009" s="10"/>
      <c r="K1009" s="547"/>
      <c r="L1009" s="8"/>
    </row>
    <row r="1010" spans="1:12" customFormat="1" x14ac:dyDescent="0.25">
      <c r="A1010" s="545"/>
      <c r="B1010" s="242"/>
      <c r="C1010" t="s">
        <v>5716</v>
      </c>
      <c r="F1010" s="537" t="s">
        <v>3</v>
      </c>
      <c r="G1010" s="10">
        <f>1.9*0.011*2*1.3</f>
        <v>5.4339999999999999E-2</v>
      </c>
      <c r="H1010" s="10"/>
      <c r="K1010" s="547"/>
      <c r="L1010" s="8"/>
    </row>
    <row r="1011" spans="1:12" customFormat="1" x14ac:dyDescent="0.25">
      <c r="A1011" s="545"/>
      <c r="B1011" s="242"/>
      <c r="C1011" t="s">
        <v>12</v>
      </c>
      <c r="F1011" s="537" t="s">
        <v>3</v>
      </c>
      <c r="G1011" s="10">
        <f>0.3*(G1010+G1009+G1008)</f>
        <v>4.2385200000000005E-2</v>
      </c>
      <c r="H1011" s="10"/>
      <c r="K1011" s="547"/>
      <c r="L1011" s="8"/>
    </row>
    <row r="1012" spans="1:12" customFormat="1" x14ac:dyDescent="0.25">
      <c r="A1012" s="545"/>
      <c r="B1012" s="242"/>
      <c r="C1012" s="3"/>
      <c r="F1012" s="537"/>
      <c r="G1012" s="10"/>
      <c r="H1012" s="10"/>
      <c r="K1012" s="547"/>
      <c r="L1012" s="8"/>
    </row>
    <row r="1013" spans="1:12" customFormat="1" x14ac:dyDescent="0.25">
      <c r="A1013" s="545"/>
      <c r="B1013" s="565"/>
      <c r="C1013" s="3" t="s">
        <v>5726</v>
      </c>
      <c r="F1013" s="537"/>
      <c r="G1013" s="10"/>
      <c r="H1013" s="10"/>
      <c r="K1013" s="547"/>
      <c r="L1013" s="8"/>
    </row>
    <row r="1014" spans="1:12" customFormat="1" x14ac:dyDescent="0.25">
      <c r="A1014" s="545"/>
      <c r="B1014" s="242"/>
      <c r="C1014" t="s">
        <v>5553</v>
      </c>
      <c r="F1014" s="537" t="s">
        <v>3</v>
      </c>
      <c r="G1014" s="10">
        <v>0.26200000000000001</v>
      </c>
      <c r="H1014" s="10"/>
      <c r="I1014" t="s">
        <v>5727</v>
      </c>
      <c r="K1014" s="547"/>
      <c r="L1014" s="8"/>
    </row>
    <row r="1015" spans="1:12" customFormat="1" x14ac:dyDescent="0.25">
      <c r="A1015" s="545"/>
      <c r="B1015" s="242"/>
      <c r="C1015" t="s">
        <v>143</v>
      </c>
      <c r="F1015" s="537" t="s">
        <v>3</v>
      </c>
      <c r="G1015" s="10">
        <f>G1016</f>
        <v>2.4024000000000004E-2</v>
      </c>
      <c r="H1015" s="10"/>
      <c r="K1015" s="547"/>
      <c r="L1015" s="8"/>
    </row>
    <row r="1016" spans="1:12" customFormat="1" x14ac:dyDescent="0.25">
      <c r="A1016" s="545"/>
      <c r="B1016" s="242"/>
      <c r="C1016" t="s">
        <v>8</v>
      </c>
      <c r="F1016" s="537" t="s">
        <v>3</v>
      </c>
      <c r="G1016" s="10">
        <f>G1017*0.8</f>
        <v>2.4024000000000004E-2</v>
      </c>
      <c r="H1016" s="10"/>
      <c r="K1016" s="547"/>
      <c r="L1016" s="8"/>
    </row>
    <row r="1017" spans="1:12" customFormat="1" x14ac:dyDescent="0.25">
      <c r="A1017" s="545"/>
      <c r="B1017" s="242"/>
      <c r="C1017" t="s">
        <v>5716</v>
      </c>
      <c r="F1017" s="537" t="s">
        <v>3</v>
      </c>
      <c r="G1017" s="10">
        <f>1.05*0.011*2*1.3</f>
        <v>3.0030000000000001E-2</v>
      </c>
      <c r="H1017" s="10"/>
      <c r="K1017" s="547"/>
      <c r="L1017" s="8"/>
    </row>
    <row r="1018" spans="1:12" customFormat="1" x14ac:dyDescent="0.25">
      <c r="A1018" s="545"/>
      <c r="B1018" s="242"/>
      <c r="C1018" t="s">
        <v>12</v>
      </c>
      <c r="F1018" s="537" t="s">
        <v>3</v>
      </c>
      <c r="G1018" s="10">
        <f>0.3*(G1017+G1016+G1015)</f>
        <v>2.34234E-2</v>
      </c>
      <c r="H1018" s="10"/>
      <c r="K1018" s="547"/>
      <c r="L1018" s="8"/>
    </row>
    <row r="1019" spans="1:12" customFormat="1" x14ac:dyDescent="0.25">
      <c r="A1019" s="545"/>
      <c r="B1019" s="242"/>
      <c r="C1019" s="3"/>
      <c r="F1019" s="537"/>
      <c r="G1019" s="10"/>
      <c r="H1019" s="10"/>
      <c r="K1019" s="547"/>
      <c r="L1019" s="8"/>
    </row>
    <row r="1020" spans="1:12" customFormat="1" x14ac:dyDescent="0.25">
      <c r="A1020" s="545"/>
      <c r="B1020" s="565"/>
      <c r="C1020" s="3" t="s">
        <v>5728</v>
      </c>
      <c r="F1020" s="537"/>
      <c r="G1020" s="10"/>
      <c r="H1020" s="10"/>
      <c r="K1020" s="547"/>
      <c r="L1020" s="8"/>
    </row>
    <row r="1021" spans="1:12" customFormat="1" x14ac:dyDescent="0.25">
      <c r="A1021" s="545"/>
      <c r="B1021" s="242"/>
      <c r="C1021" t="s">
        <v>5553</v>
      </c>
      <c r="F1021" s="537" t="s">
        <v>3</v>
      </c>
      <c r="G1021" s="10">
        <v>0.23</v>
      </c>
      <c r="H1021" s="10"/>
      <c r="I1021" t="s">
        <v>5718</v>
      </c>
      <c r="K1021" s="547"/>
      <c r="L1021" s="8"/>
    </row>
    <row r="1022" spans="1:12" customFormat="1" x14ac:dyDescent="0.25">
      <c r="A1022" s="545"/>
      <c r="B1022" s="242"/>
      <c r="C1022" t="s">
        <v>143</v>
      </c>
      <c r="F1022" s="537" t="s">
        <v>3</v>
      </c>
      <c r="G1022" s="10">
        <f>G1023</f>
        <v>1.95976E-2</v>
      </c>
      <c r="H1022" s="10"/>
      <c r="K1022" s="547"/>
      <c r="L1022" s="8"/>
    </row>
    <row r="1023" spans="1:12" customFormat="1" x14ac:dyDescent="0.25">
      <c r="A1023" s="545"/>
      <c r="B1023" s="242"/>
      <c r="C1023" t="s">
        <v>8</v>
      </c>
      <c r="F1023" s="537" t="s">
        <v>3</v>
      </c>
      <c r="G1023" s="10">
        <f>G1024*0.8</f>
        <v>1.95976E-2</v>
      </c>
      <c r="H1023" s="10"/>
      <c r="K1023" s="547"/>
      <c r="L1023" s="8"/>
    </row>
    <row r="1024" spans="1:12" customFormat="1" x14ac:dyDescent="0.25">
      <c r="A1024" s="545"/>
      <c r="B1024" s="242"/>
      <c r="C1024" t="s">
        <v>5716</v>
      </c>
      <c r="F1024" s="537" t="s">
        <v>3</v>
      </c>
      <c r="G1024" s="10">
        <f>0.85*0.011*2*1.31</f>
        <v>2.4496999999999998E-2</v>
      </c>
      <c r="H1024" s="10"/>
      <c r="K1024" s="547"/>
      <c r="L1024" s="8"/>
    </row>
    <row r="1025" spans="1:12" customFormat="1" x14ac:dyDescent="0.25">
      <c r="A1025" s="545"/>
      <c r="B1025" s="242"/>
      <c r="C1025" t="s">
        <v>12</v>
      </c>
      <c r="F1025" s="537" t="s">
        <v>3</v>
      </c>
      <c r="G1025" s="10">
        <f>0.3*(G1024+G1023+G1022)</f>
        <v>1.9107660000000002E-2</v>
      </c>
      <c r="H1025" s="10"/>
      <c r="K1025" s="547"/>
      <c r="L1025" s="8"/>
    </row>
    <row r="1026" spans="1:12" customFormat="1" x14ac:dyDescent="0.25">
      <c r="A1026" s="545"/>
      <c r="B1026" s="242"/>
      <c r="F1026" s="537"/>
      <c r="G1026" s="10"/>
      <c r="H1026" s="10"/>
      <c r="K1026" s="547"/>
      <c r="L1026" s="8"/>
    </row>
    <row r="1027" spans="1:12" customFormat="1" x14ac:dyDescent="0.25">
      <c r="A1027" s="545"/>
      <c r="B1027" s="242"/>
      <c r="C1027" s="3" t="s">
        <v>5729</v>
      </c>
      <c r="F1027" s="537"/>
      <c r="G1027" s="10"/>
      <c r="H1027" s="10"/>
      <c r="K1027" s="547"/>
      <c r="L1027" s="8"/>
    </row>
    <row r="1028" spans="1:12" customFormat="1" x14ac:dyDescent="0.25">
      <c r="A1028" s="545"/>
      <c r="B1028" s="242"/>
      <c r="C1028" s="8" t="s">
        <v>5730</v>
      </c>
      <c r="D1028" s="8"/>
      <c r="E1028" s="8"/>
      <c r="F1028" s="128" t="s">
        <v>3</v>
      </c>
      <c r="G1028" s="32">
        <v>1.0349999999999999</v>
      </c>
      <c r="H1028" s="10"/>
      <c r="I1028" t="s">
        <v>5731</v>
      </c>
      <c r="K1028" s="547"/>
      <c r="L1028" s="8"/>
    </row>
    <row r="1029" spans="1:12" customFormat="1" x14ac:dyDescent="0.25">
      <c r="A1029" s="545"/>
      <c r="B1029" s="242"/>
      <c r="C1029" s="26" t="s">
        <v>143</v>
      </c>
      <c r="D1029" s="26"/>
      <c r="E1029" s="26"/>
      <c r="F1029" s="27" t="s">
        <v>3</v>
      </c>
      <c r="G1029" s="28">
        <f>G1030</f>
        <v>0</v>
      </c>
      <c r="H1029" s="10"/>
      <c r="K1029" s="547"/>
      <c r="L1029" s="8"/>
    </row>
    <row r="1030" spans="1:12" customFormat="1" x14ac:dyDescent="0.25">
      <c r="A1030" s="545"/>
      <c r="B1030" s="242"/>
      <c r="C1030" s="26" t="s">
        <v>8</v>
      </c>
      <c r="D1030" s="26"/>
      <c r="E1030" s="26"/>
      <c r="F1030" s="27" t="s">
        <v>3</v>
      </c>
      <c r="G1030" s="28">
        <f>G1031*0.8</f>
        <v>0</v>
      </c>
      <c r="H1030" s="10"/>
      <c r="K1030" s="547"/>
      <c r="L1030" s="8"/>
    </row>
    <row r="1031" spans="1:12" customFormat="1" x14ac:dyDescent="0.25">
      <c r="A1031" s="545"/>
      <c r="B1031" s="242"/>
      <c r="C1031" s="26" t="s">
        <v>5716</v>
      </c>
      <c r="D1031" s="26"/>
      <c r="E1031" s="26"/>
      <c r="F1031" s="27" t="s">
        <v>3</v>
      </c>
      <c r="G1031" s="28"/>
      <c r="H1031" s="10"/>
      <c r="K1031" s="547"/>
      <c r="L1031" s="8"/>
    </row>
    <row r="1032" spans="1:12" customFormat="1" x14ac:dyDescent="0.25">
      <c r="A1032" s="545"/>
      <c r="B1032" s="242"/>
      <c r="C1032" s="26" t="s">
        <v>12</v>
      </c>
      <c r="D1032" s="26"/>
      <c r="E1032" s="26"/>
      <c r="F1032" s="27" t="s">
        <v>3</v>
      </c>
      <c r="G1032" s="28">
        <f>0.3*(G1031+G1030+G1029)</f>
        <v>0</v>
      </c>
      <c r="H1032" s="10"/>
      <c r="K1032" s="547"/>
      <c r="L1032" s="8"/>
    </row>
    <row r="1033" spans="1:12" customFormat="1" x14ac:dyDescent="0.25">
      <c r="A1033" s="545"/>
      <c r="B1033" s="242"/>
      <c r="C1033" s="3"/>
      <c r="F1033" s="537"/>
      <c r="G1033" s="10"/>
      <c r="H1033" s="10"/>
      <c r="K1033" s="547"/>
      <c r="L1033" s="8"/>
    </row>
    <row r="1034" spans="1:12" customFormat="1" x14ac:dyDescent="0.25">
      <c r="A1034" s="545"/>
      <c r="B1034" s="565"/>
      <c r="C1034" s="3" t="s">
        <v>5732</v>
      </c>
      <c r="F1034" s="537"/>
      <c r="G1034" s="10"/>
      <c r="H1034" s="10"/>
      <c r="K1034" s="547"/>
      <c r="L1034" s="8"/>
    </row>
    <row r="1035" spans="1:12" customFormat="1" x14ac:dyDescent="0.25">
      <c r="A1035" s="545"/>
      <c r="B1035" s="242"/>
      <c r="C1035" t="s">
        <v>5733</v>
      </c>
      <c r="F1035" s="537" t="s">
        <v>3</v>
      </c>
      <c r="G1035" s="10">
        <v>0.35</v>
      </c>
      <c r="H1035" s="10"/>
      <c r="I1035" t="s">
        <v>5734</v>
      </c>
      <c r="K1035" s="547"/>
      <c r="L1035" s="8"/>
    </row>
    <row r="1036" spans="1:12" customFormat="1" x14ac:dyDescent="0.25">
      <c r="A1036" s="545"/>
      <c r="B1036" s="242"/>
      <c r="C1036" t="s">
        <v>143</v>
      </c>
      <c r="F1036" s="537" t="s">
        <v>3</v>
      </c>
      <c r="G1036" s="10">
        <f>G1037</f>
        <v>1.7472000000000005E-2</v>
      </c>
      <c r="H1036" s="10"/>
      <c r="K1036" s="547"/>
      <c r="L1036" s="8"/>
    </row>
    <row r="1037" spans="1:12" customFormat="1" x14ac:dyDescent="0.25">
      <c r="A1037" s="545"/>
      <c r="B1037" s="242"/>
      <c r="C1037" t="s">
        <v>8</v>
      </c>
      <c r="F1037" s="537" t="s">
        <v>3</v>
      </c>
      <c r="G1037" s="10">
        <f>G1038*0.8</f>
        <v>1.7472000000000005E-2</v>
      </c>
      <c r="H1037" s="10"/>
      <c r="K1037" s="547"/>
      <c r="L1037" s="8"/>
    </row>
    <row r="1038" spans="1:12" customFormat="1" x14ac:dyDescent="0.25">
      <c r="A1038" s="545"/>
      <c r="B1038" s="242"/>
      <c r="C1038" t="s">
        <v>5716</v>
      </c>
      <c r="F1038" s="537" t="s">
        <v>3</v>
      </c>
      <c r="G1038" s="10">
        <f>0.28*0.03*2*1.3</f>
        <v>2.1840000000000005E-2</v>
      </c>
      <c r="H1038" s="10"/>
      <c r="K1038" s="547"/>
      <c r="L1038" s="8"/>
    </row>
    <row r="1039" spans="1:12" customFormat="1" x14ac:dyDescent="0.25">
      <c r="A1039" s="545"/>
      <c r="B1039" s="242"/>
      <c r="C1039" t="s">
        <v>12</v>
      </c>
      <c r="F1039" s="537" t="s">
        <v>3</v>
      </c>
      <c r="G1039" s="10">
        <f>0.3*(G1038+G1037+G1036)</f>
        <v>1.7035200000000004E-2</v>
      </c>
      <c r="H1039" s="10"/>
      <c r="K1039" s="547"/>
      <c r="L1039" s="8"/>
    </row>
    <row r="1040" spans="1:12" customFormat="1" x14ac:dyDescent="0.25">
      <c r="A1040" s="545"/>
      <c r="B1040" s="242"/>
      <c r="F1040" s="537"/>
      <c r="G1040" s="10"/>
      <c r="H1040" s="10"/>
      <c r="K1040" s="547"/>
      <c r="L1040" s="8"/>
    </row>
    <row r="1041" spans="1:12" customFormat="1" x14ac:dyDescent="0.25">
      <c r="A1041" s="545"/>
      <c r="B1041" s="565"/>
      <c r="C1041" s="3" t="s">
        <v>5735</v>
      </c>
      <c r="F1041" s="537"/>
      <c r="G1041" s="10"/>
      <c r="H1041" s="10"/>
      <c r="K1041" s="547"/>
      <c r="L1041" s="8"/>
    </row>
    <row r="1042" spans="1:12" customFormat="1" x14ac:dyDescent="0.25">
      <c r="A1042" s="545"/>
      <c r="B1042" s="242"/>
      <c r="C1042" t="s">
        <v>5545</v>
      </c>
      <c r="F1042" s="537" t="s">
        <v>3</v>
      </c>
      <c r="G1042" s="10">
        <v>0.81499999999999995</v>
      </c>
      <c r="H1042" s="10"/>
      <c r="I1042" t="s">
        <v>5736</v>
      </c>
      <c r="K1042" s="547"/>
      <c r="L1042" s="8"/>
    </row>
    <row r="1043" spans="1:12" customFormat="1" x14ac:dyDescent="0.25">
      <c r="A1043" s="545"/>
      <c r="B1043" s="242"/>
      <c r="C1043" t="s">
        <v>143</v>
      </c>
      <c r="F1043" s="537" t="s">
        <v>3</v>
      </c>
      <c r="G1043" s="10">
        <f>G1044</f>
        <v>4.0479999999999995E-2</v>
      </c>
      <c r="H1043" s="10"/>
      <c r="K1043" s="547"/>
      <c r="L1043" s="8"/>
    </row>
    <row r="1044" spans="1:12" customFormat="1" x14ac:dyDescent="0.25">
      <c r="A1044" s="545"/>
      <c r="B1044" s="242"/>
      <c r="C1044" t="s">
        <v>8</v>
      </c>
      <c r="F1044" s="537" t="s">
        <v>3</v>
      </c>
      <c r="G1044" s="10">
        <f>G1045*0.8</f>
        <v>4.0479999999999995E-2</v>
      </c>
      <c r="H1044" s="10"/>
      <c r="K1044" s="547"/>
      <c r="L1044" s="8"/>
    </row>
    <row r="1045" spans="1:12" customFormat="1" x14ac:dyDescent="0.25">
      <c r="A1045" s="545"/>
      <c r="B1045" s="242"/>
      <c r="C1045" t="s">
        <v>5716</v>
      </c>
      <c r="F1045" s="537" t="s">
        <v>3</v>
      </c>
      <c r="G1045" s="10">
        <f>2*0.011*2*1.15</f>
        <v>5.0599999999999992E-2</v>
      </c>
      <c r="H1045" s="10"/>
      <c r="K1045" s="547"/>
      <c r="L1045" s="8"/>
    </row>
    <row r="1046" spans="1:12" customFormat="1" x14ac:dyDescent="0.25">
      <c r="A1046" s="545"/>
      <c r="B1046" s="242"/>
      <c r="C1046" t="s">
        <v>12</v>
      </c>
      <c r="F1046" s="537" t="s">
        <v>3</v>
      </c>
      <c r="G1046" s="10">
        <f>0.3*(G1045+G1044+G1043)</f>
        <v>3.9467999999999996E-2</v>
      </c>
      <c r="H1046" s="10"/>
      <c r="K1046" s="547"/>
      <c r="L1046" s="8"/>
    </row>
    <row r="1047" spans="1:12" customFormat="1" x14ac:dyDescent="0.25">
      <c r="A1047" s="545"/>
      <c r="B1047" s="242"/>
      <c r="F1047" s="537"/>
      <c r="G1047" s="10"/>
      <c r="H1047" s="10"/>
      <c r="K1047" s="547"/>
      <c r="L1047" s="8"/>
    </row>
    <row r="1048" spans="1:12" customFormat="1" x14ac:dyDescent="0.25">
      <c r="A1048" s="545"/>
      <c r="B1048" s="565"/>
      <c r="C1048" s="3" t="s">
        <v>5737</v>
      </c>
      <c r="F1048" s="537"/>
      <c r="G1048" s="10"/>
      <c r="H1048" s="10"/>
      <c r="K1048" s="547"/>
      <c r="L1048" s="8"/>
    </row>
    <row r="1049" spans="1:12" customFormat="1" x14ac:dyDescent="0.25">
      <c r="A1049" s="545"/>
      <c r="B1049" s="242"/>
      <c r="C1049" s="25" t="s">
        <v>5738</v>
      </c>
      <c r="F1049" s="537" t="s">
        <v>3</v>
      </c>
      <c r="G1049" s="10">
        <v>0.185</v>
      </c>
      <c r="H1049" s="10"/>
      <c r="I1049" t="s">
        <v>5739</v>
      </c>
      <c r="K1049" s="547"/>
      <c r="L1049" s="8"/>
    </row>
    <row r="1050" spans="1:12" customFormat="1" x14ac:dyDescent="0.25">
      <c r="A1050" s="545"/>
      <c r="B1050" s="242"/>
      <c r="C1050" s="3"/>
      <c r="F1050" s="537"/>
      <c r="G1050" s="10"/>
      <c r="H1050" s="10"/>
      <c r="K1050" s="547"/>
      <c r="L1050" s="8"/>
    </row>
    <row r="1051" spans="1:12" customFormat="1" x14ac:dyDescent="0.25">
      <c r="A1051" s="545"/>
      <c r="B1051" s="567" t="s">
        <v>2968</v>
      </c>
      <c r="C1051" s="3" t="s">
        <v>5740</v>
      </c>
      <c r="F1051" s="537" t="s">
        <v>5741</v>
      </c>
      <c r="G1051" s="10"/>
      <c r="H1051" s="10"/>
      <c r="K1051" s="547"/>
      <c r="L1051" s="8"/>
    </row>
    <row r="1052" spans="1:12" customFormat="1" x14ac:dyDescent="0.25">
      <c r="A1052" s="545"/>
      <c r="B1052" s="242"/>
      <c r="F1052" s="537"/>
      <c r="G1052" s="10"/>
      <c r="H1052" s="10"/>
      <c r="K1052" s="547"/>
      <c r="L1052" s="8"/>
    </row>
    <row r="1053" spans="1:12" customFormat="1" x14ac:dyDescent="0.25">
      <c r="A1053" s="545"/>
      <c r="B1053" s="565"/>
      <c r="C1053" s="3" t="s">
        <v>5742</v>
      </c>
      <c r="F1053" s="537"/>
      <c r="G1053" s="10"/>
      <c r="H1053" s="10"/>
      <c r="K1053" s="547"/>
      <c r="L1053" s="8"/>
    </row>
    <row r="1054" spans="1:12" customFormat="1" x14ac:dyDescent="0.25">
      <c r="A1054" s="545"/>
      <c r="B1054" s="545"/>
      <c r="D1054" t="s">
        <v>5743</v>
      </c>
      <c r="F1054" s="537" t="s">
        <v>3</v>
      </c>
      <c r="G1054" s="10">
        <f>0.12*0.016*0.8*8*1.15</f>
        <v>1.41312E-2</v>
      </c>
      <c r="H1054" s="10"/>
      <c r="K1054" s="547"/>
      <c r="L1054" s="8"/>
    </row>
    <row r="1055" spans="1:12" customFormat="1" x14ac:dyDescent="0.25">
      <c r="A1055" s="545"/>
      <c r="B1055" s="242"/>
      <c r="F1055" s="537"/>
      <c r="G1055" s="10"/>
      <c r="H1055" s="10"/>
      <c r="K1055" s="547"/>
      <c r="L1055" s="8"/>
    </row>
    <row r="1056" spans="1:12" customFormat="1" x14ac:dyDescent="0.25">
      <c r="A1056" s="545"/>
      <c r="B1056" s="565"/>
      <c r="C1056" s="3" t="s">
        <v>5744</v>
      </c>
      <c r="F1056" s="537"/>
      <c r="G1056" s="10"/>
      <c r="H1056" s="10"/>
      <c r="K1056" s="547"/>
      <c r="L1056" s="8"/>
    </row>
    <row r="1057" spans="1:12" customFormat="1" x14ac:dyDescent="0.25">
      <c r="A1057" s="545"/>
      <c r="B1057" s="242"/>
      <c r="D1057" t="s">
        <v>5745</v>
      </c>
      <c r="F1057" s="537" t="s">
        <v>3</v>
      </c>
      <c r="G1057" s="10">
        <f>0.03*0.03*2.5*8*1.1</f>
        <v>1.9800000000000002E-2</v>
      </c>
      <c r="H1057" s="10"/>
      <c r="K1057" s="547"/>
      <c r="L1057" s="8"/>
    </row>
    <row r="1058" spans="1:12" customFormat="1" x14ac:dyDescent="0.25">
      <c r="A1058" s="545"/>
      <c r="B1058" s="242"/>
      <c r="F1058" s="537"/>
      <c r="G1058" s="10"/>
      <c r="H1058" s="10"/>
      <c r="K1058" s="547"/>
      <c r="L1058" s="8"/>
    </row>
    <row r="1059" spans="1:12" customFormat="1" x14ac:dyDescent="0.25">
      <c r="A1059" s="545"/>
      <c r="B1059" s="565"/>
      <c r="C1059" s="3" t="s">
        <v>5746</v>
      </c>
      <c r="F1059" s="537"/>
      <c r="G1059" s="10"/>
      <c r="H1059" s="10"/>
      <c r="K1059" s="547"/>
      <c r="L1059" s="8"/>
    </row>
    <row r="1060" spans="1:12" customFormat="1" x14ac:dyDescent="0.25">
      <c r="A1060" s="545"/>
      <c r="B1060" s="242"/>
      <c r="D1060" t="s">
        <v>54</v>
      </c>
      <c r="F1060" s="537" t="s">
        <v>3</v>
      </c>
      <c r="G1060" s="10">
        <f>0.09*0.03*4*8*1.1</f>
        <v>9.5039999999999999E-2</v>
      </c>
      <c r="H1060" s="10"/>
      <c r="K1060" s="547"/>
      <c r="L1060" s="8"/>
    </row>
    <row r="1061" spans="1:12" customFormat="1" x14ac:dyDescent="0.25">
      <c r="A1061" s="545"/>
      <c r="B1061" s="242"/>
      <c r="F1061" s="537"/>
      <c r="G1061" s="10"/>
      <c r="H1061" s="10"/>
      <c r="K1061" s="547"/>
      <c r="L1061" s="8"/>
    </row>
    <row r="1062" spans="1:12" customFormat="1" x14ac:dyDescent="0.25">
      <c r="A1062" s="545"/>
      <c r="B1062" s="565"/>
      <c r="C1062" s="3" t="s">
        <v>5747</v>
      </c>
      <c r="F1062" s="537"/>
      <c r="G1062" s="10"/>
      <c r="H1062" s="10"/>
      <c r="K1062" s="547"/>
      <c r="L1062" s="8"/>
    </row>
    <row r="1063" spans="1:12" customFormat="1" x14ac:dyDescent="0.25">
      <c r="A1063" s="545"/>
      <c r="B1063" s="242"/>
      <c r="D1063" t="s">
        <v>5748</v>
      </c>
      <c r="F1063" s="537" t="s">
        <v>3</v>
      </c>
      <c r="G1063" s="10">
        <v>0.185</v>
      </c>
      <c r="H1063" s="10"/>
      <c r="I1063" t="s">
        <v>5749</v>
      </c>
      <c r="K1063" s="547"/>
      <c r="L1063" s="8"/>
    </row>
    <row r="1064" spans="1:12" customFormat="1" x14ac:dyDescent="0.25">
      <c r="A1064" s="545"/>
      <c r="B1064" s="242"/>
      <c r="F1064" s="537"/>
      <c r="G1064" s="10"/>
      <c r="H1064" s="10"/>
      <c r="K1064" s="547"/>
      <c r="L1064" s="8"/>
    </row>
    <row r="1065" spans="1:12" customFormat="1" x14ac:dyDescent="0.25">
      <c r="A1065" s="545"/>
      <c r="B1065" s="567"/>
      <c r="C1065" s="3" t="s">
        <v>5750</v>
      </c>
      <c r="D1065" s="3"/>
      <c r="F1065" s="537"/>
      <c r="G1065" s="10"/>
      <c r="H1065" s="10"/>
      <c r="K1065" s="547"/>
      <c r="L1065" s="8"/>
    </row>
    <row r="1066" spans="1:12" customFormat="1" x14ac:dyDescent="0.25">
      <c r="A1066" s="545"/>
      <c r="B1066" s="242"/>
      <c r="F1066" s="537" t="s">
        <v>3</v>
      </c>
      <c r="G1066" s="10"/>
      <c r="H1066" s="10"/>
      <c r="K1066" s="547"/>
      <c r="L1066" s="8"/>
    </row>
    <row r="1067" spans="1:12" customFormat="1" x14ac:dyDescent="0.25">
      <c r="A1067" s="545"/>
      <c r="B1067" s="242"/>
      <c r="F1067" s="537"/>
      <c r="G1067" s="10"/>
      <c r="H1067" s="10" t="s">
        <v>5751</v>
      </c>
      <c r="K1067" s="547"/>
      <c r="L1067" s="8"/>
    </row>
    <row r="1068" spans="1:12" customFormat="1" x14ac:dyDescent="0.25">
      <c r="A1068" s="545"/>
      <c r="B1068" s="565"/>
      <c r="C1068" s="3" t="s">
        <v>5752</v>
      </c>
      <c r="F1068" s="537" t="s">
        <v>195</v>
      </c>
      <c r="G1068" s="10">
        <v>0.08</v>
      </c>
      <c r="H1068" s="10">
        <f>G1068*18</f>
        <v>1.44</v>
      </c>
      <c r="K1068" s="547"/>
      <c r="L1068" s="8"/>
    </row>
    <row r="1069" spans="1:12" customFormat="1" x14ac:dyDescent="0.25">
      <c r="A1069" s="545"/>
      <c r="B1069" s="242"/>
      <c r="C1069" s="3"/>
      <c r="F1069" s="537"/>
      <c r="G1069" s="10"/>
      <c r="H1069" s="10"/>
      <c r="K1069" s="547"/>
      <c r="L1069" s="8"/>
    </row>
    <row r="1070" spans="1:12" customFormat="1" x14ac:dyDescent="0.25">
      <c r="A1070" s="545"/>
      <c r="B1070" s="565"/>
      <c r="C1070" s="3" t="s">
        <v>5753</v>
      </c>
      <c r="F1070" s="537" t="s">
        <v>195</v>
      </c>
      <c r="G1070" s="10">
        <f>0.11</f>
        <v>0.11</v>
      </c>
      <c r="H1070" s="10">
        <f>G1070*2</f>
        <v>0.22</v>
      </c>
      <c r="K1070" s="547"/>
      <c r="L1070" s="8"/>
    </row>
    <row r="1071" spans="1:12" customFormat="1" x14ac:dyDescent="0.25">
      <c r="A1071" s="545"/>
      <c r="B1071" s="242"/>
      <c r="C1071" s="3"/>
      <c r="F1071" s="537"/>
      <c r="G1071" s="10"/>
      <c r="H1071" s="10"/>
      <c r="K1071" s="547"/>
      <c r="L1071" s="8"/>
    </row>
    <row r="1072" spans="1:12" customFormat="1" x14ac:dyDescent="0.25">
      <c r="A1072" s="545"/>
      <c r="B1072" s="565"/>
      <c r="C1072" s="3" t="s">
        <v>5754</v>
      </c>
      <c r="F1072" s="537" t="s">
        <v>195</v>
      </c>
      <c r="G1072" s="10">
        <v>0.11</v>
      </c>
      <c r="H1072" s="10">
        <f>G1072*8</f>
        <v>0.88</v>
      </c>
      <c r="K1072" s="547"/>
      <c r="L1072" s="8"/>
    </row>
    <row r="1073" spans="1:12" customFormat="1" x14ac:dyDescent="0.25">
      <c r="A1073" s="545"/>
      <c r="B1073" s="242"/>
      <c r="C1073" s="3"/>
      <c r="F1073" s="537"/>
      <c r="G1073" s="10"/>
      <c r="H1073" s="10"/>
      <c r="K1073" s="547"/>
      <c r="L1073" s="8"/>
    </row>
    <row r="1074" spans="1:12" customFormat="1" x14ac:dyDescent="0.25">
      <c r="A1074" s="545"/>
      <c r="B1074" s="565"/>
      <c r="C1074" s="3" t="s">
        <v>5755</v>
      </c>
      <c r="F1074" s="537" t="s">
        <v>195</v>
      </c>
      <c r="G1074" s="10">
        <v>0.13</v>
      </c>
      <c r="H1074" s="10">
        <f>G1074*1</f>
        <v>0.13</v>
      </c>
      <c r="K1074" s="547"/>
      <c r="L1074" s="8"/>
    </row>
    <row r="1075" spans="1:12" customFormat="1" x14ac:dyDescent="0.25">
      <c r="A1075" s="545"/>
      <c r="B1075" s="242"/>
      <c r="C1075" s="3"/>
      <c r="F1075" s="537"/>
      <c r="G1075" s="10"/>
      <c r="H1075" s="10"/>
      <c r="K1075" s="547"/>
      <c r="L1075" s="8"/>
    </row>
    <row r="1076" spans="1:12" customFormat="1" x14ac:dyDescent="0.25">
      <c r="A1076" s="545"/>
      <c r="B1076" s="565"/>
      <c r="C1076" s="3" t="s">
        <v>5756</v>
      </c>
      <c r="F1076" s="537" t="s">
        <v>195</v>
      </c>
      <c r="G1076" s="10">
        <v>0.18</v>
      </c>
      <c r="H1076" s="10">
        <f>G1076*2</f>
        <v>0.36</v>
      </c>
      <c r="K1076" s="547"/>
      <c r="L1076" s="8"/>
    </row>
    <row r="1077" spans="1:12" customFormat="1" x14ac:dyDescent="0.25">
      <c r="A1077" s="545"/>
      <c r="B1077" s="242"/>
      <c r="F1077" s="537"/>
      <c r="G1077" s="10"/>
      <c r="H1077" s="10"/>
      <c r="K1077" s="547"/>
      <c r="L1077" s="8"/>
    </row>
    <row r="1078" spans="1:12" customFormat="1" ht="18.75" x14ac:dyDescent="0.3">
      <c r="A1078" s="545"/>
      <c r="B1078" s="568" t="s">
        <v>5757</v>
      </c>
      <c r="E1078" s="46" t="s">
        <v>5758</v>
      </c>
      <c r="F1078" s="537"/>
      <c r="G1078" s="10"/>
      <c r="H1078" s="10"/>
      <c r="K1078" s="547"/>
      <c r="L1078" s="8"/>
    </row>
    <row r="1079" spans="1:12" customFormat="1" x14ac:dyDescent="0.25">
      <c r="A1079" s="545"/>
      <c r="B1079" s="242"/>
      <c r="F1079" s="537"/>
      <c r="G1079" s="10"/>
      <c r="H1079" s="10"/>
      <c r="K1079" s="547"/>
      <c r="L1079" s="8"/>
    </row>
    <row r="1080" spans="1:12" customFormat="1" x14ac:dyDescent="0.25">
      <c r="A1080" s="545"/>
      <c r="B1080" s="565"/>
      <c r="C1080" s="3" t="s">
        <v>5759</v>
      </c>
      <c r="F1080" s="537"/>
      <c r="G1080" s="10"/>
      <c r="H1080" s="10"/>
      <c r="K1080" s="547"/>
      <c r="L1080" s="8"/>
    </row>
    <row r="1081" spans="1:12" customFormat="1" x14ac:dyDescent="0.25">
      <c r="A1081" s="545"/>
      <c r="B1081" s="242"/>
      <c r="D1081" s="3" t="s">
        <v>5760</v>
      </c>
      <c r="F1081" s="537"/>
      <c r="G1081" s="10"/>
      <c r="H1081" s="10"/>
      <c r="K1081" s="547"/>
      <c r="L1081" s="8"/>
    </row>
    <row r="1082" spans="1:12" customFormat="1" x14ac:dyDescent="0.25">
      <c r="A1082" s="545"/>
      <c r="B1082" s="242"/>
      <c r="D1082" s="25" t="s">
        <v>5761</v>
      </c>
      <c r="F1082" s="537" t="s">
        <v>3</v>
      </c>
      <c r="G1082" s="10">
        <f>0.09*0.09*3*8*1.03</f>
        <v>0.20023199999999999</v>
      </c>
      <c r="H1082" s="10"/>
      <c r="K1082" s="547"/>
      <c r="L1082" s="8"/>
    </row>
    <row r="1083" spans="1:12" customFormat="1" x14ac:dyDescent="0.25">
      <c r="A1083" s="545"/>
      <c r="B1083" s="242"/>
      <c r="F1083" s="537"/>
      <c r="G1083" s="10"/>
      <c r="H1083" s="10"/>
      <c r="K1083" s="547"/>
      <c r="L1083" s="8"/>
    </row>
    <row r="1084" spans="1:12" customFormat="1" ht="18.75" x14ac:dyDescent="0.3">
      <c r="A1084" s="545"/>
      <c r="B1084" s="568" t="s">
        <v>5762</v>
      </c>
      <c r="E1084" s="46" t="s">
        <v>5763</v>
      </c>
      <c r="F1084" s="537"/>
      <c r="G1084" s="10"/>
      <c r="H1084" s="10"/>
      <c r="K1084" s="547"/>
      <c r="L1084" s="8"/>
    </row>
    <row r="1085" spans="1:12" customFormat="1" x14ac:dyDescent="0.25">
      <c r="A1085" s="545"/>
      <c r="B1085" s="242"/>
      <c r="D1085" s="3" t="s">
        <v>5764</v>
      </c>
      <c r="F1085" s="537"/>
      <c r="G1085" s="10"/>
      <c r="H1085" s="10"/>
      <c r="K1085" s="547"/>
      <c r="L1085" s="8"/>
    </row>
    <row r="1086" spans="1:12" customFormat="1" x14ac:dyDescent="0.25">
      <c r="A1086" s="545"/>
      <c r="B1086" s="242"/>
      <c r="F1086" s="537"/>
      <c r="G1086" s="10"/>
      <c r="H1086" s="10"/>
      <c r="K1086" s="547"/>
      <c r="L1086" s="8"/>
    </row>
    <row r="1087" spans="1:12" customFormat="1" x14ac:dyDescent="0.25">
      <c r="A1087" s="545"/>
      <c r="B1087" s="565"/>
      <c r="C1087" s="3" t="s">
        <v>5765</v>
      </c>
      <c r="F1087" s="537"/>
      <c r="G1087" s="10"/>
      <c r="H1087" s="10"/>
      <c r="K1087" s="547"/>
      <c r="L1087" s="8"/>
    </row>
    <row r="1088" spans="1:12" customFormat="1" x14ac:dyDescent="0.25">
      <c r="A1088" s="545"/>
      <c r="B1088" s="242"/>
      <c r="D1088" s="3" t="s">
        <v>5766</v>
      </c>
      <c r="F1088" s="537"/>
      <c r="G1088" s="10"/>
      <c r="H1088" s="10"/>
      <c r="K1088" s="547"/>
      <c r="L1088" s="8"/>
    </row>
    <row r="1089" spans="1:12" customFormat="1" x14ac:dyDescent="0.25">
      <c r="A1089" s="545"/>
      <c r="B1089" s="242"/>
      <c r="D1089" t="s">
        <v>5767</v>
      </c>
      <c r="F1089" s="537" t="s">
        <v>3</v>
      </c>
      <c r="G1089" s="10">
        <f>0.68*0.025*4*2.7*1.1</f>
        <v>0.20196000000000003</v>
      </c>
      <c r="H1089" s="10"/>
      <c r="K1089" s="547"/>
      <c r="L1089" s="8"/>
    </row>
    <row r="1090" spans="1:12" customFormat="1" x14ac:dyDescent="0.25">
      <c r="A1090" s="545"/>
      <c r="B1090" s="242"/>
      <c r="D1090" t="s">
        <v>5768</v>
      </c>
      <c r="F1090" s="537" t="s">
        <v>3</v>
      </c>
      <c r="G1090" s="10">
        <f>0.025*0.04*1.5</f>
        <v>1.5E-3</v>
      </c>
      <c r="H1090" s="10"/>
      <c r="K1090" s="547"/>
      <c r="L1090" s="8"/>
    </row>
    <row r="1091" spans="1:12" customFormat="1" ht="17.25" x14ac:dyDescent="0.25">
      <c r="A1091" s="545"/>
      <c r="B1091" s="242"/>
      <c r="D1091" t="s">
        <v>168</v>
      </c>
      <c r="F1091" s="566" t="s">
        <v>5442</v>
      </c>
      <c r="G1091" s="10">
        <f>G1090</f>
        <v>1.5E-3</v>
      </c>
      <c r="H1091" s="10"/>
      <c r="K1091" s="547"/>
      <c r="L1091" s="8"/>
    </row>
    <row r="1092" spans="1:12" customFormat="1" x14ac:dyDescent="0.25">
      <c r="A1092" s="545"/>
      <c r="B1092" s="242"/>
      <c r="F1092" s="537"/>
      <c r="G1092" s="10"/>
      <c r="H1092" s="10"/>
      <c r="K1092" s="547"/>
      <c r="L1092" s="8"/>
    </row>
    <row r="1093" spans="1:12" customFormat="1" x14ac:dyDescent="0.25">
      <c r="A1093" s="545"/>
      <c r="B1093" s="565"/>
      <c r="C1093" s="3" t="s">
        <v>5769</v>
      </c>
      <c r="F1093" s="537"/>
      <c r="G1093" s="10"/>
      <c r="H1093" s="10"/>
      <c r="K1093" s="547"/>
      <c r="L1093" s="8"/>
    </row>
    <row r="1094" spans="1:12" customFormat="1" x14ac:dyDescent="0.25">
      <c r="A1094" s="545"/>
      <c r="B1094" s="242"/>
      <c r="C1094" t="s">
        <v>37</v>
      </c>
      <c r="F1094" s="537" t="s">
        <v>3</v>
      </c>
      <c r="G1094" s="10">
        <f>0.25*0.07*0.2*1.59</f>
        <v>5.5650000000000014E-3</v>
      </c>
      <c r="H1094" s="10"/>
      <c r="K1094" s="547"/>
      <c r="L1094" s="8"/>
    </row>
    <row r="1095" spans="1:12" customFormat="1" x14ac:dyDescent="0.25">
      <c r="A1095" s="545"/>
      <c r="B1095" s="242"/>
      <c r="D1095" s="3" t="s">
        <v>5770</v>
      </c>
      <c r="F1095" s="537"/>
      <c r="G1095" s="10"/>
      <c r="H1095" s="10"/>
      <c r="K1095" s="547"/>
      <c r="L1095" s="8"/>
    </row>
    <row r="1096" spans="1:12" customFormat="1" x14ac:dyDescent="0.25">
      <c r="A1096" s="545"/>
      <c r="B1096" s="242"/>
      <c r="D1096" t="s">
        <v>5771</v>
      </c>
      <c r="F1096" s="537" t="s">
        <v>3</v>
      </c>
      <c r="G1096" s="10">
        <f>0.25*0.07*2*8*1.1</f>
        <v>0.30800000000000005</v>
      </c>
      <c r="H1096" s="10"/>
      <c r="K1096" s="547"/>
      <c r="L1096" s="8"/>
    </row>
    <row r="1097" spans="1:12" customFormat="1" x14ac:dyDescent="0.25">
      <c r="A1097" s="545"/>
      <c r="B1097" s="242"/>
      <c r="F1097" s="537"/>
      <c r="G1097" s="10"/>
      <c r="H1097" s="10"/>
      <c r="K1097" s="547"/>
      <c r="L1097" s="8"/>
    </row>
    <row r="1098" spans="1:12" customFormat="1" x14ac:dyDescent="0.25">
      <c r="A1098" s="545"/>
      <c r="B1098" s="565"/>
      <c r="C1098" s="3" t="s">
        <v>5772</v>
      </c>
      <c r="F1098" s="537"/>
      <c r="G1098" s="10"/>
      <c r="H1098" s="10"/>
      <c r="K1098" s="547"/>
      <c r="L1098" s="8"/>
    </row>
    <row r="1099" spans="1:12" customFormat="1" x14ac:dyDescent="0.25">
      <c r="A1099" s="545"/>
      <c r="B1099" s="242"/>
      <c r="D1099" s="3" t="s">
        <v>5773</v>
      </c>
      <c r="F1099" s="537"/>
      <c r="G1099" s="10"/>
      <c r="H1099" s="10"/>
      <c r="K1099" s="547"/>
      <c r="L1099" s="8"/>
    </row>
    <row r="1100" spans="1:12" customFormat="1" x14ac:dyDescent="0.25">
      <c r="A1100" s="545"/>
      <c r="B1100" s="242"/>
      <c r="D1100" t="s">
        <v>5774</v>
      </c>
      <c r="F1100" s="537" t="s">
        <v>3</v>
      </c>
      <c r="G1100" s="10">
        <f>0.09*0.015*5*8*1.11</f>
        <v>5.994E-2</v>
      </c>
      <c r="H1100" s="10"/>
      <c r="K1100" s="547"/>
      <c r="L1100" s="8"/>
    </row>
    <row r="1101" spans="1:12" customFormat="1" x14ac:dyDescent="0.25">
      <c r="A1101" s="545"/>
      <c r="B1101" s="242"/>
      <c r="D1101" s="3" t="s">
        <v>5775</v>
      </c>
      <c r="F1101" s="537"/>
      <c r="G1101" s="10"/>
      <c r="H1101" s="10"/>
      <c r="K1101" s="547"/>
      <c r="L1101" s="8"/>
    </row>
    <row r="1102" spans="1:12" customFormat="1" x14ac:dyDescent="0.25">
      <c r="A1102" s="545"/>
      <c r="B1102" s="242"/>
      <c r="D1102" t="s">
        <v>5776</v>
      </c>
      <c r="F1102" s="537" t="s">
        <v>195</v>
      </c>
      <c r="G1102" s="10">
        <v>0.03</v>
      </c>
      <c r="H1102" s="10"/>
      <c r="K1102" s="547"/>
      <c r="L1102" s="8"/>
    </row>
    <row r="1103" spans="1:12" customFormat="1" x14ac:dyDescent="0.25">
      <c r="A1103" s="545"/>
      <c r="B1103" s="242"/>
      <c r="F1103" s="537"/>
      <c r="G1103" s="10"/>
      <c r="H1103" s="10"/>
      <c r="K1103" s="547"/>
      <c r="L1103" s="8"/>
    </row>
    <row r="1104" spans="1:12" customFormat="1" ht="18.75" x14ac:dyDescent="0.3">
      <c r="A1104" s="545"/>
      <c r="B1104" s="568" t="s">
        <v>5777</v>
      </c>
      <c r="E1104" s="46" t="s">
        <v>5778</v>
      </c>
      <c r="F1104" s="537"/>
      <c r="G1104" s="10"/>
      <c r="H1104" s="10"/>
      <c r="K1104" s="547"/>
      <c r="L1104" s="8"/>
    </row>
    <row r="1105" spans="1:12" customFormat="1" x14ac:dyDescent="0.25">
      <c r="A1105" s="545"/>
      <c r="B1105" s="242"/>
      <c r="F1105" s="537"/>
      <c r="G1105" s="10"/>
      <c r="H1105" s="10"/>
      <c r="K1105" s="547"/>
      <c r="L1105" s="8"/>
    </row>
    <row r="1106" spans="1:12" customFormat="1" x14ac:dyDescent="0.25">
      <c r="A1106" s="545"/>
      <c r="B1106" s="565"/>
      <c r="C1106" s="3" t="s">
        <v>5779</v>
      </c>
      <c r="F1106" s="537"/>
      <c r="G1106" s="10"/>
      <c r="H1106" s="10"/>
      <c r="K1106" s="547"/>
      <c r="L1106" s="8"/>
    </row>
    <row r="1107" spans="1:12" customFormat="1" x14ac:dyDescent="0.25">
      <c r="A1107" s="545"/>
      <c r="B1107" s="242"/>
      <c r="C1107" t="s">
        <v>140</v>
      </c>
      <c r="F1107" s="537" t="s">
        <v>3</v>
      </c>
      <c r="G1107" s="10">
        <f>0.032*6*0.08*1.2</f>
        <v>1.8432E-2</v>
      </c>
      <c r="H1107" s="10"/>
      <c r="K1107" s="547"/>
      <c r="L1107" s="8"/>
    </row>
    <row r="1108" spans="1:12" customFormat="1" ht="17.25" x14ac:dyDescent="0.25">
      <c r="A1108" s="545"/>
      <c r="B1108" s="242"/>
      <c r="C1108" t="s">
        <v>23</v>
      </c>
      <c r="F1108" s="566" t="s">
        <v>5442</v>
      </c>
      <c r="G1108" s="10">
        <f>G1107*2</f>
        <v>3.6864000000000001E-2</v>
      </c>
      <c r="H1108" s="10"/>
      <c r="K1108" s="547"/>
      <c r="L1108" s="8"/>
    </row>
    <row r="1109" spans="1:12" customFormat="1" x14ac:dyDescent="0.25">
      <c r="A1109" s="545"/>
      <c r="B1109" s="242"/>
      <c r="C1109" t="s">
        <v>142</v>
      </c>
      <c r="F1109" s="537" t="s">
        <v>3</v>
      </c>
      <c r="G1109" s="10">
        <f>G1107/4</f>
        <v>4.6080000000000001E-3</v>
      </c>
      <c r="H1109" s="10"/>
      <c r="K1109" s="547"/>
      <c r="L1109" s="8"/>
    </row>
    <row r="1110" spans="1:12" customFormat="1" x14ac:dyDescent="0.25">
      <c r="A1110" s="545"/>
      <c r="B1110" s="242"/>
      <c r="C1110" t="s">
        <v>5152</v>
      </c>
      <c r="F1110" s="537" t="s">
        <v>3</v>
      </c>
      <c r="G1110" s="10">
        <f>G1112*0.9</f>
        <v>4.1184000000000005E-2</v>
      </c>
      <c r="H1110" s="10"/>
      <c r="K1110" s="547"/>
      <c r="L1110" s="8"/>
    </row>
    <row r="1111" spans="1:12" customFormat="1" x14ac:dyDescent="0.25">
      <c r="A1111" s="545"/>
      <c r="B1111" s="242"/>
      <c r="C1111" t="s">
        <v>12</v>
      </c>
      <c r="F1111" s="537" t="s">
        <v>3</v>
      </c>
      <c r="G1111" s="10">
        <f>0.3*G1112</f>
        <v>1.3728000000000001E-2</v>
      </c>
      <c r="H1111" s="10"/>
      <c r="K1111" s="547"/>
      <c r="L1111" s="8"/>
    </row>
    <row r="1112" spans="1:12" customFormat="1" x14ac:dyDescent="0.25">
      <c r="A1112" s="545"/>
      <c r="B1112" s="242"/>
      <c r="C1112" t="s">
        <v>72</v>
      </c>
      <c r="F1112" s="537" t="s">
        <v>3</v>
      </c>
      <c r="G1112" s="10">
        <f>1.6*0.011*2*1.3</f>
        <v>4.5760000000000002E-2</v>
      </c>
      <c r="H1112" s="10"/>
      <c r="K1112" s="547"/>
      <c r="L1112" s="8"/>
    </row>
    <row r="1113" spans="1:12" customFormat="1" x14ac:dyDescent="0.25">
      <c r="A1113" s="545"/>
      <c r="B1113" s="242"/>
      <c r="C1113" t="s">
        <v>11</v>
      </c>
      <c r="F1113" s="537" t="s">
        <v>3</v>
      </c>
      <c r="G1113" s="10">
        <f>0.3*G1112</f>
        <v>1.3728000000000001E-2</v>
      </c>
      <c r="H1113" s="10"/>
      <c r="K1113" s="547"/>
      <c r="L1113" s="8"/>
    </row>
    <row r="1114" spans="1:12" customFormat="1" x14ac:dyDescent="0.25">
      <c r="A1114" s="545"/>
      <c r="B1114" s="545"/>
      <c r="C1114" s="3"/>
      <c r="D1114" s="3" t="s">
        <v>5780</v>
      </c>
      <c r="F1114" s="537"/>
      <c r="G1114" s="10"/>
      <c r="H1114" s="10"/>
      <c r="K1114" s="547"/>
      <c r="L1114" s="8"/>
    </row>
    <row r="1115" spans="1:12" customFormat="1" x14ac:dyDescent="0.25">
      <c r="A1115" s="545"/>
      <c r="B1115" s="242"/>
      <c r="C1115" s="3"/>
      <c r="D1115" t="s">
        <v>5781</v>
      </c>
      <c r="F1115" s="537" t="s">
        <v>3</v>
      </c>
      <c r="G1115" s="10">
        <v>3.0000000000000001E-3</v>
      </c>
      <c r="H1115" s="10"/>
      <c r="K1115" s="547"/>
      <c r="L1115" s="8"/>
    </row>
    <row r="1116" spans="1:12" customFormat="1" x14ac:dyDescent="0.25">
      <c r="A1116" s="545"/>
      <c r="B1116" s="242"/>
      <c r="C1116" s="3"/>
      <c r="D1116" t="s">
        <v>1994</v>
      </c>
      <c r="F1116" s="537" t="s">
        <v>3</v>
      </c>
      <c r="G1116" s="10">
        <f>G1115/3</f>
        <v>1E-3</v>
      </c>
      <c r="H1116" s="10"/>
      <c r="K1116" s="547"/>
      <c r="L1116" s="8"/>
    </row>
    <row r="1117" spans="1:12" customFormat="1" x14ac:dyDescent="0.25">
      <c r="A1117" s="545"/>
      <c r="B1117" s="242"/>
      <c r="C1117" s="3"/>
      <c r="D1117" t="s">
        <v>1993</v>
      </c>
      <c r="F1117" s="537" t="s">
        <v>3</v>
      </c>
      <c r="G1117" s="10">
        <v>1E-3</v>
      </c>
      <c r="H1117" s="10"/>
      <c r="K1117" s="547"/>
      <c r="L1117" s="8"/>
    </row>
    <row r="1118" spans="1:12" customFormat="1" x14ac:dyDescent="0.25">
      <c r="A1118" s="545"/>
      <c r="B1118" s="242"/>
      <c r="C1118" s="3"/>
      <c r="E1118" s="3" t="s">
        <v>5782</v>
      </c>
      <c r="F1118" s="537"/>
      <c r="G1118" s="10"/>
      <c r="H1118" s="10"/>
      <c r="K1118" s="547"/>
      <c r="L1118" s="8"/>
    </row>
    <row r="1119" spans="1:12" customFormat="1" x14ac:dyDescent="0.25">
      <c r="A1119" s="545"/>
      <c r="B1119" s="242"/>
      <c r="C1119" s="3"/>
      <c r="E1119" t="s">
        <v>5783</v>
      </c>
      <c r="F1119" s="537" t="s">
        <v>3</v>
      </c>
      <c r="G1119" s="10">
        <f>0.011*1.2</f>
        <v>1.3199999999999998E-2</v>
      </c>
      <c r="H1119" s="10"/>
      <c r="K1119" s="547"/>
      <c r="L1119" s="8"/>
    </row>
    <row r="1120" spans="1:12" customFormat="1" x14ac:dyDescent="0.25">
      <c r="A1120" s="545"/>
      <c r="B1120" s="242"/>
      <c r="C1120" s="3"/>
      <c r="D1120" s="3" t="s">
        <v>5784</v>
      </c>
      <c r="F1120" s="537"/>
      <c r="G1120" s="10"/>
      <c r="H1120" s="10"/>
      <c r="K1120" s="547"/>
      <c r="L1120" s="8"/>
    </row>
    <row r="1121" spans="1:12" customFormat="1" x14ac:dyDescent="0.25">
      <c r="A1121" s="545"/>
      <c r="B1121" s="242"/>
      <c r="C1121" s="3"/>
      <c r="D1121" t="s">
        <v>3344</v>
      </c>
      <c r="F1121" s="537" t="s">
        <v>3</v>
      </c>
      <c r="G1121" s="10">
        <v>4.4999999999999998E-2</v>
      </c>
      <c r="H1121" s="10"/>
      <c r="K1121" s="547"/>
      <c r="L1121" s="8"/>
    </row>
    <row r="1122" spans="1:12" customFormat="1" x14ac:dyDescent="0.25">
      <c r="A1122" s="545"/>
      <c r="B1122" s="242"/>
      <c r="C1122" s="3"/>
      <c r="D1122" s="3" t="s">
        <v>5785</v>
      </c>
      <c r="F1122" s="537"/>
      <c r="G1122" s="10"/>
      <c r="H1122" s="10"/>
      <c r="K1122" s="547"/>
      <c r="L1122" s="8"/>
    </row>
    <row r="1123" spans="1:12" customFormat="1" x14ac:dyDescent="0.25">
      <c r="A1123" s="545"/>
      <c r="B1123" s="242"/>
      <c r="C1123" s="3"/>
      <c r="D1123" t="s">
        <v>5786</v>
      </c>
      <c r="F1123" s="537" t="s">
        <v>3</v>
      </c>
      <c r="G1123" s="10">
        <v>0.17499999999999999</v>
      </c>
      <c r="H1123" s="10"/>
      <c r="I1123" t="s">
        <v>5787</v>
      </c>
      <c r="K1123" s="547"/>
      <c r="L1123" s="8"/>
    </row>
    <row r="1124" spans="1:12" customFormat="1" x14ac:dyDescent="0.25">
      <c r="A1124" s="545"/>
      <c r="B1124" s="242"/>
      <c r="C1124" s="3"/>
      <c r="D1124" s="3" t="s">
        <v>5788</v>
      </c>
      <c r="F1124" s="537"/>
      <c r="G1124" s="10"/>
      <c r="H1124" s="10"/>
      <c r="K1124" s="547"/>
      <c r="L1124" s="8"/>
    </row>
    <row r="1125" spans="1:12" customFormat="1" x14ac:dyDescent="0.25">
      <c r="A1125" s="545"/>
      <c r="B1125" s="242"/>
      <c r="C1125" s="3"/>
      <c r="D1125" t="s">
        <v>5786</v>
      </c>
      <c r="F1125" s="537" t="s">
        <v>3</v>
      </c>
      <c r="G1125" s="10">
        <v>0.19</v>
      </c>
      <c r="H1125" s="10"/>
      <c r="I1125" t="s">
        <v>5789</v>
      </c>
      <c r="K1125" s="547"/>
      <c r="L1125" s="8"/>
    </row>
    <row r="1126" spans="1:12" customFormat="1" x14ac:dyDescent="0.25">
      <c r="A1126" s="545"/>
      <c r="B1126" s="242"/>
      <c r="C1126" s="3"/>
      <c r="F1126" s="537"/>
      <c r="G1126" s="10"/>
      <c r="H1126" s="10"/>
      <c r="K1126" s="547"/>
      <c r="L1126" s="8"/>
    </row>
    <row r="1127" spans="1:12" customFormat="1" x14ac:dyDescent="0.25">
      <c r="A1127" s="545"/>
      <c r="B1127" s="567"/>
      <c r="C1127" s="3" t="s">
        <v>5790</v>
      </c>
      <c r="F1127" s="537"/>
      <c r="G1127" s="10"/>
      <c r="H1127" s="10"/>
      <c r="K1127" s="547"/>
      <c r="L1127" s="8"/>
    </row>
    <row r="1128" spans="1:12" customFormat="1" x14ac:dyDescent="0.25">
      <c r="A1128" s="545"/>
      <c r="B1128" s="242" t="s">
        <v>2968</v>
      </c>
      <c r="C1128" s="3"/>
      <c r="D1128" s="569" t="s">
        <v>5791</v>
      </c>
      <c r="E1128" s="26"/>
      <c r="F1128" s="537"/>
      <c r="G1128" s="10"/>
      <c r="H1128" s="10"/>
      <c r="K1128" s="547"/>
      <c r="L1128" s="8"/>
    </row>
    <row r="1129" spans="1:12" customFormat="1" x14ac:dyDescent="0.25">
      <c r="A1129" s="545"/>
      <c r="B1129" s="242"/>
      <c r="C1129" s="3"/>
      <c r="F1129" s="537"/>
      <c r="G1129" s="10"/>
      <c r="H1129" s="10"/>
      <c r="K1129" s="547"/>
      <c r="L1129" s="8"/>
    </row>
    <row r="1130" spans="1:12" customFormat="1" x14ac:dyDescent="0.25">
      <c r="A1130" s="545"/>
      <c r="B1130" s="242"/>
      <c r="C1130" s="3"/>
      <c r="F1130" s="537"/>
      <c r="G1130" s="10"/>
      <c r="H1130" s="10"/>
      <c r="K1130" s="547"/>
      <c r="L1130" s="8"/>
    </row>
    <row r="1131" spans="1:12" customFormat="1" x14ac:dyDescent="0.25">
      <c r="A1131" s="545"/>
      <c r="B1131" s="565"/>
      <c r="C1131" s="3" t="s">
        <v>5792</v>
      </c>
      <c r="F1131" s="537"/>
      <c r="G1131" s="10"/>
      <c r="H1131" s="10"/>
      <c r="K1131" s="547"/>
      <c r="L1131" s="8"/>
    </row>
    <row r="1132" spans="1:12" customFormat="1" x14ac:dyDescent="0.25">
      <c r="A1132" s="545"/>
      <c r="B1132" s="242"/>
      <c r="C1132" s="25" t="s">
        <v>723</v>
      </c>
      <c r="F1132" s="537" t="s">
        <v>3</v>
      </c>
      <c r="G1132" s="10">
        <f>0.006</f>
        <v>6.0000000000000001E-3</v>
      </c>
      <c r="H1132" s="10"/>
      <c r="K1132" s="547"/>
      <c r="L1132" s="8"/>
    </row>
    <row r="1133" spans="1:12" customFormat="1" x14ac:dyDescent="0.25">
      <c r="A1133" s="545"/>
      <c r="B1133" s="242"/>
      <c r="C1133" s="3"/>
      <c r="D1133" s="3" t="s">
        <v>5793</v>
      </c>
      <c r="F1133" s="537"/>
      <c r="G1133" s="10"/>
      <c r="H1133" s="10"/>
      <c r="K1133" s="547"/>
      <c r="L1133" s="8"/>
    </row>
    <row r="1134" spans="1:12" customFormat="1" x14ac:dyDescent="0.25">
      <c r="A1134" s="545"/>
      <c r="B1134" s="242"/>
      <c r="C1134" s="3"/>
      <c r="D1134" t="s">
        <v>140</v>
      </c>
      <c r="F1134" s="537" t="s">
        <v>3</v>
      </c>
      <c r="G1134" s="10">
        <f>0.008*3.14*2*0.08*1.3</f>
        <v>5.2249599999999998E-3</v>
      </c>
      <c r="H1134" s="10"/>
      <c r="K1134" s="547"/>
      <c r="L1134" s="8"/>
    </row>
    <row r="1135" spans="1:12" customFormat="1" ht="17.25" x14ac:dyDescent="0.25">
      <c r="A1135" s="545"/>
      <c r="B1135" s="242"/>
      <c r="C1135" s="3"/>
      <c r="D1135" t="s">
        <v>23</v>
      </c>
      <c r="F1135" s="566" t="s">
        <v>5442</v>
      </c>
      <c r="G1135" s="10">
        <f>G1134*2</f>
        <v>1.044992E-2</v>
      </c>
      <c r="H1135" s="10"/>
      <c r="K1135" s="547"/>
      <c r="L1135" s="8"/>
    </row>
    <row r="1136" spans="1:12" customFormat="1" x14ac:dyDescent="0.25">
      <c r="A1136" s="545"/>
      <c r="B1136" s="242"/>
      <c r="C1136" s="3"/>
      <c r="D1136" t="s">
        <v>142</v>
      </c>
      <c r="F1136" s="537" t="s">
        <v>3</v>
      </c>
      <c r="G1136" s="10">
        <f>G1134/4</f>
        <v>1.30624E-3</v>
      </c>
      <c r="H1136" s="10"/>
      <c r="K1136" s="547"/>
      <c r="L1136" s="8"/>
    </row>
    <row r="1137" spans="1:12" customFormat="1" x14ac:dyDescent="0.25">
      <c r="A1137" s="545"/>
      <c r="B1137" s="242"/>
      <c r="C1137" s="3"/>
      <c r="D1137" t="s">
        <v>143</v>
      </c>
      <c r="F1137" s="537" t="s">
        <v>3</v>
      </c>
      <c r="G1137" s="10">
        <v>1.4999999999999999E-2</v>
      </c>
      <c r="H1137" s="10"/>
      <c r="K1137" s="547"/>
      <c r="L1137" s="8"/>
    </row>
    <row r="1138" spans="1:12" customFormat="1" x14ac:dyDescent="0.25">
      <c r="A1138" s="545"/>
      <c r="B1138" s="242"/>
      <c r="C1138" s="3"/>
      <c r="D1138" t="s">
        <v>8</v>
      </c>
      <c r="F1138" s="537" t="s">
        <v>3</v>
      </c>
      <c r="G1138" s="10">
        <v>1.4999999999999999E-2</v>
      </c>
      <c r="H1138" s="10"/>
      <c r="K1138" s="547"/>
      <c r="L1138" s="8"/>
    </row>
    <row r="1139" spans="1:12" customFormat="1" x14ac:dyDescent="0.25">
      <c r="A1139" s="545"/>
      <c r="B1139" s="242"/>
      <c r="C1139" s="3"/>
      <c r="D1139" t="s">
        <v>5794</v>
      </c>
      <c r="F1139" s="537" t="s">
        <v>3</v>
      </c>
      <c r="G1139" s="10">
        <f>0.57*0.011*2*1.3</f>
        <v>1.6302000000000001E-2</v>
      </c>
      <c r="H1139" s="10"/>
      <c r="K1139" s="547"/>
      <c r="L1139" s="8"/>
    </row>
    <row r="1140" spans="1:12" customFormat="1" x14ac:dyDescent="0.25">
      <c r="A1140" s="545"/>
      <c r="B1140" s="242"/>
      <c r="C1140" s="3"/>
      <c r="D1140" t="s">
        <v>12</v>
      </c>
      <c r="F1140" s="537" t="s">
        <v>3</v>
      </c>
      <c r="G1140" s="10">
        <f>0.3*(G1139+G1138+G1137)</f>
        <v>1.3890599999999998E-2</v>
      </c>
      <c r="H1140" s="10"/>
      <c r="K1140" s="547"/>
      <c r="L1140" s="8"/>
    </row>
    <row r="1141" spans="1:12" customFormat="1" x14ac:dyDescent="0.25">
      <c r="A1141" s="545"/>
      <c r="B1141" s="242"/>
      <c r="C1141" s="3"/>
      <c r="E1141" s="3" t="s">
        <v>5795</v>
      </c>
      <c r="G1141" s="10"/>
      <c r="H1141" s="10"/>
      <c r="K1141" s="547"/>
      <c r="L1141" s="8"/>
    </row>
    <row r="1142" spans="1:12" customFormat="1" x14ac:dyDescent="0.25">
      <c r="A1142" s="545"/>
      <c r="B1142" s="242"/>
      <c r="C1142" s="3"/>
      <c r="E1142" t="s">
        <v>5796</v>
      </c>
      <c r="F1142" s="537" t="s">
        <v>3</v>
      </c>
      <c r="G1142" s="10">
        <v>0.115</v>
      </c>
      <c r="H1142" s="10"/>
      <c r="I1142" t="s">
        <v>5797</v>
      </c>
      <c r="K1142" s="547"/>
      <c r="L1142" s="8"/>
    </row>
    <row r="1143" spans="1:12" customFormat="1" x14ac:dyDescent="0.25">
      <c r="A1143" s="545"/>
      <c r="B1143" s="242"/>
      <c r="C1143" s="3"/>
      <c r="D1143" s="3" t="s">
        <v>5798</v>
      </c>
      <c r="F1143" s="537"/>
      <c r="G1143" s="10"/>
      <c r="H1143" s="10"/>
      <c r="K1143" s="547"/>
      <c r="L1143" s="8"/>
    </row>
    <row r="1144" spans="1:12" customFormat="1" x14ac:dyDescent="0.25">
      <c r="A1144" s="545"/>
      <c r="B1144" s="242"/>
      <c r="C1144" s="3"/>
      <c r="D1144" t="s">
        <v>140</v>
      </c>
      <c r="F1144" s="537" t="s">
        <v>3</v>
      </c>
      <c r="G1144" s="10">
        <v>3.0000000000000001E-3</v>
      </c>
      <c r="H1144" s="10"/>
      <c r="K1144" s="547"/>
      <c r="L1144" s="8"/>
    </row>
    <row r="1145" spans="1:12" customFormat="1" ht="17.25" x14ac:dyDescent="0.25">
      <c r="A1145" s="545"/>
      <c r="B1145" s="242"/>
      <c r="C1145" s="3"/>
      <c r="D1145" t="s">
        <v>23</v>
      </c>
      <c r="F1145" s="566" t="s">
        <v>5442</v>
      </c>
      <c r="G1145" s="10">
        <f>G1144*2</f>
        <v>6.0000000000000001E-3</v>
      </c>
      <c r="H1145" s="10"/>
      <c r="K1145" s="547"/>
      <c r="L1145" s="8"/>
    </row>
    <row r="1146" spans="1:12" customFormat="1" x14ac:dyDescent="0.25">
      <c r="A1146" s="545"/>
      <c r="B1146" s="242"/>
      <c r="C1146" s="3"/>
      <c r="D1146" t="s">
        <v>142</v>
      </c>
      <c r="F1146" s="537" t="s">
        <v>3</v>
      </c>
      <c r="G1146" s="10">
        <f>G1144/4</f>
        <v>7.5000000000000002E-4</v>
      </c>
      <c r="H1146" s="10"/>
      <c r="K1146" s="547"/>
      <c r="L1146" s="8"/>
    </row>
    <row r="1147" spans="1:12" customFormat="1" x14ac:dyDescent="0.25">
      <c r="A1147" s="545"/>
      <c r="B1147" s="242"/>
      <c r="C1147" s="3"/>
      <c r="D1147" t="s">
        <v>143</v>
      </c>
      <c r="F1147" s="537" t="s">
        <v>3</v>
      </c>
      <c r="G1147" s="10">
        <v>3.0000000000000001E-3</v>
      </c>
      <c r="H1147" s="10"/>
      <c r="K1147" s="547"/>
      <c r="L1147" s="8"/>
    </row>
    <row r="1148" spans="1:12" customFormat="1" x14ac:dyDescent="0.25">
      <c r="A1148" s="545"/>
      <c r="B1148" s="242"/>
      <c r="C1148" s="3"/>
      <c r="D1148" t="s">
        <v>8</v>
      </c>
      <c r="F1148" s="537" t="s">
        <v>3</v>
      </c>
      <c r="G1148" s="10">
        <v>3.0000000000000001E-3</v>
      </c>
      <c r="H1148" s="10"/>
      <c r="K1148" s="547"/>
      <c r="L1148" s="8"/>
    </row>
    <row r="1149" spans="1:12" customFormat="1" x14ac:dyDescent="0.25">
      <c r="A1149" s="545"/>
      <c r="B1149" s="242"/>
      <c r="C1149" s="3"/>
      <c r="D1149" t="s">
        <v>5794</v>
      </c>
      <c r="F1149" s="537" t="s">
        <v>3</v>
      </c>
      <c r="G1149" s="10">
        <v>3.0000000000000001E-3</v>
      </c>
      <c r="H1149" s="10"/>
      <c r="K1149" s="547"/>
      <c r="L1149" s="8"/>
    </row>
    <row r="1150" spans="1:12" customFormat="1" x14ac:dyDescent="0.25">
      <c r="A1150" s="545"/>
      <c r="B1150" s="242"/>
      <c r="C1150" s="3"/>
      <c r="D1150" t="s">
        <v>12</v>
      </c>
      <c r="F1150" s="537" t="s">
        <v>3</v>
      </c>
      <c r="G1150" s="10">
        <f>0.3*(G1149+G1148+G1147)</f>
        <v>2.7000000000000001E-3</v>
      </c>
      <c r="H1150" s="10"/>
      <c r="K1150" s="547"/>
      <c r="L1150" s="8"/>
    </row>
    <row r="1151" spans="1:12" customFormat="1" x14ac:dyDescent="0.25">
      <c r="A1151" s="545"/>
      <c r="B1151" s="242"/>
      <c r="C1151" s="3"/>
      <c r="E1151" s="3" t="s">
        <v>5795</v>
      </c>
      <c r="G1151" s="10"/>
      <c r="H1151" s="10"/>
      <c r="K1151" s="547"/>
      <c r="L1151" s="8"/>
    </row>
    <row r="1152" spans="1:12" customFormat="1" x14ac:dyDescent="0.25">
      <c r="A1152" s="545"/>
      <c r="B1152" s="242"/>
      <c r="C1152" s="3"/>
      <c r="E1152" t="s">
        <v>5796</v>
      </c>
      <c r="F1152" s="537" t="s">
        <v>3</v>
      </c>
      <c r="G1152" s="10">
        <v>1.2999999999999999E-2</v>
      </c>
      <c r="H1152" s="10"/>
      <c r="I1152" t="s">
        <v>1531</v>
      </c>
      <c r="K1152" s="547"/>
      <c r="L1152" s="8"/>
    </row>
    <row r="1153" spans="1:12" customFormat="1" x14ac:dyDescent="0.25">
      <c r="A1153" s="545"/>
      <c r="B1153" s="242"/>
      <c r="C1153" s="3"/>
      <c r="F1153" s="537"/>
      <c r="G1153" s="10"/>
      <c r="H1153" s="10"/>
      <c r="K1153" s="547"/>
      <c r="L1153" s="8"/>
    </row>
    <row r="1154" spans="1:12" customFormat="1" x14ac:dyDescent="0.25">
      <c r="A1154" s="545"/>
      <c r="B1154" s="565"/>
      <c r="C1154" s="3" t="s">
        <v>5799</v>
      </c>
      <c r="F1154" s="537"/>
      <c r="G1154" s="10"/>
      <c r="H1154" s="10"/>
      <c r="K1154" s="547"/>
      <c r="L1154" s="8"/>
    </row>
    <row r="1155" spans="1:12" customFormat="1" x14ac:dyDescent="0.25">
      <c r="A1155" s="545"/>
      <c r="B1155" s="242"/>
      <c r="C1155" s="77" t="s">
        <v>39</v>
      </c>
      <c r="F1155" s="537" t="s">
        <v>3</v>
      </c>
      <c r="G1155" s="10">
        <v>2E-3</v>
      </c>
      <c r="H1155" s="10"/>
      <c r="K1155" s="547"/>
      <c r="L1155" s="8"/>
    </row>
    <row r="1156" spans="1:12" customFormat="1" ht="17.25" x14ac:dyDescent="0.25">
      <c r="A1156" s="545"/>
      <c r="B1156" s="242"/>
      <c r="C1156" s="77" t="s">
        <v>1055</v>
      </c>
      <c r="F1156" s="566" t="s">
        <v>5442</v>
      </c>
      <c r="G1156" s="10">
        <f>G1155</f>
        <v>2E-3</v>
      </c>
      <c r="H1156" s="10"/>
      <c r="K1156" s="547"/>
      <c r="L1156" s="8"/>
    </row>
    <row r="1157" spans="1:12" customFormat="1" x14ac:dyDescent="0.25">
      <c r="A1157" s="545"/>
      <c r="B1157" s="242"/>
      <c r="C1157" s="3"/>
      <c r="D1157" s="54" t="s">
        <v>5800</v>
      </c>
      <c r="E1157" s="8"/>
      <c r="F1157" s="537"/>
      <c r="G1157" s="10"/>
      <c r="H1157" s="10"/>
      <c r="K1157" s="547"/>
      <c r="L1157" s="8"/>
    </row>
    <row r="1158" spans="1:12" customFormat="1" x14ac:dyDescent="0.25">
      <c r="A1158" s="545"/>
      <c r="B1158" s="242"/>
      <c r="C1158" s="3"/>
      <c r="D1158" t="s">
        <v>140</v>
      </c>
      <c r="F1158" s="537" t="s">
        <v>3</v>
      </c>
      <c r="G1158" s="10">
        <v>1.4999999999999999E-2</v>
      </c>
      <c r="H1158" s="10"/>
      <c r="K1158" s="547"/>
      <c r="L1158" s="8"/>
    </row>
    <row r="1159" spans="1:12" customFormat="1" ht="17.25" x14ac:dyDescent="0.25">
      <c r="A1159" s="545"/>
      <c r="B1159" s="242"/>
      <c r="C1159" s="3"/>
      <c r="D1159" t="s">
        <v>23</v>
      </c>
      <c r="F1159" s="566" t="s">
        <v>5442</v>
      </c>
      <c r="G1159" s="10">
        <f>G1158*2</f>
        <v>0.03</v>
      </c>
      <c r="H1159" s="10"/>
      <c r="K1159" s="547"/>
      <c r="L1159" s="8"/>
    </row>
    <row r="1160" spans="1:12" customFormat="1" x14ac:dyDescent="0.25">
      <c r="A1160" s="545"/>
      <c r="B1160" s="242"/>
      <c r="C1160" s="3"/>
      <c r="D1160" t="s">
        <v>142</v>
      </c>
      <c r="F1160" s="537" t="s">
        <v>3</v>
      </c>
      <c r="G1160" s="10">
        <f>G1158/4</f>
        <v>3.7499999999999999E-3</v>
      </c>
      <c r="H1160" s="10"/>
      <c r="K1160" s="547"/>
      <c r="L1160" s="8"/>
    </row>
    <row r="1161" spans="1:12" customFormat="1" x14ac:dyDescent="0.25">
      <c r="A1161" s="545"/>
      <c r="B1161" s="242"/>
      <c r="C1161" s="3"/>
      <c r="E1161" s="3" t="s">
        <v>5801</v>
      </c>
      <c r="F1161" s="537"/>
      <c r="G1161" s="10"/>
      <c r="H1161" s="10"/>
      <c r="K1161" s="547"/>
      <c r="L1161" s="8"/>
    </row>
    <row r="1162" spans="1:12" customFormat="1" x14ac:dyDescent="0.25">
      <c r="A1162" s="545"/>
      <c r="B1162" s="242"/>
      <c r="C1162" s="3"/>
      <c r="E1162" t="s">
        <v>5802</v>
      </c>
      <c r="F1162" s="537" t="s">
        <v>3</v>
      </c>
      <c r="G1162" s="10">
        <v>5.7000000000000002E-2</v>
      </c>
      <c r="H1162" s="10"/>
      <c r="K1162" s="547"/>
      <c r="L1162" s="8"/>
    </row>
    <row r="1163" spans="1:12" customFormat="1" x14ac:dyDescent="0.25">
      <c r="A1163" s="545"/>
      <c r="B1163" s="242"/>
      <c r="C1163" s="3"/>
      <c r="D1163" s="3" t="s">
        <v>5803</v>
      </c>
      <c r="F1163" s="537"/>
      <c r="G1163" s="10"/>
      <c r="H1163" s="10"/>
      <c r="K1163" s="547"/>
      <c r="L1163" s="8"/>
    </row>
    <row r="1164" spans="1:12" customFormat="1" x14ac:dyDescent="0.25">
      <c r="A1164" s="545"/>
      <c r="B1164" s="242"/>
      <c r="C1164" s="3"/>
      <c r="D1164" s="25" t="s">
        <v>5804</v>
      </c>
      <c r="F1164" s="537" t="s">
        <v>3</v>
      </c>
      <c r="G1164" s="10">
        <v>7.0000000000000001E-3</v>
      </c>
      <c r="H1164" s="10"/>
      <c r="K1164" s="547"/>
      <c r="L1164" s="8"/>
    </row>
    <row r="1165" spans="1:12" customFormat="1" x14ac:dyDescent="0.25">
      <c r="A1165" s="545"/>
      <c r="B1165" s="242"/>
      <c r="C1165" s="3"/>
      <c r="F1165" s="537"/>
      <c r="G1165" s="10"/>
      <c r="H1165" s="10"/>
      <c r="K1165" s="547"/>
      <c r="L1165" s="8"/>
    </row>
    <row r="1166" spans="1:12" customFormat="1" x14ac:dyDescent="0.25">
      <c r="A1166" s="545"/>
      <c r="B1166" s="565"/>
      <c r="C1166" s="3" t="s">
        <v>5805</v>
      </c>
      <c r="F1166" s="537"/>
      <c r="G1166" s="10"/>
      <c r="H1166" s="10"/>
      <c r="K1166" s="547"/>
      <c r="L1166" s="8"/>
    </row>
    <row r="1167" spans="1:12" customFormat="1" x14ac:dyDescent="0.25">
      <c r="A1167" s="545"/>
      <c r="B1167" s="242"/>
      <c r="C1167" s="3"/>
      <c r="D1167" t="s">
        <v>5796</v>
      </c>
      <c r="F1167" s="537" t="s">
        <v>3</v>
      </c>
      <c r="G1167" s="10">
        <v>0.17499999999999999</v>
      </c>
      <c r="H1167" s="10"/>
      <c r="I1167" t="s">
        <v>5806</v>
      </c>
      <c r="K1167" s="547"/>
      <c r="L1167" s="8"/>
    </row>
    <row r="1168" spans="1:12" customFormat="1" x14ac:dyDescent="0.25">
      <c r="A1168" s="545"/>
      <c r="B1168" s="242"/>
      <c r="C1168" s="3"/>
      <c r="D1168" t="s">
        <v>5152</v>
      </c>
      <c r="F1168" s="537" t="s">
        <v>3</v>
      </c>
      <c r="G1168" s="10">
        <f>G1170*0.8</f>
        <v>2.01344E-2</v>
      </c>
      <c r="H1168" s="10"/>
      <c r="K1168" s="547"/>
      <c r="L1168" s="8"/>
    </row>
    <row r="1169" spans="1:12" customFormat="1" x14ac:dyDescent="0.25">
      <c r="A1169" s="545"/>
      <c r="B1169" s="242"/>
      <c r="C1169" s="3"/>
      <c r="D1169" t="s">
        <v>12</v>
      </c>
      <c r="F1169" s="537" t="s">
        <v>3</v>
      </c>
      <c r="G1169" s="10">
        <f>0.3*G1168</f>
        <v>6.0403200000000001E-3</v>
      </c>
      <c r="H1169" s="10"/>
      <c r="K1169" s="547"/>
      <c r="L1169" s="8"/>
    </row>
    <row r="1170" spans="1:12" customFormat="1" x14ac:dyDescent="0.25">
      <c r="A1170" s="545"/>
      <c r="B1170" s="242"/>
      <c r="C1170" s="3"/>
      <c r="D1170" t="s">
        <v>72</v>
      </c>
      <c r="F1170" s="537" t="s">
        <v>3</v>
      </c>
      <c r="G1170" s="10">
        <f>0.88*0.011*2*1.3</f>
        <v>2.5167999999999999E-2</v>
      </c>
      <c r="H1170" s="10"/>
      <c r="K1170" s="547"/>
      <c r="L1170" s="8"/>
    </row>
    <row r="1171" spans="1:12" customFormat="1" x14ac:dyDescent="0.25">
      <c r="A1171" s="545"/>
      <c r="B1171" s="242"/>
      <c r="C1171" s="3"/>
      <c r="D1171" t="s">
        <v>11</v>
      </c>
      <c r="F1171" s="537" t="s">
        <v>3</v>
      </c>
      <c r="G1171" s="10">
        <f>0.3*G1170</f>
        <v>7.5503999999999996E-3</v>
      </c>
      <c r="H1171" s="10"/>
      <c r="K1171" s="547"/>
      <c r="L1171" s="8"/>
    </row>
    <row r="1172" spans="1:12" customFormat="1" x14ac:dyDescent="0.25">
      <c r="A1172" s="545"/>
      <c r="B1172" s="242"/>
      <c r="C1172" s="3"/>
      <c r="F1172" s="537"/>
      <c r="G1172" s="10"/>
      <c r="H1172" s="10"/>
      <c r="K1172" s="547"/>
      <c r="L1172" s="8"/>
    </row>
    <row r="1173" spans="1:12" customFormat="1" x14ac:dyDescent="0.25">
      <c r="A1173" s="545"/>
      <c r="B1173" s="565"/>
      <c r="C1173" s="3" t="s">
        <v>5807</v>
      </c>
      <c r="F1173" s="537"/>
      <c r="G1173" s="10"/>
      <c r="H1173" s="10"/>
      <c r="K1173" s="547"/>
      <c r="L1173" s="8"/>
    </row>
    <row r="1174" spans="1:12" customFormat="1" x14ac:dyDescent="0.25">
      <c r="A1174" s="545"/>
      <c r="B1174" s="242"/>
      <c r="D1174" t="s">
        <v>5808</v>
      </c>
      <c r="F1174" s="537" t="s">
        <v>195</v>
      </c>
      <c r="G1174" s="10">
        <v>0.08</v>
      </c>
      <c r="H1174" s="10"/>
      <c r="K1174" s="547"/>
      <c r="L1174" s="8"/>
    </row>
    <row r="1175" spans="1:12" customFormat="1" x14ac:dyDescent="0.25">
      <c r="A1175" s="545"/>
      <c r="B1175" s="242"/>
      <c r="F1175" s="537"/>
      <c r="G1175" s="10"/>
      <c r="H1175" s="10"/>
      <c r="K1175" s="547"/>
      <c r="L1175" s="8"/>
    </row>
    <row r="1176" spans="1:12" customFormat="1" x14ac:dyDescent="0.25">
      <c r="A1176" s="545"/>
      <c r="B1176" s="565"/>
      <c r="C1176" s="3" t="s">
        <v>5809</v>
      </c>
      <c r="F1176" s="537"/>
      <c r="G1176" s="10"/>
      <c r="H1176" s="10"/>
      <c r="K1176" s="547"/>
      <c r="L1176" s="8"/>
    </row>
    <row r="1177" spans="1:12" customFormat="1" x14ac:dyDescent="0.25">
      <c r="A1177" s="545"/>
      <c r="B1177" s="242"/>
      <c r="D1177" t="s">
        <v>55</v>
      </c>
      <c r="F1177" s="537" t="s">
        <v>3</v>
      </c>
      <c r="G1177" s="10">
        <f>0.06*0.06*3*8*1.05</f>
        <v>9.0720000000000009E-2</v>
      </c>
      <c r="H1177" s="10"/>
      <c r="K1177" s="547"/>
      <c r="L1177" s="8"/>
    </row>
    <row r="1178" spans="1:12" customFormat="1" x14ac:dyDescent="0.25">
      <c r="A1178" s="545"/>
      <c r="B1178" s="242"/>
      <c r="F1178" s="537"/>
      <c r="G1178" s="10"/>
      <c r="H1178" s="10"/>
      <c r="K1178" s="547"/>
      <c r="L1178" s="8"/>
    </row>
    <row r="1179" spans="1:12" customFormat="1" ht="18.75" x14ac:dyDescent="0.3">
      <c r="A1179" s="545"/>
      <c r="B1179" s="568" t="s">
        <v>5810</v>
      </c>
      <c r="E1179" s="46" t="s">
        <v>5811</v>
      </c>
      <c r="F1179" s="537"/>
      <c r="G1179" s="10"/>
      <c r="H1179" s="10"/>
      <c r="K1179" s="547"/>
      <c r="L1179" s="8"/>
    </row>
    <row r="1180" spans="1:12" customFormat="1" x14ac:dyDescent="0.25">
      <c r="A1180" s="545"/>
      <c r="B1180" s="242"/>
      <c r="F1180" s="537"/>
      <c r="G1180" s="10"/>
      <c r="H1180" s="10"/>
      <c r="K1180" s="547"/>
      <c r="L1180" s="8"/>
    </row>
    <row r="1181" spans="1:12" customFormat="1" x14ac:dyDescent="0.25">
      <c r="A1181" s="545"/>
      <c r="B1181" s="565"/>
      <c r="C1181" s="3" t="s">
        <v>5812</v>
      </c>
      <c r="F1181" s="537"/>
      <c r="G1181" s="10"/>
      <c r="H1181" s="10"/>
      <c r="K1181" s="547"/>
      <c r="L1181" s="8"/>
    </row>
    <row r="1182" spans="1:12" customFormat="1" x14ac:dyDescent="0.25">
      <c r="A1182" s="545"/>
      <c r="B1182" s="545"/>
      <c r="C1182" t="s">
        <v>140</v>
      </c>
      <c r="F1182" s="537" t="s">
        <v>3</v>
      </c>
      <c r="G1182" s="10">
        <f>0.008*3.14*8*0.08*1.3</f>
        <v>2.0899839999999999E-2</v>
      </c>
      <c r="H1182" s="10"/>
      <c r="K1182" s="547"/>
      <c r="L1182" s="8"/>
    </row>
    <row r="1183" spans="1:12" customFormat="1" ht="17.25" x14ac:dyDescent="0.25">
      <c r="A1183" s="545"/>
      <c r="B1183" s="545"/>
      <c r="C1183" t="s">
        <v>23</v>
      </c>
      <c r="F1183" s="566" t="s">
        <v>5442</v>
      </c>
      <c r="G1183" s="10">
        <f>G1182*2</f>
        <v>4.1799679999999999E-2</v>
      </c>
      <c r="H1183" s="10"/>
      <c r="K1183" s="547"/>
      <c r="L1183" s="8"/>
    </row>
    <row r="1184" spans="1:12" customFormat="1" x14ac:dyDescent="0.25">
      <c r="A1184" s="545"/>
      <c r="B1184" s="545"/>
      <c r="C1184" t="s">
        <v>142</v>
      </c>
      <c r="F1184" s="537" t="s">
        <v>3</v>
      </c>
      <c r="G1184" s="10">
        <f>G1182/4</f>
        <v>5.2249599999999998E-3</v>
      </c>
      <c r="H1184" s="10"/>
      <c r="K1184" s="547"/>
      <c r="L1184" s="8"/>
    </row>
    <row r="1185" spans="1:12" customFormat="1" x14ac:dyDescent="0.25">
      <c r="A1185" s="545"/>
      <c r="B1185" s="545"/>
      <c r="C1185" s="25" t="s">
        <v>143</v>
      </c>
      <c r="F1185" s="537" t="s">
        <v>3</v>
      </c>
      <c r="G1185" s="10">
        <v>3.5000000000000003E-2</v>
      </c>
      <c r="H1185" s="10"/>
      <c r="K1185" s="547"/>
      <c r="L1185" s="8"/>
    </row>
    <row r="1186" spans="1:12" customFormat="1" x14ac:dyDescent="0.25">
      <c r="A1186" s="545"/>
      <c r="B1186" s="242"/>
      <c r="C1186" s="25" t="s">
        <v>8</v>
      </c>
      <c r="F1186" s="537" t="s">
        <v>3</v>
      </c>
      <c r="G1186" s="10">
        <f>0.86*G1187</f>
        <v>3.4714415999999998E-2</v>
      </c>
      <c r="H1186" s="10"/>
      <c r="K1186" s="547"/>
      <c r="L1186" s="8"/>
    </row>
    <row r="1187" spans="1:12" customFormat="1" x14ac:dyDescent="0.25">
      <c r="A1187" s="545"/>
      <c r="B1187" s="242"/>
      <c r="C1187" s="25" t="s">
        <v>5794</v>
      </c>
      <c r="F1187" s="537" t="s">
        <v>3</v>
      </c>
      <c r="G1187" s="10">
        <f>1.32*0.011*2*1.39</f>
        <v>4.0365599999999995E-2</v>
      </c>
      <c r="H1187" s="10"/>
      <c r="K1187" s="547"/>
      <c r="L1187" s="8"/>
    </row>
    <row r="1188" spans="1:12" customFormat="1" x14ac:dyDescent="0.25">
      <c r="A1188" s="545"/>
      <c r="B1188" s="242"/>
      <c r="C1188" s="25" t="s">
        <v>12</v>
      </c>
      <c r="F1188" s="537" t="s">
        <v>3</v>
      </c>
      <c r="G1188" s="10">
        <f>0.3*(G1187+G1186+G1185)</f>
        <v>3.3024004799999999E-2</v>
      </c>
      <c r="H1188" s="10"/>
      <c r="K1188" s="547"/>
      <c r="L1188" s="8"/>
    </row>
    <row r="1189" spans="1:12" customFormat="1" x14ac:dyDescent="0.25">
      <c r="A1189" s="545"/>
      <c r="B1189" s="242"/>
      <c r="C1189" s="25"/>
      <c r="D1189" s="3" t="s">
        <v>5813</v>
      </c>
      <c r="F1189" s="537"/>
      <c r="G1189" s="10"/>
      <c r="H1189" s="10"/>
      <c r="K1189" s="547"/>
      <c r="L1189" s="8"/>
    </row>
    <row r="1190" spans="1:12" customFormat="1" x14ac:dyDescent="0.25">
      <c r="A1190" s="545"/>
      <c r="B1190" s="242"/>
      <c r="C1190" s="25"/>
      <c r="D1190" t="s">
        <v>5814</v>
      </c>
      <c r="F1190" s="537" t="s">
        <v>3</v>
      </c>
      <c r="G1190" s="10">
        <v>0.15</v>
      </c>
      <c r="H1190" s="10"/>
      <c r="I1190" t="s">
        <v>5815</v>
      </c>
      <c r="K1190" s="547"/>
      <c r="L1190" s="8"/>
    </row>
    <row r="1191" spans="1:12" customFormat="1" x14ac:dyDescent="0.25">
      <c r="A1191" s="545"/>
      <c r="B1191" s="242"/>
      <c r="C1191" s="25"/>
      <c r="D1191" s="3" t="s">
        <v>5816</v>
      </c>
      <c r="F1191" s="537"/>
      <c r="G1191" s="10"/>
      <c r="H1191" s="10"/>
      <c r="K1191" s="547"/>
      <c r="L1191" s="8"/>
    </row>
    <row r="1192" spans="1:12" customFormat="1" x14ac:dyDescent="0.25">
      <c r="A1192" s="545"/>
      <c r="B1192" s="242"/>
      <c r="C1192" s="25"/>
      <c r="D1192" t="s">
        <v>5814</v>
      </c>
      <c r="F1192" s="537" t="s">
        <v>3</v>
      </c>
      <c r="G1192" s="10">
        <v>0.08</v>
      </c>
      <c r="H1192" s="10"/>
      <c r="I1192" t="s">
        <v>5817</v>
      </c>
      <c r="K1192" s="547"/>
      <c r="L1192" s="8"/>
    </row>
    <row r="1193" spans="1:12" customFormat="1" x14ac:dyDescent="0.25">
      <c r="A1193" s="545"/>
      <c r="B1193" s="242"/>
      <c r="C1193" s="25"/>
      <c r="D1193" s="3" t="s">
        <v>5818</v>
      </c>
      <c r="F1193" s="537"/>
      <c r="G1193" s="10"/>
      <c r="H1193" s="10"/>
      <c r="K1193" s="547"/>
      <c r="L1193" s="8"/>
    </row>
    <row r="1194" spans="1:12" customFormat="1" x14ac:dyDescent="0.25">
      <c r="A1194" s="545"/>
      <c r="B1194" s="242"/>
      <c r="C1194" s="25"/>
      <c r="D1194" t="s">
        <v>5814</v>
      </c>
      <c r="F1194" s="537" t="s">
        <v>3</v>
      </c>
      <c r="G1194" s="10">
        <v>4.5999999999999999E-2</v>
      </c>
      <c r="H1194" s="10"/>
      <c r="I1194" t="s">
        <v>5819</v>
      </c>
      <c r="K1194" s="547"/>
      <c r="L1194" s="8"/>
    </row>
    <row r="1195" spans="1:12" customFormat="1" x14ac:dyDescent="0.25">
      <c r="A1195" s="545"/>
      <c r="B1195" s="242"/>
      <c r="C1195" s="25"/>
      <c r="D1195" s="3" t="s">
        <v>5820</v>
      </c>
      <c r="F1195" s="537"/>
      <c r="G1195" s="10"/>
      <c r="H1195" s="10"/>
      <c r="K1195" s="547"/>
      <c r="L1195" s="8"/>
    </row>
    <row r="1196" spans="1:12" customFormat="1" x14ac:dyDescent="0.25">
      <c r="A1196" s="545"/>
      <c r="B1196" s="242"/>
      <c r="C1196" s="3"/>
      <c r="D1196" t="s">
        <v>5814</v>
      </c>
      <c r="F1196" s="537" t="s">
        <v>3</v>
      </c>
      <c r="G1196" s="10">
        <v>6.8000000000000005E-2</v>
      </c>
      <c r="H1196" s="10"/>
      <c r="I1196" t="s">
        <v>1333</v>
      </c>
      <c r="K1196" s="547"/>
      <c r="L1196" s="8"/>
    </row>
    <row r="1197" spans="1:12" customFormat="1" x14ac:dyDescent="0.25">
      <c r="A1197" s="545"/>
      <c r="B1197" s="242"/>
      <c r="C1197" s="3"/>
      <c r="D1197" s="3" t="s">
        <v>5821</v>
      </c>
      <c r="F1197" s="537"/>
      <c r="G1197" s="10"/>
      <c r="H1197" s="10"/>
      <c r="K1197" s="547"/>
      <c r="L1197" s="8"/>
    </row>
    <row r="1198" spans="1:12" customFormat="1" x14ac:dyDescent="0.25">
      <c r="A1198" s="545"/>
      <c r="B1198" s="242"/>
      <c r="C1198" s="3"/>
      <c r="D1198" t="s">
        <v>5814</v>
      </c>
      <c r="F1198" s="537" t="s">
        <v>3</v>
      </c>
      <c r="G1198" s="10">
        <v>3.4000000000000002E-2</v>
      </c>
      <c r="H1198" s="10"/>
      <c r="I1198" t="s">
        <v>4582</v>
      </c>
      <c r="K1198" s="547"/>
      <c r="L1198" s="8"/>
    </row>
    <row r="1199" spans="1:12" customFormat="1" x14ac:dyDescent="0.25">
      <c r="A1199" s="545"/>
      <c r="B1199" s="242"/>
      <c r="C1199" s="3"/>
      <c r="F1199" s="537"/>
      <c r="G1199" s="10"/>
      <c r="H1199" s="10"/>
      <c r="K1199" s="547"/>
      <c r="L1199" s="8"/>
    </row>
    <row r="1200" spans="1:12" customFormat="1" x14ac:dyDescent="0.25">
      <c r="A1200" s="545"/>
      <c r="B1200" s="565"/>
      <c r="C1200" s="3" t="s">
        <v>5822</v>
      </c>
      <c r="F1200" s="537"/>
      <c r="G1200" s="10"/>
      <c r="H1200" s="10"/>
      <c r="K1200" s="547"/>
      <c r="L1200" s="8"/>
    </row>
    <row r="1201" spans="1:12" customFormat="1" x14ac:dyDescent="0.25">
      <c r="A1201" s="545"/>
      <c r="B1201" s="242"/>
      <c r="C1201" t="s">
        <v>140</v>
      </c>
      <c r="F1201" s="537" t="s">
        <v>3</v>
      </c>
      <c r="G1201" s="10">
        <f>0.008*3.14*4*0.08*1.3</f>
        <v>1.044992E-2</v>
      </c>
      <c r="H1201" s="10"/>
      <c r="K1201" s="547"/>
      <c r="L1201" s="8"/>
    </row>
    <row r="1202" spans="1:12" customFormat="1" ht="17.25" x14ac:dyDescent="0.25">
      <c r="A1202" s="545"/>
      <c r="B1202" s="242"/>
      <c r="C1202" t="s">
        <v>23</v>
      </c>
      <c r="F1202" s="566" t="s">
        <v>5442</v>
      </c>
      <c r="G1202" s="10">
        <f>G1201*2</f>
        <v>2.0899839999999999E-2</v>
      </c>
      <c r="H1202" s="10"/>
      <c r="K1202" s="547"/>
      <c r="L1202" s="8"/>
    </row>
    <row r="1203" spans="1:12" customFormat="1" x14ac:dyDescent="0.25">
      <c r="A1203" s="545"/>
      <c r="B1203" s="242"/>
      <c r="C1203" t="s">
        <v>142</v>
      </c>
      <c r="F1203" s="537" t="s">
        <v>3</v>
      </c>
      <c r="G1203" s="10">
        <f>G1201/4</f>
        <v>2.6124799999999999E-3</v>
      </c>
      <c r="H1203" s="10"/>
      <c r="K1203" s="547"/>
      <c r="L1203" s="8"/>
    </row>
    <row r="1204" spans="1:12" customFormat="1" x14ac:dyDescent="0.25">
      <c r="A1204" s="545"/>
      <c r="B1204" s="242"/>
      <c r="C1204" s="25" t="s">
        <v>143</v>
      </c>
      <c r="F1204" s="537" t="s">
        <v>3</v>
      </c>
      <c r="G1204" s="10">
        <f>G1205</f>
        <v>0.01</v>
      </c>
      <c r="H1204" s="10"/>
      <c r="K1204" s="547"/>
      <c r="L1204" s="8"/>
    </row>
    <row r="1205" spans="1:12" customFormat="1" x14ac:dyDescent="0.25">
      <c r="A1205" s="545"/>
      <c r="B1205" s="242"/>
      <c r="C1205" s="25" t="s">
        <v>8</v>
      </c>
      <c r="F1205" s="537" t="s">
        <v>3</v>
      </c>
      <c r="G1205" s="10">
        <v>0.01</v>
      </c>
      <c r="H1205" s="10"/>
      <c r="K1205" s="547"/>
      <c r="L1205" s="8"/>
    </row>
    <row r="1206" spans="1:12" customFormat="1" x14ac:dyDescent="0.25">
      <c r="A1206" s="545"/>
      <c r="B1206" s="242"/>
      <c r="C1206" s="25" t="s">
        <v>5794</v>
      </c>
      <c r="F1206" s="537" t="s">
        <v>3</v>
      </c>
      <c r="G1206" s="10">
        <f>0.35*0.011*2*1.3</f>
        <v>1.001E-2</v>
      </c>
      <c r="H1206" s="10"/>
      <c r="K1206" s="547"/>
      <c r="L1206" s="8"/>
    </row>
    <row r="1207" spans="1:12" customFormat="1" x14ac:dyDescent="0.25">
      <c r="A1207" s="545"/>
      <c r="B1207" s="242"/>
      <c r="C1207" s="25" t="s">
        <v>12</v>
      </c>
      <c r="F1207" s="537" t="s">
        <v>3</v>
      </c>
      <c r="G1207" s="10">
        <f>0.3*(G1206+G1205+G1204)</f>
        <v>9.0030000000000006E-3</v>
      </c>
      <c r="H1207" s="10"/>
      <c r="K1207" s="547"/>
      <c r="L1207" s="8"/>
    </row>
    <row r="1208" spans="1:12" customFormat="1" x14ac:dyDescent="0.25">
      <c r="A1208" s="545"/>
      <c r="B1208" s="242"/>
      <c r="C1208" s="25"/>
      <c r="D1208" s="3" t="s">
        <v>5823</v>
      </c>
      <c r="F1208" s="537"/>
      <c r="G1208" s="10"/>
      <c r="H1208" s="10"/>
      <c r="K1208" s="547"/>
      <c r="L1208" s="8"/>
    </row>
    <row r="1209" spans="1:12" customFormat="1" x14ac:dyDescent="0.25">
      <c r="A1209" s="545"/>
      <c r="B1209" s="242"/>
      <c r="C1209" s="25"/>
      <c r="D1209" t="s">
        <v>5814</v>
      </c>
      <c r="F1209" s="537" t="s">
        <v>3</v>
      </c>
      <c r="G1209" s="10">
        <v>6.8000000000000005E-2</v>
      </c>
      <c r="H1209" s="10"/>
      <c r="I1209" t="s">
        <v>5824</v>
      </c>
      <c r="K1209" s="547"/>
      <c r="L1209" s="8"/>
    </row>
    <row r="1210" spans="1:12" customFormat="1" x14ac:dyDescent="0.25">
      <c r="A1210" s="545"/>
      <c r="B1210" s="242"/>
      <c r="C1210" s="25"/>
      <c r="D1210" s="3" t="s">
        <v>5825</v>
      </c>
      <c r="F1210" s="537"/>
      <c r="G1210" s="10"/>
      <c r="H1210" s="10"/>
      <c r="K1210" s="547"/>
      <c r="L1210" s="8"/>
    </row>
    <row r="1211" spans="1:12" customFormat="1" x14ac:dyDescent="0.25">
      <c r="A1211" s="545"/>
      <c r="B1211" s="242"/>
      <c r="C1211" s="25"/>
      <c r="D1211" t="s">
        <v>5814</v>
      </c>
      <c r="F1211" s="537" t="s">
        <v>3</v>
      </c>
      <c r="G1211" s="10">
        <v>3.4000000000000002E-2</v>
      </c>
      <c r="H1211" s="10"/>
      <c r="I1211" t="s">
        <v>5826</v>
      </c>
      <c r="K1211" s="547"/>
      <c r="L1211" s="8"/>
    </row>
    <row r="1212" spans="1:12" customFormat="1" x14ac:dyDescent="0.25">
      <c r="A1212" s="545"/>
      <c r="B1212" s="545"/>
      <c r="C1212" s="3"/>
      <c r="F1212" s="537"/>
      <c r="G1212" s="10"/>
      <c r="H1212" s="10"/>
      <c r="K1212" s="547"/>
      <c r="L1212" s="8"/>
    </row>
    <row r="1213" spans="1:12" customFormat="1" x14ac:dyDescent="0.25">
      <c r="A1213" s="545"/>
      <c r="B1213" s="565"/>
      <c r="C1213" s="3" t="s">
        <v>5827</v>
      </c>
      <c r="F1213" s="537"/>
      <c r="G1213" s="10"/>
      <c r="H1213" s="10"/>
      <c r="K1213" s="547"/>
      <c r="L1213" s="8"/>
    </row>
    <row r="1214" spans="1:12" customFormat="1" x14ac:dyDescent="0.25">
      <c r="A1214" s="545"/>
      <c r="B1214" s="242"/>
      <c r="C1214" t="s">
        <v>140</v>
      </c>
      <c r="F1214" s="537" t="s">
        <v>3</v>
      </c>
      <c r="G1214" s="10">
        <f>0.008*3.14*4*0.08*1.3</f>
        <v>1.044992E-2</v>
      </c>
      <c r="H1214" s="10"/>
      <c r="K1214" s="547"/>
      <c r="L1214" s="8"/>
    </row>
    <row r="1215" spans="1:12" customFormat="1" ht="17.25" x14ac:dyDescent="0.25">
      <c r="A1215" s="545"/>
      <c r="B1215" s="242"/>
      <c r="C1215" t="s">
        <v>23</v>
      </c>
      <c r="F1215" s="566" t="s">
        <v>5442</v>
      </c>
      <c r="G1215" s="10">
        <f>G1214*2</f>
        <v>2.0899839999999999E-2</v>
      </c>
      <c r="H1215" s="10"/>
      <c r="K1215" s="547"/>
      <c r="L1215" s="8"/>
    </row>
    <row r="1216" spans="1:12" customFormat="1" x14ac:dyDescent="0.25">
      <c r="A1216" s="545"/>
      <c r="B1216" s="242"/>
      <c r="C1216" t="s">
        <v>142</v>
      </c>
      <c r="F1216" s="537" t="s">
        <v>3</v>
      </c>
      <c r="G1216" s="10">
        <f>G1214/4</f>
        <v>2.6124799999999999E-3</v>
      </c>
      <c r="H1216" s="10"/>
      <c r="K1216" s="547"/>
      <c r="L1216" s="8"/>
    </row>
    <row r="1217" spans="1:12" customFormat="1" x14ac:dyDescent="0.25">
      <c r="A1217" s="545"/>
      <c r="B1217" s="242"/>
      <c r="C1217" s="25" t="s">
        <v>143</v>
      </c>
      <c r="F1217" s="537" t="s">
        <v>3</v>
      </c>
      <c r="G1217" s="10">
        <v>0.01</v>
      </c>
      <c r="H1217" s="10"/>
      <c r="K1217" s="547"/>
      <c r="L1217" s="8"/>
    </row>
    <row r="1218" spans="1:12" customFormat="1" x14ac:dyDescent="0.25">
      <c r="A1218" s="545"/>
      <c r="B1218" s="242"/>
      <c r="C1218" s="25" t="s">
        <v>8</v>
      </c>
      <c r="F1218" s="537" t="s">
        <v>3</v>
      </c>
      <c r="G1218" s="10">
        <v>0.01</v>
      </c>
      <c r="H1218" s="10"/>
      <c r="K1218" s="547"/>
      <c r="L1218" s="8"/>
    </row>
    <row r="1219" spans="1:12" customFormat="1" x14ac:dyDescent="0.25">
      <c r="A1219" s="545"/>
      <c r="B1219" s="242"/>
      <c r="C1219" s="25" t="s">
        <v>5794</v>
      </c>
      <c r="F1219" s="537" t="s">
        <v>3</v>
      </c>
      <c r="G1219" s="10">
        <f>0.4*0.011*1.3*2</f>
        <v>1.1440000000000001E-2</v>
      </c>
      <c r="H1219" s="10"/>
      <c r="K1219" s="547"/>
      <c r="L1219" s="8"/>
    </row>
    <row r="1220" spans="1:12" customFormat="1" x14ac:dyDescent="0.25">
      <c r="A1220" s="545"/>
      <c r="B1220" s="242"/>
      <c r="C1220" s="25" t="s">
        <v>12</v>
      </c>
      <c r="F1220" s="537" t="s">
        <v>3</v>
      </c>
      <c r="G1220" s="10">
        <f>0.3*(G1219+G1218+G1217)</f>
        <v>9.4320000000000011E-3</v>
      </c>
      <c r="H1220" s="10"/>
      <c r="K1220" s="547"/>
      <c r="L1220" s="8"/>
    </row>
    <row r="1221" spans="1:12" customFormat="1" x14ac:dyDescent="0.25">
      <c r="A1221" s="545"/>
      <c r="B1221" s="242"/>
      <c r="C1221" s="25"/>
      <c r="D1221" s="3" t="s">
        <v>5828</v>
      </c>
      <c r="F1221" s="537"/>
      <c r="G1221" s="10"/>
      <c r="H1221" s="10"/>
      <c r="K1221" s="547"/>
      <c r="L1221" s="8"/>
    </row>
    <row r="1222" spans="1:12" customFormat="1" x14ac:dyDescent="0.25">
      <c r="A1222" s="545"/>
      <c r="B1222" s="242"/>
      <c r="C1222" s="25"/>
      <c r="D1222" t="s">
        <v>5814</v>
      </c>
      <c r="F1222" s="537" t="s">
        <v>3</v>
      </c>
      <c r="G1222" s="10">
        <v>0.1</v>
      </c>
      <c r="H1222" s="10"/>
      <c r="I1222" t="s">
        <v>5829</v>
      </c>
      <c r="K1222" s="547"/>
      <c r="L1222" s="8"/>
    </row>
    <row r="1223" spans="1:12" customFormat="1" x14ac:dyDescent="0.25">
      <c r="A1223" s="545"/>
      <c r="B1223" s="242"/>
      <c r="C1223" s="25"/>
      <c r="D1223" s="3" t="s">
        <v>5830</v>
      </c>
      <c r="F1223" s="537"/>
      <c r="G1223" s="10"/>
      <c r="H1223" s="10"/>
      <c r="K1223" s="547"/>
      <c r="L1223" s="8"/>
    </row>
    <row r="1224" spans="1:12" customFormat="1" x14ac:dyDescent="0.25">
      <c r="A1224" s="545"/>
      <c r="B1224" s="242"/>
      <c r="C1224" s="25"/>
      <c r="D1224" t="s">
        <v>5814</v>
      </c>
      <c r="F1224" s="537" t="s">
        <v>3</v>
      </c>
      <c r="G1224" s="10">
        <v>7.0000000000000001E-3</v>
      </c>
      <c r="H1224" s="10"/>
      <c r="I1224" t="s">
        <v>3366</v>
      </c>
      <c r="K1224" s="547"/>
      <c r="L1224" s="8"/>
    </row>
    <row r="1225" spans="1:12" customFormat="1" x14ac:dyDescent="0.25">
      <c r="A1225" s="545"/>
      <c r="B1225" s="242"/>
      <c r="C1225" s="3"/>
      <c r="F1225" s="537"/>
      <c r="G1225" s="10"/>
      <c r="H1225" s="10"/>
      <c r="K1225" s="547"/>
      <c r="L1225" s="8"/>
    </row>
    <row r="1226" spans="1:12" customFormat="1" x14ac:dyDescent="0.25">
      <c r="A1226" s="545"/>
      <c r="B1226" s="565"/>
      <c r="C1226" s="3" t="s">
        <v>5831</v>
      </c>
      <c r="F1226" s="537"/>
      <c r="G1226" s="10"/>
      <c r="H1226" s="10"/>
      <c r="K1226" s="547"/>
      <c r="L1226" s="8"/>
    </row>
    <row r="1227" spans="1:12" customFormat="1" x14ac:dyDescent="0.25">
      <c r="A1227" s="545"/>
      <c r="B1227" s="242"/>
      <c r="C1227" t="s">
        <v>140</v>
      </c>
      <c r="F1227" s="537" t="s">
        <v>3</v>
      </c>
      <c r="G1227" s="10">
        <f>0.008*3.14*2*0.08*1.3</f>
        <v>5.2249599999999998E-3</v>
      </c>
      <c r="H1227" s="10"/>
      <c r="K1227" s="547"/>
      <c r="L1227" s="8"/>
    </row>
    <row r="1228" spans="1:12" customFormat="1" ht="17.25" x14ac:dyDescent="0.25">
      <c r="A1228" s="545"/>
      <c r="B1228" s="242"/>
      <c r="C1228" t="s">
        <v>23</v>
      </c>
      <c r="F1228" s="566" t="s">
        <v>5442</v>
      </c>
      <c r="G1228" s="10">
        <f>G1227*2</f>
        <v>1.044992E-2</v>
      </c>
      <c r="H1228" s="10"/>
      <c r="K1228" s="547"/>
      <c r="L1228" s="8"/>
    </row>
    <row r="1229" spans="1:12" customFormat="1" x14ac:dyDescent="0.25">
      <c r="A1229" s="545"/>
      <c r="B1229" s="242"/>
      <c r="C1229" t="s">
        <v>142</v>
      </c>
      <c r="F1229" s="537" t="s">
        <v>3</v>
      </c>
      <c r="G1229" s="10">
        <f>G1227/4</f>
        <v>1.30624E-3</v>
      </c>
      <c r="H1229" s="10"/>
      <c r="K1229" s="547"/>
      <c r="L1229" s="8"/>
    </row>
    <row r="1230" spans="1:12" customFormat="1" x14ac:dyDescent="0.25">
      <c r="A1230" s="545"/>
      <c r="B1230" s="242"/>
      <c r="C1230" s="25" t="s">
        <v>143</v>
      </c>
      <c r="F1230" s="537" t="s">
        <v>3</v>
      </c>
      <c r="G1230" s="10">
        <f>0.32*0.011*2*1.3</f>
        <v>9.1519999999999987E-3</v>
      </c>
      <c r="H1230" s="10"/>
      <c r="K1230" s="547"/>
      <c r="L1230" s="8"/>
    </row>
    <row r="1231" spans="1:12" customFormat="1" x14ac:dyDescent="0.25">
      <c r="A1231" s="545"/>
      <c r="B1231" s="242"/>
      <c r="C1231" s="25" t="s">
        <v>8</v>
      </c>
      <c r="F1231" s="537" t="s">
        <v>3</v>
      </c>
      <c r="G1231" s="10">
        <f>0.32*0.011*2*1.3</f>
        <v>9.1519999999999987E-3</v>
      </c>
      <c r="H1231" s="10"/>
      <c r="K1231" s="547"/>
      <c r="L1231" s="8"/>
    </row>
    <row r="1232" spans="1:12" customFormat="1" x14ac:dyDescent="0.25">
      <c r="A1232" s="545"/>
      <c r="B1232" s="242"/>
      <c r="C1232" s="25" t="s">
        <v>5794</v>
      </c>
      <c r="F1232" s="537" t="s">
        <v>3</v>
      </c>
      <c r="G1232" s="10">
        <f>0.32*0.011*2*1.3</f>
        <v>9.1519999999999987E-3</v>
      </c>
      <c r="H1232" s="10"/>
      <c r="K1232" s="547"/>
      <c r="L1232" s="8"/>
    </row>
    <row r="1233" spans="1:12" customFormat="1" x14ac:dyDescent="0.25">
      <c r="A1233" s="545"/>
      <c r="B1233" s="242"/>
      <c r="C1233" s="25" t="s">
        <v>12</v>
      </c>
      <c r="F1233" s="537" t="s">
        <v>3</v>
      </c>
      <c r="G1233" s="10">
        <f>0.3*(G1232+G1231+G1230)</f>
        <v>8.2367999999999972E-3</v>
      </c>
      <c r="H1233" s="10"/>
      <c r="K1233" s="547"/>
      <c r="L1233" s="8"/>
    </row>
    <row r="1234" spans="1:12" customFormat="1" x14ac:dyDescent="0.25">
      <c r="A1234" s="545"/>
      <c r="B1234" s="242"/>
      <c r="C1234" s="25"/>
      <c r="D1234" s="3" t="s">
        <v>5832</v>
      </c>
      <c r="F1234" s="537"/>
      <c r="G1234" s="10"/>
      <c r="H1234" s="10"/>
      <c r="K1234" s="547"/>
      <c r="L1234" s="8"/>
    </row>
    <row r="1235" spans="1:12" customFormat="1" x14ac:dyDescent="0.25">
      <c r="A1235" s="545"/>
      <c r="B1235" s="242"/>
      <c r="C1235" s="25"/>
      <c r="D1235" t="s">
        <v>5814</v>
      </c>
      <c r="F1235" s="537" t="s">
        <v>3</v>
      </c>
      <c r="G1235" s="10">
        <v>0.1</v>
      </c>
      <c r="H1235" s="10"/>
      <c r="I1235" t="s">
        <v>5829</v>
      </c>
      <c r="K1235" s="547"/>
      <c r="L1235" s="8"/>
    </row>
    <row r="1236" spans="1:12" customFormat="1" x14ac:dyDescent="0.25">
      <c r="A1236" s="545"/>
      <c r="B1236" s="242"/>
      <c r="C1236" s="3"/>
      <c r="F1236" s="537"/>
      <c r="G1236" s="10"/>
      <c r="H1236" s="10"/>
      <c r="K1236" s="547"/>
      <c r="L1236" s="8"/>
    </row>
    <row r="1237" spans="1:12" customFormat="1" x14ac:dyDescent="0.25">
      <c r="A1237" s="545"/>
      <c r="B1237" s="565"/>
      <c r="C1237" s="3" t="s">
        <v>5833</v>
      </c>
      <c r="F1237" s="537"/>
      <c r="G1237" s="10"/>
      <c r="H1237" s="10"/>
      <c r="K1237" s="547"/>
      <c r="L1237" s="8"/>
    </row>
    <row r="1238" spans="1:12" customFormat="1" x14ac:dyDescent="0.25">
      <c r="A1238" s="545"/>
      <c r="B1238" s="242"/>
      <c r="C1238" s="77" t="s">
        <v>39</v>
      </c>
      <c r="F1238" s="537" t="s">
        <v>3</v>
      </c>
      <c r="G1238" s="10">
        <v>2E-3</v>
      </c>
      <c r="H1238" s="10"/>
      <c r="K1238" s="547"/>
      <c r="L1238" s="8"/>
    </row>
    <row r="1239" spans="1:12" customFormat="1" ht="17.25" x14ac:dyDescent="0.25">
      <c r="A1239" s="545"/>
      <c r="B1239" s="242"/>
      <c r="C1239" s="77" t="s">
        <v>1055</v>
      </c>
      <c r="F1239" s="566" t="s">
        <v>5442</v>
      </c>
      <c r="G1239" s="10">
        <f>G1238</f>
        <v>2E-3</v>
      </c>
      <c r="H1239" s="10"/>
      <c r="K1239" s="547"/>
      <c r="L1239" s="8"/>
    </row>
    <row r="1240" spans="1:12" customFormat="1" x14ac:dyDescent="0.25">
      <c r="A1240" s="545"/>
      <c r="B1240" s="242"/>
      <c r="C1240" s="77"/>
      <c r="D1240" s="3" t="s">
        <v>5834</v>
      </c>
      <c r="F1240" s="566"/>
      <c r="G1240" s="10"/>
      <c r="H1240" s="10"/>
      <c r="K1240" s="547"/>
      <c r="L1240" s="8"/>
    </row>
    <row r="1241" spans="1:12" customFormat="1" x14ac:dyDescent="0.25">
      <c r="A1241" s="545"/>
      <c r="B1241" s="242"/>
      <c r="C1241" s="77"/>
      <c r="D1241" t="s">
        <v>5835</v>
      </c>
      <c r="F1241" s="566" t="s">
        <v>3</v>
      </c>
      <c r="G1241" s="10">
        <f>0.045*0.02*3*8*1.15</f>
        <v>2.4840000000000001E-2</v>
      </c>
      <c r="H1241" s="10"/>
      <c r="K1241" s="547"/>
      <c r="L1241" s="8"/>
    </row>
    <row r="1242" spans="1:12" customFormat="1" x14ac:dyDescent="0.25">
      <c r="A1242" s="545"/>
      <c r="B1242" s="242"/>
      <c r="C1242" s="77"/>
      <c r="D1242" s="3" t="s">
        <v>5836</v>
      </c>
      <c r="F1242" s="566"/>
      <c r="G1242" s="10"/>
      <c r="H1242" s="10"/>
      <c r="K1242" s="547"/>
      <c r="L1242" s="8"/>
    </row>
    <row r="1243" spans="1:12" customFormat="1" x14ac:dyDescent="0.25">
      <c r="A1243" s="545"/>
      <c r="B1243" s="242"/>
      <c r="C1243" s="77"/>
      <c r="D1243" t="s">
        <v>5837</v>
      </c>
      <c r="F1243" s="566" t="s">
        <v>3</v>
      </c>
      <c r="G1243" s="10">
        <f>0.03*0.475*1.6*8*1.1</f>
        <v>0.20064000000000001</v>
      </c>
      <c r="H1243" s="10"/>
      <c r="K1243" s="547"/>
      <c r="L1243" s="8"/>
    </row>
    <row r="1244" spans="1:12" customFormat="1" x14ac:dyDescent="0.25">
      <c r="A1244" s="545"/>
      <c r="B1244" s="242"/>
      <c r="C1244" s="77"/>
      <c r="D1244" s="54" t="s">
        <v>5838</v>
      </c>
      <c r="E1244" s="8"/>
      <c r="F1244" s="566"/>
      <c r="G1244" s="10"/>
      <c r="H1244" s="10"/>
      <c r="K1244" s="547"/>
      <c r="L1244" s="8"/>
    </row>
    <row r="1245" spans="1:12" customFormat="1" x14ac:dyDescent="0.25">
      <c r="A1245" s="545"/>
      <c r="B1245" s="242"/>
      <c r="C1245" s="77"/>
      <c r="D1245" s="25" t="s">
        <v>5835</v>
      </c>
      <c r="F1245" s="566" t="s">
        <v>3</v>
      </c>
      <c r="G1245" s="10">
        <f>0.04*0.02*3*8*1.1</f>
        <v>2.1120000000000003E-2</v>
      </c>
      <c r="H1245" s="10"/>
      <c r="K1245" s="547"/>
      <c r="L1245" s="8"/>
    </row>
    <row r="1246" spans="1:12" customFormat="1" x14ac:dyDescent="0.25">
      <c r="A1246" s="545"/>
      <c r="B1246" s="242"/>
      <c r="C1246" s="3"/>
      <c r="F1246" s="537"/>
      <c r="G1246" s="10"/>
      <c r="H1246" s="10"/>
      <c r="K1246" s="547"/>
      <c r="L1246" s="8"/>
    </row>
    <row r="1247" spans="1:12" customFormat="1" x14ac:dyDescent="0.25">
      <c r="A1247" s="545"/>
      <c r="B1247" s="565"/>
      <c r="C1247" s="3" t="s">
        <v>5839</v>
      </c>
      <c r="F1247" s="537"/>
      <c r="G1247" s="10"/>
      <c r="H1247" s="10"/>
      <c r="K1247" s="547"/>
      <c r="L1247" s="8"/>
    </row>
    <row r="1248" spans="1:12" customFormat="1" x14ac:dyDescent="0.25">
      <c r="A1248" s="545"/>
      <c r="B1248" s="545"/>
      <c r="C1248" s="25" t="s">
        <v>5394</v>
      </c>
      <c r="F1248" s="537" t="s">
        <v>3</v>
      </c>
      <c r="G1248" s="10">
        <f>0.002</f>
        <v>2E-3</v>
      </c>
      <c r="H1248" s="10"/>
      <c r="K1248" s="547"/>
      <c r="L1248" s="8"/>
    </row>
    <row r="1249" spans="1:14" customFormat="1" x14ac:dyDescent="0.25">
      <c r="A1249" s="545"/>
      <c r="B1249" s="242"/>
      <c r="C1249" s="3"/>
      <c r="D1249" s="3" t="s">
        <v>5840</v>
      </c>
      <c r="F1249" s="537"/>
      <c r="G1249" s="10"/>
      <c r="H1249" s="10"/>
      <c r="K1249" s="547"/>
      <c r="L1249" s="8"/>
      <c r="N1249">
        <f>0.6*0.3*0.4*2.7</f>
        <v>0.19439999999999999</v>
      </c>
    </row>
    <row r="1250" spans="1:14" customFormat="1" x14ac:dyDescent="0.25">
      <c r="A1250" s="545"/>
      <c r="B1250" s="242"/>
      <c r="C1250" s="3"/>
      <c r="D1250" s="25" t="s">
        <v>5394</v>
      </c>
      <c r="F1250" s="537" t="s">
        <v>3</v>
      </c>
      <c r="G1250" s="10">
        <f>0.002</f>
        <v>2E-3</v>
      </c>
      <c r="H1250" s="10"/>
      <c r="K1250" s="547"/>
      <c r="L1250" s="8"/>
    </row>
    <row r="1251" spans="1:14" customFormat="1" x14ac:dyDescent="0.25">
      <c r="A1251" s="545"/>
      <c r="B1251" s="242"/>
      <c r="C1251" s="3"/>
      <c r="D1251" s="3"/>
      <c r="E1251" s="3" t="s">
        <v>5841</v>
      </c>
      <c r="F1251" s="537"/>
      <c r="G1251" s="10"/>
      <c r="H1251" s="10"/>
      <c r="K1251" s="547"/>
      <c r="L1251" s="8"/>
    </row>
    <row r="1252" spans="1:14" customFormat="1" x14ac:dyDescent="0.25">
      <c r="A1252" s="545"/>
      <c r="B1252" s="242"/>
      <c r="C1252" s="3"/>
      <c r="D1252" s="3"/>
      <c r="E1252" s="77" t="s">
        <v>39</v>
      </c>
      <c r="F1252" s="537" t="s">
        <v>3</v>
      </c>
      <c r="G1252" s="10">
        <f>0.04*0.08*1.2</f>
        <v>3.8400000000000001E-3</v>
      </c>
      <c r="H1252" s="10"/>
      <c r="K1252" s="547"/>
      <c r="L1252" s="8"/>
    </row>
    <row r="1253" spans="1:14" customFormat="1" ht="17.25" x14ac:dyDescent="0.25">
      <c r="A1253" s="545"/>
      <c r="B1253" s="242"/>
      <c r="C1253" s="3"/>
      <c r="D1253" s="3"/>
      <c r="E1253" s="77" t="s">
        <v>1055</v>
      </c>
      <c r="F1253" s="566" t="s">
        <v>5442</v>
      </c>
      <c r="G1253" s="10">
        <f>G1252</f>
        <v>3.8400000000000001E-3</v>
      </c>
      <c r="H1253" s="10"/>
      <c r="K1253" s="547"/>
      <c r="L1253" s="8"/>
    </row>
    <row r="1254" spans="1:14" customFormat="1" x14ac:dyDescent="0.25">
      <c r="A1254" s="545"/>
      <c r="B1254" s="242"/>
      <c r="C1254" s="3"/>
      <c r="D1254" s="3"/>
      <c r="E1254" s="33" t="s">
        <v>1632</v>
      </c>
      <c r="F1254" s="537"/>
      <c r="G1254" s="10"/>
      <c r="H1254" s="10"/>
      <c r="K1254" s="547"/>
      <c r="L1254" s="8"/>
    </row>
    <row r="1255" spans="1:14" customFormat="1" x14ac:dyDescent="0.25">
      <c r="A1255" s="545"/>
      <c r="B1255" s="242"/>
      <c r="C1255" s="3"/>
      <c r="D1255" s="3"/>
      <c r="E1255" s="577" t="s">
        <v>412</v>
      </c>
      <c r="F1255" s="537" t="s">
        <v>3</v>
      </c>
      <c r="G1255" s="10">
        <f>0.07*0.022*2*8*1.1</f>
        <v>2.7104000000000003E-2</v>
      </c>
      <c r="H1255" s="10"/>
      <c r="K1255" s="547"/>
      <c r="L1255" s="8"/>
    </row>
    <row r="1256" spans="1:14" customFormat="1" x14ac:dyDescent="0.25">
      <c r="A1256" s="545"/>
      <c r="B1256" s="242"/>
      <c r="C1256" s="3"/>
      <c r="D1256" s="3"/>
      <c r="E1256" s="3" t="s">
        <v>5842</v>
      </c>
      <c r="F1256" s="537"/>
      <c r="G1256" s="10"/>
      <c r="H1256" s="10"/>
      <c r="K1256" s="547"/>
      <c r="L1256" s="8"/>
    </row>
    <row r="1257" spans="1:14" customFormat="1" x14ac:dyDescent="0.25">
      <c r="A1257" s="545"/>
      <c r="B1257" s="242"/>
      <c r="C1257" s="3"/>
      <c r="D1257" s="3"/>
      <c r="E1257" s="25" t="s">
        <v>5843</v>
      </c>
      <c r="F1257" s="537" t="s">
        <v>3</v>
      </c>
      <c r="G1257" s="10">
        <f>0.005*3.14*2*0.08*1.3</f>
        <v>3.2656000000000004E-3</v>
      </c>
      <c r="H1257" s="10"/>
      <c r="K1257" s="547"/>
      <c r="L1257" s="8"/>
    </row>
    <row r="1258" spans="1:14" customFormat="1" x14ac:dyDescent="0.25">
      <c r="A1258" s="545"/>
      <c r="B1258" s="242"/>
      <c r="C1258" s="3"/>
      <c r="D1258" s="3"/>
      <c r="E1258" s="25" t="s">
        <v>1994</v>
      </c>
      <c r="F1258" s="537" t="s">
        <v>3</v>
      </c>
      <c r="G1258" s="10">
        <f>G1257/3</f>
        <v>1.0885333333333334E-3</v>
      </c>
      <c r="H1258" s="10"/>
      <c r="K1258" s="547"/>
      <c r="L1258" s="8"/>
    </row>
    <row r="1259" spans="1:14" customFormat="1" x14ac:dyDescent="0.25">
      <c r="A1259" s="545"/>
      <c r="B1259" s="242"/>
      <c r="C1259" s="3"/>
      <c r="D1259" s="3"/>
      <c r="E1259" s="25" t="s">
        <v>1993</v>
      </c>
      <c r="F1259" s="537" t="s">
        <v>3</v>
      </c>
      <c r="G1259" s="10">
        <f>G1257/2</f>
        <v>1.6328000000000002E-3</v>
      </c>
      <c r="H1259" s="10"/>
      <c r="K1259" s="547"/>
      <c r="L1259" s="8"/>
    </row>
    <row r="1260" spans="1:14" customFormat="1" x14ac:dyDescent="0.25">
      <c r="A1260" s="545"/>
      <c r="B1260" s="242"/>
      <c r="C1260" s="3"/>
      <c r="D1260" s="3"/>
      <c r="E1260" s="25" t="s">
        <v>8</v>
      </c>
      <c r="F1260" s="537" t="s">
        <v>3</v>
      </c>
      <c r="G1260" s="10">
        <v>1.4999999999999999E-2</v>
      </c>
      <c r="H1260" s="10"/>
      <c r="K1260" s="547"/>
      <c r="L1260" s="8"/>
    </row>
    <row r="1261" spans="1:14" customFormat="1" x14ac:dyDescent="0.25">
      <c r="A1261" s="545"/>
      <c r="B1261" s="242"/>
      <c r="C1261" s="3"/>
      <c r="D1261" s="3"/>
      <c r="E1261" s="25" t="s">
        <v>5630</v>
      </c>
      <c r="F1261" s="537" t="s">
        <v>3</v>
      </c>
      <c r="G1261" s="10">
        <f>0.525*0.011*2*1.3</f>
        <v>1.5015000000000001E-2</v>
      </c>
      <c r="H1261" s="10"/>
      <c r="K1261" s="547"/>
      <c r="L1261" s="8"/>
    </row>
    <row r="1262" spans="1:14" customFormat="1" x14ac:dyDescent="0.25">
      <c r="A1262" s="545"/>
      <c r="B1262" s="242"/>
      <c r="C1262" s="3"/>
      <c r="D1262" s="3"/>
      <c r="E1262" s="25" t="s">
        <v>12</v>
      </c>
      <c r="F1262" s="537" t="s">
        <v>3</v>
      </c>
      <c r="G1262" s="10">
        <f>0.3*(G1261+G1260)</f>
        <v>9.0045000000000004E-3</v>
      </c>
      <c r="H1262" s="10"/>
      <c r="K1262" s="547"/>
      <c r="L1262" s="8"/>
    </row>
    <row r="1263" spans="1:14" customFormat="1" x14ac:dyDescent="0.25">
      <c r="A1263" s="545"/>
      <c r="B1263" s="242"/>
      <c r="C1263" s="3"/>
      <c r="D1263" s="3"/>
      <c r="E1263" s="33" t="s">
        <v>5844</v>
      </c>
      <c r="F1263" s="537"/>
      <c r="G1263" s="10"/>
      <c r="H1263" s="10"/>
      <c r="K1263" s="547"/>
      <c r="L1263" s="8"/>
    </row>
    <row r="1264" spans="1:14" customFormat="1" x14ac:dyDescent="0.25">
      <c r="A1264" s="545"/>
      <c r="B1264" s="242"/>
      <c r="C1264" s="3"/>
      <c r="D1264" s="3"/>
      <c r="E1264" s="577" t="s">
        <v>5845</v>
      </c>
      <c r="F1264" s="537" t="s">
        <v>3</v>
      </c>
      <c r="G1264" s="10">
        <v>0.08</v>
      </c>
      <c r="H1264" s="10"/>
      <c r="I1264" t="s">
        <v>5846</v>
      </c>
      <c r="K1264" s="547"/>
      <c r="L1264" s="8"/>
    </row>
    <row r="1265" spans="1:12" customFormat="1" x14ac:dyDescent="0.25">
      <c r="A1265" s="545"/>
      <c r="B1265" s="242"/>
      <c r="C1265" s="3"/>
      <c r="D1265" s="3" t="s">
        <v>5847</v>
      </c>
      <c r="F1265" s="537"/>
      <c r="G1265" s="10"/>
      <c r="H1265" s="10"/>
      <c r="K1265" s="547"/>
      <c r="L1265" s="8"/>
    </row>
    <row r="1266" spans="1:12" customFormat="1" x14ac:dyDescent="0.25">
      <c r="A1266" s="545"/>
      <c r="B1266" s="242"/>
      <c r="C1266" s="3"/>
      <c r="D1266" t="s">
        <v>140</v>
      </c>
      <c r="F1266" s="537" t="s">
        <v>3</v>
      </c>
      <c r="G1266" s="10">
        <f>0.006*3.14*2*0.08*1.3</f>
        <v>3.9187200000000005E-3</v>
      </c>
      <c r="H1266" s="10"/>
      <c r="K1266" s="547"/>
      <c r="L1266" s="8"/>
    </row>
    <row r="1267" spans="1:12" customFormat="1" ht="17.25" x14ac:dyDescent="0.25">
      <c r="A1267" s="545"/>
      <c r="B1267" s="242"/>
      <c r="C1267" s="3"/>
      <c r="D1267" t="s">
        <v>23</v>
      </c>
      <c r="F1267" s="566" t="s">
        <v>5442</v>
      </c>
      <c r="G1267" s="10">
        <f>G1266*2</f>
        <v>7.8374400000000011E-3</v>
      </c>
      <c r="H1267" s="10"/>
      <c r="K1267" s="547"/>
      <c r="L1267" s="8"/>
    </row>
    <row r="1268" spans="1:12" customFormat="1" x14ac:dyDescent="0.25">
      <c r="A1268" s="545"/>
      <c r="B1268" s="242"/>
      <c r="C1268" s="3"/>
      <c r="D1268" t="s">
        <v>142</v>
      </c>
      <c r="F1268" s="537" t="s">
        <v>3</v>
      </c>
      <c r="G1268" s="10">
        <f>G1266/4</f>
        <v>9.7968000000000013E-4</v>
      </c>
      <c r="H1268" s="10"/>
      <c r="K1268" s="547"/>
      <c r="L1268" s="8"/>
    </row>
    <row r="1269" spans="1:12" customFormat="1" x14ac:dyDescent="0.25">
      <c r="A1269" s="545"/>
      <c r="B1269" s="242"/>
      <c r="C1269" s="3"/>
      <c r="D1269" s="25" t="s">
        <v>143</v>
      </c>
      <c r="F1269" s="537" t="s">
        <v>3</v>
      </c>
      <c r="G1269" s="10">
        <v>5.0000000000000001E-3</v>
      </c>
      <c r="H1269" s="10"/>
      <c r="K1269" s="547"/>
      <c r="L1269" s="8"/>
    </row>
    <row r="1270" spans="1:12" customFormat="1" x14ac:dyDescent="0.25">
      <c r="A1270" s="545"/>
      <c r="B1270" s="242"/>
      <c r="C1270" s="3"/>
      <c r="D1270" s="25" t="s">
        <v>8</v>
      </c>
      <c r="F1270" s="537" t="s">
        <v>3</v>
      </c>
      <c r="G1270" s="10">
        <v>5.0000000000000001E-3</v>
      </c>
      <c r="H1270" s="10"/>
      <c r="K1270" s="547"/>
      <c r="L1270" s="8"/>
    </row>
    <row r="1271" spans="1:12" customFormat="1" x14ac:dyDescent="0.25">
      <c r="A1271" s="545"/>
      <c r="B1271" s="242"/>
      <c r="C1271" s="3"/>
      <c r="D1271" s="25" t="s">
        <v>5630</v>
      </c>
      <c r="F1271" s="537" t="s">
        <v>3</v>
      </c>
      <c r="G1271" s="10">
        <f>0.16*0.011*2*1.3</f>
        <v>4.5759999999999993E-3</v>
      </c>
      <c r="H1271" s="10"/>
      <c r="K1271" s="547"/>
      <c r="L1271" s="8"/>
    </row>
    <row r="1272" spans="1:12" customFormat="1" x14ac:dyDescent="0.25">
      <c r="A1272" s="545"/>
      <c r="B1272" s="242"/>
      <c r="C1272" s="3"/>
      <c r="D1272" s="25" t="s">
        <v>12</v>
      </c>
      <c r="F1272" s="537" t="s">
        <v>3</v>
      </c>
      <c r="G1272" s="10">
        <f>0.3*(G1271+G1270+G1269)</f>
        <v>4.3727999999999996E-3</v>
      </c>
      <c r="H1272" s="10"/>
      <c r="K1272" s="547"/>
      <c r="L1272" s="8"/>
    </row>
    <row r="1273" spans="1:12" customFormat="1" x14ac:dyDescent="0.25">
      <c r="A1273" s="545"/>
      <c r="B1273" s="242"/>
      <c r="C1273" s="3"/>
      <c r="E1273" s="3" t="s">
        <v>5848</v>
      </c>
      <c r="F1273" s="537"/>
      <c r="G1273" s="10"/>
      <c r="H1273" s="10"/>
      <c r="K1273" s="547"/>
      <c r="L1273" s="8"/>
    </row>
    <row r="1274" spans="1:12" customFormat="1" x14ac:dyDescent="0.25">
      <c r="A1274" s="545"/>
      <c r="B1274" s="242"/>
      <c r="C1274" s="3"/>
      <c r="E1274" t="s">
        <v>154</v>
      </c>
      <c r="F1274" s="537" t="s">
        <v>3</v>
      </c>
      <c r="G1274" s="10">
        <v>6.3E-2</v>
      </c>
      <c r="H1274" s="10"/>
      <c r="I1274" t="s">
        <v>5849</v>
      </c>
      <c r="K1274" s="547"/>
      <c r="L1274" s="8"/>
    </row>
    <row r="1275" spans="1:12" customFormat="1" x14ac:dyDescent="0.25">
      <c r="A1275" s="545"/>
      <c r="B1275" s="242"/>
      <c r="C1275" s="3"/>
      <c r="D1275" s="3" t="s">
        <v>5850</v>
      </c>
      <c r="F1275" s="537"/>
      <c r="G1275" s="10"/>
      <c r="H1275" s="10"/>
      <c r="K1275" s="547"/>
      <c r="L1275" s="8"/>
    </row>
    <row r="1276" spans="1:12" customFormat="1" x14ac:dyDescent="0.25">
      <c r="A1276" s="545"/>
      <c r="B1276" s="242"/>
      <c r="C1276" s="3"/>
      <c r="D1276" s="3"/>
      <c r="E1276" s="3" t="s">
        <v>5851</v>
      </c>
      <c r="F1276" s="537"/>
      <c r="G1276" s="10"/>
      <c r="H1276" s="10"/>
      <c r="K1276" s="547"/>
      <c r="L1276" s="8"/>
    </row>
    <row r="1277" spans="1:12" customFormat="1" x14ac:dyDescent="0.25">
      <c r="A1277" s="545"/>
      <c r="B1277" s="242"/>
      <c r="C1277" s="3"/>
      <c r="D1277" s="3"/>
      <c r="E1277" s="77" t="s">
        <v>39</v>
      </c>
      <c r="F1277" s="537" t="s">
        <v>3</v>
      </c>
      <c r="G1277" s="10">
        <f>0.45*0.08*1.2</f>
        <v>4.3200000000000002E-2</v>
      </c>
      <c r="H1277" s="10"/>
      <c r="K1277" s="547"/>
      <c r="L1277" s="8"/>
    </row>
    <row r="1278" spans="1:12" customFormat="1" ht="17.25" x14ac:dyDescent="0.25">
      <c r="A1278" s="545"/>
      <c r="B1278" s="242"/>
      <c r="C1278" s="3"/>
      <c r="D1278" s="3"/>
      <c r="E1278" s="77" t="s">
        <v>1055</v>
      </c>
      <c r="F1278" s="566" t="s">
        <v>5442</v>
      </c>
      <c r="G1278" s="10">
        <f>G1277</f>
        <v>4.3200000000000002E-2</v>
      </c>
      <c r="H1278" s="10"/>
      <c r="K1278" s="547"/>
      <c r="L1278" s="8"/>
    </row>
    <row r="1279" spans="1:12" customFormat="1" x14ac:dyDescent="0.25">
      <c r="A1279" s="545"/>
      <c r="B1279" s="242"/>
      <c r="C1279" s="3"/>
      <c r="D1279" s="3"/>
      <c r="E1279" s="77" t="s">
        <v>1021</v>
      </c>
      <c r="F1279" s="537" t="s">
        <v>3</v>
      </c>
      <c r="G1279" s="10">
        <f>0.17*0.03*2*2*1.3</f>
        <v>2.6520000000000002E-2</v>
      </c>
      <c r="H1279" s="10"/>
      <c r="K1279" s="547"/>
      <c r="L1279" s="8"/>
    </row>
    <row r="1280" spans="1:12" customFormat="1" x14ac:dyDescent="0.25">
      <c r="A1280" s="545"/>
      <c r="B1280" s="242"/>
      <c r="C1280" s="3"/>
      <c r="D1280" s="3"/>
      <c r="E1280" s="77" t="s">
        <v>661</v>
      </c>
      <c r="F1280" s="537" t="s">
        <v>3</v>
      </c>
      <c r="G1280" s="10">
        <f>0.3*G1279</f>
        <v>7.9559999999999995E-3</v>
      </c>
      <c r="H1280" s="10"/>
      <c r="K1280" s="547"/>
      <c r="L1280" s="8"/>
    </row>
    <row r="1281" spans="1:12" customFormat="1" x14ac:dyDescent="0.25">
      <c r="A1281" s="545"/>
      <c r="B1281" s="242"/>
      <c r="C1281" s="3"/>
      <c r="D1281" s="3"/>
      <c r="E1281" s="33" t="s">
        <v>5852</v>
      </c>
      <c r="F1281" s="537"/>
      <c r="G1281" s="10"/>
      <c r="H1281" s="10"/>
      <c r="K1281" s="547"/>
      <c r="L1281" s="8"/>
    </row>
    <row r="1282" spans="1:12" customFormat="1" x14ac:dyDescent="0.25">
      <c r="A1282" s="545"/>
      <c r="B1282" s="242"/>
      <c r="C1282" s="3"/>
      <c r="D1282" s="3"/>
      <c r="E1282" s="334" t="s">
        <v>412</v>
      </c>
      <c r="F1282" s="537" t="s">
        <v>3</v>
      </c>
      <c r="G1282" s="10">
        <f>0.036*0.036*2*8*1.08</f>
        <v>2.2394879999999999E-2</v>
      </c>
      <c r="H1282" s="10"/>
      <c r="K1282" s="547"/>
      <c r="L1282" s="8"/>
    </row>
    <row r="1283" spans="1:12" customFormat="1" x14ac:dyDescent="0.25">
      <c r="A1283" s="545"/>
      <c r="B1283" s="242"/>
      <c r="C1283" s="3"/>
      <c r="D1283" s="3"/>
      <c r="E1283" s="33" t="s">
        <v>5853</v>
      </c>
      <c r="F1283" s="537"/>
      <c r="G1283" s="10"/>
      <c r="H1283" s="10"/>
      <c r="K1283" s="547"/>
      <c r="L1283" s="8"/>
    </row>
    <row r="1284" spans="1:12" customFormat="1" x14ac:dyDescent="0.25">
      <c r="A1284" s="545"/>
      <c r="B1284" s="242"/>
      <c r="C1284" s="3"/>
      <c r="D1284" s="3"/>
      <c r="E1284" s="334" t="s">
        <v>54</v>
      </c>
      <c r="F1284" s="537" t="s">
        <v>3</v>
      </c>
      <c r="G1284" s="10">
        <f>0.07*0.055*4*8*1.1</f>
        <v>0.13552000000000003</v>
      </c>
      <c r="H1284" s="10"/>
      <c r="K1284" s="547"/>
      <c r="L1284" s="8"/>
    </row>
    <row r="1285" spans="1:12" customFormat="1" x14ac:dyDescent="0.25">
      <c r="A1285" s="545"/>
      <c r="B1285" s="242"/>
      <c r="C1285" s="3"/>
      <c r="D1285" s="3"/>
      <c r="E1285" s="33" t="s">
        <v>5854</v>
      </c>
      <c r="F1285" s="537"/>
      <c r="G1285" s="10"/>
      <c r="H1285" s="10"/>
      <c r="K1285" s="547"/>
      <c r="L1285" s="8"/>
    </row>
    <row r="1286" spans="1:12" customFormat="1" x14ac:dyDescent="0.25">
      <c r="A1286" s="545"/>
      <c r="B1286" s="242"/>
      <c r="C1286" s="3"/>
      <c r="D1286" s="3"/>
      <c r="E1286" s="334" t="s">
        <v>227</v>
      </c>
      <c r="F1286" s="537" t="s">
        <v>3</v>
      </c>
      <c r="G1286" s="10">
        <f>0.075*0.03*5*8</f>
        <v>0.09</v>
      </c>
      <c r="H1286" s="10"/>
      <c r="K1286" s="547"/>
      <c r="L1286" s="8"/>
    </row>
    <row r="1287" spans="1:12" customFormat="1" x14ac:dyDescent="0.25">
      <c r="A1287" s="545"/>
      <c r="B1287" s="242"/>
      <c r="C1287" s="3"/>
      <c r="D1287" s="3"/>
      <c r="E1287" s="33" t="s">
        <v>5855</v>
      </c>
      <c r="F1287" s="537"/>
      <c r="G1287" s="10"/>
      <c r="H1287" s="10"/>
      <c r="K1287" s="547"/>
      <c r="L1287" s="8"/>
    </row>
    <row r="1288" spans="1:12" customFormat="1" x14ac:dyDescent="0.25">
      <c r="A1288" s="545"/>
      <c r="B1288" s="242"/>
      <c r="C1288" s="3"/>
      <c r="D1288" s="3"/>
      <c r="E1288" s="334" t="s">
        <v>227</v>
      </c>
      <c r="F1288" s="537" t="s">
        <v>3</v>
      </c>
      <c r="G1288" s="10">
        <f>0.03*0.025*5*8*1.15</f>
        <v>3.4499999999999996E-2</v>
      </c>
      <c r="H1288" s="10"/>
      <c r="K1288" s="547"/>
      <c r="L1288" s="8"/>
    </row>
    <row r="1289" spans="1:12" customFormat="1" x14ac:dyDescent="0.25">
      <c r="A1289" s="545"/>
      <c r="B1289" s="242"/>
      <c r="C1289" s="3"/>
      <c r="D1289" s="3" t="s">
        <v>5856</v>
      </c>
      <c r="F1289" s="537"/>
      <c r="G1289" s="10"/>
      <c r="H1289" s="10"/>
      <c r="K1289" s="547"/>
      <c r="L1289" s="8"/>
    </row>
    <row r="1290" spans="1:12" customFormat="1" x14ac:dyDescent="0.25">
      <c r="A1290" s="545"/>
      <c r="B1290" s="242"/>
      <c r="C1290" s="3"/>
      <c r="D1290" s="25" t="s">
        <v>379</v>
      </c>
      <c r="F1290" s="537" t="s">
        <v>195</v>
      </c>
      <c r="G1290" s="10">
        <v>0.27</v>
      </c>
      <c r="H1290" s="10"/>
      <c r="K1290" s="547"/>
      <c r="L1290" s="8"/>
    </row>
    <row r="1291" spans="1:12" customFormat="1" x14ac:dyDescent="0.25">
      <c r="A1291" s="545"/>
      <c r="B1291" s="242"/>
      <c r="C1291" s="3"/>
      <c r="D1291" s="25" t="s">
        <v>5857</v>
      </c>
      <c r="F1291" s="537" t="s">
        <v>3</v>
      </c>
      <c r="G1291" s="10">
        <v>1E-3</v>
      </c>
      <c r="H1291" s="10"/>
      <c r="K1291" s="547"/>
      <c r="L1291" s="8"/>
    </row>
    <row r="1292" spans="1:12" customFormat="1" x14ac:dyDescent="0.25">
      <c r="A1292" s="545"/>
      <c r="B1292" s="242"/>
      <c r="C1292" s="3"/>
      <c r="D1292" s="25" t="s">
        <v>671</v>
      </c>
      <c r="F1292" s="537" t="s">
        <v>3</v>
      </c>
      <c r="G1292" s="10">
        <v>5.0000000000000001E-3</v>
      </c>
      <c r="H1292" s="10"/>
      <c r="K1292" s="547"/>
      <c r="L1292" s="8"/>
    </row>
    <row r="1293" spans="1:12" customFormat="1" x14ac:dyDescent="0.25">
      <c r="A1293" s="545"/>
      <c r="B1293" s="242"/>
      <c r="C1293" s="3"/>
      <c r="D1293" s="25" t="s">
        <v>672</v>
      </c>
      <c r="F1293" s="537" t="s">
        <v>3</v>
      </c>
      <c r="G1293" s="10">
        <f>2.5*G1292</f>
        <v>1.2500000000000001E-2</v>
      </c>
      <c r="H1293" s="10"/>
      <c r="K1293" s="547"/>
      <c r="L1293" s="8"/>
    </row>
    <row r="1294" spans="1:12" customFormat="1" x14ac:dyDescent="0.25">
      <c r="A1294" s="545"/>
      <c r="B1294" s="242"/>
      <c r="C1294" s="3"/>
      <c r="D1294" s="3"/>
      <c r="F1294" s="537"/>
      <c r="G1294" s="10"/>
      <c r="H1294" s="10"/>
      <c r="K1294" s="547"/>
      <c r="L1294" s="8"/>
    </row>
    <row r="1295" spans="1:12" customFormat="1" x14ac:dyDescent="0.25">
      <c r="A1295" s="545"/>
      <c r="B1295" s="565"/>
      <c r="C1295" s="3" t="s">
        <v>5858</v>
      </c>
      <c r="F1295" s="537"/>
      <c r="G1295" s="10"/>
      <c r="H1295" s="10"/>
      <c r="K1295" s="547"/>
      <c r="L1295" s="8"/>
    </row>
    <row r="1296" spans="1:12" customFormat="1" x14ac:dyDescent="0.25">
      <c r="A1296" s="545"/>
      <c r="B1296" s="242"/>
      <c r="C1296" s="3"/>
      <c r="D1296" t="s">
        <v>5859</v>
      </c>
      <c r="F1296" s="537" t="s">
        <v>3</v>
      </c>
      <c r="G1296" s="10">
        <f>0.02*0.02*3*8*1.1</f>
        <v>1.0560000000000002E-2</v>
      </c>
      <c r="H1296" s="10"/>
      <c r="K1296" s="547"/>
      <c r="L1296" s="8"/>
    </row>
    <row r="1297" spans="1:12" customFormat="1" x14ac:dyDescent="0.25">
      <c r="A1297" s="545"/>
      <c r="B1297" s="242"/>
      <c r="C1297" s="3"/>
      <c r="F1297" s="537"/>
      <c r="G1297" s="10"/>
      <c r="H1297" s="10"/>
      <c r="K1297" s="547"/>
      <c r="L1297" s="8"/>
    </row>
    <row r="1298" spans="1:12" customFormat="1" x14ac:dyDescent="0.25">
      <c r="A1298" s="545"/>
      <c r="B1298" s="565"/>
      <c r="C1298" s="3" t="s">
        <v>5860</v>
      </c>
      <c r="F1298" s="537"/>
      <c r="G1298" s="10"/>
      <c r="H1298" s="10"/>
      <c r="K1298" s="547"/>
      <c r="L1298" s="8"/>
    </row>
    <row r="1299" spans="1:12" customFormat="1" x14ac:dyDescent="0.25">
      <c r="A1299" s="545"/>
      <c r="B1299" s="242"/>
      <c r="C1299" s="3"/>
      <c r="D1299" t="s">
        <v>5861</v>
      </c>
      <c r="F1299" s="537" t="s">
        <v>3</v>
      </c>
      <c r="G1299" s="10">
        <f>0.085*0.01*5*8*1.15</f>
        <v>3.9100000000000003E-2</v>
      </c>
      <c r="H1299" s="10"/>
      <c r="K1299" s="547"/>
      <c r="L1299" s="8"/>
    </row>
    <row r="1300" spans="1:12" customFormat="1" x14ac:dyDescent="0.25">
      <c r="A1300" s="545"/>
      <c r="B1300" s="242"/>
      <c r="C1300" s="3"/>
      <c r="D1300" t="s">
        <v>8</v>
      </c>
      <c r="F1300" s="537" t="s">
        <v>3</v>
      </c>
      <c r="G1300" s="10">
        <v>5.0000000000000001E-3</v>
      </c>
      <c r="H1300" s="10"/>
      <c r="K1300" s="547"/>
      <c r="L1300" s="8"/>
    </row>
    <row r="1301" spans="1:12" customFormat="1" x14ac:dyDescent="0.25">
      <c r="A1301" s="545"/>
      <c r="B1301" s="242"/>
      <c r="C1301" s="3"/>
      <c r="D1301" t="s">
        <v>5630</v>
      </c>
      <c r="F1301" s="537" t="s">
        <v>3</v>
      </c>
      <c r="G1301" s="10">
        <v>5.0000000000000001E-3</v>
      </c>
      <c r="H1301" s="10"/>
      <c r="K1301" s="547"/>
      <c r="L1301" s="8"/>
    </row>
    <row r="1302" spans="1:12" customFormat="1" x14ac:dyDescent="0.25">
      <c r="A1302" s="545"/>
      <c r="B1302" s="242"/>
      <c r="C1302" s="3"/>
      <c r="D1302" t="s">
        <v>12</v>
      </c>
      <c r="F1302" s="537" t="s">
        <v>3</v>
      </c>
      <c r="G1302" s="10">
        <f>0.3*(G1301+H8431)</f>
        <v>1.5E-3</v>
      </c>
      <c r="H1302" s="10"/>
      <c r="K1302" s="547"/>
      <c r="L1302" s="8"/>
    </row>
    <row r="1303" spans="1:12" customFormat="1" x14ac:dyDescent="0.25">
      <c r="A1303" s="545"/>
      <c r="B1303" s="242"/>
      <c r="C1303" s="3"/>
      <c r="F1303" s="537"/>
      <c r="G1303" s="10"/>
      <c r="H1303" s="10"/>
      <c r="K1303" s="547"/>
      <c r="L1303" s="8"/>
    </row>
    <row r="1304" spans="1:12" customFormat="1" x14ac:dyDescent="0.25">
      <c r="A1304" s="545"/>
      <c r="B1304" s="565"/>
      <c r="C1304" s="3" t="s">
        <v>5862</v>
      </c>
      <c r="F1304" s="537"/>
      <c r="G1304" s="10"/>
      <c r="H1304" s="10"/>
      <c r="K1304" s="547"/>
      <c r="L1304" s="8"/>
    </row>
    <row r="1305" spans="1:12" customFormat="1" x14ac:dyDescent="0.25">
      <c r="A1305" s="545"/>
      <c r="B1305" s="242"/>
      <c r="D1305" t="s">
        <v>5859</v>
      </c>
      <c r="F1305" s="537" t="s">
        <v>3</v>
      </c>
      <c r="G1305" s="10">
        <f>0.025*0.025*3*8*1.1</f>
        <v>1.6500000000000004E-2</v>
      </c>
      <c r="H1305" s="10"/>
      <c r="K1305" s="547"/>
      <c r="L1305" s="8"/>
    </row>
    <row r="1306" spans="1:12" customFormat="1" x14ac:dyDescent="0.25">
      <c r="A1306" s="545"/>
      <c r="B1306" s="242"/>
      <c r="F1306" s="537"/>
      <c r="G1306" s="10"/>
      <c r="H1306" s="10"/>
      <c r="K1306" s="547"/>
      <c r="L1306" s="8"/>
    </row>
    <row r="1307" spans="1:12" customFormat="1" x14ac:dyDescent="0.25">
      <c r="A1307" s="545"/>
      <c r="B1307" s="242"/>
      <c r="F1307" s="537"/>
      <c r="G1307" s="10"/>
      <c r="H1307" s="10"/>
      <c r="K1307" s="547"/>
      <c r="L1307" s="8"/>
    </row>
    <row r="1308" spans="1:12" customFormat="1" ht="18.75" x14ac:dyDescent="0.3">
      <c r="A1308" s="545"/>
      <c r="B1308" s="568" t="s">
        <v>5810</v>
      </c>
      <c r="E1308" s="46" t="s">
        <v>5863</v>
      </c>
      <c r="F1308" s="537"/>
      <c r="G1308" s="10"/>
      <c r="H1308" s="10"/>
      <c r="K1308" s="547"/>
      <c r="L1308" s="8"/>
    </row>
    <row r="1309" spans="1:12" customFormat="1" x14ac:dyDescent="0.25">
      <c r="A1309" s="545"/>
      <c r="B1309" s="242"/>
      <c r="F1309" s="537"/>
      <c r="G1309" s="10"/>
      <c r="H1309" s="10"/>
      <c r="K1309" s="547"/>
      <c r="L1309" s="8"/>
    </row>
    <row r="1310" spans="1:12" customFormat="1" x14ac:dyDescent="0.25">
      <c r="A1310" s="545"/>
      <c r="B1310" s="565"/>
      <c r="C1310" s="3" t="s">
        <v>5864</v>
      </c>
      <c r="F1310" s="537"/>
      <c r="G1310" s="10"/>
      <c r="H1310" s="10"/>
      <c r="K1310" s="547"/>
      <c r="L1310" s="8"/>
    </row>
    <row r="1311" spans="1:12" customFormat="1" x14ac:dyDescent="0.25">
      <c r="A1311" s="545"/>
      <c r="B1311" s="242"/>
      <c r="C1311" t="s">
        <v>140</v>
      </c>
      <c r="F1311" s="537" t="s">
        <v>3</v>
      </c>
      <c r="G1311" s="10">
        <f>0.008*3.14*2*0.08*1.3</f>
        <v>5.2249599999999998E-3</v>
      </c>
      <c r="H1311" s="10"/>
      <c r="K1311" s="547"/>
      <c r="L1311" s="8"/>
    </row>
    <row r="1312" spans="1:12" customFormat="1" ht="17.25" x14ac:dyDescent="0.25">
      <c r="A1312" s="545"/>
      <c r="B1312" s="242"/>
      <c r="C1312" t="s">
        <v>23</v>
      </c>
      <c r="F1312" s="566" t="s">
        <v>5442</v>
      </c>
      <c r="G1312" s="10">
        <f>G1311*2</f>
        <v>1.044992E-2</v>
      </c>
      <c r="H1312" s="10"/>
      <c r="K1312" s="547"/>
      <c r="L1312" s="8"/>
    </row>
    <row r="1313" spans="1:12" customFormat="1" x14ac:dyDescent="0.25">
      <c r="A1313" s="545"/>
      <c r="B1313" s="242"/>
      <c r="C1313" t="s">
        <v>142</v>
      </c>
      <c r="F1313" s="537" t="s">
        <v>3</v>
      </c>
      <c r="G1313" s="10">
        <f>G1311/4</f>
        <v>1.30624E-3</v>
      </c>
      <c r="H1313" s="10"/>
      <c r="K1313" s="547"/>
      <c r="L1313" s="8"/>
    </row>
    <row r="1314" spans="1:12" customFormat="1" x14ac:dyDescent="0.25">
      <c r="A1314" s="545"/>
      <c r="B1314" s="242"/>
      <c r="C1314" s="25" t="s">
        <v>143</v>
      </c>
      <c r="F1314" s="537" t="s">
        <v>3</v>
      </c>
      <c r="G1314" s="10">
        <f>G1315</f>
        <v>6.0719999999999996E-2</v>
      </c>
      <c r="H1314" s="10"/>
      <c r="K1314" s="547"/>
      <c r="L1314" s="8"/>
    </row>
    <row r="1315" spans="1:12" customFormat="1" x14ac:dyDescent="0.25">
      <c r="A1315" s="545"/>
      <c r="B1315" s="242"/>
      <c r="C1315" s="25" t="s">
        <v>8</v>
      </c>
      <c r="F1315" s="537" t="s">
        <v>3</v>
      </c>
      <c r="G1315" s="10">
        <f>G1316*0.8</f>
        <v>6.0719999999999996E-2</v>
      </c>
      <c r="H1315" s="10"/>
      <c r="K1315" s="547"/>
      <c r="L1315" s="8"/>
    </row>
    <row r="1316" spans="1:12" customFormat="1" x14ac:dyDescent="0.25">
      <c r="A1316" s="545"/>
      <c r="B1316" s="242"/>
      <c r="C1316" s="25" t="s">
        <v>5794</v>
      </c>
      <c r="F1316" s="537" t="s">
        <v>3</v>
      </c>
      <c r="G1316" s="10">
        <f>3*0.011*2*1.15</f>
        <v>7.5899999999999995E-2</v>
      </c>
      <c r="H1316" s="10"/>
      <c r="K1316" s="547"/>
      <c r="L1316" s="8"/>
    </row>
    <row r="1317" spans="1:12" customFormat="1" x14ac:dyDescent="0.25">
      <c r="A1317" s="545"/>
      <c r="B1317" s="242"/>
      <c r="C1317" s="25" t="s">
        <v>12</v>
      </c>
      <c r="F1317" s="537" t="s">
        <v>3</v>
      </c>
      <c r="G1317" s="10">
        <f>0.3*(G1316+G1315+G1314)</f>
        <v>5.9201999999999991E-2</v>
      </c>
      <c r="H1317" s="10"/>
      <c r="K1317" s="547"/>
      <c r="L1317" s="8"/>
    </row>
    <row r="1318" spans="1:12" customFormat="1" x14ac:dyDescent="0.25">
      <c r="A1318" s="545"/>
      <c r="B1318" s="242"/>
      <c r="C1318" s="25"/>
      <c r="D1318" s="3" t="s">
        <v>5865</v>
      </c>
      <c r="F1318" s="537"/>
      <c r="G1318" s="10"/>
      <c r="H1318" s="10"/>
      <c r="K1318" s="547"/>
      <c r="L1318" s="8"/>
    </row>
    <row r="1319" spans="1:12" customFormat="1" x14ac:dyDescent="0.25">
      <c r="A1319" s="545"/>
      <c r="B1319" s="242"/>
      <c r="C1319" s="25"/>
      <c r="D1319" t="s">
        <v>5814</v>
      </c>
      <c r="F1319" s="537" t="s">
        <v>195</v>
      </c>
      <c r="G1319" s="10">
        <v>0.69</v>
      </c>
      <c r="H1319" s="10"/>
      <c r="I1319" t="s">
        <v>5866</v>
      </c>
      <c r="K1319" s="547"/>
      <c r="L1319" s="8"/>
    </row>
    <row r="1320" spans="1:12" s="73" customFormat="1" x14ac:dyDescent="0.25">
      <c r="A1320" s="564"/>
      <c r="B1320" s="496"/>
      <c r="C1320" s="100"/>
      <c r="F1320" s="74"/>
      <c r="G1320" s="153"/>
      <c r="H1320" s="581"/>
      <c r="K1320" s="339"/>
      <c r="L1320" s="77"/>
    </row>
    <row r="1321" spans="1:12" s="73" customFormat="1" ht="18.75" x14ac:dyDescent="0.3">
      <c r="A1321" s="564"/>
      <c r="B1321" s="578" t="s">
        <v>5867</v>
      </c>
      <c r="E1321" s="188" t="s">
        <v>5868</v>
      </c>
      <c r="F1321" s="74"/>
      <c r="G1321" s="153"/>
      <c r="H1321" s="582" t="s">
        <v>5869</v>
      </c>
      <c r="K1321" s="339"/>
      <c r="L1321" s="77"/>
    </row>
    <row r="1322" spans="1:12" s="73" customFormat="1" x14ac:dyDescent="0.25">
      <c r="A1322" s="564"/>
      <c r="B1322" s="496"/>
      <c r="F1322" s="74"/>
      <c r="G1322" s="153"/>
      <c r="H1322" s="581"/>
      <c r="K1322" s="339"/>
      <c r="L1322" s="77"/>
    </row>
    <row r="1323" spans="1:12" s="73" customFormat="1" x14ac:dyDescent="0.25">
      <c r="A1323" s="564"/>
      <c r="B1323" s="496"/>
      <c r="C1323" s="75" t="s">
        <v>5870</v>
      </c>
      <c r="F1323" s="74"/>
      <c r="G1323" s="153"/>
      <c r="H1323" s="581"/>
      <c r="K1323" s="339"/>
      <c r="L1323" s="77"/>
    </row>
    <row r="1324" spans="1:12" s="73" customFormat="1" x14ac:dyDescent="0.25">
      <c r="A1324" s="564"/>
      <c r="B1324" s="496"/>
      <c r="C1324" s="77" t="s">
        <v>39</v>
      </c>
      <c r="F1324" s="74" t="s">
        <v>3</v>
      </c>
      <c r="G1324" s="153">
        <f>1.2*0.08*1.2</f>
        <v>0.1152</v>
      </c>
      <c r="H1324" s="581"/>
      <c r="K1324" s="339"/>
      <c r="L1324" s="77"/>
    </row>
    <row r="1325" spans="1:12" s="73" customFormat="1" ht="17.25" x14ac:dyDescent="0.25">
      <c r="A1325" s="564"/>
      <c r="B1325" s="496"/>
      <c r="C1325" s="77" t="s">
        <v>1055</v>
      </c>
      <c r="F1325" s="571" t="s">
        <v>5442</v>
      </c>
      <c r="G1325" s="153">
        <f>G1324</f>
        <v>0.1152</v>
      </c>
      <c r="H1325" s="581"/>
      <c r="K1325" s="339"/>
      <c r="L1325" s="77"/>
    </row>
    <row r="1326" spans="1:12" s="73" customFormat="1" x14ac:dyDescent="0.25">
      <c r="A1326" s="564"/>
      <c r="B1326" s="496"/>
      <c r="C1326" s="100" t="s">
        <v>8</v>
      </c>
      <c r="F1326" s="74" t="s">
        <v>3</v>
      </c>
      <c r="G1326" s="153">
        <f>G1327*0.9</f>
        <v>0.1353501</v>
      </c>
      <c r="H1326" s="581"/>
      <c r="K1326" s="339"/>
      <c r="L1326" s="77"/>
    </row>
    <row r="1327" spans="1:12" s="73" customFormat="1" x14ac:dyDescent="0.25">
      <c r="A1327" s="564"/>
      <c r="B1327" s="496"/>
      <c r="C1327" s="100" t="s">
        <v>442</v>
      </c>
      <c r="F1327" s="74" t="s">
        <v>3</v>
      </c>
      <c r="G1327" s="153">
        <f>(0.185*0.63+0.33*0.2)*2*0.15*2*1.3+0.008</f>
        <v>0.15038899999999999</v>
      </c>
      <c r="H1327" s="581"/>
      <c r="K1327" s="339"/>
      <c r="L1327" s="77"/>
    </row>
    <row r="1328" spans="1:12" s="73" customFormat="1" x14ac:dyDescent="0.25">
      <c r="A1328" s="564"/>
      <c r="B1328" s="496"/>
      <c r="C1328" s="100" t="s">
        <v>12</v>
      </c>
      <c r="F1328" s="74" t="s">
        <v>3</v>
      </c>
      <c r="G1328" s="153">
        <f>0.3*(G1327+H9476)</f>
        <v>4.5116699999999996E-2</v>
      </c>
      <c r="H1328" s="581"/>
      <c r="K1328" s="339"/>
      <c r="L1328" s="77"/>
    </row>
    <row r="1329" spans="1:12" s="73" customFormat="1" x14ac:dyDescent="0.25">
      <c r="A1329" s="564"/>
      <c r="B1329" s="496"/>
      <c r="C1329" s="100"/>
      <c r="D1329" s="75" t="s">
        <v>5871</v>
      </c>
      <c r="F1329" s="74"/>
      <c r="G1329" s="153"/>
      <c r="H1329" s="581"/>
      <c r="K1329" s="339"/>
      <c r="L1329" s="77"/>
    </row>
    <row r="1330" spans="1:12" s="73" customFormat="1" x14ac:dyDescent="0.25">
      <c r="A1330" s="564"/>
      <c r="B1330" s="496"/>
      <c r="C1330" s="100"/>
      <c r="D1330" s="73" t="s">
        <v>5872</v>
      </c>
      <c r="F1330" s="74" t="s">
        <v>3</v>
      </c>
      <c r="G1330" s="153">
        <f>0.22*0.34*3*8*1.1</f>
        <v>1.9747200000000003</v>
      </c>
      <c r="H1330" s="581"/>
      <c r="K1330" s="339"/>
      <c r="L1330" s="77"/>
    </row>
    <row r="1331" spans="1:12" s="73" customFormat="1" x14ac:dyDescent="0.25">
      <c r="A1331" s="564"/>
      <c r="B1331" s="496"/>
      <c r="C1331" s="100"/>
      <c r="D1331" s="75" t="s">
        <v>5873</v>
      </c>
      <c r="F1331" s="74"/>
      <c r="G1331" s="153"/>
      <c r="H1331" s="581"/>
      <c r="K1331" s="339"/>
      <c r="L1331" s="77"/>
    </row>
    <row r="1332" spans="1:12" s="73" customFormat="1" x14ac:dyDescent="0.25">
      <c r="A1332" s="564"/>
      <c r="B1332" s="496"/>
      <c r="C1332" s="100"/>
      <c r="D1332" s="73" t="s">
        <v>5872</v>
      </c>
      <c r="F1332" s="74" t="s">
        <v>3</v>
      </c>
      <c r="G1332" s="153">
        <f>0.185*0.63*3*8*1.1</f>
        <v>3.0769200000000003</v>
      </c>
      <c r="H1332" s="581"/>
      <c r="K1332" s="339"/>
      <c r="L1332" s="77"/>
    </row>
    <row r="1333" spans="1:12" s="73" customFormat="1" x14ac:dyDescent="0.25">
      <c r="A1333" s="564"/>
      <c r="B1333" s="496"/>
      <c r="C1333" s="100"/>
      <c r="D1333" s="75" t="s">
        <v>5874</v>
      </c>
      <c r="F1333" s="74"/>
      <c r="G1333" s="153"/>
      <c r="H1333" s="581"/>
      <c r="K1333" s="339"/>
      <c r="L1333" s="77"/>
    </row>
    <row r="1334" spans="1:12" s="73" customFormat="1" x14ac:dyDescent="0.25">
      <c r="A1334" s="564"/>
      <c r="B1334" s="496"/>
      <c r="C1334" s="100"/>
      <c r="D1334" s="73" t="s">
        <v>5875</v>
      </c>
      <c r="F1334" s="74" t="s">
        <v>3</v>
      </c>
      <c r="G1334" s="153">
        <f>0.075*0.03*5*8*1.11</f>
        <v>9.9900000000000003E-2</v>
      </c>
      <c r="H1334" s="581"/>
      <c r="K1334" s="339"/>
      <c r="L1334" s="77"/>
    </row>
    <row r="1335" spans="1:12" s="73" customFormat="1" x14ac:dyDescent="0.25">
      <c r="A1335" s="564"/>
      <c r="B1335" s="496"/>
      <c r="C1335" s="100"/>
      <c r="D1335" s="75" t="s">
        <v>5876</v>
      </c>
      <c r="F1335" s="74"/>
      <c r="G1335" s="153"/>
      <c r="H1335" s="581"/>
      <c r="K1335" s="339"/>
      <c r="L1335" s="77"/>
    </row>
    <row r="1336" spans="1:12" s="73" customFormat="1" x14ac:dyDescent="0.25">
      <c r="A1336" s="564"/>
      <c r="B1336" s="496"/>
      <c r="C1336" s="100"/>
      <c r="D1336" s="73" t="s">
        <v>5872</v>
      </c>
      <c r="F1336" s="74" t="s">
        <v>3</v>
      </c>
      <c r="G1336" s="153">
        <f>0.215*0.175*3*8</f>
        <v>0.90300000000000002</v>
      </c>
      <c r="H1336" s="581"/>
      <c r="K1336" s="339"/>
      <c r="L1336" s="77"/>
    </row>
    <row r="1337" spans="1:12" s="73" customFormat="1" x14ac:dyDescent="0.25">
      <c r="A1337" s="564"/>
      <c r="B1337" s="496"/>
      <c r="C1337" s="100"/>
      <c r="D1337" s="75" t="s">
        <v>5877</v>
      </c>
      <c r="F1337" s="74"/>
      <c r="G1337" s="153"/>
      <c r="H1337" s="581"/>
      <c r="K1337" s="339"/>
      <c r="L1337" s="77"/>
    </row>
    <row r="1338" spans="1:12" s="73" customFormat="1" x14ac:dyDescent="0.25">
      <c r="A1338" s="564"/>
      <c r="B1338" s="496"/>
      <c r="D1338" s="73" t="s">
        <v>5875</v>
      </c>
      <c r="F1338" s="74" t="s">
        <v>3</v>
      </c>
      <c r="G1338" s="153">
        <f>0.08*0.03*5*8*1.1</f>
        <v>0.1056</v>
      </c>
      <c r="H1338" s="581"/>
      <c r="K1338" s="339"/>
      <c r="L1338" s="77"/>
    </row>
    <row r="1339" spans="1:12" s="73" customFormat="1" x14ac:dyDescent="0.25">
      <c r="A1339" s="564"/>
      <c r="B1339" s="496"/>
      <c r="F1339" s="74"/>
      <c r="G1339" s="153"/>
      <c r="H1339" s="581"/>
      <c r="K1339" s="339"/>
      <c r="L1339" s="77"/>
    </row>
    <row r="1340" spans="1:12" s="73" customFormat="1" x14ac:dyDescent="0.25">
      <c r="A1340" s="564"/>
      <c r="B1340" s="496"/>
      <c r="C1340" s="75" t="s">
        <v>5878</v>
      </c>
      <c r="F1340" s="74"/>
      <c r="G1340" s="153"/>
      <c r="H1340" s="581"/>
      <c r="K1340" s="339"/>
      <c r="L1340" s="77"/>
    </row>
    <row r="1341" spans="1:12" s="73" customFormat="1" x14ac:dyDescent="0.25">
      <c r="A1341" s="564"/>
      <c r="B1341" s="496"/>
      <c r="C1341" s="77" t="s">
        <v>39</v>
      </c>
      <c r="F1341" s="74" t="s">
        <v>3</v>
      </c>
      <c r="G1341" s="153">
        <f>0.16*0.08*1.2</f>
        <v>1.536E-2</v>
      </c>
      <c r="H1341" s="581"/>
      <c r="K1341" s="339"/>
      <c r="L1341" s="77"/>
    </row>
    <row r="1342" spans="1:12" s="73" customFormat="1" ht="17.25" x14ac:dyDescent="0.25">
      <c r="A1342" s="564"/>
      <c r="B1342" s="496"/>
      <c r="C1342" s="77" t="s">
        <v>1055</v>
      </c>
      <c r="F1342" s="571" t="s">
        <v>5442</v>
      </c>
      <c r="G1342" s="153">
        <f>G1341</f>
        <v>1.536E-2</v>
      </c>
      <c r="H1342" s="581"/>
      <c r="K1342" s="339"/>
      <c r="L1342" s="77"/>
    </row>
    <row r="1343" spans="1:12" s="73" customFormat="1" x14ac:dyDescent="0.25">
      <c r="A1343" s="564"/>
      <c r="B1343" s="496"/>
      <c r="C1343" s="100" t="s">
        <v>8</v>
      </c>
      <c r="F1343" s="74" t="s">
        <v>3</v>
      </c>
      <c r="G1343" s="153">
        <f>G1344*0.9+0.002</f>
        <v>0.19533080000000003</v>
      </c>
      <c r="H1343" s="581"/>
      <c r="K1343" s="339"/>
      <c r="L1343" s="77"/>
    </row>
    <row r="1344" spans="1:12" s="73" customFormat="1" x14ac:dyDescent="0.25">
      <c r="A1344" s="564"/>
      <c r="B1344" s="496"/>
      <c r="C1344" s="100" t="s">
        <v>442</v>
      </c>
      <c r="F1344" s="74" t="s">
        <v>3</v>
      </c>
      <c r="G1344" s="153">
        <f>0.51*0.54*2*0.15*2*1.3</f>
        <v>0.21481200000000003</v>
      </c>
      <c r="H1344" s="581"/>
      <c r="K1344" s="339"/>
      <c r="L1344" s="77"/>
    </row>
    <row r="1345" spans="1:12" s="73" customFormat="1" x14ac:dyDescent="0.25">
      <c r="A1345" s="564"/>
      <c r="B1345" s="496"/>
      <c r="C1345" s="100" t="s">
        <v>12</v>
      </c>
      <c r="F1345" s="74" t="s">
        <v>3</v>
      </c>
      <c r="G1345" s="153">
        <f>0.3*(G1344+H9493)</f>
        <v>6.4443600000000004E-2</v>
      </c>
      <c r="H1345" s="581"/>
      <c r="K1345" s="339"/>
      <c r="L1345" s="77"/>
    </row>
    <row r="1346" spans="1:12" s="73" customFormat="1" x14ac:dyDescent="0.25">
      <c r="A1346" s="564"/>
      <c r="B1346" s="564"/>
      <c r="D1346" s="75" t="s">
        <v>5879</v>
      </c>
      <c r="F1346" s="74"/>
      <c r="G1346" s="153"/>
      <c r="H1346" s="581"/>
      <c r="K1346" s="339"/>
      <c r="L1346" s="77"/>
    </row>
    <row r="1347" spans="1:12" s="73" customFormat="1" x14ac:dyDescent="0.25">
      <c r="A1347" s="564"/>
      <c r="B1347" s="564"/>
      <c r="D1347" s="73" t="s">
        <v>5880</v>
      </c>
      <c r="F1347" s="74" t="s">
        <v>3</v>
      </c>
      <c r="G1347" s="153">
        <f>0.51*0.54*3*8*1.1</f>
        <v>7.2705600000000006</v>
      </c>
      <c r="H1347" s="581"/>
      <c r="K1347" s="339"/>
      <c r="L1347" s="77"/>
    </row>
    <row r="1348" spans="1:12" s="73" customFormat="1" x14ac:dyDescent="0.25">
      <c r="A1348" s="564"/>
      <c r="B1348" s="564"/>
      <c r="D1348" s="75" t="s">
        <v>5881</v>
      </c>
      <c r="F1348" s="74"/>
      <c r="G1348" s="153"/>
      <c r="H1348" s="581"/>
      <c r="K1348" s="339"/>
      <c r="L1348" s="77"/>
    </row>
    <row r="1349" spans="1:12" s="73" customFormat="1" x14ac:dyDescent="0.25">
      <c r="A1349" s="564"/>
      <c r="B1349" s="564"/>
      <c r="D1349" s="73" t="s">
        <v>5875</v>
      </c>
      <c r="F1349" s="74" t="s">
        <v>3</v>
      </c>
      <c r="G1349" s="153">
        <f>0.075*0.03*5*8*1.11</f>
        <v>9.9900000000000003E-2</v>
      </c>
      <c r="H1349" s="581"/>
      <c r="K1349" s="339"/>
      <c r="L1349" s="77"/>
    </row>
    <row r="1350" spans="1:12" s="73" customFormat="1" x14ac:dyDescent="0.25">
      <c r="A1350" s="564"/>
      <c r="B1350" s="564"/>
      <c r="F1350" s="74"/>
      <c r="G1350" s="153"/>
      <c r="H1350" s="581"/>
      <c r="K1350" s="339"/>
      <c r="L1350" s="77"/>
    </row>
    <row r="1351" spans="1:12" s="73" customFormat="1" ht="18.75" x14ac:dyDescent="0.3">
      <c r="A1351" s="564"/>
      <c r="B1351" s="579" t="s">
        <v>5882</v>
      </c>
      <c r="E1351" s="188" t="s">
        <v>5883</v>
      </c>
      <c r="F1351" s="74"/>
      <c r="G1351" s="153"/>
      <c r="H1351" s="581"/>
      <c r="K1351" s="339"/>
      <c r="L1351" s="77"/>
    </row>
    <row r="1352" spans="1:12" s="73" customFormat="1" x14ac:dyDescent="0.25">
      <c r="A1352" s="564"/>
      <c r="B1352" s="564"/>
      <c r="F1352" s="74"/>
      <c r="G1352" s="153"/>
      <c r="H1352" s="581"/>
      <c r="K1352" s="339"/>
      <c r="L1352" s="77"/>
    </row>
    <row r="1353" spans="1:12" s="73" customFormat="1" x14ac:dyDescent="0.25">
      <c r="A1353" s="564"/>
      <c r="B1353" s="564"/>
      <c r="C1353" s="75" t="s">
        <v>5884</v>
      </c>
      <c r="F1353" s="74"/>
      <c r="G1353" s="153"/>
      <c r="H1353" s="581"/>
      <c r="K1353" s="339"/>
      <c r="L1353" s="77"/>
    </row>
    <row r="1354" spans="1:12" s="73" customFormat="1" x14ac:dyDescent="0.25">
      <c r="A1354" s="564"/>
      <c r="B1354" s="564"/>
      <c r="D1354" s="73" t="s">
        <v>5885</v>
      </c>
      <c r="F1354" s="74" t="s">
        <v>3</v>
      </c>
      <c r="G1354" s="153">
        <f>0.09*0.01*4*8*1.1</f>
        <v>3.168E-2</v>
      </c>
      <c r="H1354" s="581"/>
      <c r="K1354" s="339"/>
      <c r="L1354" s="77"/>
    </row>
    <row r="1355" spans="1:12" s="73" customFormat="1" x14ac:dyDescent="0.25">
      <c r="A1355" s="564"/>
      <c r="B1355" s="564"/>
      <c r="F1355" s="74"/>
      <c r="G1355" s="153"/>
      <c r="H1355" s="581"/>
      <c r="K1355" s="339"/>
      <c r="L1355" s="77"/>
    </row>
    <row r="1356" spans="1:12" s="73" customFormat="1" x14ac:dyDescent="0.25">
      <c r="A1356" s="564"/>
      <c r="B1356" s="564"/>
      <c r="C1356" s="75" t="s">
        <v>5886</v>
      </c>
      <c r="F1356" s="74"/>
      <c r="G1356" s="153"/>
      <c r="H1356" s="581"/>
      <c r="K1356" s="339"/>
      <c r="L1356" s="77"/>
    </row>
    <row r="1357" spans="1:12" s="73" customFormat="1" x14ac:dyDescent="0.25">
      <c r="A1357" s="564"/>
      <c r="B1357" s="564"/>
      <c r="D1357" s="73" t="s">
        <v>5885</v>
      </c>
      <c r="F1357" s="74" t="s">
        <v>3</v>
      </c>
      <c r="G1357" s="153">
        <f>0.24*0.045*4*8*1.1</f>
        <v>0.38016</v>
      </c>
      <c r="H1357" s="581"/>
      <c r="K1357" s="339"/>
      <c r="L1357" s="77"/>
    </row>
    <row r="1358" spans="1:12" s="73" customFormat="1" x14ac:dyDescent="0.25">
      <c r="A1358" s="564"/>
      <c r="B1358" s="564"/>
      <c r="F1358" s="74"/>
      <c r="G1358" s="153"/>
      <c r="H1358" s="581"/>
      <c r="K1358" s="339"/>
      <c r="L1358" s="77"/>
    </row>
    <row r="1359" spans="1:12" s="73" customFormat="1" x14ac:dyDescent="0.25">
      <c r="A1359" s="564"/>
      <c r="B1359" s="564"/>
      <c r="C1359" s="75" t="s">
        <v>5887</v>
      </c>
      <c r="F1359" s="74"/>
      <c r="G1359" s="153"/>
      <c r="H1359" s="581"/>
      <c r="K1359" s="339"/>
      <c r="L1359" s="77"/>
    </row>
    <row r="1360" spans="1:12" s="73" customFormat="1" x14ac:dyDescent="0.25">
      <c r="A1360" s="564"/>
      <c r="B1360" s="564"/>
      <c r="D1360" s="73" t="s">
        <v>915</v>
      </c>
      <c r="F1360" s="74" t="s">
        <v>3</v>
      </c>
      <c r="G1360" s="153">
        <v>3.8</v>
      </c>
      <c r="H1360" s="581"/>
      <c r="I1360" s="73" t="s">
        <v>5888</v>
      </c>
      <c r="K1360" s="339"/>
      <c r="L1360" s="77"/>
    </row>
    <row r="1361" spans="1:12" s="73" customFormat="1" x14ac:dyDescent="0.25">
      <c r="A1361" s="564"/>
      <c r="B1361" s="564"/>
      <c r="F1361" s="74"/>
      <c r="G1361" s="153"/>
      <c r="H1361" s="581"/>
      <c r="I1361" s="153"/>
      <c r="K1361" s="339"/>
      <c r="L1361" s="77"/>
    </row>
    <row r="1362" spans="1:12" s="73" customFormat="1" x14ac:dyDescent="0.25">
      <c r="A1362" s="564"/>
      <c r="B1362" s="564"/>
      <c r="C1362" s="75" t="s">
        <v>5889</v>
      </c>
      <c r="F1362" s="74"/>
      <c r="G1362" s="153"/>
      <c r="H1362" s="581"/>
      <c r="I1362" s="153"/>
      <c r="K1362" s="339"/>
      <c r="L1362" s="77"/>
    </row>
    <row r="1363" spans="1:12" s="73" customFormat="1" x14ac:dyDescent="0.25">
      <c r="A1363" s="564"/>
      <c r="B1363" s="564"/>
      <c r="D1363" s="73" t="s">
        <v>915</v>
      </c>
      <c r="F1363" s="74" t="s">
        <v>3</v>
      </c>
      <c r="G1363" s="153">
        <v>3.52</v>
      </c>
      <c r="H1363" s="581"/>
      <c r="I1363" s="73" t="s">
        <v>5890</v>
      </c>
      <c r="K1363" s="339"/>
      <c r="L1363" s="77"/>
    </row>
    <row r="1364" spans="1:12" s="73" customFormat="1" x14ac:dyDescent="0.25">
      <c r="A1364" s="564"/>
      <c r="B1364" s="564"/>
      <c r="F1364" s="74"/>
      <c r="G1364" s="153"/>
      <c r="H1364" s="581"/>
      <c r="I1364" s="153"/>
      <c r="K1364" s="339"/>
      <c r="L1364" s="77"/>
    </row>
    <row r="1365" spans="1:12" s="73" customFormat="1" x14ac:dyDescent="0.25">
      <c r="A1365" s="564"/>
      <c r="B1365" s="564"/>
      <c r="C1365" s="75" t="s">
        <v>5891</v>
      </c>
      <c r="F1365" s="74"/>
      <c r="G1365" s="153"/>
      <c r="H1365" s="581"/>
      <c r="I1365" s="153"/>
      <c r="K1365" s="339"/>
      <c r="L1365" s="77"/>
    </row>
    <row r="1366" spans="1:12" s="73" customFormat="1" x14ac:dyDescent="0.25">
      <c r="A1366" s="564"/>
      <c r="B1366" s="564"/>
      <c r="D1366" s="73" t="s">
        <v>915</v>
      </c>
      <c r="F1366" s="74" t="s">
        <v>3</v>
      </c>
      <c r="G1366" s="153">
        <v>3.52</v>
      </c>
      <c r="H1366" s="581"/>
      <c r="I1366" s="73" t="s">
        <v>5892</v>
      </c>
      <c r="K1366" s="339"/>
      <c r="L1366" s="77"/>
    </row>
    <row r="1367" spans="1:12" s="73" customFormat="1" x14ac:dyDescent="0.25">
      <c r="A1367" s="564"/>
      <c r="B1367" s="564"/>
      <c r="F1367" s="74"/>
      <c r="G1367" s="153"/>
      <c r="H1367" s="581"/>
      <c r="I1367" s="153"/>
      <c r="K1367" s="339"/>
      <c r="L1367" s="77"/>
    </row>
    <row r="1368" spans="1:12" s="73" customFormat="1" x14ac:dyDescent="0.25">
      <c r="A1368" s="564"/>
      <c r="B1368" s="564"/>
      <c r="C1368" s="75" t="s">
        <v>5893</v>
      </c>
      <c r="F1368" s="74"/>
      <c r="G1368" s="153"/>
      <c r="H1368" s="581"/>
      <c r="I1368" s="153"/>
      <c r="K1368" s="339"/>
      <c r="L1368" s="77"/>
    </row>
    <row r="1369" spans="1:12" s="73" customFormat="1" x14ac:dyDescent="0.25">
      <c r="A1369" s="564"/>
      <c r="B1369" s="564"/>
      <c r="D1369" s="73" t="s">
        <v>915</v>
      </c>
      <c r="F1369" s="74" t="s">
        <v>3</v>
      </c>
      <c r="G1369" s="153">
        <v>0.42499999999999999</v>
      </c>
      <c r="H1369" s="581"/>
      <c r="I1369" s="73" t="s">
        <v>2631</v>
      </c>
      <c r="K1369" s="339"/>
      <c r="L1369" s="77"/>
    </row>
    <row r="1370" spans="1:12" s="73" customFormat="1" x14ac:dyDescent="0.25">
      <c r="A1370" s="564"/>
      <c r="B1370" s="564"/>
      <c r="F1370" s="74"/>
      <c r="G1370" s="153"/>
      <c r="H1370" s="581"/>
      <c r="I1370" s="153"/>
      <c r="K1370" s="339"/>
      <c r="L1370" s="77"/>
    </row>
    <row r="1371" spans="1:12" s="73" customFormat="1" x14ac:dyDescent="0.25">
      <c r="A1371" s="564"/>
      <c r="B1371" s="564"/>
      <c r="C1371" s="75" t="s">
        <v>5894</v>
      </c>
      <c r="F1371" s="74"/>
      <c r="G1371" s="153"/>
      <c r="H1371" s="581"/>
      <c r="I1371" s="153"/>
      <c r="K1371" s="339"/>
      <c r="L1371" s="77"/>
    </row>
    <row r="1372" spans="1:12" s="73" customFormat="1" x14ac:dyDescent="0.25">
      <c r="A1372" s="564"/>
      <c r="B1372" s="564"/>
      <c r="D1372" s="73" t="s">
        <v>915</v>
      </c>
      <c r="F1372" s="74" t="s">
        <v>3</v>
      </c>
      <c r="G1372" s="153">
        <v>0.06</v>
      </c>
      <c r="H1372" s="581"/>
      <c r="I1372" s="73" t="s">
        <v>1349</v>
      </c>
      <c r="K1372" s="339"/>
      <c r="L1372" s="77"/>
    </row>
    <row r="1373" spans="1:12" s="73" customFormat="1" x14ac:dyDescent="0.25">
      <c r="A1373" s="564"/>
      <c r="B1373" s="564"/>
      <c r="F1373" s="74"/>
      <c r="G1373" s="153"/>
      <c r="H1373" s="581"/>
      <c r="I1373" s="153"/>
      <c r="K1373" s="339"/>
      <c r="L1373" s="77"/>
    </row>
    <row r="1374" spans="1:12" s="73" customFormat="1" x14ac:dyDescent="0.25">
      <c r="A1374" s="564"/>
      <c r="B1374" s="564"/>
      <c r="C1374" s="75" t="s">
        <v>5895</v>
      </c>
      <c r="F1374" s="74"/>
      <c r="G1374" s="153"/>
      <c r="H1374" s="581"/>
      <c r="I1374" s="153"/>
      <c r="K1374" s="339"/>
      <c r="L1374" s="77"/>
    </row>
    <row r="1375" spans="1:12" s="73" customFormat="1" x14ac:dyDescent="0.25">
      <c r="A1375" s="564"/>
      <c r="B1375" s="564"/>
      <c r="C1375" s="75"/>
      <c r="D1375" s="73" t="s">
        <v>915</v>
      </c>
      <c r="F1375" s="74" t="s">
        <v>3</v>
      </c>
      <c r="G1375" s="153">
        <v>0.28000000000000003</v>
      </c>
      <c r="H1375" s="581"/>
      <c r="I1375" s="73" t="s">
        <v>5896</v>
      </c>
      <c r="K1375" s="339"/>
      <c r="L1375" s="77"/>
    </row>
    <row r="1376" spans="1:12" s="73" customFormat="1" x14ac:dyDescent="0.25">
      <c r="A1376" s="564"/>
      <c r="B1376" s="564"/>
      <c r="F1376" s="74"/>
      <c r="G1376" s="153"/>
      <c r="H1376" s="581"/>
      <c r="K1376" s="339"/>
      <c r="L1376" s="77"/>
    </row>
    <row r="1377" spans="1:12" s="73" customFormat="1" ht="19.5" x14ac:dyDescent="0.3">
      <c r="A1377" s="564"/>
      <c r="B1377" s="579" t="s">
        <v>5150</v>
      </c>
      <c r="E1377" s="572" t="s">
        <v>5897</v>
      </c>
      <c r="F1377" s="74"/>
      <c r="G1377" s="153"/>
      <c r="H1377" s="581"/>
      <c r="K1377" s="339"/>
      <c r="L1377" s="77"/>
    </row>
    <row r="1378" spans="1:12" s="73" customFormat="1" x14ac:dyDescent="0.25">
      <c r="A1378" s="564"/>
      <c r="B1378" s="564"/>
      <c r="F1378" s="74"/>
      <c r="G1378" s="153"/>
      <c r="H1378" s="581"/>
      <c r="K1378" s="339"/>
      <c r="L1378" s="77"/>
    </row>
    <row r="1379" spans="1:12" s="73" customFormat="1" x14ac:dyDescent="0.25">
      <c r="A1379" s="564"/>
      <c r="B1379" s="564" t="s">
        <v>5898</v>
      </c>
      <c r="C1379" s="75" t="s">
        <v>5899</v>
      </c>
      <c r="F1379" s="74"/>
      <c r="G1379" s="153"/>
      <c r="H1379" s="581"/>
      <c r="K1379" s="339"/>
      <c r="L1379" s="77"/>
    </row>
    <row r="1380" spans="1:12" s="73" customFormat="1" x14ac:dyDescent="0.25">
      <c r="A1380" s="564"/>
      <c r="B1380" s="564" t="s">
        <v>5556</v>
      </c>
      <c r="D1380" s="75" t="s">
        <v>5900</v>
      </c>
      <c r="F1380" s="74"/>
      <c r="G1380" s="153"/>
      <c r="H1380" s="581"/>
      <c r="K1380" s="339"/>
      <c r="L1380" s="77"/>
    </row>
    <row r="1381" spans="1:12" s="73" customFormat="1" x14ac:dyDescent="0.25">
      <c r="A1381" s="564"/>
      <c r="B1381" s="564"/>
      <c r="D1381" s="77" t="s">
        <v>39</v>
      </c>
      <c r="F1381" s="74" t="s">
        <v>3</v>
      </c>
      <c r="G1381" s="153">
        <f>(2.15+1.65+0.05*3.14+0.5+1.3+0.8+0.12+0.2)*0.05*1.15</f>
        <v>0.39542749999999993</v>
      </c>
      <c r="H1381" s="581"/>
      <c r="K1381" s="339"/>
      <c r="L1381" s="77"/>
    </row>
    <row r="1382" spans="1:12" s="73" customFormat="1" ht="17.25" x14ac:dyDescent="0.25">
      <c r="A1382" s="564"/>
      <c r="B1382" s="564"/>
      <c r="D1382" s="77" t="s">
        <v>1055</v>
      </c>
      <c r="F1382" s="571" t="s">
        <v>5442</v>
      </c>
      <c r="G1382" s="153">
        <f>G1381</f>
        <v>0.39542749999999993</v>
      </c>
      <c r="H1382" s="581"/>
      <c r="K1382" s="339"/>
      <c r="L1382" s="77"/>
    </row>
    <row r="1383" spans="1:12" s="73" customFormat="1" x14ac:dyDescent="0.25">
      <c r="A1383" s="564"/>
      <c r="B1383" s="564"/>
      <c r="D1383" s="77" t="s">
        <v>1021</v>
      </c>
      <c r="F1383" s="74" t="s">
        <v>3</v>
      </c>
      <c r="G1383" s="153">
        <f>(0.4*0.355+1.07*0.716+0.21*0.32*2+0.233*0.025+0.1*0.05*4+0.31*0.35+0.32*0.355+1.6*0.04)*2*0.18*2*1.2</f>
        <v>1.1702404800000001</v>
      </c>
      <c r="H1383" s="581"/>
      <c r="K1383" s="339"/>
      <c r="L1383" s="77"/>
    </row>
    <row r="1384" spans="1:12" s="73" customFormat="1" x14ac:dyDescent="0.25">
      <c r="A1384" s="564"/>
      <c r="B1384" s="564"/>
      <c r="D1384" s="77" t="s">
        <v>661</v>
      </c>
      <c r="F1384" s="74" t="s">
        <v>3</v>
      </c>
      <c r="G1384" s="153">
        <f>0.3*G1383</f>
        <v>0.35107214400000003</v>
      </c>
      <c r="H1384" s="581"/>
      <c r="K1384" s="339"/>
      <c r="L1384" s="77"/>
    </row>
    <row r="1385" spans="1:12" s="73" customFormat="1" x14ac:dyDescent="0.25">
      <c r="A1385" s="564"/>
      <c r="B1385" s="564" t="s">
        <v>5901</v>
      </c>
      <c r="D1385" s="75"/>
      <c r="E1385" s="75" t="s">
        <v>5902</v>
      </c>
      <c r="F1385" s="74"/>
      <c r="G1385" s="153"/>
      <c r="H1385" s="581"/>
      <c r="K1385" s="339"/>
      <c r="L1385" s="77"/>
    </row>
    <row r="1386" spans="1:12" s="73" customFormat="1" x14ac:dyDescent="0.25">
      <c r="A1386" s="564"/>
      <c r="B1386" s="564"/>
      <c r="D1386" s="75"/>
      <c r="E1386" s="77" t="s">
        <v>39</v>
      </c>
      <c r="F1386" s="74" t="s">
        <v>3</v>
      </c>
      <c r="G1386" s="153">
        <f>(0.012*3.14*16+0.16)*0.08*1.23</f>
        <v>7.5067392000000011E-2</v>
      </c>
      <c r="H1386" s="581"/>
      <c r="K1386" s="339"/>
      <c r="L1386" s="77"/>
    </row>
    <row r="1387" spans="1:12" s="73" customFormat="1" ht="17.25" x14ac:dyDescent="0.25">
      <c r="A1387" s="564"/>
      <c r="B1387" s="564"/>
      <c r="D1387" s="75"/>
      <c r="E1387" s="77" t="s">
        <v>1055</v>
      </c>
      <c r="F1387" s="571" t="s">
        <v>5442</v>
      </c>
      <c r="G1387" s="153">
        <f>G1386</f>
        <v>7.5067392000000011E-2</v>
      </c>
      <c r="H1387" s="581"/>
      <c r="K1387" s="339"/>
      <c r="L1387" s="77"/>
    </row>
    <row r="1388" spans="1:12" s="73" customFormat="1" x14ac:dyDescent="0.25">
      <c r="A1388" s="564"/>
      <c r="B1388" s="564"/>
      <c r="D1388" s="75"/>
      <c r="E1388" s="575" t="s">
        <v>5903</v>
      </c>
      <c r="F1388" s="74"/>
      <c r="G1388" s="153"/>
      <c r="H1388" s="581"/>
      <c r="K1388" s="339"/>
      <c r="L1388" s="77"/>
    </row>
    <row r="1389" spans="1:12" s="73" customFormat="1" x14ac:dyDescent="0.25">
      <c r="A1389" s="564"/>
      <c r="B1389" s="564"/>
      <c r="D1389" s="75"/>
      <c r="E1389" s="576" t="s">
        <v>5904</v>
      </c>
      <c r="F1389" s="74" t="s">
        <v>3</v>
      </c>
      <c r="G1389" s="153">
        <v>0.54</v>
      </c>
      <c r="H1389" s="581"/>
      <c r="K1389" s="339"/>
      <c r="L1389" s="77"/>
    </row>
    <row r="1390" spans="1:12" s="73" customFormat="1" x14ac:dyDescent="0.25">
      <c r="A1390" s="564"/>
      <c r="B1390" s="564"/>
      <c r="D1390" s="75"/>
      <c r="E1390" s="575" t="s">
        <v>5905</v>
      </c>
      <c r="F1390" s="74"/>
      <c r="G1390" s="153"/>
      <c r="H1390" s="581"/>
      <c r="K1390" s="339"/>
      <c r="L1390" s="77"/>
    </row>
    <row r="1391" spans="1:12" s="73" customFormat="1" x14ac:dyDescent="0.25">
      <c r="A1391" s="564"/>
      <c r="B1391" s="564"/>
      <c r="D1391" s="75"/>
      <c r="E1391" s="576" t="s">
        <v>5904</v>
      </c>
      <c r="F1391" s="74" t="s">
        <v>3</v>
      </c>
      <c r="G1391" s="153">
        <v>0.2</v>
      </c>
      <c r="H1391" s="581"/>
      <c r="K1391" s="339"/>
      <c r="L1391" s="77"/>
    </row>
    <row r="1392" spans="1:12" s="73" customFormat="1" x14ac:dyDescent="0.25">
      <c r="A1392" s="564"/>
      <c r="B1392" s="564" t="s">
        <v>5906</v>
      </c>
      <c r="D1392" s="75"/>
      <c r="E1392" s="75" t="s">
        <v>5907</v>
      </c>
      <c r="F1392" s="74"/>
      <c r="G1392" s="153"/>
      <c r="H1392" s="581"/>
      <c r="K1392" s="339"/>
      <c r="L1392" s="77"/>
    </row>
    <row r="1393" spans="1:12" s="73" customFormat="1" x14ac:dyDescent="0.25">
      <c r="A1393" s="564"/>
      <c r="B1393" s="564"/>
      <c r="D1393" s="75"/>
      <c r="E1393" s="100" t="s">
        <v>1404</v>
      </c>
      <c r="F1393" s="74" t="s">
        <v>3</v>
      </c>
      <c r="G1393" s="153">
        <f>0.4*0.355*2*8*1.1005</f>
        <v>2.5003359999999999</v>
      </c>
      <c r="H1393" s="581"/>
      <c r="K1393" s="339"/>
      <c r="L1393" s="77"/>
    </row>
    <row r="1394" spans="1:12" s="73" customFormat="1" x14ac:dyDescent="0.25">
      <c r="A1394" s="564"/>
      <c r="B1394" s="564" t="s">
        <v>5908</v>
      </c>
      <c r="D1394" s="75"/>
      <c r="E1394" s="75" t="s">
        <v>5909</v>
      </c>
      <c r="F1394" s="74"/>
      <c r="G1394" s="153"/>
      <c r="H1394" s="581"/>
      <c r="K1394" s="339"/>
      <c r="L1394" s="77"/>
    </row>
    <row r="1395" spans="1:12" s="73" customFormat="1" x14ac:dyDescent="0.25">
      <c r="A1395" s="564"/>
      <c r="B1395" s="564"/>
      <c r="D1395" s="75"/>
      <c r="E1395" s="100" t="s">
        <v>1404</v>
      </c>
      <c r="F1395" s="74" t="s">
        <v>3</v>
      </c>
      <c r="G1395" s="153">
        <f>1.07*0.716*2*8*1.105</f>
        <v>13.545001600000001</v>
      </c>
      <c r="H1395" s="581"/>
      <c r="K1395" s="339"/>
      <c r="L1395" s="77"/>
    </row>
    <row r="1396" spans="1:12" s="73" customFormat="1" x14ac:dyDescent="0.25">
      <c r="A1396" s="564"/>
      <c r="B1396" s="564" t="s">
        <v>5910</v>
      </c>
      <c r="D1396" s="75"/>
      <c r="E1396" s="75" t="s">
        <v>5911</v>
      </c>
      <c r="F1396" s="74"/>
      <c r="G1396" s="153"/>
      <c r="H1396" s="581"/>
      <c r="K1396" s="339"/>
      <c r="L1396" s="77"/>
    </row>
    <row r="1397" spans="1:12" s="73" customFormat="1" x14ac:dyDescent="0.25">
      <c r="A1397" s="564"/>
      <c r="B1397" s="564"/>
      <c r="D1397" s="75"/>
      <c r="E1397" s="100" t="s">
        <v>1404</v>
      </c>
      <c r="F1397" s="74" t="s">
        <v>3</v>
      </c>
      <c r="G1397" s="153">
        <f>0.21*0.32*2*8*1.102</f>
        <v>1.1848704000000001</v>
      </c>
      <c r="H1397" s="581"/>
      <c r="K1397" s="339"/>
      <c r="L1397" s="77"/>
    </row>
    <row r="1398" spans="1:12" s="73" customFormat="1" x14ac:dyDescent="0.25">
      <c r="A1398" s="564"/>
      <c r="B1398" s="564" t="s">
        <v>5912</v>
      </c>
      <c r="E1398" s="75" t="s">
        <v>5913</v>
      </c>
      <c r="F1398" s="74"/>
      <c r="G1398" s="153"/>
      <c r="H1398" s="581"/>
      <c r="K1398" s="339"/>
      <c r="L1398" s="77"/>
    </row>
    <row r="1399" spans="1:12" s="73" customFormat="1" x14ac:dyDescent="0.25">
      <c r="A1399" s="564"/>
      <c r="B1399" s="564"/>
      <c r="E1399" s="73" t="s">
        <v>5914</v>
      </c>
      <c r="F1399" s="74" t="s">
        <v>3</v>
      </c>
      <c r="G1399" s="153">
        <f>0.06*0.06*3*8*1.1</f>
        <v>9.5040000000000013E-2</v>
      </c>
      <c r="H1399" s="581"/>
      <c r="K1399" s="339"/>
      <c r="L1399" s="77"/>
    </row>
    <row r="1400" spans="1:12" s="73" customFormat="1" x14ac:dyDescent="0.25">
      <c r="A1400" s="564"/>
      <c r="B1400" s="564" t="s">
        <v>5915</v>
      </c>
      <c r="E1400" s="75" t="s">
        <v>5916</v>
      </c>
      <c r="F1400" s="74"/>
      <c r="G1400" s="153"/>
      <c r="H1400" s="581"/>
      <c r="K1400" s="339"/>
      <c r="L1400" s="77"/>
    </row>
    <row r="1401" spans="1:12" s="73" customFormat="1" x14ac:dyDescent="0.25">
      <c r="A1401" s="564"/>
      <c r="B1401" s="564"/>
      <c r="E1401" s="73" t="s">
        <v>5917</v>
      </c>
      <c r="F1401" s="74" t="s">
        <v>3</v>
      </c>
      <c r="G1401" s="153">
        <f>0.233*0.025*3*8*1.109</f>
        <v>0.15503820000000001</v>
      </c>
      <c r="H1401" s="581"/>
      <c r="K1401" s="339"/>
      <c r="L1401" s="77"/>
    </row>
    <row r="1402" spans="1:12" s="73" customFormat="1" x14ac:dyDescent="0.25">
      <c r="A1402" s="564"/>
      <c r="B1402" s="564" t="s">
        <v>5918</v>
      </c>
      <c r="E1402" s="75" t="s">
        <v>5919</v>
      </c>
      <c r="F1402" s="74"/>
      <c r="G1402" s="153"/>
      <c r="H1402" s="581"/>
      <c r="K1402" s="339"/>
      <c r="L1402" s="77"/>
    </row>
    <row r="1403" spans="1:12" s="73" customFormat="1" x14ac:dyDescent="0.25">
      <c r="A1403" s="564"/>
      <c r="B1403" s="564"/>
      <c r="E1403" s="100" t="s">
        <v>5920</v>
      </c>
      <c r="F1403" s="74" t="s">
        <v>3</v>
      </c>
      <c r="G1403" s="153">
        <f>0.17</f>
        <v>0.17</v>
      </c>
      <c r="H1403" s="581"/>
      <c r="K1403" s="339"/>
      <c r="L1403" s="77"/>
    </row>
    <row r="1404" spans="1:12" s="73" customFormat="1" x14ac:dyDescent="0.25">
      <c r="A1404" s="564"/>
      <c r="B1404" s="564" t="s">
        <v>5921</v>
      </c>
      <c r="E1404" s="75" t="s">
        <v>5922</v>
      </c>
      <c r="F1404" s="74"/>
      <c r="G1404" s="153"/>
      <c r="H1404" s="581"/>
      <c r="K1404" s="339"/>
      <c r="L1404" s="77"/>
    </row>
    <row r="1405" spans="1:12" s="73" customFormat="1" x14ac:dyDescent="0.25">
      <c r="A1405" s="564"/>
      <c r="B1405" s="564"/>
      <c r="E1405" s="100" t="s">
        <v>1404</v>
      </c>
      <c r="F1405" s="74" t="s">
        <v>3</v>
      </c>
      <c r="G1405" s="153">
        <f>0.31*0.35*2*8*1.1</f>
        <v>1.9096000000000002</v>
      </c>
      <c r="H1405" s="581"/>
      <c r="K1405" s="339"/>
      <c r="L1405" s="77"/>
    </row>
    <row r="1406" spans="1:12" s="73" customFormat="1" x14ac:dyDescent="0.25">
      <c r="A1406" s="564"/>
      <c r="B1406" s="564" t="s">
        <v>5923</v>
      </c>
      <c r="E1406" s="75" t="s">
        <v>5924</v>
      </c>
      <c r="F1406" s="74"/>
      <c r="G1406" s="153"/>
      <c r="H1406" s="581"/>
      <c r="K1406" s="339"/>
      <c r="L1406" s="77"/>
    </row>
    <row r="1407" spans="1:12" s="73" customFormat="1" x14ac:dyDescent="0.25">
      <c r="A1407" s="564"/>
      <c r="B1407" s="564"/>
      <c r="E1407" s="100" t="s">
        <v>1404</v>
      </c>
      <c r="F1407" s="74" t="s">
        <v>3</v>
      </c>
      <c r="G1407" s="153">
        <f>0.32*0.355*2*8*1.1005</f>
        <v>2.0002687999999997</v>
      </c>
      <c r="H1407" s="581"/>
      <c r="K1407" s="339"/>
      <c r="L1407" s="77"/>
    </row>
    <row r="1408" spans="1:12" s="73" customFormat="1" x14ac:dyDescent="0.25">
      <c r="A1408" s="564"/>
      <c r="B1408" s="564" t="s">
        <v>5560</v>
      </c>
      <c r="D1408" s="75" t="s">
        <v>5925</v>
      </c>
      <c r="F1408" s="74"/>
      <c r="G1408" s="153"/>
      <c r="H1408" s="581"/>
      <c r="K1408" s="339"/>
      <c r="L1408" s="77"/>
    </row>
    <row r="1409" spans="1:12" s="73" customFormat="1" x14ac:dyDescent="0.25">
      <c r="A1409" s="564"/>
      <c r="B1409" s="564"/>
      <c r="D1409" s="77" t="s">
        <v>39</v>
      </c>
      <c r="F1409" s="74" t="s">
        <v>3</v>
      </c>
      <c r="G1409" s="153">
        <f>(0.26+0.06*3.14+0.135*3.14)*0.07*1.31</f>
        <v>7.9989910000000011E-2</v>
      </c>
      <c r="H1409" s="581"/>
      <c r="K1409" s="339"/>
      <c r="L1409" s="77"/>
    </row>
    <row r="1410" spans="1:12" s="73" customFormat="1" ht="17.25" x14ac:dyDescent="0.25">
      <c r="A1410" s="564"/>
      <c r="B1410" s="564"/>
      <c r="D1410" s="77" t="s">
        <v>1055</v>
      </c>
      <c r="F1410" s="571" t="s">
        <v>5442</v>
      </c>
      <c r="G1410" s="153">
        <f>G1409</f>
        <v>7.9989910000000011E-2</v>
      </c>
      <c r="H1410" s="581"/>
      <c r="K1410" s="339"/>
      <c r="L1410" s="77"/>
    </row>
    <row r="1411" spans="1:12" s="73" customFormat="1" x14ac:dyDescent="0.25">
      <c r="A1411" s="564"/>
      <c r="B1411" s="564"/>
      <c r="D1411" s="77" t="s">
        <v>1021</v>
      </c>
      <c r="F1411" s="74" t="s">
        <v>3</v>
      </c>
      <c r="G1411" s="153">
        <f>0.6*0.22*2*0.15*2*1.2</f>
        <v>9.5039999999999999E-2</v>
      </c>
      <c r="H1411" s="581"/>
      <c r="K1411" s="339"/>
      <c r="L1411" s="77"/>
    </row>
    <row r="1412" spans="1:12" s="73" customFormat="1" x14ac:dyDescent="0.25">
      <c r="A1412" s="564"/>
      <c r="B1412" s="564"/>
      <c r="D1412" s="77" t="s">
        <v>661</v>
      </c>
      <c r="F1412" s="74" t="s">
        <v>3</v>
      </c>
      <c r="G1412" s="153">
        <f>0.3*G1411</f>
        <v>2.8511999999999999E-2</v>
      </c>
      <c r="H1412" s="581"/>
      <c r="K1412" s="339"/>
      <c r="L1412" s="77"/>
    </row>
    <row r="1413" spans="1:12" s="73" customFormat="1" x14ac:dyDescent="0.25">
      <c r="A1413" s="564"/>
      <c r="B1413" s="564" t="s">
        <v>5563</v>
      </c>
      <c r="E1413" s="75" t="s">
        <v>5926</v>
      </c>
      <c r="F1413" s="74"/>
      <c r="G1413" s="153"/>
      <c r="H1413" s="581"/>
      <c r="K1413" s="339"/>
      <c r="L1413" s="77"/>
    </row>
    <row r="1414" spans="1:12" s="73" customFormat="1" x14ac:dyDescent="0.25">
      <c r="A1414" s="564"/>
      <c r="B1414" s="564"/>
      <c r="E1414" s="100" t="s">
        <v>5927</v>
      </c>
      <c r="F1414" s="74" t="s">
        <v>3</v>
      </c>
      <c r="G1414" s="153">
        <f>0.6*0.22*5*8*1.1003</f>
        <v>5.809584000000001</v>
      </c>
      <c r="H1414" s="581"/>
      <c r="K1414" s="339"/>
      <c r="L1414" s="77"/>
    </row>
    <row r="1415" spans="1:12" s="73" customFormat="1" x14ac:dyDescent="0.25">
      <c r="A1415" s="564"/>
      <c r="B1415" s="564"/>
      <c r="E1415" s="390" t="s">
        <v>5928</v>
      </c>
      <c r="F1415" s="74"/>
      <c r="G1415" s="153"/>
      <c r="H1415" s="581"/>
      <c r="K1415" s="339"/>
      <c r="L1415" s="77"/>
    </row>
    <row r="1416" spans="1:12" s="73" customFormat="1" x14ac:dyDescent="0.25">
      <c r="A1416" s="564"/>
      <c r="B1416" s="564"/>
      <c r="C1416" s="75" t="s">
        <v>5929</v>
      </c>
      <c r="E1416" s="75"/>
      <c r="F1416" s="74"/>
      <c r="G1416" s="153"/>
      <c r="H1416" s="581"/>
      <c r="K1416" s="339"/>
      <c r="L1416" s="77"/>
    </row>
    <row r="1417" spans="1:12" s="73" customFormat="1" x14ac:dyDescent="0.25">
      <c r="A1417" s="564"/>
      <c r="B1417" s="564"/>
      <c r="C1417" s="73" t="s">
        <v>5917</v>
      </c>
      <c r="E1417" s="75"/>
      <c r="F1417" s="74" t="s">
        <v>3</v>
      </c>
      <c r="G1417" s="153">
        <f>0.09*0.09*4*8*1.1</f>
        <v>0.28511999999999998</v>
      </c>
      <c r="H1417" s="581"/>
      <c r="K1417" s="339"/>
      <c r="L1417" s="77"/>
    </row>
    <row r="1418" spans="1:12" s="73" customFormat="1" x14ac:dyDescent="0.25">
      <c r="A1418" s="564"/>
      <c r="B1418" s="564"/>
      <c r="E1418" s="75"/>
      <c r="F1418" s="74"/>
      <c r="G1418" s="153"/>
      <c r="H1418" s="581"/>
      <c r="K1418" s="339"/>
      <c r="L1418" s="77"/>
    </row>
    <row r="1419" spans="1:12" s="73" customFormat="1" x14ac:dyDescent="0.25">
      <c r="A1419" s="564"/>
      <c r="B1419" s="564"/>
      <c r="C1419" s="75" t="s">
        <v>5930</v>
      </c>
      <c r="F1419" s="74"/>
      <c r="G1419" s="153"/>
      <c r="H1419" s="581"/>
      <c r="K1419" s="339"/>
      <c r="L1419" s="77"/>
    </row>
    <row r="1420" spans="1:12" s="73" customFormat="1" x14ac:dyDescent="0.25">
      <c r="A1420" s="564"/>
      <c r="B1420" s="564"/>
      <c r="C1420" s="77" t="s">
        <v>39</v>
      </c>
      <c r="F1420" s="74" t="s">
        <v>3</v>
      </c>
      <c r="G1420" s="153">
        <f>(0.125+0.4)*0.08*1.2</f>
        <v>5.04E-2</v>
      </c>
      <c r="H1420" s="581"/>
      <c r="K1420" s="339"/>
      <c r="L1420" s="77"/>
    </row>
    <row r="1421" spans="1:12" s="73" customFormat="1" ht="17.25" x14ac:dyDescent="0.25">
      <c r="A1421" s="564"/>
      <c r="B1421" s="564"/>
      <c r="C1421" s="77" t="s">
        <v>1055</v>
      </c>
      <c r="F1421" s="571" t="s">
        <v>5442</v>
      </c>
      <c r="G1421" s="153">
        <f>G1420</f>
        <v>5.04E-2</v>
      </c>
      <c r="H1421" s="581"/>
      <c r="K1421" s="339"/>
      <c r="L1421" s="77"/>
    </row>
    <row r="1422" spans="1:12" s="73" customFormat="1" x14ac:dyDescent="0.25">
      <c r="A1422" s="564"/>
      <c r="B1422" s="564"/>
      <c r="C1422" s="100" t="s">
        <v>8</v>
      </c>
      <c r="F1422" s="74" t="s">
        <v>3</v>
      </c>
      <c r="G1422" s="153">
        <f>G1423*0.91</f>
        <v>6.5126879999999998E-2</v>
      </c>
      <c r="H1422" s="581"/>
      <c r="K1422" s="339"/>
      <c r="L1422" s="77"/>
    </row>
    <row r="1423" spans="1:12" s="73" customFormat="1" x14ac:dyDescent="0.25">
      <c r="A1423" s="564"/>
      <c r="B1423" s="564"/>
      <c r="C1423" s="100" t="s">
        <v>5931</v>
      </c>
      <c r="F1423" s="74" t="s">
        <v>3</v>
      </c>
      <c r="G1423" s="153">
        <f>(0.1*0.85+0.12*0.12)*2*0.15*2*1.2</f>
        <v>7.1567999999999993E-2</v>
      </c>
      <c r="H1423" s="581"/>
      <c r="K1423" s="339"/>
      <c r="L1423" s="77"/>
    </row>
    <row r="1424" spans="1:12" s="73" customFormat="1" x14ac:dyDescent="0.25">
      <c r="A1424" s="564"/>
      <c r="B1424" s="564"/>
      <c r="C1424" s="100" t="s">
        <v>12</v>
      </c>
      <c r="F1424" s="74" t="s">
        <v>3</v>
      </c>
      <c r="G1424" s="153">
        <f>0.3*(G1423+H10519)</f>
        <v>2.1470399999999997E-2</v>
      </c>
      <c r="H1424" s="581"/>
      <c r="K1424" s="339"/>
      <c r="L1424" s="77"/>
    </row>
    <row r="1425" spans="1:12" s="73" customFormat="1" x14ac:dyDescent="0.25">
      <c r="A1425" s="564"/>
      <c r="B1425" s="564" t="s">
        <v>5140</v>
      </c>
      <c r="D1425" s="75" t="s">
        <v>5932</v>
      </c>
      <c r="F1425" s="74"/>
      <c r="G1425" s="153"/>
      <c r="H1425" s="581"/>
      <c r="K1425" s="339"/>
      <c r="L1425" s="77"/>
    </row>
    <row r="1426" spans="1:12" s="73" customFormat="1" x14ac:dyDescent="0.25">
      <c r="A1426" s="564"/>
      <c r="B1426" s="564"/>
      <c r="D1426" s="100" t="s">
        <v>5933</v>
      </c>
      <c r="F1426" s="74" t="s">
        <v>3</v>
      </c>
      <c r="G1426" s="153">
        <f>1.68</f>
        <v>1.68</v>
      </c>
      <c r="H1426" s="581"/>
      <c r="I1426" s="73" t="s">
        <v>5934</v>
      </c>
      <c r="K1426" s="339"/>
      <c r="L1426" s="77"/>
    </row>
    <row r="1427" spans="1:12" s="73" customFormat="1" x14ac:dyDescent="0.25">
      <c r="A1427" s="564"/>
      <c r="B1427" s="564" t="s">
        <v>5935</v>
      </c>
      <c r="D1427" s="75" t="s">
        <v>5936</v>
      </c>
      <c r="F1427" s="74"/>
      <c r="G1427" s="153"/>
      <c r="H1427" s="581"/>
      <c r="K1427" s="339"/>
      <c r="L1427" s="77"/>
    </row>
    <row r="1428" spans="1:12" s="73" customFormat="1" x14ac:dyDescent="0.25">
      <c r="A1428" s="564"/>
      <c r="B1428" s="564"/>
      <c r="D1428" s="100" t="s">
        <v>5933</v>
      </c>
      <c r="F1428" s="74" t="s">
        <v>3</v>
      </c>
      <c r="G1428" s="153">
        <f>1.68</f>
        <v>1.68</v>
      </c>
      <c r="H1428" s="581"/>
      <c r="I1428" s="73" t="s">
        <v>5934</v>
      </c>
      <c r="K1428" s="339"/>
      <c r="L1428" s="77"/>
    </row>
    <row r="1429" spans="1:12" s="73" customFormat="1" x14ac:dyDescent="0.25">
      <c r="A1429" s="564"/>
      <c r="B1429" s="564" t="s">
        <v>5937</v>
      </c>
      <c r="D1429" s="75" t="s">
        <v>5938</v>
      </c>
      <c r="F1429" s="74"/>
      <c r="G1429" s="153"/>
      <c r="H1429" s="581"/>
      <c r="K1429" s="339"/>
      <c r="L1429" s="77"/>
    </row>
    <row r="1430" spans="1:12" s="73" customFormat="1" x14ac:dyDescent="0.25">
      <c r="A1430" s="564"/>
      <c r="B1430" s="564"/>
      <c r="D1430" s="100" t="s">
        <v>5939</v>
      </c>
      <c r="F1430" s="74" t="s">
        <v>3</v>
      </c>
      <c r="G1430" s="153">
        <f>0.11*0.12*5*8*1.1</f>
        <v>0.58080000000000009</v>
      </c>
      <c r="H1430" s="581"/>
      <c r="K1430" s="339"/>
      <c r="L1430" s="77"/>
    </row>
    <row r="1431" spans="1:12" s="73" customFormat="1" x14ac:dyDescent="0.25">
      <c r="A1431" s="564"/>
      <c r="B1431" s="564" t="s">
        <v>5940</v>
      </c>
      <c r="D1431" s="75" t="s">
        <v>5941</v>
      </c>
      <c r="F1431" s="74"/>
      <c r="G1431" s="153"/>
      <c r="H1431" s="581"/>
      <c r="K1431" s="339"/>
      <c r="L1431" s="77"/>
    </row>
    <row r="1432" spans="1:12" s="73" customFormat="1" x14ac:dyDescent="0.25">
      <c r="A1432" s="564"/>
      <c r="B1432" s="564"/>
      <c r="D1432" s="100" t="s">
        <v>5942</v>
      </c>
      <c r="F1432" s="74" t="s">
        <v>3</v>
      </c>
      <c r="G1432" s="153">
        <f>0.063*0.02*5*8*1.1</f>
        <v>5.5440000000000003E-2</v>
      </c>
      <c r="H1432" s="581"/>
      <c r="K1432" s="339"/>
      <c r="L1432" s="77"/>
    </row>
    <row r="1433" spans="1:12" s="73" customFormat="1" x14ac:dyDescent="0.25">
      <c r="A1433" s="564"/>
      <c r="B1433" s="564"/>
      <c r="F1433" s="74"/>
      <c r="G1433" s="153"/>
      <c r="H1433" s="581"/>
      <c r="K1433" s="339"/>
      <c r="L1433" s="77"/>
    </row>
    <row r="1434" spans="1:12" s="73" customFormat="1" x14ac:dyDescent="0.25">
      <c r="A1434" s="564"/>
      <c r="B1434" s="564" t="s">
        <v>5943</v>
      </c>
      <c r="C1434" s="75" t="s">
        <v>5944</v>
      </c>
      <c r="F1434" s="74"/>
      <c r="G1434" s="153"/>
      <c r="H1434" s="581"/>
      <c r="K1434" s="339"/>
      <c r="L1434" s="77"/>
    </row>
    <row r="1435" spans="1:12" s="73" customFormat="1" x14ac:dyDescent="0.25">
      <c r="A1435" s="564"/>
      <c r="B1435" s="564"/>
      <c r="C1435" s="77" t="s">
        <v>39</v>
      </c>
      <c r="F1435" s="74" t="s">
        <v>3</v>
      </c>
      <c r="G1435" s="153">
        <f>2.2/0.07*0.02*0.08*1.2</f>
        <v>6.0342857142857143E-2</v>
      </c>
      <c r="H1435" s="581"/>
      <c r="K1435" s="339"/>
      <c r="L1435" s="77"/>
    </row>
    <row r="1436" spans="1:12" s="73" customFormat="1" ht="17.25" x14ac:dyDescent="0.25">
      <c r="A1436" s="564"/>
      <c r="B1436" s="564"/>
      <c r="C1436" s="77" t="s">
        <v>1055</v>
      </c>
      <c r="F1436" s="571" t="s">
        <v>5442</v>
      </c>
      <c r="G1436" s="153">
        <f>G1435</f>
        <v>6.0342857142857143E-2</v>
      </c>
      <c r="H1436" s="581"/>
      <c r="K1436" s="339"/>
      <c r="L1436" s="77"/>
    </row>
    <row r="1437" spans="1:12" s="73" customFormat="1" x14ac:dyDescent="0.25">
      <c r="A1437" s="564"/>
      <c r="B1437" s="564"/>
      <c r="C1437" s="100" t="s">
        <v>8</v>
      </c>
      <c r="F1437" s="74" t="s">
        <v>3</v>
      </c>
      <c r="G1437" s="153">
        <f>G1439*0.9</f>
        <v>0.20255400000000001</v>
      </c>
      <c r="H1437" s="581"/>
      <c r="K1437" s="339"/>
      <c r="L1437" s="77"/>
    </row>
    <row r="1438" spans="1:12" s="73" customFormat="1" x14ac:dyDescent="0.25">
      <c r="A1438" s="564"/>
      <c r="B1438" s="564"/>
      <c r="C1438" s="100" t="s">
        <v>12</v>
      </c>
      <c r="F1438" s="74" t="s">
        <v>3</v>
      </c>
      <c r="G1438" s="153">
        <f>0.3*G1437</f>
        <v>6.0766199999999999E-2</v>
      </c>
      <c r="H1438" s="581"/>
      <c r="K1438" s="339"/>
      <c r="L1438" s="77"/>
    </row>
    <row r="1439" spans="1:12" s="73" customFormat="1" x14ac:dyDescent="0.25">
      <c r="A1439" s="564"/>
      <c r="B1439" s="564"/>
      <c r="C1439" s="100" t="s">
        <v>72</v>
      </c>
      <c r="F1439" s="74" t="s">
        <v>3</v>
      </c>
      <c r="G1439" s="153">
        <f>0.31*1.1*2*0.15*2*1.1</f>
        <v>0.22506000000000001</v>
      </c>
      <c r="H1439" s="581"/>
      <c r="K1439" s="339"/>
      <c r="L1439" s="77"/>
    </row>
    <row r="1440" spans="1:12" s="73" customFormat="1" x14ac:dyDescent="0.25">
      <c r="A1440" s="564"/>
      <c r="B1440" s="564"/>
      <c r="C1440" s="73" t="s">
        <v>11</v>
      </c>
      <c r="F1440" s="74" t="s">
        <v>3</v>
      </c>
      <c r="G1440" s="153">
        <f>G1439*0.3</f>
        <v>6.7517999999999995E-2</v>
      </c>
      <c r="H1440" s="581"/>
      <c r="K1440" s="339"/>
      <c r="L1440" s="77"/>
    </row>
    <row r="1441" spans="1:12" s="73" customFormat="1" x14ac:dyDescent="0.25">
      <c r="A1441" s="564"/>
      <c r="B1441" s="564"/>
      <c r="C1441" s="73" t="s">
        <v>13</v>
      </c>
      <c r="F1441" s="74" t="s">
        <v>3</v>
      </c>
      <c r="G1441" s="153">
        <f>0.1</f>
        <v>0.1</v>
      </c>
      <c r="H1441" s="581"/>
      <c r="K1441" s="339"/>
      <c r="L1441" s="77"/>
    </row>
    <row r="1442" spans="1:12" s="73" customFormat="1" x14ac:dyDescent="0.25">
      <c r="A1442" s="564"/>
      <c r="B1442" s="564" t="s">
        <v>5945</v>
      </c>
      <c r="D1442" s="75" t="s">
        <v>5946</v>
      </c>
      <c r="F1442" s="74"/>
      <c r="G1442" s="153"/>
      <c r="H1442" s="581"/>
      <c r="K1442" s="339"/>
      <c r="L1442" s="77"/>
    </row>
    <row r="1443" spans="1:12" s="73" customFormat="1" x14ac:dyDescent="0.25">
      <c r="A1443" s="564"/>
      <c r="B1443" s="564"/>
      <c r="D1443" s="73" t="s">
        <v>2546</v>
      </c>
      <c r="F1443" s="74" t="s">
        <v>3</v>
      </c>
      <c r="G1443" s="153">
        <f>1.075*0.305*3*8*1.1</f>
        <v>8.6559000000000008</v>
      </c>
      <c r="H1443" s="581"/>
      <c r="K1443" s="339"/>
      <c r="L1443" s="77"/>
    </row>
    <row r="1444" spans="1:12" s="73" customFormat="1" x14ac:dyDescent="0.25">
      <c r="A1444" s="564"/>
      <c r="B1444" s="564" t="s">
        <v>5947</v>
      </c>
      <c r="D1444" s="75" t="s">
        <v>5948</v>
      </c>
      <c r="F1444" s="74"/>
      <c r="G1444" s="153"/>
      <c r="H1444" s="581"/>
      <c r="K1444" s="339"/>
      <c r="L1444" s="77"/>
    </row>
    <row r="1445" spans="1:12" s="73" customFormat="1" x14ac:dyDescent="0.25">
      <c r="A1445" s="564"/>
      <c r="B1445" s="564"/>
      <c r="D1445" s="73" t="s">
        <v>2546</v>
      </c>
      <c r="F1445" s="74" t="s">
        <v>3</v>
      </c>
      <c r="G1445" s="153">
        <f>1.07*0.07*3*8*1.1015</f>
        <v>1.9800564</v>
      </c>
      <c r="H1445" s="581"/>
      <c r="K1445" s="339"/>
      <c r="L1445" s="77"/>
    </row>
    <row r="1446" spans="1:12" s="73" customFormat="1" x14ac:dyDescent="0.25">
      <c r="A1446" s="564"/>
      <c r="B1446" s="564" t="s">
        <v>5949</v>
      </c>
      <c r="D1446" s="75" t="s">
        <v>5950</v>
      </c>
      <c r="F1446" s="74"/>
      <c r="G1446" s="153"/>
      <c r="H1446" s="581"/>
      <c r="K1446" s="339"/>
      <c r="L1446" s="77"/>
    </row>
    <row r="1447" spans="1:12" s="73" customFormat="1" x14ac:dyDescent="0.25">
      <c r="A1447" s="564"/>
      <c r="B1447" s="564"/>
      <c r="D1447" s="73" t="s">
        <v>2546</v>
      </c>
      <c r="F1447" s="74" t="s">
        <v>3</v>
      </c>
      <c r="G1447" s="153">
        <f>1.06*0.07*3*8*1.1005</f>
        <v>1.9597704000000005</v>
      </c>
      <c r="H1447" s="581"/>
      <c r="K1447" s="339"/>
      <c r="L1447" s="77"/>
    </row>
    <row r="1448" spans="1:12" s="73" customFormat="1" x14ac:dyDescent="0.25">
      <c r="A1448" s="564"/>
      <c r="B1448" s="564" t="s">
        <v>5951</v>
      </c>
      <c r="D1448" s="75" t="s">
        <v>5952</v>
      </c>
      <c r="F1448" s="74"/>
      <c r="G1448" s="153"/>
      <c r="H1448" s="581"/>
      <c r="K1448" s="339"/>
      <c r="L1448" s="77"/>
    </row>
    <row r="1449" spans="1:12" s="73" customFormat="1" x14ac:dyDescent="0.25">
      <c r="A1449" s="564"/>
      <c r="B1449" s="564"/>
      <c r="D1449" s="73" t="s">
        <v>2546</v>
      </c>
      <c r="F1449" s="74" t="s">
        <v>3</v>
      </c>
      <c r="G1449" s="153">
        <f>0.045*0.03*3*8*1.1</f>
        <v>3.5639999999999998E-2</v>
      </c>
      <c r="H1449" s="581"/>
      <c r="K1449" s="339"/>
      <c r="L1449" s="77"/>
    </row>
    <row r="1450" spans="1:12" s="73" customFormat="1" x14ac:dyDescent="0.25">
      <c r="A1450" s="564"/>
      <c r="B1450" s="564"/>
      <c r="E1450" s="390" t="s">
        <v>5953</v>
      </c>
      <c r="F1450" s="74"/>
      <c r="G1450" s="153"/>
      <c r="H1450" s="581"/>
      <c r="K1450" s="339"/>
      <c r="L1450" s="77"/>
    </row>
    <row r="1451" spans="1:12" s="73" customFormat="1" x14ac:dyDescent="0.25">
      <c r="A1451" s="564"/>
      <c r="B1451" s="564"/>
      <c r="C1451" s="75" t="s">
        <v>5954</v>
      </c>
      <c r="F1451" s="74"/>
      <c r="G1451" s="153"/>
      <c r="H1451" s="581"/>
      <c r="K1451" s="339"/>
      <c r="L1451" s="77"/>
    </row>
    <row r="1452" spans="1:12" s="73" customFormat="1" x14ac:dyDescent="0.25">
      <c r="A1452" s="564"/>
      <c r="B1452" s="564"/>
      <c r="D1452" s="73" t="s">
        <v>5955</v>
      </c>
      <c r="F1452" s="74" t="s">
        <v>3</v>
      </c>
      <c r="G1452" s="153">
        <v>0.9</v>
      </c>
      <c r="H1452" s="581"/>
      <c r="I1452" s="73">
        <v>250</v>
      </c>
      <c r="K1452" s="339"/>
      <c r="L1452" s="77"/>
    </row>
    <row r="1453" spans="1:12" s="73" customFormat="1" x14ac:dyDescent="0.25">
      <c r="A1453" s="564"/>
      <c r="B1453" s="564"/>
      <c r="D1453" s="77" t="s">
        <v>39</v>
      </c>
      <c r="F1453" s="74" t="s">
        <v>3</v>
      </c>
      <c r="G1453" s="153">
        <f>0.1*0.07*1.3</f>
        <v>9.1000000000000022E-3</v>
      </c>
      <c r="H1453" s="581"/>
      <c r="K1453" s="339"/>
      <c r="L1453" s="77"/>
    </row>
    <row r="1454" spans="1:12" s="73" customFormat="1" ht="17.25" x14ac:dyDescent="0.25">
      <c r="A1454" s="564"/>
      <c r="B1454" s="564"/>
      <c r="D1454" s="77" t="s">
        <v>1055</v>
      </c>
      <c r="F1454" s="571" t="s">
        <v>5442</v>
      </c>
      <c r="G1454" s="153">
        <f>G1453</f>
        <v>9.1000000000000022E-3</v>
      </c>
      <c r="H1454" s="581"/>
      <c r="K1454" s="339"/>
      <c r="L1454" s="77"/>
    </row>
    <row r="1455" spans="1:12" s="73" customFormat="1" x14ac:dyDescent="0.25">
      <c r="A1455" s="564"/>
      <c r="B1455" s="564"/>
      <c r="D1455" s="100" t="s">
        <v>8</v>
      </c>
      <c r="F1455" s="74" t="s">
        <v>3</v>
      </c>
      <c r="G1455" s="153">
        <f>G1457*0.9</f>
        <v>1.755E-2</v>
      </c>
      <c r="H1455" s="581"/>
      <c r="K1455" s="339"/>
      <c r="L1455" s="77"/>
    </row>
    <row r="1456" spans="1:12" s="73" customFormat="1" x14ac:dyDescent="0.25">
      <c r="A1456" s="564"/>
      <c r="B1456" s="564"/>
      <c r="D1456" s="100" t="s">
        <v>12</v>
      </c>
      <c r="F1456" s="74" t="s">
        <v>3</v>
      </c>
      <c r="G1456" s="153">
        <f>0.3*G1455</f>
        <v>5.2649999999999997E-3</v>
      </c>
      <c r="H1456" s="581"/>
      <c r="K1456" s="339"/>
      <c r="L1456" s="77"/>
    </row>
    <row r="1457" spans="1:12" s="73" customFormat="1" x14ac:dyDescent="0.25">
      <c r="A1457" s="564"/>
      <c r="B1457" s="564"/>
      <c r="D1457" s="100" t="s">
        <v>72</v>
      </c>
      <c r="F1457" s="74" t="s">
        <v>3</v>
      </c>
      <c r="G1457" s="153">
        <f>0.25*0.03*2*1.3</f>
        <v>1.95E-2</v>
      </c>
      <c r="H1457" s="581"/>
      <c r="K1457" s="339"/>
      <c r="L1457" s="77"/>
    </row>
    <row r="1458" spans="1:12" s="73" customFormat="1" x14ac:dyDescent="0.25">
      <c r="A1458" s="564"/>
      <c r="B1458" s="564"/>
      <c r="D1458" s="73" t="s">
        <v>11</v>
      </c>
      <c r="F1458" s="74" t="s">
        <v>3</v>
      </c>
      <c r="G1458" s="153">
        <f>G1457*0.3</f>
        <v>5.8500000000000002E-3</v>
      </c>
      <c r="H1458" s="581"/>
      <c r="K1458" s="339"/>
      <c r="L1458" s="77"/>
    </row>
    <row r="1459" spans="1:12" s="73" customFormat="1" x14ac:dyDescent="0.25">
      <c r="A1459" s="564"/>
      <c r="B1459" s="564"/>
      <c r="C1459" s="77"/>
      <c r="D1459" s="73" t="s">
        <v>13</v>
      </c>
      <c r="F1459" s="571" t="s">
        <v>3</v>
      </c>
      <c r="G1459" s="153">
        <v>0.01</v>
      </c>
      <c r="H1459" s="581"/>
      <c r="K1459" s="339"/>
      <c r="L1459" s="77"/>
    </row>
    <row r="1460" spans="1:12" s="73" customFormat="1" x14ac:dyDescent="0.25">
      <c r="A1460" s="564"/>
      <c r="B1460" s="564"/>
      <c r="C1460" s="75" t="s">
        <v>5956</v>
      </c>
      <c r="F1460" s="74"/>
      <c r="G1460" s="153"/>
      <c r="H1460" s="581"/>
      <c r="K1460" s="339"/>
      <c r="L1460" s="77"/>
    </row>
    <row r="1461" spans="1:12" s="73" customFormat="1" x14ac:dyDescent="0.25">
      <c r="A1461" s="564"/>
      <c r="B1461" s="564"/>
      <c r="D1461" s="73" t="s">
        <v>5955</v>
      </c>
      <c r="F1461" s="74" t="s">
        <v>3</v>
      </c>
      <c r="G1461" s="153">
        <v>0.9</v>
      </c>
      <c r="H1461" s="581"/>
      <c r="I1461" s="73">
        <v>250</v>
      </c>
      <c r="K1461" s="339"/>
      <c r="L1461" s="77"/>
    </row>
    <row r="1462" spans="1:12" s="73" customFormat="1" x14ac:dyDescent="0.25">
      <c r="A1462" s="564"/>
      <c r="B1462" s="564"/>
      <c r="D1462" s="77" t="s">
        <v>39</v>
      </c>
      <c r="F1462" s="74" t="s">
        <v>3</v>
      </c>
      <c r="G1462" s="153">
        <f>0.1*0.07*1.3</f>
        <v>9.1000000000000022E-3</v>
      </c>
      <c r="H1462" s="581"/>
      <c r="K1462" s="339"/>
      <c r="L1462" s="77"/>
    </row>
    <row r="1463" spans="1:12" s="73" customFormat="1" ht="17.25" x14ac:dyDescent="0.25">
      <c r="A1463" s="564"/>
      <c r="B1463" s="564"/>
      <c r="D1463" s="77" t="s">
        <v>1055</v>
      </c>
      <c r="F1463" s="571" t="s">
        <v>5442</v>
      </c>
      <c r="G1463" s="153">
        <f>G1462</f>
        <v>9.1000000000000022E-3</v>
      </c>
      <c r="H1463" s="581"/>
      <c r="K1463" s="339"/>
      <c r="L1463" s="77"/>
    </row>
    <row r="1464" spans="1:12" s="73" customFormat="1" x14ac:dyDescent="0.25">
      <c r="A1464" s="564"/>
      <c r="B1464" s="564"/>
      <c r="D1464" s="100" t="s">
        <v>8</v>
      </c>
      <c r="F1464" s="74" t="s">
        <v>3</v>
      </c>
      <c r="G1464" s="153">
        <f>G1466*0.9</f>
        <v>1.755E-2</v>
      </c>
      <c r="H1464" s="581"/>
      <c r="K1464" s="339"/>
      <c r="L1464" s="77"/>
    </row>
    <row r="1465" spans="1:12" s="73" customFormat="1" x14ac:dyDescent="0.25">
      <c r="A1465" s="564"/>
      <c r="B1465" s="564"/>
      <c r="D1465" s="100" t="s">
        <v>12</v>
      </c>
      <c r="F1465" s="74" t="s">
        <v>3</v>
      </c>
      <c r="G1465" s="153">
        <f>0.3*G1464</f>
        <v>5.2649999999999997E-3</v>
      </c>
      <c r="H1465" s="581"/>
      <c r="K1465" s="339"/>
      <c r="L1465" s="77"/>
    </row>
    <row r="1466" spans="1:12" s="73" customFormat="1" x14ac:dyDescent="0.25">
      <c r="A1466" s="564"/>
      <c r="B1466" s="564"/>
      <c r="D1466" s="100" t="s">
        <v>72</v>
      </c>
      <c r="F1466" s="74" t="s">
        <v>3</v>
      </c>
      <c r="G1466" s="153">
        <f>0.25*0.03*2*1.3</f>
        <v>1.95E-2</v>
      </c>
      <c r="H1466" s="581"/>
      <c r="K1466" s="339"/>
      <c r="L1466" s="77"/>
    </row>
    <row r="1467" spans="1:12" s="73" customFormat="1" x14ac:dyDescent="0.25">
      <c r="A1467" s="564"/>
      <c r="B1467" s="564"/>
      <c r="D1467" s="73" t="s">
        <v>11</v>
      </c>
      <c r="F1467" s="74" t="s">
        <v>3</v>
      </c>
      <c r="G1467" s="153">
        <f>G1466*0.3</f>
        <v>5.8500000000000002E-3</v>
      </c>
      <c r="H1467" s="581"/>
      <c r="K1467" s="339"/>
      <c r="L1467" s="77"/>
    </row>
    <row r="1468" spans="1:12" s="73" customFormat="1" x14ac:dyDescent="0.25">
      <c r="A1468" s="564"/>
      <c r="B1468" s="564"/>
      <c r="D1468" s="73" t="s">
        <v>13</v>
      </c>
      <c r="F1468" s="74" t="s">
        <v>3</v>
      </c>
      <c r="G1468" s="153">
        <f>0.01</f>
        <v>0.01</v>
      </c>
      <c r="H1468" s="581"/>
      <c r="K1468" s="339"/>
      <c r="L1468" s="77"/>
    </row>
    <row r="1469" spans="1:12" s="73" customFormat="1" x14ac:dyDescent="0.25">
      <c r="A1469" s="564"/>
      <c r="B1469" s="564"/>
      <c r="F1469" s="74"/>
      <c r="G1469" s="153"/>
      <c r="H1469" s="581"/>
      <c r="K1469" s="339"/>
      <c r="L1469" s="77"/>
    </row>
    <row r="1470" spans="1:12" s="73" customFormat="1" ht="19.5" x14ac:dyDescent="0.3">
      <c r="A1470" s="564"/>
      <c r="B1470" s="579" t="s">
        <v>5957</v>
      </c>
      <c r="E1470" s="572" t="s">
        <v>5958</v>
      </c>
      <c r="F1470" s="74"/>
      <c r="G1470" s="153"/>
      <c r="H1470" s="581"/>
      <c r="K1470" s="339"/>
      <c r="L1470" s="77"/>
    </row>
    <row r="1471" spans="1:12" s="73" customFormat="1" ht="19.5" x14ac:dyDescent="0.3">
      <c r="A1471" s="564"/>
      <c r="B1471" s="579"/>
      <c r="E1471" s="572"/>
      <c r="F1471" s="74"/>
      <c r="G1471" s="153"/>
      <c r="H1471" s="581"/>
      <c r="K1471" s="339"/>
      <c r="L1471" s="77"/>
    </row>
    <row r="1472" spans="1:12" s="73" customFormat="1" x14ac:dyDescent="0.25">
      <c r="A1472" s="564"/>
      <c r="B1472" s="564"/>
      <c r="C1472" s="75" t="s">
        <v>5959</v>
      </c>
      <c r="F1472" s="74"/>
      <c r="G1472" s="153"/>
      <c r="H1472" s="581"/>
      <c r="K1472" s="339"/>
      <c r="L1472" s="77"/>
    </row>
    <row r="1473" spans="1:12" s="73" customFormat="1" x14ac:dyDescent="0.25">
      <c r="A1473" s="564"/>
      <c r="B1473" s="564"/>
      <c r="C1473" s="100" t="s">
        <v>8</v>
      </c>
      <c r="F1473" s="74" t="s">
        <v>3</v>
      </c>
      <c r="G1473" s="153">
        <v>0.01</v>
      </c>
      <c r="H1473" s="581"/>
      <c r="K1473" s="339"/>
      <c r="L1473" s="77"/>
    </row>
    <row r="1474" spans="1:12" s="73" customFormat="1" x14ac:dyDescent="0.25">
      <c r="A1474" s="564"/>
      <c r="B1474" s="564"/>
      <c r="C1474" s="100" t="s">
        <v>442</v>
      </c>
      <c r="F1474" s="74" t="s">
        <v>3</v>
      </c>
      <c r="G1474" s="153">
        <f>0.25*0.05*2*0.15*2*1.3</f>
        <v>9.75E-3</v>
      </c>
      <c r="H1474" s="581"/>
      <c r="K1474" s="339"/>
      <c r="L1474" s="77"/>
    </row>
    <row r="1475" spans="1:12" s="73" customFormat="1" x14ac:dyDescent="0.25">
      <c r="A1475" s="564"/>
      <c r="B1475" s="564"/>
      <c r="C1475" s="100" t="s">
        <v>12</v>
      </c>
      <c r="F1475" s="74" t="s">
        <v>3</v>
      </c>
      <c r="G1475" s="153">
        <f>0.3*(G1474+G1473)</f>
        <v>5.9249999999999997E-3</v>
      </c>
      <c r="H1475" s="581"/>
      <c r="K1475" s="339"/>
      <c r="L1475" s="77"/>
    </row>
    <row r="1476" spans="1:12" s="73" customFormat="1" x14ac:dyDescent="0.25">
      <c r="A1476" s="564"/>
      <c r="B1476" s="564"/>
      <c r="C1476" s="77" t="s">
        <v>39</v>
      </c>
      <c r="F1476" s="74" t="s">
        <v>3</v>
      </c>
      <c r="G1476" s="153">
        <f>0.045*0.05*1.3</f>
        <v>2.9250000000000001E-3</v>
      </c>
      <c r="H1476" s="581"/>
      <c r="K1476" s="339"/>
      <c r="L1476" s="77"/>
    </row>
    <row r="1477" spans="1:12" s="73" customFormat="1" ht="17.25" x14ac:dyDescent="0.25">
      <c r="A1477" s="564"/>
      <c r="B1477" s="564"/>
      <c r="C1477" s="77" t="s">
        <v>1055</v>
      </c>
      <c r="F1477" s="571" t="s">
        <v>5442</v>
      </c>
      <c r="G1477" s="153">
        <f>G1476</f>
        <v>2.9250000000000001E-3</v>
      </c>
      <c r="H1477" s="581"/>
      <c r="K1477" s="339"/>
      <c r="L1477" s="77"/>
    </row>
    <row r="1478" spans="1:12" s="73" customFormat="1" x14ac:dyDescent="0.25">
      <c r="A1478" s="564"/>
      <c r="B1478" s="564"/>
      <c r="C1478" s="77"/>
      <c r="D1478" s="75" t="s">
        <v>5960</v>
      </c>
      <c r="F1478" s="571"/>
      <c r="G1478" s="153"/>
      <c r="H1478" s="581"/>
      <c r="K1478" s="339"/>
      <c r="L1478" s="77"/>
    </row>
    <row r="1479" spans="1:12" s="73" customFormat="1" x14ac:dyDescent="0.25">
      <c r="A1479" s="564"/>
      <c r="B1479" s="564"/>
      <c r="C1479" s="77"/>
      <c r="D1479" s="73" t="s">
        <v>5961</v>
      </c>
      <c r="F1479" s="571" t="s">
        <v>3</v>
      </c>
      <c r="G1479" s="153">
        <f>0.3*0.04*4*8*1.1</f>
        <v>0.42240000000000005</v>
      </c>
      <c r="H1479" s="581"/>
      <c r="K1479" s="339"/>
      <c r="L1479" s="77"/>
    </row>
    <row r="1480" spans="1:12" s="73" customFormat="1" x14ac:dyDescent="0.25">
      <c r="A1480" s="564"/>
      <c r="B1480" s="564"/>
      <c r="C1480" s="77"/>
      <c r="D1480" s="75" t="s">
        <v>5962</v>
      </c>
      <c r="F1480" s="571"/>
      <c r="G1480" s="153"/>
      <c r="H1480" s="581"/>
      <c r="K1480" s="339"/>
      <c r="L1480" s="77"/>
    </row>
    <row r="1481" spans="1:12" s="73" customFormat="1" x14ac:dyDescent="0.25">
      <c r="A1481" s="564"/>
      <c r="B1481" s="564"/>
      <c r="C1481" s="77"/>
      <c r="D1481" s="73" t="s">
        <v>5961</v>
      </c>
      <c r="F1481" s="571" t="s">
        <v>3</v>
      </c>
      <c r="G1481" s="153">
        <f>0.022*0.017*4*8*1.1</f>
        <v>1.3164800000000001E-2</v>
      </c>
      <c r="H1481" s="581"/>
      <c r="K1481" s="339"/>
      <c r="L1481" s="77"/>
    </row>
    <row r="1482" spans="1:12" s="73" customFormat="1" x14ac:dyDescent="0.25">
      <c r="A1482" s="564"/>
      <c r="B1482" s="564"/>
      <c r="C1482" s="75"/>
      <c r="F1482" s="74"/>
      <c r="G1482" s="153"/>
      <c r="H1482" s="581"/>
      <c r="K1482" s="339"/>
      <c r="L1482" s="77"/>
    </row>
    <row r="1483" spans="1:12" s="73" customFormat="1" x14ac:dyDescent="0.25">
      <c r="A1483" s="564"/>
      <c r="B1483" s="564"/>
      <c r="C1483" s="75" t="s">
        <v>5963</v>
      </c>
      <c r="F1483" s="74"/>
      <c r="G1483" s="153"/>
      <c r="H1483" s="581"/>
      <c r="K1483" s="339"/>
      <c r="L1483" s="77"/>
    </row>
    <row r="1484" spans="1:12" s="73" customFormat="1" x14ac:dyDescent="0.25">
      <c r="A1484" s="564"/>
      <c r="B1484" s="564"/>
      <c r="D1484" s="75" t="s">
        <v>5964</v>
      </c>
      <c r="F1484" s="74"/>
      <c r="G1484" s="153"/>
      <c r="H1484" s="581"/>
      <c r="K1484" s="339"/>
      <c r="L1484" s="77"/>
    </row>
    <row r="1485" spans="1:12" s="73" customFormat="1" x14ac:dyDescent="0.25">
      <c r="A1485" s="564"/>
      <c r="B1485" s="564"/>
      <c r="D1485" s="100" t="s">
        <v>5965</v>
      </c>
      <c r="F1485" s="74" t="s">
        <v>3</v>
      </c>
      <c r="G1485" s="153">
        <f>0.11*0.03*5*8*1.1</f>
        <v>0.14520000000000002</v>
      </c>
      <c r="H1485" s="581"/>
      <c r="K1485" s="339"/>
      <c r="L1485" s="77"/>
    </row>
    <row r="1486" spans="1:12" s="73" customFormat="1" x14ac:dyDescent="0.25">
      <c r="A1486" s="564"/>
      <c r="B1486" s="564"/>
      <c r="D1486" s="75" t="s">
        <v>5966</v>
      </c>
      <c r="F1486" s="74"/>
      <c r="G1486" s="153"/>
      <c r="H1486" s="581"/>
      <c r="K1486" s="339"/>
      <c r="L1486" s="77"/>
    </row>
    <row r="1487" spans="1:12" s="73" customFormat="1" x14ac:dyDescent="0.25">
      <c r="A1487" s="564"/>
      <c r="B1487" s="564"/>
      <c r="D1487" s="100" t="s">
        <v>5965</v>
      </c>
      <c r="F1487" s="74" t="s">
        <v>3</v>
      </c>
      <c r="G1487" s="153">
        <f>0.02*0.028*5*8*1.05</f>
        <v>2.3520000000000003E-2</v>
      </c>
      <c r="H1487" s="581"/>
      <c r="K1487" s="339"/>
      <c r="L1487" s="77"/>
    </row>
    <row r="1488" spans="1:12" s="73" customFormat="1" x14ac:dyDescent="0.25">
      <c r="A1488" s="564"/>
      <c r="B1488" s="564"/>
      <c r="F1488" s="74"/>
      <c r="G1488" s="153"/>
      <c r="H1488" s="581"/>
      <c r="K1488" s="339"/>
      <c r="L1488" s="77"/>
    </row>
    <row r="1489" spans="1:12" s="73" customFormat="1" ht="19.5" x14ac:dyDescent="0.3">
      <c r="A1489" s="564"/>
      <c r="B1489" s="579" t="s">
        <v>5200</v>
      </c>
      <c r="E1489" s="572" t="s">
        <v>5967</v>
      </c>
      <c r="F1489" s="74"/>
      <c r="G1489" s="153"/>
      <c r="H1489" s="581"/>
      <c r="K1489" s="339"/>
      <c r="L1489" s="77"/>
    </row>
    <row r="1490" spans="1:12" s="73" customFormat="1" x14ac:dyDescent="0.25">
      <c r="A1490" s="564"/>
      <c r="B1490" s="564"/>
      <c r="F1490" s="74"/>
      <c r="G1490" s="153"/>
      <c r="H1490" s="581"/>
      <c r="K1490" s="339"/>
      <c r="L1490" s="77"/>
    </row>
    <row r="1491" spans="1:12" s="73" customFormat="1" x14ac:dyDescent="0.25">
      <c r="A1491" s="564"/>
      <c r="B1491" s="564"/>
      <c r="C1491" s="75" t="s">
        <v>5968</v>
      </c>
      <c r="F1491" s="74"/>
      <c r="G1491" s="153"/>
      <c r="H1491" s="581"/>
      <c r="K1491" s="339"/>
      <c r="L1491" s="77"/>
    </row>
    <row r="1492" spans="1:12" s="73" customFormat="1" x14ac:dyDescent="0.25">
      <c r="A1492" s="564"/>
      <c r="B1492" s="564"/>
      <c r="D1492" s="75" t="s">
        <v>5969</v>
      </c>
      <c r="F1492" s="74"/>
      <c r="G1492" s="153"/>
      <c r="H1492" s="581"/>
      <c r="K1492" s="339"/>
      <c r="L1492" s="77"/>
    </row>
    <row r="1493" spans="1:12" s="73" customFormat="1" x14ac:dyDescent="0.25">
      <c r="A1493" s="564"/>
      <c r="B1493" s="564"/>
      <c r="D1493" s="100" t="s">
        <v>5970</v>
      </c>
      <c r="F1493" s="74" t="s">
        <v>3</v>
      </c>
      <c r="G1493" s="153">
        <f>0.17*0.17*2*2.7*1.1/2</f>
        <v>8.583300000000002E-2</v>
      </c>
      <c r="H1493" s="581"/>
      <c r="K1493" s="339"/>
      <c r="L1493" s="77"/>
    </row>
    <row r="1494" spans="1:12" s="73" customFormat="1" x14ac:dyDescent="0.25">
      <c r="A1494" s="564"/>
      <c r="B1494" s="564"/>
      <c r="D1494" s="75"/>
      <c r="F1494" s="74"/>
      <c r="G1494" s="153"/>
      <c r="H1494" s="581"/>
      <c r="K1494" s="339"/>
      <c r="L1494" s="77"/>
    </row>
    <row r="1495" spans="1:12" s="73" customFormat="1" ht="19.5" x14ac:dyDescent="0.3">
      <c r="A1495" s="564"/>
      <c r="B1495" s="579" t="s">
        <v>5204</v>
      </c>
      <c r="E1495" s="572" t="s">
        <v>5971</v>
      </c>
      <c r="F1495" s="74"/>
      <c r="G1495" s="153"/>
      <c r="H1495" s="581"/>
      <c r="K1495" s="339"/>
      <c r="L1495" s="77"/>
    </row>
    <row r="1496" spans="1:12" s="73" customFormat="1" x14ac:dyDescent="0.25">
      <c r="A1496" s="564"/>
      <c r="B1496" s="564"/>
      <c r="F1496" s="74"/>
      <c r="G1496" s="153"/>
      <c r="H1496" s="581"/>
      <c r="K1496" s="339"/>
      <c r="L1496" s="77"/>
    </row>
    <row r="1497" spans="1:12" s="73" customFormat="1" x14ac:dyDescent="0.25">
      <c r="A1497" s="564"/>
      <c r="B1497" s="564"/>
      <c r="C1497" s="75" t="s">
        <v>5972</v>
      </c>
      <c r="F1497" s="74"/>
      <c r="G1497" s="153"/>
      <c r="H1497" s="581"/>
      <c r="K1497" s="339"/>
      <c r="L1497" s="77"/>
    </row>
    <row r="1498" spans="1:12" s="73" customFormat="1" x14ac:dyDescent="0.25">
      <c r="A1498" s="564"/>
      <c r="B1498" s="564"/>
      <c r="C1498" s="100" t="s">
        <v>5973</v>
      </c>
      <c r="F1498" s="74" t="s">
        <v>3</v>
      </c>
      <c r="G1498" s="153">
        <v>2.5000000000000001E-2</v>
      </c>
      <c r="H1498" s="581"/>
      <c r="K1498" s="339"/>
      <c r="L1498" s="77"/>
    </row>
    <row r="1499" spans="1:12" s="73" customFormat="1" x14ac:dyDescent="0.25">
      <c r="A1499" s="564"/>
      <c r="B1499" s="564"/>
      <c r="C1499" s="77" t="s">
        <v>39</v>
      </c>
      <c r="F1499" s="74" t="s">
        <v>3</v>
      </c>
      <c r="G1499" s="153">
        <f>0.1*0.08</f>
        <v>8.0000000000000002E-3</v>
      </c>
      <c r="H1499" s="581"/>
      <c r="K1499" s="339"/>
      <c r="L1499" s="77"/>
    </row>
    <row r="1500" spans="1:12" s="73" customFormat="1" ht="17.25" x14ac:dyDescent="0.25">
      <c r="A1500" s="564"/>
      <c r="B1500" s="564"/>
      <c r="C1500" s="77" t="s">
        <v>1055</v>
      </c>
      <c r="F1500" s="571" t="s">
        <v>5442</v>
      </c>
      <c r="G1500" s="153">
        <f>G1499</f>
        <v>8.0000000000000002E-3</v>
      </c>
      <c r="H1500" s="581"/>
      <c r="K1500" s="339"/>
      <c r="L1500" s="77"/>
    </row>
    <row r="1501" spans="1:12" s="73" customFormat="1" x14ac:dyDescent="0.25">
      <c r="A1501" s="564"/>
      <c r="B1501" s="564"/>
      <c r="C1501" s="100" t="s">
        <v>8</v>
      </c>
      <c r="F1501" s="74" t="s">
        <v>3</v>
      </c>
      <c r="G1501" s="153">
        <f>0.9*G1502</f>
        <v>2.3003999999999997E-2</v>
      </c>
      <c r="H1501" s="581"/>
      <c r="K1501" s="339"/>
      <c r="L1501" s="77"/>
    </row>
    <row r="1502" spans="1:12" s="73" customFormat="1" x14ac:dyDescent="0.25">
      <c r="A1502" s="564"/>
      <c r="B1502" s="564"/>
      <c r="C1502" s="100" t="s">
        <v>442</v>
      </c>
      <c r="F1502" s="74" t="s">
        <v>3</v>
      </c>
      <c r="G1502" s="153">
        <f>0.355*0.1*2*0.15*2*1.2</f>
        <v>2.5559999999999996E-2</v>
      </c>
      <c r="H1502" s="581"/>
      <c r="K1502" s="339"/>
      <c r="L1502" s="77"/>
    </row>
    <row r="1503" spans="1:12" s="73" customFormat="1" x14ac:dyDescent="0.25">
      <c r="A1503" s="564"/>
      <c r="B1503" s="564"/>
      <c r="C1503" s="100" t="s">
        <v>12</v>
      </c>
      <c r="F1503" s="74" t="s">
        <v>3</v>
      </c>
      <c r="G1503" s="153">
        <f>0.3*(G1502+G1501)</f>
        <v>1.4569199999999997E-2</v>
      </c>
      <c r="H1503" s="581"/>
      <c r="K1503" s="339"/>
      <c r="L1503" s="77"/>
    </row>
    <row r="1504" spans="1:12" s="73" customFormat="1" x14ac:dyDescent="0.25">
      <c r="A1504" s="564"/>
      <c r="B1504" s="564"/>
      <c r="C1504" s="100"/>
      <c r="D1504" s="75" t="s">
        <v>5974</v>
      </c>
      <c r="F1504" s="74"/>
      <c r="G1504" s="153"/>
      <c r="H1504" s="581"/>
      <c r="K1504" s="339"/>
      <c r="L1504" s="77"/>
    </row>
    <row r="1505" spans="1:12" s="73" customFormat="1" x14ac:dyDescent="0.25">
      <c r="A1505" s="564"/>
      <c r="B1505" s="564"/>
      <c r="C1505" s="100"/>
      <c r="D1505" s="73" t="s">
        <v>5975</v>
      </c>
      <c r="F1505" s="74" t="s">
        <v>3</v>
      </c>
      <c r="G1505" s="153">
        <f>0.355*0.12*5*8*1.1005</f>
        <v>1.8752519999999999</v>
      </c>
      <c r="H1505" s="581"/>
      <c r="K1505" s="339"/>
      <c r="L1505" s="77"/>
    </row>
    <row r="1506" spans="1:12" s="73" customFormat="1" x14ac:dyDescent="0.25">
      <c r="A1506" s="564"/>
      <c r="B1506" s="564"/>
      <c r="C1506" s="100"/>
      <c r="F1506" s="74"/>
      <c r="G1506" s="153"/>
      <c r="H1506" s="581"/>
      <c r="K1506" s="339"/>
      <c r="L1506" s="77"/>
    </row>
    <row r="1507" spans="1:12" s="73" customFormat="1" x14ac:dyDescent="0.25">
      <c r="A1507" s="564"/>
      <c r="B1507" s="564"/>
      <c r="C1507" s="75" t="s">
        <v>5976</v>
      </c>
      <c r="F1507" s="74"/>
      <c r="G1507" s="153"/>
      <c r="H1507" s="581"/>
      <c r="K1507" s="339"/>
      <c r="L1507" s="77"/>
    </row>
    <row r="1508" spans="1:12" s="73" customFormat="1" x14ac:dyDescent="0.25">
      <c r="A1508" s="564"/>
      <c r="B1508" s="564"/>
      <c r="C1508" s="75"/>
      <c r="D1508" s="75" t="s">
        <v>5977</v>
      </c>
      <c r="F1508" s="74"/>
      <c r="G1508" s="153"/>
      <c r="H1508" s="581"/>
      <c r="K1508" s="339"/>
      <c r="L1508" s="77"/>
    </row>
    <row r="1509" spans="1:12" s="73" customFormat="1" x14ac:dyDescent="0.25">
      <c r="A1509" s="564"/>
      <c r="B1509" s="564"/>
      <c r="C1509" s="75"/>
      <c r="D1509" s="77" t="s">
        <v>39</v>
      </c>
      <c r="F1509" s="74" t="s">
        <v>3</v>
      </c>
      <c r="G1509" s="153">
        <f>(0.1*3.14+0.05*3.14)*0.05*1.3</f>
        <v>3.0615000000000007E-2</v>
      </c>
      <c r="H1509" s="581"/>
      <c r="K1509" s="339"/>
      <c r="L1509" s="77"/>
    </row>
    <row r="1510" spans="1:12" s="73" customFormat="1" ht="17.25" x14ac:dyDescent="0.25">
      <c r="A1510" s="564"/>
      <c r="B1510" s="564"/>
      <c r="C1510" s="75"/>
      <c r="D1510" s="77" t="s">
        <v>1055</v>
      </c>
      <c r="F1510" s="571" t="s">
        <v>5442</v>
      </c>
      <c r="G1510" s="153">
        <f>G1509</f>
        <v>3.0615000000000007E-2</v>
      </c>
      <c r="H1510" s="581"/>
      <c r="K1510" s="339"/>
      <c r="L1510" s="77"/>
    </row>
    <row r="1511" spans="1:12" s="73" customFormat="1" x14ac:dyDescent="0.25">
      <c r="A1511" s="564"/>
      <c r="B1511" s="564"/>
      <c r="C1511" s="75"/>
      <c r="D1511" s="77" t="s">
        <v>5978</v>
      </c>
      <c r="F1511" s="74" t="s">
        <v>3</v>
      </c>
      <c r="G1511" s="153">
        <f>(0.1*3.14*0.04+0.05*3.14*0.02+0.146*0.115)*2*8*1.155</f>
        <v>0.60041520000000015</v>
      </c>
      <c r="H1511" s="581"/>
      <c r="K1511" s="339"/>
      <c r="L1511" s="77"/>
    </row>
    <row r="1512" spans="1:12" s="73" customFormat="1" x14ac:dyDescent="0.25">
      <c r="A1512" s="564"/>
      <c r="B1512" s="564"/>
      <c r="C1512" s="75"/>
      <c r="F1512" s="74"/>
      <c r="G1512" s="153"/>
      <c r="H1512" s="581"/>
      <c r="K1512" s="339"/>
      <c r="L1512" s="77"/>
    </row>
    <row r="1513" spans="1:12" s="73" customFormat="1" x14ac:dyDescent="0.25">
      <c r="A1513" s="564"/>
      <c r="B1513" s="564"/>
      <c r="C1513" s="75" t="s">
        <v>5979</v>
      </c>
      <c r="F1513" s="74"/>
      <c r="G1513" s="153"/>
      <c r="H1513" s="581"/>
      <c r="K1513" s="339"/>
      <c r="L1513" s="77"/>
    </row>
    <row r="1514" spans="1:12" s="73" customFormat="1" x14ac:dyDescent="0.25">
      <c r="A1514" s="564"/>
      <c r="B1514" s="564"/>
      <c r="C1514" s="75"/>
      <c r="D1514" s="73" t="s">
        <v>957</v>
      </c>
      <c r="F1514" s="74"/>
      <c r="G1514" s="153">
        <f>0.022*0.035*1*8.5*1.19</f>
        <v>7.78855E-3</v>
      </c>
      <c r="H1514" s="581"/>
      <c r="K1514" s="339"/>
      <c r="L1514" s="77"/>
    </row>
    <row r="1515" spans="1:12" s="73" customFormat="1" x14ac:dyDescent="0.25">
      <c r="A1515" s="564"/>
      <c r="B1515" s="564"/>
      <c r="C1515" s="75"/>
      <c r="F1515" s="74"/>
      <c r="G1515" s="153"/>
      <c r="H1515" s="581"/>
      <c r="K1515" s="339"/>
      <c r="L1515" s="77"/>
    </row>
    <row r="1516" spans="1:12" s="73" customFormat="1" x14ac:dyDescent="0.25">
      <c r="A1516" s="564"/>
      <c r="B1516" s="564"/>
      <c r="C1516" s="75" t="s">
        <v>5980</v>
      </c>
      <c r="F1516" s="74"/>
      <c r="G1516" s="153"/>
      <c r="H1516" s="581"/>
      <c r="K1516" s="339"/>
      <c r="L1516" s="77"/>
    </row>
    <row r="1517" spans="1:12" s="73" customFormat="1" x14ac:dyDescent="0.25">
      <c r="A1517" s="564"/>
      <c r="B1517" s="564"/>
      <c r="C1517" s="100" t="s">
        <v>5973</v>
      </c>
      <c r="F1517" s="74" t="s">
        <v>3</v>
      </c>
      <c r="G1517" s="153">
        <v>2.5000000000000001E-2</v>
      </c>
      <c r="H1517" s="581"/>
      <c r="K1517" s="339"/>
      <c r="L1517" s="77"/>
    </row>
    <row r="1518" spans="1:12" s="73" customFormat="1" x14ac:dyDescent="0.25">
      <c r="A1518" s="564"/>
      <c r="B1518" s="564"/>
      <c r="C1518" s="77" t="s">
        <v>39</v>
      </c>
      <c r="F1518" s="74" t="s">
        <v>3</v>
      </c>
      <c r="G1518" s="153">
        <f>0.1*0.08</f>
        <v>8.0000000000000002E-3</v>
      </c>
      <c r="H1518" s="581"/>
      <c r="K1518" s="339"/>
      <c r="L1518" s="77"/>
    </row>
    <row r="1519" spans="1:12" s="73" customFormat="1" ht="17.25" x14ac:dyDescent="0.25">
      <c r="A1519" s="564"/>
      <c r="B1519" s="564"/>
      <c r="C1519" s="77" t="s">
        <v>1055</v>
      </c>
      <c r="F1519" s="571" t="s">
        <v>5442</v>
      </c>
      <c r="G1519" s="153">
        <f>G1518</f>
        <v>8.0000000000000002E-3</v>
      </c>
      <c r="H1519" s="581"/>
      <c r="K1519" s="339"/>
      <c r="L1519" s="77"/>
    </row>
    <row r="1520" spans="1:12" s="73" customFormat="1" x14ac:dyDescent="0.25">
      <c r="A1520" s="564"/>
      <c r="B1520" s="564"/>
      <c r="C1520" s="100" t="s">
        <v>8</v>
      </c>
      <c r="F1520" s="74" t="s">
        <v>3</v>
      </c>
      <c r="G1520" s="153">
        <f>0.9*G1521</f>
        <v>1.80144E-2</v>
      </c>
      <c r="H1520" s="581"/>
      <c r="K1520" s="339"/>
      <c r="L1520" s="77"/>
    </row>
    <row r="1521" spans="1:12" s="73" customFormat="1" x14ac:dyDescent="0.25">
      <c r="A1521" s="564"/>
      <c r="B1521" s="564"/>
      <c r="C1521" s="100" t="s">
        <v>442</v>
      </c>
      <c r="F1521" s="74" t="s">
        <v>3</v>
      </c>
      <c r="G1521" s="153">
        <f>0.08*0.3*2*0.15*2*1.39</f>
        <v>2.0015999999999999E-2</v>
      </c>
      <c r="H1521" s="581"/>
      <c r="K1521" s="339"/>
      <c r="L1521" s="77"/>
    </row>
    <row r="1522" spans="1:12" s="73" customFormat="1" x14ac:dyDescent="0.25">
      <c r="A1522" s="564"/>
      <c r="B1522" s="564"/>
      <c r="C1522" s="100" t="s">
        <v>12</v>
      </c>
      <c r="F1522" s="74" t="s">
        <v>3</v>
      </c>
      <c r="G1522" s="153">
        <f>0.3*(G1521+G1520)</f>
        <v>1.140912E-2</v>
      </c>
      <c r="H1522" s="581"/>
      <c r="K1522" s="339"/>
      <c r="L1522" s="77"/>
    </row>
    <row r="1523" spans="1:12" s="73" customFormat="1" x14ac:dyDescent="0.25">
      <c r="A1523" s="564"/>
      <c r="B1523" s="564"/>
      <c r="C1523" s="75"/>
      <c r="D1523" s="75" t="s">
        <v>5981</v>
      </c>
      <c r="F1523" s="573"/>
      <c r="G1523" s="153"/>
      <c r="H1523" s="581"/>
      <c r="K1523" s="339"/>
      <c r="L1523" s="77"/>
    </row>
    <row r="1524" spans="1:12" s="73" customFormat="1" x14ac:dyDescent="0.25">
      <c r="A1524" s="564"/>
      <c r="B1524" s="564"/>
      <c r="C1524" s="75"/>
      <c r="D1524" s="73" t="s">
        <v>5975</v>
      </c>
      <c r="F1524" s="74" t="s">
        <v>3</v>
      </c>
      <c r="G1524" s="153">
        <f>0.15*0.3*5*8*1.1</f>
        <v>1.98</v>
      </c>
      <c r="H1524" s="581"/>
      <c r="K1524" s="339"/>
      <c r="L1524" s="77"/>
    </row>
    <row r="1525" spans="1:12" s="73" customFormat="1" x14ac:dyDescent="0.25">
      <c r="A1525" s="564"/>
      <c r="B1525" s="564"/>
      <c r="C1525" s="75"/>
      <c r="F1525" s="74"/>
      <c r="G1525" s="574"/>
      <c r="H1525" s="581"/>
      <c r="K1525" s="339"/>
      <c r="L1525" s="77"/>
    </row>
    <row r="1526" spans="1:12" s="73" customFormat="1" ht="19.5" x14ac:dyDescent="0.3">
      <c r="A1526" s="564"/>
      <c r="B1526" s="578" t="s">
        <v>5982</v>
      </c>
      <c r="E1526" s="572" t="s">
        <v>5983</v>
      </c>
      <c r="F1526" s="74"/>
      <c r="G1526" s="153"/>
      <c r="H1526" s="581"/>
      <c r="K1526" s="339"/>
      <c r="L1526" s="77"/>
    </row>
    <row r="1527" spans="1:12" s="73" customFormat="1" x14ac:dyDescent="0.25">
      <c r="A1527" s="564"/>
      <c r="B1527" s="496"/>
      <c r="F1527" s="74"/>
      <c r="G1527" s="153"/>
      <c r="H1527" s="581"/>
      <c r="K1527" s="339"/>
      <c r="L1527" s="77"/>
    </row>
    <row r="1528" spans="1:12" s="73" customFormat="1" x14ac:dyDescent="0.25">
      <c r="A1528" s="564"/>
      <c r="B1528" s="496"/>
      <c r="C1528" s="75" t="s">
        <v>5984</v>
      </c>
      <c r="F1528" s="74"/>
      <c r="G1528" s="153"/>
      <c r="H1528" s="581"/>
      <c r="K1528" s="339"/>
      <c r="L1528" s="77"/>
    </row>
    <row r="1529" spans="1:12" s="73" customFormat="1" x14ac:dyDescent="0.25">
      <c r="A1529" s="564"/>
      <c r="B1529" s="496"/>
      <c r="C1529" s="75"/>
      <c r="D1529" s="75" t="s">
        <v>5985</v>
      </c>
      <c r="F1529" s="74"/>
      <c r="G1529" s="153"/>
      <c r="H1529" s="581"/>
      <c r="K1529" s="339"/>
      <c r="L1529" s="77"/>
    </row>
    <row r="1530" spans="1:12" s="73" customFormat="1" x14ac:dyDescent="0.25">
      <c r="A1530" s="564"/>
      <c r="B1530" s="496"/>
      <c r="C1530" s="75"/>
      <c r="D1530" s="75"/>
      <c r="E1530" s="75" t="s">
        <v>5986</v>
      </c>
      <c r="F1530" s="74"/>
      <c r="G1530" s="153"/>
      <c r="H1530" s="581"/>
      <c r="K1530" s="339"/>
      <c r="L1530" s="77"/>
    </row>
    <row r="1531" spans="1:12" s="73" customFormat="1" x14ac:dyDescent="0.25">
      <c r="A1531" s="564"/>
      <c r="B1531" s="496"/>
      <c r="C1531" s="75"/>
      <c r="D1531" s="75"/>
      <c r="E1531" s="77" t="s">
        <v>5284</v>
      </c>
      <c r="F1531" s="74" t="s">
        <v>3</v>
      </c>
      <c r="G1531" s="153">
        <f>0.58*0.025*2*8*1.1</f>
        <v>0.25519999999999998</v>
      </c>
      <c r="H1531" s="581"/>
      <c r="K1531" s="339"/>
      <c r="L1531" s="77"/>
    </row>
    <row r="1532" spans="1:12" s="73" customFormat="1" x14ac:dyDescent="0.25">
      <c r="A1532" s="564"/>
      <c r="B1532" s="496"/>
      <c r="C1532" s="75" t="s">
        <v>5987</v>
      </c>
      <c r="F1532" s="74"/>
      <c r="G1532" s="153"/>
      <c r="H1532" s="581"/>
      <c r="K1532" s="339"/>
      <c r="L1532" s="77"/>
    </row>
    <row r="1533" spans="1:12" s="73" customFormat="1" x14ac:dyDescent="0.25">
      <c r="A1533" s="564"/>
      <c r="B1533" s="496"/>
      <c r="D1533" s="75" t="s">
        <v>5988</v>
      </c>
      <c r="F1533" s="74"/>
      <c r="G1533" s="153"/>
      <c r="H1533" s="581"/>
      <c r="K1533" s="339"/>
      <c r="L1533" s="77"/>
    </row>
    <row r="1534" spans="1:12" s="73" customFormat="1" x14ac:dyDescent="0.25">
      <c r="A1534" s="564"/>
      <c r="B1534" s="496"/>
      <c r="D1534" s="75"/>
      <c r="E1534" s="75" t="s">
        <v>5989</v>
      </c>
      <c r="F1534" s="74"/>
      <c r="G1534" s="153"/>
      <c r="H1534" s="581"/>
      <c r="K1534" s="339"/>
      <c r="L1534" s="77"/>
    </row>
    <row r="1535" spans="1:12" s="73" customFormat="1" x14ac:dyDescent="0.25">
      <c r="A1535" s="564"/>
      <c r="B1535" s="496"/>
      <c r="D1535" s="75"/>
      <c r="E1535" s="100" t="s">
        <v>5990</v>
      </c>
      <c r="F1535" s="74" t="s">
        <v>3</v>
      </c>
      <c r="G1535" s="153">
        <f>0.035*0.075*1*8*1.1</f>
        <v>2.3100000000000002E-2</v>
      </c>
      <c r="H1535" s="581"/>
      <c r="K1535" s="339"/>
      <c r="L1535" s="77"/>
    </row>
    <row r="1536" spans="1:12" s="73" customFormat="1" x14ac:dyDescent="0.25">
      <c r="A1536" s="564"/>
      <c r="B1536" s="496"/>
      <c r="D1536" s="75"/>
      <c r="E1536" s="75" t="s">
        <v>5991</v>
      </c>
      <c r="F1536" s="74"/>
      <c r="G1536" s="153"/>
      <c r="H1536" s="581"/>
      <c r="K1536" s="339"/>
      <c r="L1536" s="77"/>
    </row>
    <row r="1537" spans="1:12" s="73" customFormat="1" x14ac:dyDescent="0.25">
      <c r="A1537" s="564"/>
      <c r="B1537" s="496"/>
      <c r="D1537" s="75"/>
      <c r="E1537" s="100" t="s">
        <v>5992</v>
      </c>
      <c r="F1537" s="74" t="s">
        <v>3</v>
      </c>
      <c r="G1537" s="153">
        <f>0.12*0.005*1.5*8*1.1</f>
        <v>7.92E-3</v>
      </c>
      <c r="H1537" s="581"/>
      <c r="K1537" s="339"/>
      <c r="L1537" s="77"/>
    </row>
    <row r="1538" spans="1:12" s="73" customFormat="1" x14ac:dyDescent="0.25">
      <c r="A1538" s="564"/>
      <c r="B1538" s="496"/>
      <c r="D1538" s="75"/>
      <c r="E1538" s="75" t="s">
        <v>5993</v>
      </c>
      <c r="F1538" s="74"/>
      <c r="G1538" s="153"/>
      <c r="H1538" s="581"/>
      <c r="K1538" s="339"/>
      <c r="L1538" s="77"/>
    </row>
    <row r="1539" spans="1:12" s="73" customFormat="1" x14ac:dyDescent="0.25">
      <c r="A1539" s="564"/>
      <c r="B1539" s="496"/>
      <c r="D1539" s="75"/>
      <c r="E1539" s="100" t="s">
        <v>5990</v>
      </c>
      <c r="F1539" s="74" t="s">
        <v>3</v>
      </c>
      <c r="G1539" s="153">
        <f>0.04*0.04*1*8*1.1</f>
        <v>1.4080000000000002E-2</v>
      </c>
      <c r="H1539" s="581"/>
      <c r="K1539" s="339"/>
      <c r="L1539" s="77"/>
    </row>
    <row r="1540" spans="1:12" s="73" customFormat="1" x14ac:dyDescent="0.25">
      <c r="A1540" s="564"/>
      <c r="B1540" s="496"/>
      <c r="D1540" s="75" t="s">
        <v>5994</v>
      </c>
      <c r="F1540" s="74"/>
      <c r="G1540" s="153"/>
      <c r="H1540" s="581"/>
      <c r="K1540" s="339"/>
      <c r="L1540" s="77"/>
    </row>
    <row r="1541" spans="1:12" s="73" customFormat="1" x14ac:dyDescent="0.25">
      <c r="A1541" s="564"/>
      <c r="B1541" s="496"/>
      <c r="D1541" s="100" t="s">
        <v>5995</v>
      </c>
      <c r="F1541" s="74" t="s">
        <v>3</v>
      </c>
      <c r="G1541" s="153">
        <f>0.025*0.006*1*8*1.1</f>
        <v>1.3200000000000002E-3</v>
      </c>
      <c r="H1541" s="581"/>
      <c r="K1541" s="339"/>
      <c r="L1541" s="77"/>
    </row>
    <row r="1542" spans="1:12" s="73" customFormat="1" x14ac:dyDescent="0.25">
      <c r="A1542" s="564"/>
      <c r="B1542" s="496"/>
      <c r="C1542" s="75" t="s">
        <v>5996</v>
      </c>
      <c r="F1542" s="74"/>
      <c r="G1542" s="153"/>
      <c r="H1542" s="581"/>
      <c r="K1542" s="339"/>
      <c r="L1542" s="77"/>
    </row>
    <row r="1543" spans="1:12" s="73" customFormat="1" x14ac:dyDescent="0.25">
      <c r="A1543" s="564"/>
      <c r="B1543" s="496"/>
      <c r="D1543" s="75" t="s">
        <v>5997</v>
      </c>
      <c r="F1543" s="74"/>
      <c r="G1543" s="153"/>
      <c r="H1543" s="581"/>
      <c r="K1543" s="339"/>
      <c r="L1543" s="77"/>
    </row>
    <row r="1544" spans="1:12" s="73" customFormat="1" x14ac:dyDescent="0.25">
      <c r="A1544" s="564"/>
      <c r="B1544" s="496"/>
      <c r="D1544" s="100" t="s">
        <v>5998</v>
      </c>
      <c r="F1544" s="74" t="s">
        <v>3</v>
      </c>
      <c r="G1544" s="153">
        <v>5.5E-2</v>
      </c>
      <c r="H1544" s="581"/>
      <c r="K1544" s="339"/>
      <c r="L1544" s="77"/>
    </row>
    <row r="1545" spans="1:12" s="73" customFormat="1" x14ac:dyDescent="0.25">
      <c r="A1545" s="564"/>
      <c r="B1545" s="496"/>
      <c r="C1545" s="75" t="s">
        <v>5999</v>
      </c>
      <c r="F1545" s="74"/>
      <c r="G1545" s="153"/>
      <c r="H1545" s="581"/>
      <c r="K1545" s="339"/>
      <c r="L1545" s="77"/>
    </row>
    <row r="1546" spans="1:12" s="73" customFormat="1" x14ac:dyDescent="0.25">
      <c r="A1546" s="564"/>
      <c r="B1546" s="496"/>
      <c r="C1546" s="73" t="s">
        <v>6000</v>
      </c>
      <c r="F1546" s="74" t="s">
        <v>3</v>
      </c>
      <c r="G1546" s="153">
        <f>0.025*0.025*1.5*2</f>
        <v>1.8750000000000004E-3</v>
      </c>
      <c r="H1546" s="581"/>
      <c r="K1546" s="339"/>
      <c r="L1546" s="77"/>
    </row>
    <row r="1547" spans="1:12" s="73" customFormat="1" x14ac:dyDescent="0.25">
      <c r="A1547" s="564"/>
      <c r="B1547" s="496"/>
      <c r="F1547" s="74"/>
      <c r="G1547" s="153"/>
      <c r="H1547" s="581"/>
      <c r="K1547" s="339"/>
      <c r="L1547" s="77"/>
    </row>
    <row r="1548" spans="1:12" s="73" customFormat="1" x14ac:dyDescent="0.25">
      <c r="A1548" s="564"/>
      <c r="B1548" s="496"/>
      <c r="F1548" s="74"/>
      <c r="G1548" s="798"/>
      <c r="H1548" s="582" t="s">
        <v>6001</v>
      </c>
      <c r="K1548" s="339"/>
      <c r="L1548" s="77"/>
    </row>
    <row r="1549" spans="1:12" s="73" customFormat="1" x14ac:dyDescent="0.25">
      <c r="A1549" s="564"/>
      <c r="B1549" s="496"/>
      <c r="C1549" s="75" t="s">
        <v>6002</v>
      </c>
      <c r="F1549" s="74"/>
      <c r="G1549" s="153"/>
      <c r="H1549" s="581"/>
      <c r="K1549" s="339"/>
      <c r="L1549" s="77"/>
    </row>
    <row r="1550" spans="1:12" s="73" customFormat="1" x14ac:dyDescent="0.25">
      <c r="A1550" s="564"/>
      <c r="B1550" s="496"/>
      <c r="C1550" s="73" t="s">
        <v>140</v>
      </c>
      <c r="F1550" s="74" t="s">
        <v>3</v>
      </c>
      <c r="G1550" s="153">
        <v>3.5000000000000003E-2</v>
      </c>
      <c r="H1550" s="581"/>
      <c r="K1550" s="339"/>
      <c r="L1550" s="77"/>
    </row>
    <row r="1551" spans="1:12" s="73" customFormat="1" ht="17.25" x14ac:dyDescent="0.25">
      <c r="A1551" s="564"/>
      <c r="B1551" s="496"/>
      <c r="C1551" s="73" t="s">
        <v>23</v>
      </c>
      <c r="F1551" s="571" t="s">
        <v>5442</v>
      </c>
      <c r="G1551" s="153">
        <f>G1550*2</f>
        <v>7.0000000000000007E-2</v>
      </c>
      <c r="H1551" s="581"/>
      <c r="K1551" s="339"/>
      <c r="L1551" s="77"/>
    </row>
    <row r="1552" spans="1:12" s="73" customFormat="1" x14ac:dyDescent="0.25">
      <c r="A1552" s="564"/>
      <c r="B1552" s="496"/>
      <c r="C1552" s="73" t="s">
        <v>142</v>
      </c>
      <c r="F1552" s="74" t="s">
        <v>3</v>
      </c>
      <c r="G1552" s="153">
        <f>G1550/4</f>
        <v>8.7500000000000008E-3</v>
      </c>
      <c r="H1552" s="581"/>
      <c r="K1552" s="339"/>
      <c r="L1552" s="77"/>
    </row>
    <row r="1553" spans="1:12" s="73" customFormat="1" x14ac:dyDescent="0.25">
      <c r="A1553" s="564"/>
      <c r="B1553" s="496"/>
      <c r="C1553" s="100" t="s">
        <v>325</v>
      </c>
      <c r="F1553" s="74" t="s">
        <v>3</v>
      </c>
      <c r="G1553" s="153">
        <f>0.2*0.02*2*1.2</f>
        <v>9.5999999999999992E-3</v>
      </c>
      <c r="H1553" s="581"/>
      <c r="K1553" s="339"/>
      <c r="L1553" s="77"/>
    </row>
    <row r="1554" spans="1:12" s="73" customFormat="1" x14ac:dyDescent="0.25">
      <c r="A1554" s="564"/>
      <c r="B1554" s="496"/>
      <c r="C1554" s="100" t="s">
        <v>8</v>
      </c>
      <c r="F1554" s="74" t="s">
        <v>3</v>
      </c>
      <c r="G1554" s="153">
        <f>G1553</f>
        <v>9.5999999999999992E-3</v>
      </c>
      <c r="H1554" s="581"/>
      <c r="K1554" s="339"/>
      <c r="L1554" s="77"/>
    </row>
    <row r="1555" spans="1:12" s="73" customFormat="1" x14ac:dyDescent="0.25">
      <c r="A1555" s="564"/>
      <c r="B1555" s="496"/>
      <c r="C1555" s="100" t="s">
        <v>143</v>
      </c>
      <c r="F1555" s="74" t="s">
        <v>3</v>
      </c>
      <c r="G1555" s="153">
        <v>0.01</v>
      </c>
      <c r="H1555" s="581"/>
      <c r="K1555" s="339"/>
      <c r="L1555" s="77"/>
    </row>
    <row r="1556" spans="1:12" s="73" customFormat="1" x14ac:dyDescent="0.25">
      <c r="A1556" s="564"/>
      <c r="B1556" s="496"/>
      <c r="C1556" s="100" t="s">
        <v>12</v>
      </c>
      <c r="F1556" s="74" t="s">
        <v>3</v>
      </c>
      <c r="G1556" s="153">
        <f>0.3*(G1555+G1554+G1553)</f>
        <v>8.7599999999999987E-3</v>
      </c>
      <c r="H1556" s="581"/>
      <c r="K1556" s="339"/>
      <c r="L1556" s="77"/>
    </row>
    <row r="1557" spans="1:12" s="73" customFormat="1" x14ac:dyDescent="0.25">
      <c r="A1557" s="564"/>
      <c r="B1557" s="496"/>
      <c r="D1557" s="75" t="s">
        <v>6003</v>
      </c>
      <c r="F1557" s="74"/>
      <c r="G1557" s="153"/>
      <c r="H1557" s="581"/>
      <c r="K1557" s="339"/>
      <c r="L1557" s="77"/>
    </row>
    <row r="1558" spans="1:12" s="73" customFormat="1" x14ac:dyDescent="0.25">
      <c r="A1558" s="564"/>
      <c r="B1558" s="496"/>
      <c r="D1558" s="73" t="s">
        <v>6004</v>
      </c>
      <c r="F1558" s="74" t="s">
        <v>3</v>
      </c>
      <c r="G1558" s="153">
        <f>0.035*0.035*5*8.9*1.1</f>
        <v>5.9963750000000017E-2</v>
      </c>
      <c r="H1558" s="581"/>
      <c r="K1558" s="339"/>
      <c r="L1558" s="77"/>
    </row>
    <row r="1559" spans="1:12" s="73" customFormat="1" x14ac:dyDescent="0.25">
      <c r="A1559" s="564"/>
      <c r="B1559" s="496"/>
      <c r="D1559" s="75" t="s">
        <v>6005</v>
      </c>
      <c r="F1559" s="74"/>
      <c r="G1559" s="153"/>
      <c r="H1559" s="581"/>
      <c r="K1559" s="339"/>
      <c r="L1559" s="77"/>
    </row>
    <row r="1560" spans="1:12" s="73" customFormat="1" x14ac:dyDescent="0.25">
      <c r="A1560" s="564"/>
      <c r="B1560" s="496"/>
      <c r="D1560" s="73" t="s">
        <v>2265</v>
      </c>
      <c r="F1560" s="74" t="s">
        <v>3</v>
      </c>
      <c r="G1560" s="153">
        <v>0.03</v>
      </c>
      <c r="H1560" s="581"/>
      <c r="I1560" s="73" t="s">
        <v>1459</v>
      </c>
      <c r="K1560" s="339"/>
      <c r="L1560" s="77"/>
    </row>
    <row r="1561" spans="1:12" s="73" customFormat="1" x14ac:dyDescent="0.25">
      <c r="A1561" s="564"/>
      <c r="B1561" s="496"/>
      <c r="D1561" s="75" t="s">
        <v>6006</v>
      </c>
      <c r="F1561" s="74"/>
      <c r="G1561" s="153"/>
      <c r="H1561" s="581"/>
      <c r="K1561" s="339"/>
      <c r="L1561" s="77"/>
    </row>
    <row r="1562" spans="1:12" s="73" customFormat="1" x14ac:dyDescent="0.25">
      <c r="A1562" s="564"/>
      <c r="B1562" s="496"/>
      <c r="D1562" s="73" t="s">
        <v>2265</v>
      </c>
      <c r="F1562" s="74" t="s">
        <v>3</v>
      </c>
      <c r="G1562" s="153">
        <v>3.7999999999999999E-2</v>
      </c>
      <c r="H1562" s="581"/>
      <c r="I1562" s="73" t="s">
        <v>6007</v>
      </c>
      <c r="K1562" s="339"/>
      <c r="L1562" s="77"/>
    </row>
    <row r="1563" spans="1:12" s="73" customFormat="1" x14ac:dyDescent="0.25">
      <c r="A1563" s="564"/>
      <c r="B1563" s="496"/>
      <c r="D1563" s="75" t="s">
        <v>6008</v>
      </c>
      <c r="F1563" s="74"/>
      <c r="G1563" s="153"/>
      <c r="H1563" s="581"/>
      <c r="K1563" s="339"/>
      <c r="L1563" s="77"/>
    </row>
    <row r="1564" spans="1:12" s="73" customFormat="1" x14ac:dyDescent="0.25">
      <c r="A1564" s="564"/>
      <c r="B1564" s="496"/>
      <c r="D1564" s="73" t="s">
        <v>4638</v>
      </c>
      <c r="F1564" s="74" t="s">
        <v>3</v>
      </c>
      <c r="G1564" s="153">
        <v>0.21</v>
      </c>
      <c r="H1564" s="581"/>
      <c r="I1564" s="73" t="s">
        <v>6009</v>
      </c>
      <c r="K1564" s="339"/>
      <c r="L1564" s="77"/>
    </row>
    <row r="1565" spans="1:12" s="73" customFormat="1" x14ac:dyDescent="0.25">
      <c r="A1565" s="564"/>
      <c r="B1565" s="496"/>
      <c r="D1565" s="75" t="s">
        <v>6010</v>
      </c>
      <c r="F1565" s="74"/>
      <c r="G1565" s="153"/>
      <c r="H1565" s="581"/>
      <c r="K1565" s="339"/>
      <c r="L1565" s="77"/>
    </row>
    <row r="1566" spans="1:12" s="73" customFormat="1" x14ac:dyDescent="0.25">
      <c r="A1566" s="564"/>
      <c r="B1566" s="496"/>
      <c r="D1566" s="73" t="s">
        <v>6011</v>
      </c>
      <c r="F1566" s="74" t="s">
        <v>3</v>
      </c>
      <c r="G1566" s="153">
        <v>0.15</v>
      </c>
      <c r="H1566" s="581"/>
      <c r="I1566" s="73" t="s">
        <v>6012</v>
      </c>
      <c r="K1566" s="339"/>
      <c r="L1566" s="77"/>
    </row>
    <row r="1567" spans="1:12" s="73" customFormat="1" x14ac:dyDescent="0.25">
      <c r="A1567" s="564"/>
      <c r="B1567" s="496"/>
      <c r="D1567" s="75" t="s">
        <v>6013</v>
      </c>
      <c r="F1567" s="74"/>
      <c r="G1567" s="574" t="s">
        <v>6014</v>
      </c>
      <c r="H1567" s="581"/>
      <c r="K1567" s="339"/>
      <c r="L1567" s="77"/>
    </row>
    <row r="1568" spans="1:12" s="73" customFormat="1" x14ac:dyDescent="0.25">
      <c r="A1568" s="564"/>
      <c r="B1568" s="496"/>
      <c r="D1568" s="73" t="s">
        <v>6015</v>
      </c>
      <c r="F1568" s="74" t="s">
        <v>3</v>
      </c>
      <c r="G1568" s="153">
        <v>0.76</v>
      </c>
      <c r="H1568" s="581"/>
      <c r="K1568" s="339"/>
      <c r="L1568" s="77"/>
    </row>
    <row r="1569" spans="1:12" s="73" customFormat="1" x14ac:dyDescent="0.25">
      <c r="A1569" s="564"/>
      <c r="B1569" s="496"/>
      <c r="F1569" s="74"/>
      <c r="G1569" s="153"/>
      <c r="H1569" s="581"/>
      <c r="K1569" s="339"/>
      <c r="L1569" s="77"/>
    </row>
    <row r="1570" spans="1:12" s="73" customFormat="1" x14ac:dyDescent="0.25">
      <c r="A1570" s="564"/>
      <c r="B1570" s="496"/>
      <c r="C1570" s="75" t="s">
        <v>6016</v>
      </c>
      <c r="F1570" s="74"/>
      <c r="G1570" s="574" t="s">
        <v>6014</v>
      </c>
      <c r="H1570" s="581"/>
      <c r="K1570" s="339"/>
      <c r="L1570" s="77"/>
    </row>
    <row r="1571" spans="1:12" s="73" customFormat="1" x14ac:dyDescent="0.25">
      <c r="A1571" s="564"/>
      <c r="B1571" s="496"/>
      <c r="C1571" s="73" t="s">
        <v>6017</v>
      </c>
      <c r="F1571" s="74" t="s">
        <v>3</v>
      </c>
      <c r="G1571" s="153">
        <v>0.21</v>
      </c>
      <c r="H1571" s="581"/>
      <c r="K1571" s="339"/>
      <c r="L1571" s="77"/>
    </row>
    <row r="1572" spans="1:12" s="73" customFormat="1" x14ac:dyDescent="0.25">
      <c r="A1572" s="584"/>
      <c r="B1572" s="585"/>
      <c r="C1572" s="539"/>
      <c r="D1572" s="539"/>
      <c r="E1572" s="539"/>
      <c r="F1572" s="539"/>
      <c r="G1572" s="799"/>
      <c r="H1572" s="586"/>
      <c r="I1572" s="153"/>
      <c r="J1572" s="153"/>
    </row>
    <row r="1573" spans="1:12" x14ac:dyDescent="0.25">
      <c r="A1573" s="77"/>
      <c r="B1573" s="564"/>
      <c r="C1573" s="73"/>
      <c r="E1573" s="204"/>
      <c r="F1573" s="204"/>
      <c r="G1573" s="800"/>
      <c r="H1573" s="587"/>
      <c r="I1573" s="77"/>
      <c r="J1573" s="563"/>
      <c r="K1573" s="564"/>
      <c r="L1573" s="339"/>
    </row>
    <row r="1574" spans="1:12" ht="18.75" x14ac:dyDescent="0.3">
      <c r="A1574" s="77"/>
      <c r="B1574" s="564"/>
      <c r="C1574"/>
      <c r="D1574"/>
      <c r="E1574" s="594" t="s">
        <v>6018</v>
      </c>
      <c r="F1574" s="77"/>
      <c r="G1574" s="2"/>
      <c r="H1574" s="583"/>
      <c r="I1574" s="10"/>
      <c r="J1574" s="3"/>
      <c r="K1574" s="3"/>
      <c r="L1574" s="339"/>
    </row>
    <row r="1575" spans="1:12" x14ac:dyDescent="0.25">
      <c r="A1575" s="77"/>
      <c r="B1575" s="564"/>
      <c r="C1575"/>
      <c r="D1575"/>
      <c r="E1575"/>
      <c r="F1575"/>
      <c r="G1575" s="2"/>
      <c r="H1575" s="583"/>
      <c r="I1575" s="10"/>
      <c r="J1575" s="3"/>
      <c r="K1575" s="3"/>
      <c r="L1575" s="339"/>
    </row>
    <row r="1576" spans="1:12" x14ac:dyDescent="0.25">
      <c r="A1576" s="77"/>
      <c r="B1576" s="564"/>
      <c r="C1576" s="3" t="s">
        <v>6019</v>
      </c>
      <c r="D1576"/>
      <c r="E1576"/>
      <c r="F1576" s="537"/>
      <c r="G1576" s="10"/>
      <c r="H1576" s="588"/>
      <c r="I1576" s="3"/>
      <c r="L1576" s="339"/>
    </row>
    <row r="1577" spans="1:12" x14ac:dyDescent="0.25">
      <c r="C1577"/>
      <c r="D1577" t="s">
        <v>6020</v>
      </c>
      <c r="E1577"/>
      <c r="F1577" s="537" t="s">
        <v>3</v>
      </c>
      <c r="G1577" s="10">
        <f>0.11*0.11*5*8*1.1</f>
        <v>0.53239999999999998</v>
      </c>
      <c r="H1577" s="588"/>
      <c r="I1577" s="3"/>
    </row>
    <row r="1578" spans="1:12" x14ac:dyDescent="0.25">
      <c r="C1578"/>
      <c r="D1578"/>
      <c r="E1578"/>
      <c r="F1578" s="537"/>
      <c r="G1578" s="10"/>
      <c r="H1578" s="588"/>
      <c r="I1578" s="3"/>
    </row>
    <row r="1579" spans="1:12" x14ac:dyDescent="0.25">
      <c r="C1579" s="3" t="s">
        <v>6021</v>
      </c>
      <c r="D1579"/>
      <c r="E1579"/>
      <c r="F1579" s="537"/>
      <c r="G1579" s="10"/>
      <c r="H1579" s="588"/>
      <c r="I1579" s="3" t="s">
        <v>1516</v>
      </c>
      <c r="J1579" s="564">
        <v>2</v>
      </c>
    </row>
    <row r="1580" spans="1:12" x14ac:dyDescent="0.25">
      <c r="C1580" s="77" t="s">
        <v>39</v>
      </c>
      <c r="D1580"/>
      <c r="E1580"/>
      <c r="F1580" s="537" t="s">
        <v>3</v>
      </c>
      <c r="G1580" s="10">
        <f>1*0.1*1.3</f>
        <v>0.13</v>
      </c>
      <c r="H1580" s="588"/>
      <c r="I1580" s="3"/>
    </row>
    <row r="1581" spans="1:12" ht="18" x14ac:dyDescent="0.25">
      <c r="C1581" s="77" t="s">
        <v>1055</v>
      </c>
      <c r="D1581"/>
      <c r="E1581"/>
      <c r="F1581" s="566" t="s">
        <v>6022</v>
      </c>
      <c r="G1581" s="10">
        <f>G1580</f>
        <v>0.13</v>
      </c>
      <c r="H1581" s="588"/>
      <c r="I1581" s="3"/>
    </row>
    <row r="1582" spans="1:12" x14ac:dyDescent="0.25">
      <c r="C1582" s="25" t="s">
        <v>114</v>
      </c>
      <c r="D1582"/>
      <c r="E1582"/>
      <c r="F1582" s="537" t="s">
        <v>3</v>
      </c>
      <c r="G1582" s="10">
        <v>0.12</v>
      </c>
      <c r="H1582" s="588"/>
      <c r="I1582" s="3"/>
    </row>
    <row r="1583" spans="1:12" x14ac:dyDescent="0.25">
      <c r="C1583" s="25" t="s">
        <v>661</v>
      </c>
      <c r="D1583"/>
      <c r="E1583"/>
      <c r="F1583" s="537" t="s">
        <v>3</v>
      </c>
      <c r="G1583" s="10">
        <f>0.3*G1582</f>
        <v>3.5999999999999997E-2</v>
      </c>
      <c r="H1583" s="588"/>
      <c r="I1583" s="3"/>
    </row>
    <row r="1584" spans="1:12" x14ac:dyDescent="0.25">
      <c r="C1584" s="25" t="s">
        <v>72</v>
      </c>
      <c r="D1584"/>
      <c r="E1584"/>
      <c r="F1584" s="537" t="s">
        <v>3</v>
      </c>
      <c r="G1584" s="10">
        <f>0.594*0.3*2*0.15*2*1.31</f>
        <v>0.1400652</v>
      </c>
      <c r="H1584" s="588"/>
      <c r="I1584" s="3"/>
    </row>
    <row r="1585" spans="3:10" x14ac:dyDescent="0.25">
      <c r="C1585" s="25" t="s">
        <v>11</v>
      </c>
      <c r="D1585"/>
      <c r="E1585"/>
      <c r="F1585" s="537" t="s">
        <v>3</v>
      </c>
      <c r="G1585" s="10">
        <f>0.3*G1584</f>
        <v>4.2019559999999997E-2</v>
      </c>
      <c r="H1585" s="588"/>
      <c r="I1585" s="3"/>
    </row>
    <row r="1586" spans="3:10" x14ac:dyDescent="0.25">
      <c r="C1586" s="25" t="s">
        <v>13</v>
      </c>
      <c r="D1586"/>
      <c r="E1586"/>
      <c r="F1586" s="537" t="s">
        <v>3</v>
      </c>
      <c r="G1586" s="10">
        <v>0.1</v>
      </c>
      <c r="H1586" s="588"/>
      <c r="I1586" s="3"/>
    </row>
    <row r="1587" spans="3:10" x14ac:dyDescent="0.25">
      <c r="C1587"/>
      <c r="D1587" s="4" t="s">
        <v>6023</v>
      </c>
      <c r="E1587"/>
      <c r="F1587" s="537"/>
      <c r="G1587" s="10"/>
      <c r="H1587" s="588"/>
      <c r="I1587" s="3" t="s">
        <v>1516</v>
      </c>
      <c r="J1587" s="564">
        <v>1</v>
      </c>
    </row>
    <row r="1588" spans="3:10" x14ac:dyDescent="0.25">
      <c r="C1588"/>
      <c r="D1588" t="s">
        <v>6024</v>
      </c>
      <c r="E1588"/>
      <c r="F1588" s="537" t="s">
        <v>3</v>
      </c>
      <c r="G1588" s="10">
        <f>0.594*0.3*5*8*1.1</f>
        <v>7.8408000000000007</v>
      </c>
      <c r="H1588" s="588"/>
      <c r="I1588" s="3"/>
    </row>
    <row r="1589" spans="3:10" x14ac:dyDescent="0.25">
      <c r="C1589"/>
      <c r="D1589" s="4" t="s">
        <v>6025</v>
      </c>
      <c r="E1589"/>
      <c r="F1589" s="537"/>
      <c r="G1589" s="10"/>
      <c r="H1589" s="588"/>
      <c r="I1589" s="3" t="s">
        <v>1516</v>
      </c>
      <c r="J1589" s="564">
        <v>3</v>
      </c>
    </row>
    <row r="1590" spans="3:10" x14ac:dyDescent="0.25">
      <c r="C1590"/>
      <c r="D1590" t="s">
        <v>6024</v>
      </c>
      <c r="E1590"/>
      <c r="F1590" s="537" t="s">
        <v>3</v>
      </c>
      <c r="G1590" s="10">
        <f>0.135*0.06*5*8*1.1</f>
        <v>0.35639999999999999</v>
      </c>
      <c r="H1590" s="588"/>
      <c r="I1590" s="3"/>
    </row>
    <row r="1591" spans="3:10" x14ac:dyDescent="0.25">
      <c r="C1591"/>
      <c r="D1591" s="4" t="s">
        <v>6026</v>
      </c>
      <c r="E1591"/>
      <c r="F1591" s="537"/>
      <c r="G1591" s="10"/>
      <c r="H1591" s="588"/>
      <c r="I1591" s="3" t="s">
        <v>1516</v>
      </c>
      <c r="J1591" s="564">
        <v>3</v>
      </c>
    </row>
    <row r="1592" spans="3:10" x14ac:dyDescent="0.25">
      <c r="C1592"/>
      <c r="D1592" t="s">
        <v>6024</v>
      </c>
      <c r="E1592"/>
      <c r="F1592" s="537" t="s">
        <v>3</v>
      </c>
      <c r="G1592" s="10">
        <f>0.08*0.06*5*8*1.1</f>
        <v>0.2112</v>
      </c>
      <c r="H1592" s="588"/>
      <c r="I1592" s="3"/>
    </row>
    <row r="1593" spans="3:10" x14ac:dyDescent="0.25">
      <c r="C1593"/>
      <c r="D1593" s="4" t="s">
        <v>6027</v>
      </c>
      <c r="E1593"/>
      <c r="F1593" s="537"/>
      <c r="G1593" s="10"/>
      <c r="H1593" s="588"/>
      <c r="I1593" s="3" t="s">
        <v>1516</v>
      </c>
      <c r="J1593" s="564">
        <v>6</v>
      </c>
    </row>
    <row r="1594" spans="3:10" x14ac:dyDescent="0.25">
      <c r="C1594"/>
      <c r="D1594" t="s">
        <v>5885</v>
      </c>
      <c r="E1594"/>
      <c r="F1594" s="537" t="s">
        <v>3</v>
      </c>
      <c r="G1594" s="10">
        <f>0.1*0.07*4*8*1.1</f>
        <v>0.24640000000000006</v>
      </c>
      <c r="H1594" s="588"/>
      <c r="I1594" s="3"/>
    </row>
    <row r="1595" spans="3:10" x14ac:dyDescent="0.25">
      <c r="C1595"/>
      <c r="D1595"/>
      <c r="E1595"/>
      <c r="F1595" s="537"/>
      <c r="G1595" s="10"/>
      <c r="H1595" s="588"/>
      <c r="I1595" s="3"/>
    </row>
    <row r="1596" spans="3:10" x14ac:dyDescent="0.25">
      <c r="C1596" s="3" t="s">
        <v>6028</v>
      </c>
      <c r="D1596"/>
      <c r="E1596"/>
      <c r="F1596" s="537"/>
      <c r="G1596" s="10"/>
      <c r="H1596" s="588"/>
      <c r="I1596" s="3" t="s">
        <v>1516</v>
      </c>
      <c r="J1596" s="564">
        <v>1</v>
      </c>
    </row>
    <row r="1597" spans="3:10" x14ac:dyDescent="0.25">
      <c r="C1597" s="77" t="s">
        <v>39</v>
      </c>
      <c r="D1597"/>
      <c r="E1597"/>
      <c r="F1597" s="537" t="s">
        <v>3</v>
      </c>
      <c r="G1597" s="10">
        <f>1*0.1*1.3</f>
        <v>0.13</v>
      </c>
      <c r="H1597" s="588"/>
      <c r="I1597" s="3"/>
    </row>
    <row r="1598" spans="3:10" ht="18" x14ac:dyDescent="0.25">
      <c r="C1598" s="77" t="s">
        <v>1055</v>
      </c>
      <c r="D1598"/>
      <c r="E1598"/>
      <c r="F1598" s="566" t="s">
        <v>6022</v>
      </c>
      <c r="G1598" s="10">
        <f>G1597</f>
        <v>0.13</v>
      </c>
      <c r="H1598" s="588"/>
      <c r="I1598" s="3"/>
    </row>
    <row r="1599" spans="3:10" x14ac:dyDescent="0.25">
      <c r="C1599" s="25" t="s">
        <v>114</v>
      </c>
      <c r="D1599"/>
      <c r="E1599"/>
      <c r="F1599" s="537" t="s">
        <v>3</v>
      </c>
      <c r="G1599" s="10">
        <v>0.12</v>
      </c>
      <c r="H1599" s="588"/>
      <c r="I1599" s="3"/>
    </row>
    <row r="1600" spans="3:10" x14ac:dyDescent="0.25">
      <c r="C1600" s="25" t="s">
        <v>661</v>
      </c>
      <c r="D1600"/>
      <c r="E1600"/>
      <c r="F1600" s="537" t="s">
        <v>3</v>
      </c>
      <c r="G1600" s="10">
        <f>0.3*G1599</f>
        <v>3.5999999999999997E-2</v>
      </c>
      <c r="H1600" s="588"/>
      <c r="I1600" s="3"/>
    </row>
    <row r="1601" spans="3:10" x14ac:dyDescent="0.25">
      <c r="C1601" s="25" t="s">
        <v>72</v>
      </c>
      <c r="D1601"/>
      <c r="E1601"/>
      <c r="F1601" s="537" t="s">
        <v>3</v>
      </c>
      <c r="G1601" s="10">
        <f>0.594*0.3*2*0.15*2*1.31</f>
        <v>0.1400652</v>
      </c>
      <c r="H1601" s="588"/>
      <c r="I1601" s="3"/>
    </row>
    <row r="1602" spans="3:10" x14ac:dyDescent="0.25">
      <c r="C1602" s="25" t="s">
        <v>11</v>
      </c>
      <c r="D1602"/>
      <c r="E1602"/>
      <c r="F1602" s="537" t="s">
        <v>3</v>
      </c>
      <c r="G1602" s="10">
        <f>0.3*G1601</f>
        <v>4.2019559999999997E-2</v>
      </c>
      <c r="H1602" s="588"/>
      <c r="I1602" s="3"/>
    </row>
    <row r="1603" spans="3:10" x14ac:dyDescent="0.25">
      <c r="C1603" s="25" t="s">
        <v>13</v>
      </c>
      <c r="D1603"/>
      <c r="E1603"/>
      <c r="F1603" s="537" t="s">
        <v>3</v>
      </c>
      <c r="G1603" s="10">
        <v>0.1</v>
      </c>
      <c r="H1603" s="588"/>
      <c r="I1603" s="3"/>
    </row>
    <row r="1604" spans="3:10" x14ac:dyDescent="0.25">
      <c r="C1604"/>
      <c r="D1604" s="4" t="s">
        <v>6029</v>
      </c>
      <c r="E1604"/>
      <c r="F1604" s="537"/>
      <c r="G1604" s="10"/>
      <c r="H1604" s="588"/>
      <c r="I1604" s="3" t="s">
        <v>1516</v>
      </c>
      <c r="J1604" s="564">
        <v>1</v>
      </c>
    </row>
    <row r="1605" spans="3:10" x14ac:dyDescent="0.25">
      <c r="C1605"/>
      <c r="D1605" t="s">
        <v>6024</v>
      </c>
      <c r="E1605"/>
      <c r="F1605" s="537" t="s">
        <v>3</v>
      </c>
      <c r="G1605" s="10">
        <f>0.595*0.3*5*8*1.1</f>
        <v>7.8540000000000001</v>
      </c>
      <c r="H1605" s="588"/>
      <c r="I1605" s="3"/>
    </row>
    <row r="1606" spans="3:10" x14ac:dyDescent="0.25">
      <c r="C1606"/>
      <c r="D1606"/>
      <c r="E1606"/>
      <c r="F1606" s="537"/>
      <c r="G1606" s="10"/>
      <c r="H1606" s="589"/>
      <c r="I1606" s="3"/>
    </row>
    <row r="1607" spans="3:10" x14ac:dyDescent="0.25">
      <c r="C1607" s="3" t="s">
        <v>6030</v>
      </c>
      <c r="D1607"/>
      <c r="E1607"/>
      <c r="F1607" s="537"/>
      <c r="G1607" s="10"/>
      <c r="H1607" s="588"/>
      <c r="I1607" s="3" t="s">
        <v>1516</v>
      </c>
      <c r="J1607" s="564">
        <v>1</v>
      </c>
    </row>
    <row r="1608" spans="3:10" x14ac:dyDescent="0.25">
      <c r="C1608"/>
      <c r="D1608" t="s">
        <v>6024</v>
      </c>
      <c r="E1608"/>
      <c r="F1608" s="537" t="s">
        <v>3</v>
      </c>
      <c r="G1608" s="10">
        <f>0.485*0.425*5*8*1.1</f>
        <v>9.0695000000000014</v>
      </c>
      <c r="H1608" s="588"/>
      <c r="I1608" s="3"/>
    </row>
    <row r="1609" spans="3:10" x14ac:dyDescent="0.25">
      <c r="C1609"/>
      <c r="D1609"/>
      <c r="E1609"/>
      <c r="F1609" s="537"/>
      <c r="G1609" s="10"/>
      <c r="H1609" s="589"/>
      <c r="I1609" s="3"/>
    </row>
    <row r="1610" spans="3:10" x14ac:dyDescent="0.25">
      <c r="C1610" s="3" t="s">
        <v>6031</v>
      </c>
      <c r="D1610"/>
      <c r="E1610"/>
      <c r="F1610" s="537"/>
      <c r="G1610" s="10"/>
      <c r="H1610" s="588"/>
      <c r="I1610" s="3" t="s">
        <v>1516</v>
      </c>
      <c r="J1610" s="564">
        <v>1</v>
      </c>
    </row>
    <row r="1611" spans="3:10" x14ac:dyDescent="0.25">
      <c r="C1611"/>
      <c r="D1611" t="s">
        <v>6024</v>
      </c>
      <c r="E1611"/>
      <c r="F1611" s="537" t="s">
        <v>3</v>
      </c>
      <c r="G1611" s="10">
        <f>0.485*0.425*5*8*1.1</f>
        <v>9.0695000000000014</v>
      </c>
      <c r="H1611" s="588"/>
      <c r="I1611" s="3"/>
    </row>
    <row r="1612" spans="3:10" x14ac:dyDescent="0.25">
      <c r="C1612"/>
      <c r="D1612"/>
      <c r="E1612"/>
      <c r="F1612" s="537"/>
      <c r="G1612" s="10"/>
      <c r="H1612" s="588"/>
      <c r="I1612" s="3"/>
    </row>
    <row r="1613" spans="3:10" x14ac:dyDescent="0.25">
      <c r="C1613" s="3" t="s">
        <v>6032</v>
      </c>
      <c r="D1613"/>
      <c r="E1613"/>
      <c r="F1613" s="537"/>
      <c r="G1613" s="10"/>
      <c r="H1613" s="588"/>
      <c r="I1613" s="3" t="s">
        <v>1516</v>
      </c>
      <c r="J1613" s="564">
        <v>1</v>
      </c>
    </row>
    <row r="1614" spans="3:10" x14ac:dyDescent="0.25">
      <c r="C1614" s="77" t="s">
        <v>39</v>
      </c>
      <c r="D1614"/>
      <c r="E1614"/>
      <c r="F1614" s="537" t="s">
        <v>3</v>
      </c>
      <c r="G1614" s="10">
        <f>0.9*0.1*1.33</f>
        <v>0.11970000000000001</v>
      </c>
      <c r="H1614" s="588"/>
      <c r="I1614" s="3"/>
    </row>
    <row r="1615" spans="3:10" ht="18" x14ac:dyDescent="0.25">
      <c r="C1615" s="77" t="s">
        <v>1055</v>
      </c>
      <c r="D1615"/>
      <c r="E1615"/>
      <c r="F1615" s="566" t="s">
        <v>6022</v>
      </c>
      <c r="G1615" s="10">
        <f>G1614</f>
        <v>0.11970000000000001</v>
      </c>
      <c r="H1615" s="588"/>
      <c r="I1615" s="3"/>
    </row>
    <row r="1616" spans="3:10" x14ac:dyDescent="0.25">
      <c r="C1616" s="25" t="s">
        <v>114</v>
      </c>
      <c r="D1616"/>
      <c r="E1616"/>
      <c r="F1616" s="537" t="s">
        <v>3</v>
      </c>
      <c r="G1616" s="10">
        <v>0.22</v>
      </c>
      <c r="H1616" s="588"/>
      <c r="I1616" s="3"/>
    </row>
    <row r="1617" spans="3:10" x14ac:dyDescent="0.25">
      <c r="C1617" s="25" t="s">
        <v>661</v>
      </c>
      <c r="D1617"/>
      <c r="E1617"/>
      <c r="F1617" s="537" t="s">
        <v>3</v>
      </c>
      <c r="G1617" s="10">
        <f>0.3*G1616</f>
        <v>6.6000000000000003E-2</v>
      </c>
      <c r="H1617" s="588"/>
      <c r="I1617" s="3"/>
    </row>
    <row r="1618" spans="3:10" x14ac:dyDescent="0.25">
      <c r="C1618" s="25" t="s">
        <v>72</v>
      </c>
      <c r="D1618"/>
      <c r="E1618"/>
      <c r="F1618" s="537" t="s">
        <v>3</v>
      </c>
      <c r="G1618" s="10">
        <f>0.765*0.43*2*0.15*2*1.265</f>
        <v>0.24967305000000001</v>
      </c>
      <c r="H1618" s="588"/>
      <c r="I1618" s="3"/>
    </row>
    <row r="1619" spans="3:10" x14ac:dyDescent="0.25">
      <c r="C1619" s="25" t="s">
        <v>11</v>
      </c>
      <c r="D1619"/>
      <c r="E1619"/>
      <c r="F1619" s="537" t="s">
        <v>3</v>
      </c>
      <c r="G1619" s="10">
        <f>0.3*G1618</f>
        <v>7.4901914999999999E-2</v>
      </c>
      <c r="H1619" s="588"/>
      <c r="I1619" s="3"/>
    </row>
    <row r="1620" spans="3:10" x14ac:dyDescent="0.25">
      <c r="C1620" s="25" t="s">
        <v>13</v>
      </c>
      <c r="D1620"/>
      <c r="E1620"/>
      <c r="F1620" s="537" t="s">
        <v>3</v>
      </c>
      <c r="G1620" s="10">
        <v>0.12</v>
      </c>
      <c r="H1620" s="588"/>
      <c r="I1620" s="3"/>
    </row>
    <row r="1621" spans="3:10" x14ac:dyDescent="0.25">
      <c r="C1621"/>
      <c r="D1621" s="4" t="s">
        <v>6033</v>
      </c>
      <c r="E1621"/>
      <c r="F1621" s="537"/>
      <c r="G1621" s="10"/>
      <c r="H1621" s="588"/>
      <c r="I1621" s="3" t="s">
        <v>1516</v>
      </c>
      <c r="J1621" s="564">
        <v>1</v>
      </c>
    </row>
    <row r="1622" spans="3:10" x14ac:dyDescent="0.25">
      <c r="C1622"/>
      <c r="D1622" t="s">
        <v>6024</v>
      </c>
      <c r="E1622"/>
      <c r="F1622" s="537" t="s">
        <v>3</v>
      </c>
      <c r="G1622" s="10">
        <f>0.765*0.43*5*8*1.1</f>
        <v>14.473800000000002</v>
      </c>
      <c r="H1622" s="588"/>
      <c r="I1622" s="3"/>
    </row>
    <row r="1623" spans="3:10" x14ac:dyDescent="0.25">
      <c r="C1623"/>
      <c r="D1623"/>
      <c r="E1623"/>
      <c r="F1623" s="537"/>
      <c r="G1623" s="10"/>
      <c r="H1623" s="588"/>
      <c r="I1623" s="3"/>
    </row>
    <row r="1624" spans="3:10" x14ac:dyDescent="0.25">
      <c r="C1624" s="3" t="s">
        <v>6034</v>
      </c>
      <c r="D1624"/>
      <c r="E1624"/>
      <c r="F1624" s="537"/>
      <c r="G1624" s="10"/>
      <c r="H1624" s="588"/>
      <c r="I1624" s="3" t="s">
        <v>1516</v>
      </c>
      <c r="J1624" s="564">
        <v>1</v>
      </c>
    </row>
    <row r="1625" spans="3:10" x14ac:dyDescent="0.25">
      <c r="C1625" s="77" t="s">
        <v>39</v>
      </c>
      <c r="D1625"/>
      <c r="E1625"/>
      <c r="F1625" s="537" t="s">
        <v>3</v>
      </c>
      <c r="G1625" s="10">
        <f>0.9*0.1*1.33</f>
        <v>0.11970000000000001</v>
      </c>
      <c r="H1625" s="588"/>
      <c r="I1625" s="3"/>
    </row>
    <row r="1626" spans="3:10" ht="18" x14ac:dyDescent="0.25">
      <c r="C1626" s="77" t="s">
        <v>1055</v>
      </c>
      <c r="D1626"/>
      <c r="E1626"/>
      <c r="F1626" s="566" t="s">
        <v>6022</v>
      </c>
      <c r="G1626" s="10">
        <f>G1625</f>
        <v>0.11970000000000001</v>
      </c>
      <c r="H1626" s="588"/>
      <c r="I1626" s="3"/>
    </row>
    <row r="1627" spans="3:10" x14ac:dyDescent="0.25">
      <c r="C1627" s="25" t="s">
        <v>114</v>
      </c>
      <c r="D1627"/>
      <c r="E1627"/>
      <c r="F1627" s="537" t="s">
        <v>3</v>
      </c>
      <c r="G1627" s="10">
        <v>0.22</v>
      </c>
      <c r="H1627" s="588"/>
      <c r="I1627" s="3"/>
    </row>
    <row r="1628" spans="3:10" x14ac:dyDescent="0.25">
      <c r="C1628" s="25" t="s">
        <v>661</v>
      </c>
      <c r="D1628"/>
      <c r="E1628"/>
      <c r="F1628" s="537" t="s">
        <v>3</v>
      </c>
      <c r="G1628" s="10">
        <f>0.3*G1627</f>
        <v>6.6000000000000003E-2</v>
      </c>
      <c r="H1628" s="588"/>
      <c r="I1628" s="3"/>
    </row>
    <row r="1629" spans="3:10" x14ac:dyDescent="0.25">
      <c r="C1629" s="25" t="s">
        <v>72</v>
      </c>
      <c r="D1629"/>
      <c r="E1629"/>
      <c r="F1629" s="537" t="s">
        <v>3</v>
      </c>
      <c r="G1629" s="10">
        <f>0.765*0.43*2*0.15*2*1.265</f>
        <v>0.24967305000000001</v>
      </c>
      <c r="H1629" s="588"/>
      <c r="I1629" s="3"/>
    </row>
    <row r="1630" spans="3:10" x14ac:dyDescent="0.25">
      <c r="C1630" s="25" t="s">
        <v>11</v>
      </c>
      <c r="D1630"/>
      <c r="E1630"/>
      <c r="F1630" s="537" t="s">
        <v>3</v>
      </c>
      <c r="G1630" s="10">
        <f>0.3*G1629</f>
        <v>7.4901914999999999E-2</v>
      </c>
      <c r="H1630" s="588"/>
      <c r="I1630" s="3"/>
    </row>
    <row r="1631" spans="3:10" x14ac:dyDescent="0.25">
      <c r="C1631" s="25" t="s">
        <v>13</v>
      </c>
      <c r="D1631"/>
      <c r="E1631"/>
      <c r="F1631" s="537" t="s">
        <v>3</v>
      </c>
      <c r="G1631" s="10">
        <v>0.12</v>
      </c>
      <c r="H1631" s="588"/>
      <c r="I1631" s="3"/>
    </row>
    <row r="1632" spans="3:10" x14ac:dyDescent="0.25">
      <c r="C1632"/>
      <c r="D1632" s="4" t="s">
        <v>6035</v>
      </c>
      <c r="E1632"/>
      <c r="F1632" s="537"/>
      <c r="G1632" s="10"/>
      <c r="H1632" s="588"/>
      <c r="I1632" s="3" t="s">
        <v>1516</v>
      </c>
      <c r="J1632" s="564">
        <v>1</v>
      </c>
    </row>
    <row r="1633" spans="3:10" x14ac:dyDescent="0.25">
      <c r="C1633"/>
      <c r="D1633" t="s">
        <v>6024</v>
      </c>
      <c r="E1633"/>
      <c r="F1633" s="537" t="s">
        <v>3</v>
      </c>
      <c r="G1633" s="10">
        <f>0.765*0.43*5*8*1.1</f>
        <v>14.473800000000002</v>
      </c>
      <c r="H1633" s="588"/>
      <c r="I1633" s="3"/>
    </row>
    <row r="1634" spans="3:10" x14ac:dyDescent="0.25">
      <c r="C1634"/>
      <c r="D1634"/>
      <c r="E1634"/>
      <c r="F1634" s="537"/>
      <c r="G1634" s="10"/>
      <c r="H1634" s="588"/>
      <c r="I1634" s="3"/>
    </row>
    <row r="1635" spans="3:10" x14ac:dyDescent="0.25">
      <c r="C1635" s="3" t="s">
        <v>6036</v>
      </c>
      <c r="D1635"/>
      <c r="E1635"/>
      <c r="F1635" s="537"/>
      <c r="G1635" s="10"/>
      <c r="H1635" s="588"/>
      <c r="I1635" s="3" t="s">
        <v>1516</v>
      </c>
      <c r="J1635" s="564">
        <v>1</v>
      </c>
    </row>
    <row r="1636" spans="3:10" x14ac:dyDescent="0.25">
      <c r="C1636" s="77" t="s">
        <v>39</v>
      </c>
      <c r="D1636"/>
      <c r="E1636"/>
      <c r="F1636" s="537" t="s">
        <v>3</v>
      </c>
      <c r="G1636" s="10">
        <f>0.3*0.1*1.33</f>
        <v>3.9899999999999998E-2</v>
      </c>
      <c r="H1636" s="588"/>
      <c r="I1636" s="3"/>
    </row>
    <row r="1637" spans="3:10" ht="18" x14ac:dyDescent="0.25">
      <c r="C1637" s="77" t="s">
        <v>1055</v>
      </c>
      <c r="D1637"/>
      <c r="E1637"/>
      <c r="F1637" s="566" t="s">
        <v>6022</v>
      </c>
      <c r="G1637" s="10">
        <f>G1636</f>
        <v>3.9899999999999998E-2</v>
      </c>
      <c r="H1637" s="588"/>
      <c r="I1637" s="3"/>
    </row>
    <row r="1638" spans="3:10" x14ac:dyDescent="0.25">
      <c r="C1638" s="25" t="s">
        <v>114</v>
      </c>
      <c r="D1638"/>
      <c r="E1638"/>
      <c r="F1638" s="537" t="s">
        <v>3</v>
      </c>
      <c r="G1638" s="10">
        <v>0.2</v>
      </c>
      <c r="H1638" s="588"/>
      <c r="I1638" s="3"/>
    </row>
    <row r="1639" spans="3:10" x14ac:dyDescent="0.25">
      <c r="C1639" s="25" t="s">
        <v>661</v>
      </c>
      <c r="D1639"/>
      <c r="E1639"/>
      <c r="F1639" s="537" t="s">
        <v>3</v>
      </c>
      <c r="G1639" s="10">
        <f>0.3*G1638</f>
        <v>0.06</v>
      </c>
      <c r="H1639" s="588"/>
      <c r="I1639" s="3"/>
    </row>
    <row r="1640" spans="3:10" x14ac:dyDescent="0.25">
      <c r="C1640" s="25" t="s">
        <v>72</v>
      </c>
      <c r="D1640"/>
      <c r="E1640"/>
      <c r="F1640" s="537" t="s">
        <v>3</v>
      </c>
      <c r="G1640" s="10">
        <f>0.715*0.415*2*0.15*2*1.3-0.001</f>
        <v>0.23044549999999997</v>
      </c>
      <c r="H1640" s="588"/>
      <c r="I1640" s="3"/>
    </row>
    <row r="1641" spans="3:10" x14ac:dyDescent="0.25">
      <c r="C1641" s="25" t="s">
        <v>11</v>
      </c>
      <c r="D1641"/>
      <c r="E1641"/>
      <c r="F1641" s="537" t="s">
        <v>3</v>
      </c>
      <c r="G1641" s="10">
        <f>0.3*G1640</f>
        <v>6.9133649999999991E-2</v>
      </c>
      <c r="H1641" s="588"/>
      <c r="I1641" s="3"/>
    </row>
    <row r="1642" spans="3:10" x14ac:dyDescent="0.25">
      <c r="C1642" s="25" t="s">
        <v>13</v>
      </c>
      <c r="D1642"/>
      <c r="E1642"/>
      <c r="F1642" s="537" t="s">
        <v>3</v>
      </c>
      <c r="G1642" s="10">
        <v>0.12</v>
      </c>
      <c r="H1642" s="588"/>
      <c r="I1642" s="3"/>
    </row>
    <row r="1643" spans="3:10" x14ac:dyDescent="0.25">
      <c r="C1643"/>
      <c r="D1643" s="4" t="s">
        <v>6037</v>
      </c>
      <c r="E1643"/>
      <c r="F1643" s="537"/>
      <c r="G1643" s="10"/>
      <c r="H1643" s="588"/>
      <c r="I1643" s="3" t="s">
        <v>1516</v>
      </c>
      <c r="J1643" s="564">
        <v>1</v>
      </c>
    </row>
    <row r="1644" spans="3:10" x14ac:dyDescent="0.25">
      <c r="C1644"/>
      <c r="D1644" t="s">
        <v>6024</v>
      </c>
      <c r="E1644"/>
      <c r="F1644" s="537" t="s">
        <v>3</v>
      </c>
      <c r="G1644" s="10">
        <f>0.715*0.415*5*8*1.1</f>
        <v>13.055899999999999</v>
      </c>
      <c r="H1644" s="588"/>
      <c r="I1644" s="3"/>
    </row>
    <row r="1645" spans="3:10" x14ac:dyDescent="0.25">
      <c r="C1645"/>
      <c r="D1645" s="4" t="s">
        <v>6038</v>
      </c>
      <c r="E1645"/>
      <c r="F1645" s="537"/>
      <c r="G1645" s="10"/>
      <c r="H1645" s="588"/>
      <c r="I1645" s="3" t="s">
        <v>1516</v>
      </c>
      <c r="J1645" s="564">
        <v>2</v>
      </c>
    </row>
    <row r="1646" spans="3:10" x14ac:dyDescent="0.25">
      <c r="C1646"/>
      <c r="D1646" t="s">
        <v>6024</v>
      </c>
      <c r="E1646"/>
      <c r="F1646" s="537" t="s">
        <v>3</v>
      </c>
      <c r="G1646" s="10">
        <f>0.04*0.02*5*8*1.1</f>
        <v>3.5200000000000002E-2</v>
      </c>
      <c r="H1646" s="588"/>
      <c r="I1646" s="3"/>
    </row>
    <row r="1647" spans="3:10" x14ac:dyDescent="0.25">
      <c r="C1647"/>
      <c r="D1647"/>
      <c r="E1647"/>
      <c r="F1647" s="537"/>
      <c r="G1647" s="10"/>
      <c r="H1647" s="588"/>
      <c r="I1647" s="3"/>
    </row>
    <row r="1648" spans="3:10" x14ac:dyDescent="0.25">
      <c r="C1648" s="3" t="s">
        <v>6039</v>
      </c>
      <c r="D1648"/>
      <c r="E1648"/>
      <c r="F1648" s="537"/>
      <c r="G1648" s="10"/>
      <c r="H1648" s="588"/>
      <c r="I1648" s="3" t="s">
        <v>1516</v>
      </c>
      <c r="J1648" s="564">
        <v>1</v>
      </c>
    </row>
    <row r="1649" spans="3:10" x14ac:dyDescent="0.25">
      <c r="C1649" s="77" t="s">
        <v>39</v>
      </c>
      <c r="D1649"/>
      <c r="E1649"/>
      <c r="F1649" s="537" t="s">
        <v>3</v>
      </c>
      <c r="G1649" s="10">
        <f>0.3*0.1*1.33</f>
        <v>3.9899999999999998E-2</v>
      </c>
      <c r="H1649" s="588"/>
      <c r="I1649" s="3"/>
    </row>
    <row r="1650" spans="3:10" ht="18" x14ac:dyDescent="0.25">
      <c r="C1650" s="77" t="s">
        <v>1055</v>
      </c>
      <c r="D1650"/>
      <c r="E1650"/>
      <c r="F1650" s="566" t="s">
        <v>6022</v>
      </c>
      <c r="G1650" s="10">
        <f>G1649</f>
        <v>3.9899999999999998E-2</v>
      </c>
      <c r="H1650" s="588"/>
      <c r="I1650" s="3"/>
    </row>
    <row r="1651" spans="3:10" x14ac:dyDescent="0.25">
      <c r="C1651" s="25" t="s">
        <v>114</v>
      </c>
      <c r="D1651"/>
      <c r="E1651"/>
      <c r="F1651" s="537" t="s">
        <v>3</v>
      </c>
      <c r="G1651" s="10">
        <v>0.2</v>
      </c>
      <c r="H1651" s="588"/>
      <c r="I1651" s="3"/>
    </row>
    <row r="1652" spans="3:10" x14ac:dyDescent="0.25">
      <c r="C1652" s="25" t="s">
        <v>661</v>
      </c>
      <c r="D1652"/>
      <c r="E1652"/>
      <c r="F1652" s="537" t="s">
        <v>3</v>
      </c>
      <c r="G1652" s="10">
        <f>0.3*G1651</f>
        <v>0.06</v>
      </c>
      <c r="H1652" s="588"/>
      <c r="I1652" s="3"/>
    </row>
    <row r="1653" spans="3:10" x14ac:dyDescent="0.25">
      <c r="C1653" s="25" t="s">
        <v>72</v>
      </c>
      <c r="D1653"/>
      <c r="E1653"/>
      <c r="F1653" s="537" t="s">
        <v>3</v>
      </c>
      <c r="G1653" s="10">
        <f>0.715*0.415*2*0.15*2*1.3-0.001</f>
        <v>0.23044549999999997</v>
      </c>
      <c r="H1653" s="588"/>
      <c r="I1653" s="3"/>
    </row>
    <row r="1654" spans="3:10" x14ac:dyDescent="0.25">
      <c r="C1654" s="25" t="s">
        <v>11</v>
      </c>
      <c r="D1654"/>
      <c r="E1654"/>
      <c r="F1654" s="537" t="s">
        <v>3</v>
      </c>
      <c r="G1654" s="10">
        <f>0.3*G1653</f>
        <v>6.9133649999999991E-2</v>
      </c>
      <c r="H1654" s="588"/>
      <c r="I1654" s="3"/>
    </row>
    <row r="1655" spans="3:10" x14ac:dyDescent="0.25">
      <c r="C1655" s="25" t="s">
        <v>13</v>
      </c>
      <c r="D1655"/>
      <c r="E1655"/>
      <c r="F1655" s="537" t="s">
        <v>3</v>
      </c>
      <c r="G1655" s="10">
        <v>0.12</v>
      </c>
      <c r="H1655" s="588"/>
      <c r="I1655" s="3"/>
    </row>
    <row r="1656" spans="3:10" x14ac:dyDescent="0.25">
      <c r="C1656"/>
      <c r="D1656" s="4" t="s">
        <v>6040</v>
      </c>
      <c r="E1656"/>
      <c r="F1656" s="537"/>
      <c r="G1656" s="534" t="s">
        <v>624</v>
      </c>
      <c r="H1656" s="588"/>
      <c r="I1656" s="3" t="s">
        <v>1516</v>
      </c>
      <c r="J1656" s="564">
        <v>2</v>
      </c>
    </row>
    <row r="1657" spans="3:10" x14ac:dyDescent="0.25">
      <c r="C1657"/>
      <c r="D1657" s="25" t="s">
        <v>6041</v>
      </c>
      <c r="E1657"/>
      <c r="F1657" s="537" t="s">
        <v>3</v>
      </c>
      <c r="G1657" s="10">
        <v>0.77500000000000002</v>
      </c>
      <c r="H1657" s="588"/>
      <c r="I1657" s="3"/>
    </row>
    <row r="1658" spans="3:10" x14ac:dyDescent="0.25">
      <c r="C1658"/>
      <c r="D1658" s="4" t="s">
        <v>6042</v>
      </c>
      <c r="E1658"/>
      <c r="F1658" s="537"/>
      <c r="G1658" s="10"/>
      <c r="H1658" s="588"/>
      <c r="I1658" s="3" t="s">
        <v>1516</v>
      </c>
      <c r="J1658" s="564">
        <v>1</v>
      </c>
    </row>
    <row r="1659" spans="3:10" x14ac:dyDescent="0.25">
      <c r="C1659"/>
      <c r="D1659" t="s">
        <v>6024</v>
      </c>
      <c r="E1659"/>
      <c r="F1659" s="537" t="s">
        <v>3</v>
      </c>
      <c r="G1659" s="10">
        <f>G1644</f>
        <v>13.055899999999999</v>
      </c>
      <c r="H1659" s="588"/>
      <c r="I1659" s="3"/>
    </row>
    <row r="1660" spans="3:10" x14ac:dyDescent="0.25">
      <c r="C1660"/>
      <c r="D1660"/>
      <c r="E1660"/>
      <c r="F1660" s="537"/>
      <c r="G1660" s="10"/>
      <c r="H1660" s="588"/>
      <c r="I1660" s="3"/>
    </row>
    <row r="1661" spans="3:10" x14ac:dyDescent="0.25">
      <c r="C1661" s="3" t="s">
        <v>6043</v>
      </c>
      <c r="D1661"/>
      <c r="E1661"/>
      <c r="F1661" s="537"/>
      <c r="G1661" s="10"/>
      <c r="H1661" s="588"/>
      <c r="I1661" s="3" t="s">
        <v>1516</v>
      </c>
      <c r="J1661" s="564">
        <v>4</v>
      </c>
    </row>
    <row r="1662" spans="3:10" x14ac:dyDescent="0.25">
      <c r="C1662" s="77" t="s">
        <v>6044</v>
      </c>
      <c r="D1662"/>
      <c r="E1662"/>
      <c r="F1662" s="537" t="s">
        <v>3</v>
      </c>
      <c r="G1662" s="10">
        <f>0.12*0.09*1.3</f>
        <v>1.4039999999999999E-2</v>
      </c>
      <c r="H1662" s="588"/>
      <c r="I1662" s="3"/>
    </row>
    <row r="1663" spans="3:10" ht="18" x14ac:dyDescent="0.25">
      <c r="C1663" s="77" t="s">
        <v>121</v>
      </c>
      <c r="D1663"/>
      <c r="E1663"/>
      <c r="F1663" s="566" t="s">
        <v>6022</v>
      </c>
      <c r="G1663" s="10">
        <f>G1662*1.5</f>
        <v>2.1059999999999999E-2</v>
      </c>
      <c r="H1663" s="588"/>
      <c r="I1663" s="3"/>
    </row>
    <row r="1664" spans="3:10" x14ac:dyDescent="0.25">
      <c r="C1664" s="25" t="s">
        <v>114</v>
      </c>
      <c r="D1664"/>
      <c r="E1664"/>
      <c r="F1664" s="537" t="s">
        <v>3</v>
      </c>
      <c r="G1664" s="10">
        <v>1.4E-2</v>
      </c>
      <c r="H1664" s="588"/>
      <c r="I1664" s="3"/>
    </row>
    <row r="1665" spans="3:10" x14ac:dyDescent="0.25">
      <c r="C1665" s="25" t="s">
        <v>661</v>
      </c>
      <c r="D1665"/>
      <c r="E1665"/>
      <c r="F1665" s="537" t="s">
        <v>3</v>
      </c>
      <c r="G1665" s="10">
        <f>0.3*G1664</f>
        <v>4.1999999999999997E-3</v>
      </c>
      <c r="H1665" s="588"/>
      <c r="I1665" s="3"/>
    </row>
    <row r="1666" spans="3:10" x14ac:dyDescent="0.25">
      <c r="C1666" s="25" t="s">
        <v>72</v>
      </c>
      <c r="D1666"/>
      <c r="E1666"/>
      <c r="F1666" s="537" t="s">
        <v>3</v>
      </c>
      <c r="G1666" s="10">
        <f>0.25*0.05*2*0.15*2*1.9</f>
        <v>1.4249999999999999E-2</v>
      </c>
      <c r="H1666" s="588"/>
      <c r="I1666" s="3"/>
    </row>
    <row r="1667" spans="3:10" x14ac:dyDescent="0.25">
      <c r="C1667" s="25" t="s">
        <v>11</v>
      </c>
      <c r="D1667"/>
      <c r="E1667"/>
      <c r="F1667" s="537" t="s">
        <v>3</v>
      </c>
      <c r="G1667" s="10">
        <f>0.3*G1666</f>
        <v>4.2749999999999993E-3</v>
      </c>
      <c r="H1667" s="588"/>
      <c r="I1667" s="3"/>
    </row>
    <row r="1668" spans="3:10" x14ac:dyDescent="0.25">
      <c r="C1668" s="25" t="s">
        <v>13</v>
      </c>
      <c r="D1668"/>
      <c r="E1668"/>
      <c r="F1668" s="537" t="s">
        <v>3</v>
      </c>
      <c r="G1668" s="10">
        <v>0.03</v>
      </c>
      <c r="H1668" s="588"/>
      <c r="I1668" s="3"/>
    </row>
    <row r="1669" spans="3:10" x14ac:dyDescent="0.25">
      <c r="C1669" s="25"/>
      <c r="D1669" s="3" t="s">
        <v>6045</v>
      </c>
      <c r="E1669"/>
      <c r="F1669" s="537"/>
      <c r="G1669" s="10"/>
      <c r="H1669" s="588"/>
      <c r="I1669" s="3" t="s">
        <v>1516</v>
      </c>
      <c r="J1669" s="564">
        <v>4</v>
      </c>
    </row>
    <row r="1670" spans="3:10" x14ac:dyDescent="0.25">
      <c r="C1670" s="25"/>
      <c r="D1670" t="s">
        <v>6046</v>
      </c>
      <c r="E1670"/>
      <c r="F1670" s="537" t="s">
        <v>3</v>
      </c>
      <c r="G1670" s="10">
        <f>0.27*0.028*3*8*1.1</f>
        <v>0.19958400000000004</v>
      </c>
      <c r="H1670" s="588"/>
      <c r="I1670" s="3"/>
    </row>
    <row r="1671" spans="3:10" x14ac:dyDescent="0.25">
      <c r="C1671" s="25"/>
      <c r="D1671" s="3" t="s">
        <v>6047</v>
      </c>
      <c r="E1671"/>
      <c r="F1671" s="537"/>
      <c r="G1671" s="10"/>
      <c r="H1671" s="588"/>
      <c r="I1671" s="3" t="s">
        <v>1516</v>
      </c>
      <c r="J1671" s="564">
        <v>8</v>
      </c>
    </row>
    <row r="1672" spans="3:10" x14ac:dyDescent="0.25">
      <c r="C1672" s="25"/>
      <c r="D1672" s="25" t="s">
        <v>6048</v>
      </c>
      <c r="E1672"/>
      <c r="F1672" s="537" t="s">
        <v>3</v>
      </c>
      <c r="G1672" s="10">
        <f>0.04*0.022*4*8*1.09</f>
        <v>3.06944E-2</v>
      </c>
      <c r="H1672" s="588"/>
      <c r="I1672" s="3"/>
    </row>
    <row r="1673" spans="3:10" x14ac:dyDescent="0.25">
      <c r="C1673" s="25"/>
      <c r="D1673"/>
      <c r="E1673"/>
      <c r="F1673" s="537"/>
      <c r="G1673" s="10"/>
      <c r="H1673" s="588"/>
      <c r="I1673" s="3"/>
    </row>
    <row r="1674" spans="3:10" x14ac:dyDescent="0.25">
      <c r="C1674" s="3" t="s">
        <v>6049</v>
      </c>
      <c r="D1674"/>
      <c r="E1674"/>
      <c r="F1674" s="537"/>
      <c r="G1674" s="10"/>
      <c r="H1674" s="588"/>
      <c r="I1674" s="3" t="s">
        <v>1516</v>
      </c>
      <c r="J1674" s="564">
        <v>2</v>
      </c>
    </row>
    <row r="1675" spans="3:10" x14ac:dyDescent="0.25">
      <c r="C1675" s="77" t="s">
        <v>39</v>
      </c>
      <c r="D1675"/>
      <c r="E1675"/>
      <c r="F1675" s="537" t="s">
        <v>3</v>
      </c>
      <c r="G1675" s="10">
        <f>0.12*0.09*1.3</f>
        <v>1.4039999999999999E-2</v>
      </c>
      <c r="H1675" s="588"/>
      <c r="I1675" s="3"/>
    </row>
    <row r="1676" spans="3:10" ht="18" x14ac:dyDescent="0.25">
      <c r="C1676" s="77" t="s">
        <v>1055</v>
      </c>
      <c r="D1676"/>
      <c r="E1676"/>
      <c r="F1676" s="566" t="s">
        <v>6022</v>
      </c>
      <c r="G1676" s="10">
        <f>G1675</f>
        <v>1.4039999999999999E-2</v>
      </c>
      <c r="H1676" s="588"/>
      <c r="I1676" s="3"/>
    </row>
    <row r="1677" spans="3:10" x14ac:dyDescent="0.25">
      <c r="C1677" s="25" t="s">
        <v>114</v>
      </c>
      <c r="D1677"/>
      <c r="E1677"/>
      <c r="F1677" s="537" t="s">
        <v>3</v>
      </c>
      <c r="G1677" s="10">
        <f>G1679</f>
        <v>1.4249999999999999E-2</v>
      </c>
      <c r="H1677" s="588"/>
      <c r="I1677" s="3"/>
    </row>
    <row r="1678" spans="3:10" x14ac:dyDescent="0.25">
      <c r="C1678" s="25" t="s">
        <v>661</v>
      </c>
      <c r="D1678"/>
      <c r="E1678"/>
      <c r="F1678" s="537" t="s">
        <v>3</v>
      </c>
      <c r="G1678" s="10">
        <f>0.3*G1677</f>
        <v>4.2749999999999993E-3</v>
      </c>
      <c r="H1678" s="588"/>
      <c r="I1678" s="3"/>
    </row>
    <row r="1679" spans="3:10" x14ac:dyDescent="0.25">
      <c r="C1679" s="25" t="s">
        <v>72</v>
      </c>
      <c r="D1679"/>
      <c r="E1679"/>
      <c r="F1679" s="537" t="s">
        <v>3</v>
      </c>
      <c r="G1679" s="10">
        <f>0.25*0.05*2*0.15*2*1.9</f>
        <v>1.4249999999999999E-2</v>
      </c>
      <c r="H1679" s="588"/>
      <c r="I1679" s="3"/>
    </row>
    <row r="1680" spans="3:10" x14ac:dyDescent="0.25">
      <c r="C1680" s="25" t="s">
        <v>11</v>
      </c>
      <c r="D1680"/>
      <c r="E1680"/>
      <c r="F1680" s="537" t="s">
        <v>3</v>
      </c>
      <c r="G1680" s="10">
        <f>0.3*G1679</f>
        <v>4.2749999999999993E-3</v>
      </c>
      <c r="H1680" s="588"/>
      <c r="I1680" s="3"/>
    </row>
    <row r="1681" spans="1:13" x14ac:dyDescent="0.25">
      <c r="C1681" s="25" t="s">
        <v>13</v>
      </c>
      <c r="D1681"/>
      <c r="E1681"/>
      <c r="F1681" s="537" t="s">
        <v>3</v>
      </c>
      <c r="G1681" s="10">
        <v>0.03</v>
      </c>
      <c r="H1681" s="588"/>
      <c r="I1681" s="3"/>
    </row>
    <row r="1682" spans="1:13" x14ac:dyDescent="0.25">
      <c r="C1682"/>
      <c r="D1682" s="4" t="s">
        <v>6050</v>
      </c>
      <c r="E1682"/>
      <c r="F1682" s="537"/>
      <c r="G1682" s="10"/>
      <c r="H1682" s="588"/>
      <c r="I1682" s="3" t="s">
        <v>1516</v>
      </c>
      <c r="J1682" s="564">
        <v>4</v>
      </c>
    </row>
    <row r="1683" spans="1:13" x14ac:dyDescent="0.25">
      <c r="C1683"/>
      <c r="D1683" t="s">
        <v>5885</v>
      </c>
      <c r="E1683"/>
      <c r="F1683" s="537" t="s">
        <v>3</v>
      </c>
      <c r="G1683" s="10">
        <f>0.245*0.035*4*8*1.1</f>
        <v>0.30184000000000005</v>
      </c>
      <c r="H1683" s="588"/>
      <c r="I1683" s="3"/>
    </row>
    <row r="1684" spans="1:13" x14ac:dyDescent="0.25">
      <c r="C1684"/>
      <c r="D1684" s="4" t="s">
        <v>6051</v>
      </c>
      <c r="E1684"/>
      <c r="F1684" s="537"/>
      <c r="G1684" s="10"/>
      <c r="H1684" s="588"/>
      <c r="I1684" s="3" t="s">
        <v>1516</v>
      </c>
      <c r="J1684" s="564">
        <v>4</v>
      </c>
    </row>
    <row r="1685" spans="1:13" x14ac:dyDescent="0.25">
      <c r="C1685"/>
      <c r="D1685" t="s">
        <v>5885</v>
      </c>
      <c r="E1685"/>
      <c r="F1685" s="537" t="s">
        <v>3</v>
      </c>
      <c r="G1685" s="10">
        <f>0.04*0.03*4*8*1.12</f>
        <v>4.3007999999999998E-2</v>
      </c>
      <c r="H1685" s="588"/>
      <c r="I1685" s="3"/>
    </row>
    <row r="1686" spans="1:13" x14ac:dyDescent="0.25">
      <c r="C1686"/>
      <c r="D1686"/>
      <c r="E1686"/>
      <c r="F1686" s="537"/>
      <c r="G1686" s="10"/>
      <c r="H1686" s="588"/>
      <c r="I1686" s="3"/>
    </row>
    <row r="1687" spans="1:13" x14ac:dyDescent="0.25">
      <c r="C1687" s="3" t="s">
        <v>6052</v>
      </c>
      <c r="D1687"/>
      <c r="E1687"/>
      <c r="F1687" s="537"/>
      <c r="G1687" s="10"/>
      <c r="H1687" s="588"/>
      <c r="I1687" s="3" t="s">
        <v>1516</v>
      </c>
      <c r="J1687" s="564">
        <v>2</v>
      </c>
    </row>
    <row r="1688" spans="1:13" x14ac:dyDescent="0.25">
      <c r="C1688" s="77" t="s">
        <v>39</v>
      </c>
      <c r="D1688"/>
      <c r="E1688"/>
      <c r="F1688" s="537" t="s">
        <v>3</v>
      </c>
      <c r="G1688" s="10">
        <f>0.12*0.09*1.3</f>
        <v>1.4039999999999999E-2</v>
      </c>
      <c r="H1688" s="588"/>
      <c r="I1688" s="3"/>
    </row>
    <row r="1689" spans="1:13" ht="18" x14ac:dyDescent="0.25">
      <c r="C1689" s="77" t="s">
        <v>1055</v>
      </c>
      <c r="D1689"/>
      <c r="E1689"/>
      <c r="F1689" s="566" t="s">
        <v>6022</v>
      </c>
      <c r="G1689" s="10">
        <f>G1688</f>
        <v>1.4039999999999999E-2</v>
      </c>
      <c r="H1689" s="588"/>
      <c r="I1689" s="3"/>
    </row>
    <row r="1690" spans="1:13" x14ac:dyDescent="0.25">
      <c r="C1690" s="25" t="s">
        <v>114</v>
      </c>
      <c r="D1690"/>
      <c r="E1690"/>
      <c r="F1690" s="537" t="s">
        <v>3</v>
      </c>
      <c r="G1690" s="10">
        <f>G1692</f>
        <v>1.4249999999999999E-2</v>
      </c>
      <c r="H1690" s="588"/>
      <c r="I1690" s="3"/>
    </row>
    <row r="1691" spans="1:13" x14ac:dyDescent="0.25">
      <c r="C1691" s="25" t="s">
        <v>661</v>
      </c>
      <c r="D1691"/>
      <c r="E1691"/>
      <c r="F1691" s="537" t="s">
        <v>3</v>
      </c>
      <c r="G1691" s="10">
        <f>0.3*G1690</f>
        <v>4.2749999999999993E-3</v>
      </c>
      <c r="H1691" s="588"/>
      <c r="I1691" s="3"/>
    </row>
    <row r="1692" spans="1:13" x14ac:dyDescent="0.25">
      <c r="C1692" s="25" t="s">
        <v>72</v>
      </c>
      <c r="D1692"/>
      <c r="E1692"/>
      <c r="F1692" s="537" t="s">
        <v>3</v>
      </c>
      <c r="G1692" s="10">
        <f>0.25*0.05*2*0.15*2*1.9</f>
        <v>1.4249999999999999E-2</v>
      </c>
      <c r="H1692" s="588"/>
      <c r="I1692" s="3"/>
    </row>
    <row r="1693" spans="1:13" x14ac:dyDescent="0.25">
      <c r="C1693" s="25" t="s">
        <v>11</v>
      </c>
      <c r="D1693"/>
      <c r="E1693"/>
      <c r="F1693" s="537" t="s">
        <v>3</v>
      </c>
      <c r="G1693" s="10">
        <f>0.3*G1692</f>
        <v>4.2749999999999993E-3</v>
      </c>
      <c r="H1693" s="588"/>
      <c r="I1693" s="3"/>
    </row>
    <row r="1694" spans="1:13" x14ac:dyDescent="0.25">
      <c r="C1694" s="25" t="s">
        <v>13</v>
      </c>
      <c r="D1694"/>
      <c r="E1694"/>
      <c r="F1694" s="537" t="s">
        <v>3</v>
      </c>
      <c r="G1694" s="10">
        <v>0.03</v>
      </c>
      <c r="H1694" s="588"/>
      <c r="I1694" s="3"/>
    </row>
    <row r="1695" spans="1:13" x14ac:dyDescent="0.25">
      <c r="A1695" s="584"/>
      <c r="B1695" s="539"/>
      <c r="C1695" s="591"/>
      <c r="D1695" s="591"/>
      <c r="E1695" s="591"/>
      <c r="F1695" s="591"/>
      <c r="G1695" s="801"/>
      <c r="H1695" s="593"/>
    </row>
    <row r="1696" spans="1:13" ht="18.75" x14ac:dyDescent="0.3">
      <c r="C1696" s="73"/>
      <c r="D1696" s="73"/>
      <c r="E1696" s="596" t="s">
        <v>6053</v>
      </c>
      <c r="F1696" s="74"/>
      <c r="H1696" s="598" t="s">
        <v>6054</v>
      </c>
      <c r="I1696" s="996"/>
      <c r="J1696" s="997"/>
      <c r="K1696" s="998"/>
      <c r="L1696" s="998"/>
      <c r="M1696" s="998">
        <v>43395</v>
      </c>
    </row>
    <row r="1697" spans="3:12" x14ac:dyDescent="0.25">
      <c r="C1697" s="73"/>
      <c r="D1697" s="73"/>
      <c r="E1697" s="73"/>
      <c r="F1697" s="74"/>
      <c r="G1697" s="153"/>
      <c r="H1697" s="538"/>
      <c r="K1697" s="73"/>
      <c r="L1697" s="73"/>
    </row>
    <row r="1698" spans="3:12" x14ac:dyDescent="0.25">
      <c r="C1698" s="73"/>
      <c r="D1698" s="73"/>
      <c r="E1698" s="73"/>
      <c r="F1698" s="74"/>
      <c r="G1698" s="153"/>
      <c r="H1698" s="538"/>
      <c r="K1698" s="73"/>
      <c r="L1698" s="73"/>
    </row>
    <row r="1699" spans="3:12" x14ac:dyDescent="0.25">
      <c r="C1699" s="75" t="s">
        <v>6055</v>
      </c>
      <c r="D1699" s="73"/>
      <c r="E1699" s="73"/>
      <c r="F1699" s="74"/>
      <c r="G1699" s="183" t="s">
        <v>624</v>
      </c>
      <c r="H1699" s="538"/>
      <c r="K1699" s="73"/>
      <c r="L1699" s="73"/>
    </row>
    <row r="1700" spans="3:12" x14ac:dyDescent="0.25">
      <c r="C1700" s="75"/>
      <c r="D1700" s="73" t="s">
        <v>6056</v>
      </c>
      <c r="E1700" s="73"/>
      <c r="F1700" s="74" t="s">
        <v>3</v>
      </c>
      <c r="G1700" s="153">
        <f>0.285*0.04*6*8*1.097</f>
        <v>0.60027839999999988</v>
      </c>
      <c r="H1700" s="538"/>
      <c r="K1700" s="73"/>
      <c r="L1700" s="73"/>
    </row>
    <row r="1701" spans="3:12" x14ac:dyDescent="0.25">
      <c r="C1701" s="75"/>
      <c r="D1701" s="73"/>
      <c r="E1701" s="73"/>
      <c r="F1701" s="74"/>
      <c r="G1701" s="153"/>
      <c r="H1701" s="538"/>
      <c r="K1701" s="73"/>
      <c r="L1701" s="73"/>
    </row>
    <row r="1702" spans="3:12" x14ac:dyDescent="0.25">
      <c r="C1702" s="75" t="s">
        <v>6057</v>
      </c>
      <c r="D1702" s="73"/>
      <c r="E1702" s="73"/>
      <c r="F1702" s="74"/>
      <c r="G1702" s="153"/>
      <c r="H1702" s="538"/>
      <c r="K1702" s="73"/>
      <c r="L1702" s="73"/>
    </row>
    <row r="1703" spans="3:12" x14ac:dyDescent="0.25">
      <c r="C1703" s="75"/>
      <c r="D1703" s="73" t="s">
        <v>6058</v>
      </c>
      <c r="E1703" s="73"/>
      <c r="F1703" s="74" t="s">
        <v>3</v>
      </c>
      <c r="G1703" s="153">
        <v>0.625</v>
      </c>
      <c r="H1703" s="538"/>
      <c r="K1703" s="73"/>
      <c r="L1703" s="73"/>
    </row>
    <row r="1704" spans="3:12" x14ac:dyDescent="0.25">
      <c r="C1704" s="75"/>
      <c r="D1704" s="73"/>
      <c r="E1704" s="73"/>
      <c r="F1704" s="74"/>
      <c r="G1704" s="153"/>
      <c r="H1704" s="538"/>
      <c r="K1704" s="73"/>
      <c r="L1704" s="73"/>
    </row>
    <row r="1705" spans="3:12" x14ac:dyDescent="0.25">
      <c r="C1705" s="75" t="s">
        <v>6059</v>
      </c>
      <c r="D1705" s="73"/>
      <c r="E1705" s="73"/>
      <c r="F1705" s="74"/>
      <c r="G1705" s="153"/>
      <c r="H1705" s="538"/>
      <c r="K1705" s="73"/>
      <c r="L1705" s="73"/>
    </row>
    <row r="1706" spans="3:12" x14ac:dyDescent="0.25">
      <c r="C1706" s="75"/>
      <c r="D1706" s="77" t="s">
        <v>6060</v>
      </c>
      <c r="E1706" s="73"/>
      <c r="F1706" s="74" t="s">
        <v>3</v>
      </c>
      <c r="G1706" s="153">
        <v>0.91</v>
      </c>
      <c r="H1706" s="538"/>
      <c r="K1706" s="73" t="s">
        <v>6061</v>
      </c>
      <c r="L1706" s="73"/>
    </row>
    <row r="1707" spans="3:12" x14ac:dyDescent="0.25">
      <c r="C1707" s="75"/>
      <c r="D1707" s="73"/>
      <c r="E1707" s="73"/>
      <c r="F1707" s="74"/>
      <c r="G1707" s="153"/>
      <c r="H1707" s="538"/>
      <c r="K1707" s="73"/>
      <c r="L1707" s="73"/>
    </row>
    <row r="1708" spans="3:12" x14ac:dyDescent="0.25">
      <c r="C1708" s="75" t="s">
        <v>6062</v>
      </c>
      <c r="D1708" s="73"/>
      <c r="E1708" s="73"/>
      <c r="F1708" s="74"/>
      <c r="G1708" s="153"/>
      <c r="H1708" s="538"/>
      <c r="K1708" s="73"/>
      <c r="L1708" s="73"/>
    </row>
    <row r="1709" spans="3:12" x14ac:dyDescent="0.25">
      <c r="C1709" s="77" t="s">
        <v>39</v>
      </c>
      <c r="D1709" s="73"/>
      <c r="E1709" s="73"/>
      <c r="F1709" s="74" t="s">
        <v>3</v>
      </c>
      <c r="G1709" s="153">
        <f>0.25*0.07*1.16</f>
        <v>2.0300000000000002E-2</v>
      </c>
      <c r="H1709" s="538"/>
      <c r="K1709" s="73"/>
      <c r="L1709" s="73"/>
    </row>
    <row r="1710" spans="3:12" ht="17.25" x14ac:dyDescent="0.25">
      <c r="C1710" s="77" t="s">
        <v>1055</v>
      </c>
      <c r="D1710" s="73"/>
      <c r="E1710" s="73"/>
      <c r="F1710" s="571" t="s">
        <v>5442</v>
      </c>
      <c r="G1710" s="153">
        <f>G1709</f>
        <v>2.0300000000000002E-2</v>
      </c>
      <c r="H1710" s="538"/>
      <c r="K1710" s="73"/>
      <c r="L1710" s="73"/>
    </row>
    <row r="1711" spans="3:12" x14ac:dyDescent="0.25">
      <c r="C1711" s="75"/>
      <c r="D1711" s="75" t="s">
        <v>6063</v>
      </c>
      <c r="E1711" s="73"/>
      <c r="F1711" s="74"/>
      <c r="G1711" s="153"/>
      <c r="H1711" s="538"/>
      <c r="K1711" s="73"/>
      <c r="L1711" s="73"/>
    </row>
    <row r="1712" spans="3:12" x14ac:dyDescent="0.25">
      <c r="C1712" s="75"/>
      <c r="D1712" s="77" t="s">
        <v>39</v>
      </c>
      <c r="E1712" s="73"/>
      <c r="F1712" s="74" t="s">
        <v>3</v>
      </c>
      <c r="G1712" s="153">
        <f>(0.016*3.14*2+0.022*3.14*2+0.025*3.14*2)*0.08*1.1</f>
        <v>3.4816320000000005E-2</v>
      </c>
      <c r="H1712" s="538"/>
      <c r="K1712" s="73"/>
      <c r="L1712" s="73"/>
    </row>
    <row r="1713" spans="3:12" ht="17.25" x14ac:dyDescent="0.25">
      <c r="C1713" s="75"/>
      <c r="D1713" s="77" t="s">
        <v>1055</v>
      </c>
      <c r="E1713" s="73"/>
      <c r="F1713" s="571" t="s">
        <v>5442</v>
      </c>
      <c r="G1713" s="153">
        <f>G1712</f>
        <v>3.4816320000000005E-2</v>
      </c>
      <c r="H1713" s="538"/>
      <c r="K1713" s="73" t="s">
        <v>6064</v>
      </c>
      <c r="L1713" s="73"/>
    </row>
    <row r="1714" spans="3:12" x14ac:dyDescent="0.25">
      <c r="C1714" s="75"/>
      <c r="E1714" s="75" t="s">
        <v>6065</v>
      </c>
      <c r="F1714" s="571"/>
      <c r="G1714" s="153"/>
      <c r="H1714" s="538"/>
      <c r="K1714" s="73"/>
      <c r="L1714" s="73"/>
    </row>
    <row r="1715" spans="3:12" x14ac:dyDescent="0.25">
      <c r="C1715" s="75"/>
      <c r="E1715" s="186" t="s">
        <v>6066</v>
      </c>
      <c r="F1715" s="571" t="s">
        <v>3</v>
      </c>
      <c r="G1715" s="153">
        <v>3.8</v>
      </c>
      <c r="H1715" s="538"/>
      <c r="K1715" s="73" t="s">
        <v>6067</v>
      </c>
      <c r="L1715" s="73">
        <v>1.46</v>
      </c>
    </row>
    <row r="1716" spans="3:12" x14ac:dyDescent="0.25">
      <c r="C1716" s="75"/>
      <c r="E1716" s="75" t="s">
        <v>6068</v>
      </c>
      <c r="F1716" s="571"/>
      <c r="G1716" s="153"/>
      <c r="H1716" s="538"/>
      <c r="K1716" s="73"/>
      <c r="L1716" s="73" t="s">
        <v>6069</v>
      </c>
    </row>
    <row r="1717" spans="3:12" x14ac:dyDescent="0.25">
      <c r="C1717" s="75"/>
      <c r="E1717" s="186" t="s">
        <v>6066</v>
      </c>
      <c r="F1717" s="571" t="s">
        <v>3</v>
      </c>
      <c r="G1717" s="153">
        <v>2</v>
      </c>
      <c r="H1717" s="538"/>
      <c r="K1717" s="73" t="s">
        <v>6070</v>
      </c>
      <c r="L1717" s="73" t="s">
        <v>6071</v>
      </c>
    </row>
    <row r="1718" spans="3:12" x14ac:dyDescent="0.25">
      <c r="C1718" s="75"/>
      <c r="D1718" s="75" t="s">
        <v>6072</v>
      </c>
      <c r="E1718" s="73"/>
      <c r="F1718" s="74"/>
      <c r="G1718" s="153"/>
      <c r="H1718" s="538"/>
      <c r="K1718" s="73"/>
      <c r="L1718" s="73" t="s">
        <v>6073</v>
      </c>
    </row>
    <row r="1719" spans="3:12" x14ac:dyDescent="0.25">
      <c r="C1719" s="75"/>
      <c r="D1719" s="77" t="s">
        <v>39</v>
      </c>
      <c r="E1719" s="73"/>
      <c r="F1719" s="74" t="s">
        <v>3</v>
      </c>
      <c r="G1719" s="153">
        <f>1*0.07*1.29</f>
        <v>9.0300000000000005E-2</v>
      </c>
      <c r="H1719" s="538"/>
      <c r="K1719" s="73"/>
      <c r="L1719" s="73"/>
    </row>
    <row r="1720" spans="3:12" ht="17.25" x14ac:dyDescent="0.25">
      <c r="C1720" s="75"/>
      <c r="D1720" s="77" t="s">
        <v>1055</v>
      </c>
      <c r="E1720" s="73"/>
      <c r="F1720" s="571" t="s">
        <v>5442</v>
      </c>
      <c r="G1720" s="153">
        <f>G1719</f>
        <v>9.0300000000000005E-2</v>
      </c>
      <c r="H1720" s="538"/>
      <c r="K1720" s="73"/>
      <c r="L1720" s="73"/>
    </row>
    <row r="1721" spans="3:12" x14ac:dyDescent="0.25">
      <c r="C1721" s="75"/>
      <c r="D1721" s="73"/>
      <c r="E1721" s="75" t="s">
        <v>6074</v>
      </c>
      <c r="F1721" s="74"/>
      <c r="G1721" s="183" t="s">
        <v>624</v>
      </c>
      <c r="H1721" s="538"/>
      <c r="K1721" s="73"/>
      <c r="L1721" s="73">
        <v>0.65</v>
      </c>
    </row>
    <row r="1722" spans="3:12" x14ac:dyDescent="0.25">
      <c r="C1722" s="75"/>
      <c r="D1722" s="73"/>
      <c r="E1722" s="73" t="s">
        <v>6075</v>
      </c>
      <c r="F1722" s="74" t="s">
        <v>3</v>
      </c>
      <c r="G1722" s="153">
        <v>2.4300000000000002</v>
      </c>
      <c r="H1722" s="538"/>
      <c r="K1722" s="73"/>
      <c r="L1722" s="73" t="s">
        <v>6069</v>
      </c>
    </row>
    <row r="1723" spans="3:12" x14ac:dyDescent="0.25">
      <c r="C1723" s="75"/>
      <c r="D1723" s="73"/>
      <c r="E1723" s="75" t="s">
        <v>6076</v>
      </c>
      <c r="F1723" s="74"/>
      <c r="G1723" s="183" t="s">
        <v>624</v>
      </c>
      <c r="H1723" s="538"/>
      <c r="K1723" s="73"/>
      <c r="L1723" s="73" t="s">
        <v>6071</v>
      </c>
    </row>
    <row r="1724" spans="3:12" x14ac:dyDescent="0.25">
      <c r="C1724" s="75"/>
      <c r="D1724" s="73"/>
      <c r="E1724" s="73" t="s">
        <v>6075</v>
      </c>
      <c r="F1724" s="74" t="s">
        <v>3</v>
      </c>
      <c r="G1724" s="153">
        <v>1.72</v>
      </c>
      <c r="H1724" s="538"/>
      <c r="K1724" s="73"/>
      <c r="L1724" s="73" t="s">
        <v>6073</v>
      </c>
    </row>
    <row r="1725" spans="3:12" x14ac:dyDescent="0.25">
      <c r="C1725" s="75"/>
      <c r="D1725" s="73"/>
      <c r="E1725" s="75" t="s">
        <v>6077</v>
      </c>
      <c r="F1725" s="74"/>
      <c r="G1725" s="183" t="s">
        <v>624</v>
      </c>
      <c r="H1725" s="538"/>
      <c r="K1725" s="73"/>
      <c r="L1725" s="73"/>
    </row>
    <row r="1726" spans="3:12" x14ac:dyDescent="0.25">
      <c r="C1726" s="75"/>
      <c r="D1726" s="73"/>
      <c r="E1726" s="73" t="s">
        <v>6075</v>
      </c>
      <c r="F1726" s="74" t="s">
        <v>3</v>
      </c>
      <c r="G1726" s="153">
        <v>1.72</v>
      </c>
      <c r="H1726" s="538"/>
      <c r="K1726" s="73"/>
      <c r="L1726" s="73"/>
    </row>
    <row r="1727" spans="3:12" x14ac:dyDescent="0.25">
      <c r="C1727" s="75"/>
      <c r="D1727" s="73"/>
      <c r="E1727" s="75" t="s">
        <v>6078</v>
      </c>
      <c r="F1727" s="74"/>
      <c r="G1727" s="153"/>
      <c r="H1727" s="538"/>
      <c r="K1727" s="73"/>
      <c r="L1727" s="73"/>
    </row>
    <row r="1728" spans="3:12" x14ac:dyDescent="0.25">
      <c r="C1728" s="75"/>
      <c r="D1728" s="73"/>
      <c r="E1728" s="73" t="s">
        <v>6079</v>
      </c>
      <c r="F1728" s="74" t="s">
        <v>3</v>
      </c>
      <c r="G1728" s="153">
        <f>0.52*0.375*3*8*1.1005</f>
        <v>5.1503399999999999</v>
      </c>
      <c r="H1728" s="538"/>
      <c r="K1728" s="73"/>
      <c r="L1728" s="73"/>
    </row>
    <row r="1729" spans="1:12" x14ac:dyDescent="0.25">
      <c r="C1729" s="75"/>
      <c r="D1729" s="73"/>
      <c r="E1729" s="73"/>
      <c r="F1729" s="74"/>
      <c r="G1729" s="153"/>
      <c r="H1729" s="538"/>
      <c r="K1729" s="73"/>
      <c r="L1729" s="73"/>
    </row>
    <row r="1730" spans="1:12" x14ac:dyDescent="0.25">
      <c r="C1730" s="75" t="s">
        <v>6080</v>
      </c>
      <c r="D1730" s="73"/>
      <c r="E1730" s="73"/>
      <c r="F1730" s="74"/>
      <c r="G1730" s="153"/>
      <c r="H1730" s="538"/>
      <c r="K1730" s="73"/>
      <c r="L1730" s="73"/>
    </row>
    <row r="1731" spans="1:12" x14ac:dyDescent="0.25">
      <c r="C1731" s="75"/>
      <c r="D1731" s="73" t="s">
        <v>6081</v>
      </c>
      <c r="E1731" s="73"/>
      <c r="F1731" s="74" t="s">
        <v>3</v>
      </c>
      <c r="G1731" s="153">
        <f>0.05*0.05*4*8*1.1</f>
        <v>8.8000000000000023E-2</v>
      </c>
      <c r="H1731" s="538"/>
      <c r="K1731" s="73"/>
      <c r="L1731" s="73"/>
    </row>
    <row r="1732" spans="1:12" x14ac:dyDescent="0.25">
      <c r="C1732" s="75"/>
      <c r="D1732" s="73"/>
      <c r="E1732" s="73"/>
      <c r="F1732" s="74"/>
      <c r="G1732" s="153"/>
      <c r="H1732" s="538"/>
      <c r="K1732" s="73"/>
      <c r="L1732" s="73"/>
    </row>
    <row r="1733" spans="1:12" x14ac:dyDescent="0.25">
      <c r="C1733" s="75" t="s">
        <v>6082</v>
      </c>
      <c r="D1733" s="73"/>
      <c r="E1733" s="73"/>
      <c r="F1733" s="74"/>
      <c r="G1733" s="153"/>
      <c r="H1733" s="538"/>
      <c r="K1733" s="73"/>
      <c r="L1733" s="73"/>
    </row>
    <row r="1734" spans="1:12" x14ac:dyDescent="0.25">
      <c r="C1734" s="75"/>
      <c r="D1734" s="73" t="s">
        <v>6083</v>
      </c>
      <c r="E1734" s="73"/>
      <c r="F1734" s="74" t="s">
        <v>3</v>
      </c>
      <c r="G1734" s="153">
        <v>0.08</v>
      </c>
      <c r="H1734" s="538"/>
      <c r="K1734" s="73"/>
      <c r="L1734" s="73"/>
    </row>
    <row r="1735" spans="1:12" x14ac:dyDescent="0.25">
      <c r="C1735" s="75"/>
      <c r="D1735" s="73"/>
      <c r="E1735" s="73"/>
      <c r="F1735" s="74"/>
      <c r="G1735" s="153"/>
      <c r="H1735" s="538"/>
      <c r="K1735" s="73"/>
      <c r="L1735" s="73"/>
    </row>
    <row r="1736" spans="1:12" x14ac:dyDescent="0.25">
      <c r="C1736" s="75" t="s">
        <v>6084</v>
      </c>
      <c r="D1736" s="73"/>
      <c r="E1736" s="73"/>
      <c r="F1736" s="74"/>
      <c r="G1736" s="153"/>
      <c r="H1736" s="538"/>
      <c r="K1736" s="73"/>
      <c r="L1736" s="73"/>
    </row>
    <row r="1737" spans="1:12" x14ac:dyDescent="0.25">
      <c r="C1737" s="73"/>
      <c r="D1737" s="73" t="s">
        <v>6085</v>
      </c>
      <c r="E1737" s="73"/>
      <c r="F1737" s="74" t="s">
        <v>3</v>
      </c>
      <c r="G1737" s="153">
        <f>0.05*0.05*0.5*8*1.1</f>
        <v>1.1000000000000003E-2</v>
      </c>
      <c r="H1737" s="538"/>
      <c r="K1737" s="73"/>
      <c r="L1737" s="73"/>
    </row>
    <row r="1738" spans="1:12" x14ac:dyDescent="0.25">
      <c r="A1738" s="584"/>
      <c r="B1738" s="539"/>
      <c r="C1738" s="539"/>
      <c r="D1738" s="539"/>
      <c r="E1738" s="539"/>
      <c r="F1738" s="599"/>
      <c r="G1738" s="600"/>
      <c r="H1738" s="540"/>
      <c r="K1738" s="73"/>
      <c r="L1738" s="73"/>
    </row>
    <row r="1739" spans="1:12" x14ac:dyDescent="0.25">
      <c r="C1739" s="73" t="s">
        <v>6086</v>
      </c>
      <c r="D1739" s="73"/>
      <c r="E1739" s="73"/>
      <c r="F1739" s="77"/>
      <c r="H1739" s="260" t="s">
        <v>9556</v>
      </c>
      <c r="K1739" s="73"/>
      <c r="L1739" s="73"/>
    </row>
    <row r="1740" spans="1:12" ht="18.75" x14ac:dyDescent="0.3">
      <c r="C1740" s="73"/>
      <c r="D1740" s="73"/>
      <c r="E1740" s="188" t="s">
        <v>6087</v>
      </c>
      <c r="F1740" s="74"/>
      <c r="G1740" s="153"/>
      <c r="H1740" s="538"/>
      <c r="K1740" s="73"/>
      <c r="L1740" s="73"/>
    </row>
    <row r="1741" spans="1:12" x14ac:dyDescent="0.25">
      <c r="C1741" s="73"/>
      <c r="D1741" s="73"/>
      <c r="E1741" s="73"/>
      <c r="F1741" s="74"/>
      <c r="G1741" s="153"/>
      <c r="H1741" s="538"/>
      <c r="K1741" s="73"/>
      <c r="L1741" s="73"/>
    </row>
    <row r="1742" spans="1:12" x14ac:dyDescent="0.25">
      <c r="C1742" s="75" t="s">
        <v>6088</v>
      </c>
      <c r="D1742" s="73"/>
      <c r="E1742" s="73"/>
      <c r="F1742" s="74"/>
      <c r="G1742" s="153"/>
      <c r="H1742" s="538"/>
      <c r="K1742" s="595"/>
      <c r="L1742" s="595"/>
    </row>
    <row r="1743" spans="1:12" x14ac:dyDescent="0.25">
      <c r="C1743" s="75"/>
      <c r="D1743" s="75" t="s">
        <v>6089</v>
      </c>
      <c r="E1743" s="73"/>
      <c r="F1743" s="74"/>
      <c r="G1743" s="153"/>
      <c r="H1743" s="538"/>
      <c r="K1743" s="73"/>
      <c r="L1743" s="73"/>
    </row>
    <row r="1744" spans="1:12" x14ac:dyDescent="0.25">
      <c r="C1744" s="75"/>
      <c r="D1744" s="100" t="s">
        <v>1650</v>
      </c>
      <c r="E1744" s="73"/>
      <c r="F1744" s="74" t="s">
        <v>3</v>
      </c>
      <c r="G1744" s="153">
        <f>0.43*0.34*1.5*8*1.1</f>
        <v>1.9298400000000002</v>
      </c>
      <c r="H1744" s="538"/>
      <c r="K1744" s="73"/>
      <c r="L1744" s="73"/>
    </row>
    <row r="1745" spans="3:12" x14ac:dyDescent="0.25">
      <c r="C1745" s="75"/>
      <c r="D1745" s="75" t="s">
        <v>6090</v>
      </c>
      <c r="E1745" s="73"/>
      <c r="F1745" s="74"/>
      <c r="G1745" s="153"/>
      <c r="H1745" s="538"/>
      <c r="K1745" s="73"/>
      <c r="L1745" s="73"/>
    </row>
    <row r="1746" spans="3:12" x14ac:dyDescent="0.25">
      <c r="C1746" s="75"/>
      <c r="D1746" s="100" t="s">
        <v>6091</v>
      </c>
      <c r="E1746" s="73"/>
      <c r="F1746" s="74" t="s">
        <v>3</v>
      </c>
      <c r="G1746" s="153">
        <v>3.0000000000000001E-3</v>
      </c>
      <c r="H1746" s="538"/>
      <c r="K1746" s="73"/>
      <c r="L1746" s="73"/>
    </row>
    <row r="1747" spans="3:12" x14ac:dyDescent="0.25">
      <c r="C1747" s="75" t="s">
        <v>6092</v>
      </c>
      <c r="D1747" s="73"/>
      <c r="E1747" s="73"/>
      <c r="F1747" s="73"/>
      <c r="G1747" s="99"/>
      <c r="H1747" s="602"/>
      <c r="K1747" s="73"/>
      <c r="L1747" s="73"/>
    </row>
    <row r="1748" spans="3:12" x14ac:dyDescent="0.25">
      <c r="C1748" s="77" t="s">
        <v>39</v>
      </c>
      <c r="D1748" s="73"/>
      <c r="E1748" s="152"/>
      <c r="F1748" s="152" t="s">
        <v>3</v>
      </c>
      <c r="G1748" s="153">
        <f>0.032*8*0.08*1.1</f>
        <v>2.2528000000000003E-2</v>
      </c>
      <c r="H1748" s="602"/>
      <c r="K1748" s="73"/>
      <c r="L1748" s="73"/>
    </row>
    <row r="1749" spans="3:12" ht="17.25" x14ac:dyDescent="0.25">
      <c r="C1749" s="77" t="s">
        <v>1055</v>
      </c>
      <c r="D1749" s="73"/>
      <c r="E1749" s="152"/>
      <c r="F1749" s="74" t="s">
        <v>596</v>
      </c>
      <c r="G1749" s="153">
        <f>G1748</f>
        <v>2.2528000000000003E-2</v>
      </c>
      <c r="H1749" s="602"/>
      <c r="K1749" s="73"/>
      <c r="L1749" s="73"/>
    </row>
    <row r="1750" spans="3:12" x14ac:dyDescent="0.25">
      <c r="C1750" s="73"/>
      <c r="D1750" s="75" t="s">
        <v>6093</v>
      </c>
      <c r="E1750" s="73"/>
      <c r="G1750" s="153"/>
      <c r="H1750" s="602"/>
      <c r="K1750" s="73"/>
      <c r="L1750" s="73"/>
    </row>
    <row r="1751" spans="3:12" x14ac:dyDescent="0.25">
      <c r="C1751" s="73"/>
      <c r="D1751" s="73" t="s">
        <v>415</v>
      </c>
      <c r="E1751" s="73"/>
      <c r="F1751" s="152" t="s">
        <v>3</v>
      </c>
      <c r="G1751" s="153">
        <f>0.185*0.105*1.5*8*1.1</f>
        <v>0.25640999999999997</v>
      </c>
      <c r="H1751" s="602"/>
      <c r="K1751" s="73"/>
      <c r="L1751" s="73"/>
    </row>
    <row r="1752" spans="3:12" x14ac:dyDescent="0.25">
      <c r="C1752" s="75" t="s">
        <v>6094</v>
      </c>
      <c r="D1752" s="73"/>
      <c r="E1752" s="73"/>
      <c r="G1752" s="153"/>
      <c r="H1752" s="602"/>
      <c r="K1752" s="73"/>
      <c r="L1752" s="73"/>
    </row>
    <row r="1753" spans="3:12" x14ac:dyDescent="0.25">
      <c r="C1753" s="73" t="s">
        <v>141</v>
      </c>
      <c r="D1753" s="73"/>
      <c r="E1753" s="73"/>
      <c r="F1753" s="74" t="s">
        <v>3</v>
      </c>
      <c r="G1753" s="153">
        <f>0.03*0.08*1.3</f>
        <v>3.1199999999999999E-3</v>
      </c>
      <c r="H1753" s="602"/>
      <c r="K1753" s="73"/>
      <c r="L1753" s="73"/>
    </row>
    <row r="1754" spans="3:12" ht="17.25" x14ac:dyDescent="0.25">
      <c r="C1754" s="73" t="s">
        <v>23</v>
      </c>
      <c r="D1754" s="73"/>
      <c r="E1754" s="73"/>
      <c r="F1754" s="74" t="s">
        <v>596</v>
      </c>
      <c r="G1754" s="153">
        <f>G1753*2</f>
        <v>6.2399999999999999E-3</v>
      </c>
      <c r="H1754" s="602"/>
      <c r="K1754" s="73"/>
      <c r="L1754" s="73"/>
    </row>
    <row r="1755" spans="3:12" x14ac:dyDescent="0.25">
      <c r="C1755" s="73" t="s">
        <v>142</v>
      </c>
      <c r="D1755" s="73"/>
      <c r="E1755" s="73"/>
      <c r="F1755" s="74" t="s">
        <v>3</v>
      </c>
      <c r="G1755" s="153">
        <f>G1753/4</f>
        <v>7.7999999999999999E-4</v>
      </c>
      <c r="H1755" s="602"/>
      <c r="K1755" s="73"/>
      <c r="L1755" s="73"/>
    </row>
    <row r="1756" spans="3:12" x14ac:dyDescent="0.25">
      <c r="C1756" s="75"/>
      <c r="D1756" s="75" t="s">
        <v>6095</v>
      </c>
      <c r="E1756" s="73"/>
      <c r="G1756" s="153"/>
      <c r="H1756" s="602"/>
      <c r="K1756" s="73"/>
      <c r="L1756" s="73"/>
    </row>
    <row r="1757" spans="3:12" x14ac:dyDescent="0.25">
      <c r="C1757" s="75"/>
      <c r="D1757" s="73" t="s">
        <v>272</v>
      </c>
      <c r="E1757" s="73"/>
      <c r="F1757" s="152" t="s">
        <v>3</v>
      </c>
      <c r="G1757" s="153">
        <f>0.06*0.016*2*8*1.1</f>
        <v>1.6896000000000001E-2</v>
      </c>
      <c r="H1757" s="602"/>
      <c r="K1757" s="73"/>
      <c r="L1757" s="73"/>
    </row>
    <row r="1758" spans="3:12" x14ac:dyDescent="0.25">
      <c r="C1758" s="75"/>
      <c r="D1758" s="75" t="s">
        <v>6096</v>
      </c>
      <c r="E1758" s="73"/>
      <c r="G1758" s="153"/>
      <c r="H1758" s="602"/>
      <c r="K1758" s="73"/>
      <c r="L1758" s="73"/>
    </row>
    <row r="1759" spans="3:12" x14ac:dyDescent="0.25">
      <c r="C1759" s="73"/>
      <c r="D1759" s="77" t="s">
        <v>1119</v>
      </c>
      <c r="E1759" s="73"/>
      <c r="F1759" s="152" t="s">
        <v>3</v>
      </c>
      <c r="G1759" s="153">
        <f>0.056*0.019*0.5*8*1.1</f>
        <v>4.681600000000001E-3</v>
      </c>
      <c r="H1759" s="602"/>
      <c r="K1759" s="73"/>
      <c r="L1759" s="73"/>
    </row>
    <row r="1760" spans="3:12" x14ac:dyDescent="0.25">
      <c r="C1760" s="75" t="s">
        <v>6097</v>
      </c>
      <c r="D1760" s="73"/>
      <c r="E1760" s="73"/>
      <c r="F1760" s="73"/>
      <c r="G1760" s="99"/>
      <c r="H1760" s="602"/>
      <c r="K1760" s="73"/>
      <c r="L1760" s="73"/>
    </row>
    <row r="1761" spans="3:12" x14ac:dyDescent="0.25">
      <c r="C1761" s="73" t="s">
        <v>6098</v>
      </c>
      <c r="D1761" s="73"/>
      <c r="E1761" s="73"/>
      <c r="F1761" s="152" t="s">
        <v>3</v>
      </c>
      <c r="G1761" s="153">
        <v>1.4999999999999999E-2</v>
      </c>
      <c r="H1761" s="602"/>
      <c r="K1761" s="73"/>
      <c r="L1761" s="73"/>
    </row>
    <row r="1762" spans="3:12" x14ac:dyDescent="0.25">
      <c r="C1762" s="75" t="s">
        <v>6099</v>
      </c>
      <c r="D1762" s="73"/>
      <c r="E1762" s="73"/>
      <c r="G1762" s="153"/>
      <c r="H1762" s="602"/>
      <c r="K1762" s="73"/>
      <c r="L1762" s="73"/>
    </row>
    <row r="1763" spans="3:12" x14ac:dyDescent="0.25">
      <c r="C1763" s="73" t="s">
        <v>6098</v>
      </c>
      <c r="D1763" s="73"/>
      <c r="E1763" s="73"/>
      <c r="F1763" s="152" t="s">
        <v>3</v>
      </c>
      <c r="G1763" s="153">
        <v>2.5000000000000001E-2</v>
      </c>
      <c r="H1763" s="602"/>
      <c r="K1763" s="73"/>
      <c r="L1763" s="73"/>
    </row>
    <row r="1764" spans="3:12" x14ac:dyDescent="0.25">
      <c r="C1764" s="75" t="s">
        <v>6100</v>
      </c>
      <c r="D1764" s="73"/>
      <c r="E1764" s="73"/>
      <c r="G1764" s="153"/>
      <c r="H1764" s="602"/>
      <c r="K1764" s="73"/>
      <c r="L1764" s="73"/>
    </row>
    <row r="1765" spans="3:12" x14ac:dyDescent="0.25">
      <c r="C1765" s="73" t="s">
        <v>6098</v>
      </c>
      <c r="D1765" s="73"/>
      <c r="E1765" s="73"/>
      <c r="F1765" s="152" t="s">
        <v>3</v>
      </c>
      <c r="G1765" s="153">
        <v>0.03</v>
      </c>
      <c r="H1765" s="602"/>
      <c r="K1765" s="73"/>
      <c r="L1765" s="73"/>
    </row>
    <row r="1766" spans="3:12" x14ac:dyDescent="0.25">
      <c r="C1766" s="75" t="s">
        <v>6101</v>
      </c>
      <c r="D1766" s="73"/>
      <c r="E1766" s="73"/>
      <c r="G1766" s="153"/>
      <c r="H1766" s="602"/>
      <c r="K1766" s="73"/>
      <c r="L1766" s="73"/>
    </row>
    <row r="1767" spans="3:12" x14ac:dyDescent="0.25">
      <c r="C1767" s="73" t="s">
        <v>6098</v>
      </c>
      <c r="D1767" s="73"/>
      <c r="E1767" s="73"/>
      <c r="F1767" s="152" t="s">
        <v>3</v>
      </c>
      <c r="G1767" s="153">
        <v>0.02</v>
      </c>
      <c r="H1767" s="602"/>
      <c r="K1767" s="73"/>
      <c r="L1767" s="73"/>
    </row>
    <row r="1768" spans="3:12" x14ac:dyDescent="0.25">
      <c r="C1768" s="75" t="s">
        <v>6102</v>
      </c>
      <c r="D1768" s="73"/>
      <c r="E1768" s="73"/>
      <c r="G1768" s="153"/>
      <c r="H1768" s="602"/>
      <c r="K1768" s="73"/>
      <c r="L1768" s="73"/>
    </row>
    <row r="1769" spans="3:12" x14ac:dyDescent="0.25">
      <c r="C1769" s="73" t="s">
        <v>6098</v>
      </c>
      <c r="D1769" s="73"/>
      <c r="E1769" s="73"/>
      <c r="F1769" s="152" t="s">
        <v>3</v>
      </c>
      <c r="G1769" s="153">
        <v>1.4999999999999999E-2</v>
      </c>
      <c r="H1769" s="602"/>
      <c r="K1769" s="73"/>
      <c r="L1769" s="73"/>
    </row>
    <row r="1770" spans="3:12" x14ac:dyDescent="0.25">
      <c r="C1770" s="75" t="s">
        <v>6103</v>
      </c>
      <c r="D1770" s="73"/>
      <c r="E1770" s="73"/>
      <c r="F1770" s="73"/>
      <c r="G1770" s="99"/>
      <c r="H1770" s="602"/>
      <c r="K1770" s="73"/>
      <c r="L1770" s="73"/>
    </row>
    <row r="1771" spans="3:12" x14ac:dyDescent="0.25">
      <c r="C1771" s="73" t="s">
        <v>6098</v>
      </c>
      <c r="D1771" s="73"/>
      <c r="E1771" s="73"/>
      <c r="F1771" s="152" t="s">
        <v>3</v>
      </c>
      <c r="G1771" s="153">
        <v>1.4E-2</v>
      </c>
      <c r="H1771" s="602"/>
      <c r="K1771" s="73"/>
      <c r="L1771" s="73"/>
    </row>
    <row r="1772" spans="3:12" x14ac:dyDescent="0.25">
      <c r="C1772" s="75" t="s">
        <v>6104</v>
      </c>
      <c r="D1772" s="73"/>
      <c r="E1772" s="73"/>
      <c r="G1772" s="153"/>
      <c r="H1772" s="602"/>
      <c r="K1772" s="73"/>
      <c r="L1772" s="73"/>
    </row>
    <row r="1773" spans="3:12" x14ac:dyDescent="0.25">
      <c r="C1773" s="73" t="s">
        <v>6098</v>
      </c>
      <c r="D1773" s="73"/>
      <c r="E1773" s="73"/>
      <c r="F1773" s="152" t="s">
        <v>3</v>
      </c>
      <c r="G1773" s="153">
        <v>0.02</v>
      </c>
      <c r="H1773" s="602"/>
      <c r="K1773" s="73"/>
      <c r="L1773" s="73"/>
    </row>
    <row r="1774" spans="3:12" x14ac:dyDescent="0.25">
      <c r="C1774" s="75" t="s">
        <v>856</v>
      </c>
      <c r="D1774" s="73"/>
      <c r="E1774" s="73"/>
      <c r="G1774" s="153"/>
      <c r="H1774" s="602"/>
      <c r="K1774" s="73"/>
      <c r="L1774" s="73"/>
    </row>
    <row r="1775" spans="3:12" x14ac:dyDescent="0.25">
      <c r="C1775" s="73" t="s">
        <v>855</v>
      </c>
      <c r="D1775" s="73"/>
      <c r="E1775" s="73"/>
      <c r="F1775" s="152" t="s">
        <v>3</v>
      </c>
      <c r="G1775" s="153">
        <f>0.063*0.063*1.5*2.7*1.15</f>
        <v>1.8485617500000003E-2</v>
      </c>
      <c r="H1775" s="602"/>
      <c r="K1775" s="73"/>
      <c r="L1775" s="73"/>
    </row>
    <row r="1776" spans="3:12" x14ac:dyDescent="0.25">
      <c r="C1776" s="73"/>
      <c r="D1776" s="73"/>
      <c r="E1776" s="73"/>
      <c r="G1776" s="153"/>
      <c r="H1776" s="602"/>
      <c r="K1776" s="73"/>
      <c r="L1776" s="73"/>
    </row>
    <row r="1777" spans="3:12" ht="18.75" x14ac:dyDescent="0.3">
      <c r="C1777" s="73"/>
      <c r="D1777" s="73"/>
      <c r="E1777" s="188" t="s">
        <v>6105</v>
      </c>
      <c r="F1777" s="73"/>
      <c r="G1777" s="99"/>
      <c r="H1777" s="602"/>
      <c r="K1777" s="73"/>
      <c r="L1777" s="73"/>
    </row>
    <row r="1778" spans="3:12" x14ac:dyDescent="0.25">
      <c r="C1778" s="73"/>
      <c r="D1778" s="73"/>
      <c r="E1778" s="73"/>
      <c r="G1778" s="153"/>
      <c r="H1778" s="602"/>
      <c r="K1778" s="73"/>
      <c r="L1778" s="73"/>
    </row>
    <row r="1779" spans="3:12" x14ac:dyDescent="0.25">
      <c r="C1779" s="75" t="s">
        <v>6106</v>
      </c>
      <c r="D1779" s="73"/>
      <c r="E1779" s="73"/>
      <c r="F1779" s="74"/>
      <c r="G1779" s="153"/>
      <c r="H1779" s="538"/>
      <c r="K1779" s="73"/>
      <c r="L1779" s="73"/>
    </row>
    <row r="1780" spans="3:12" x14ac:dyDescent="0.25">
      <c r="C1780" s="77" t="s">
        <v>39</v>
      </c>
      <c r="D1780" s="73"/>
      <c r="E1780" s="152"/>
      <c r="F1780" s="152" t="s">
        <v>3</v>
      </c>
      <c r="G1780" s="153">
        <f>0.4*0.08*1.2</f>
        <v>3.8399999999999997E-2</v>
      </c>
      <c r="H1780" s="602"/>
      <c r="K1780" s="73"/>
      <c r="L1780" s="73"/>
    </row>
    <row r="1781" spans="3:12" ht="17.25" x14ac:dyDescent="0.25">
      <c r="C1781" s="77" t="s">
        <v>1055</v>
      </c>
      <c r="D1781" s="73"/>
      <c r="E1781" s="152"/>
      <c r="F1781" s="74" t="s">
        <v>596</v>
      </c>
      <c r="G1781" s="153">
        <f>G1780</f>
        <v>3.8399999999999997E-2</v>
      </c>
      <c r="H1781" s="602"/>
      <c r="K1781" s="73"/>
      <c r="L1781" s="73"/>
    </row>
    <row r="1782" spans="3:12" x14ac:dyDescent="0.25">
      <c r="C1782" s="100" t="s">
        <v>8</v>
      </c>
      <c r="D1782" s="73"/>
      <c r="E1782" s="73"/>
      <c r="F1782" s="74" t="s">
        <v>3</v>
      </c>
      <c r="G1782" s="153">
        <f>G1783*2*0.85</f>
        <v>6.4535399999999993E-2</v>
      </c>
      <c r="H1782" s="538"/>
      <c r="K1782" s="73"/>
      <c r="L1782" s="73"/>
    </row>
    <row r="1783" spans="3:12" x14ac:dyDescent="0.25">
      <c r="C1783" s="73" t="s">
        <v>36</v>
      </c>
      <c r="D1783" s="73"/>
      <c r="E1783" s="73"/>
      <c r="F1783" s="74" t="s">
        <v>3</v>
      </c>
      <c r="G1783" s="153">
        <f>(0.325*0.1+0.41*0.095+0.2*0.17)*0.15*2*1.2</f>
        <v>3.7961999999999996E-2</v>
      </c>
      <c r="H1783" s="538"/>
      <c r="K1783" s="73"/>
      <c r="L1783" s="73"/>
    </row>
    <row r="1784" spans="3:12" x14ac:dyDescent="0.25">
      <c r="C1784" s="100" t="s">
        <v>12</v>
      </c>
      <c r="D1784" s="73"/>
      <c r="E1784" s="73"/>
      <c r="F1784" s="74" t="s">
        <v>3</v>
      </c>
      <c r="G1784" s="153">
        <f>0.3*(G1782+G1783)</f>
        <v>3.0749219999999994E-2</v>
      </c>
      <c r="H1784" s="538"/>
      <c r="K1784" s="73"/>
      <c r="L1784" s="73"/>
    </row>
    <row r="1785" spans="3:12" x14ac:dyDescent="0.25">
      <c r="C1785" s="100" t="s">
        <v>6107</v>
      </c>
      <c r="D1785" s="73"/>
      <c r="E1785" s="73"/>
      <c r="F1785" s="74" t="s">
        <v>3</v>
      </c>
      <c r="G1785" s="153">
        <f>(0.325*0.1+0.41*0.095+0.2*0.17)*0.15*2*1.2</f>
        <v>3.7961999999999996E-2</v>
      </c>
      <c r="H1785" s="538"/>
      <c r="K1785" s="73"/>
      <c r="L1785" s="73"/>
    </row>
    <row r="1786" spans="3:12" x14ac:dyDescent="0.25">
      <c r="C1786" s="100" t="s">
        <v>313</v>
      </c>
      <c r="D1786" s="73"/>
      <c r="E1786" s="73"/>
      <c r="F1786" s="74" t="s">
        <v>3</v>
      </c>
      <c r="G1786" s="153">
        <f>0.3*G1785</f>
        <v>1.1388599999999999E-2</v>
      </c>
      <c r="H1786" s="538"/>
      <c r="K1786" s="73"/>
      <c r="L1786" s="73"/>
    </row>
    <row r="1787" spans="3:12" x14ac:dyDescent="0.25">
      <c r="C1787" s="100"/>
      <c r="D1787" s="75" t="s">
        <v>6108</v>
      </c>
      <c r="E1787" s="73"/>
      <c r="F1787" s="74"/>
      <c r="G1787" s="153"/>
      <c r="H1787" s="538"/>
      <c r="K1787" s="73"/>
      <c r="L1787" s="73"/>
    </row>
    <row r="1788" spans="3:12" x14ac:dyDescent="0.25">
      <c r="C1788" s="100"/>
      <c r="D1788" s="73" t="s">
        <v>6109</v>
      </c>
      <c r="E1788" s="73"/>
      <c r="F1788" s="74" t="s">
        <v>3</v>
      </c>
      <c r="G1788" s="153">
        <f>0.325*0.1*2*8*1.1</f>
        <v>0.57200000000000006</v>
      </c>
      <c r="H1788" s="538"/>
      <c r="K1788" s="73"/>
      <c r="L1788" s="73"/>
    </row>
    <row r="1789" spans="3:12" x14ac:dyDescent="0.25">
      <c r="C1789" s="100"/>
      <c r="D1789" s="75" t="s">
        <v>6110</v>
      </c>
      <c r="E1789" s="73"/>
      <c r="F1789" s="74"/>
      <c r="G1789" s="153"/>
      <c r="H1789" s="538"/>
      <c r="K1789" s="73"/>
      <c r="L1789" s="73"/>
    </row>
    <row r="1790" spans="3:12" x14ac:dyDescent="0.25">
      <c r="C1790" s="100"/>
      <c r="D1790" s="73" t="s">
        <v>6109</v>
      </c>
      <c r="E1790" s="73"/>
      <c r="F1790" s="74" t="s">
        <v>3</v>
      </c>
      <c r="G1790" s="153">
        <f>0.41*0.095*2*8*1.1</f>
        <v>0.68552000000000002</v>
      </c>
      <c r="H1790" s="538"/>
      <c r="K1790" s="73"/>
      <c r="L1790" s="73"/>
    </row>
    <row r="1791" spans="3:12" x14ac:dyDescent="0.25">
      <c r="C1791" s="100"/>
      <c r="D1791" s="75" t="s">
        <v>6111</v>
      </c>
      <c r="E1791" s="73"/>
      <c r="F1791" s="74"/>
      <c r="G1791" s="153"/>
      <c r="H1791" s="538"/>
      <c r="K1791" s="73"/>
      <c r="L1791" s="73"/>
    </row>
    <row r="1792" spans="3:12" x14ac:dyDescent="0.25">
      <c r="C1792" s="100"/>
      <c r="D1792" s="73" t="s">
        <v>6109</v>
      </c>
      <c r="E1792" s="73"/>
      <c r="F1792" s="74" t="s">
        <v>3</v>
      </c>
      <c r="G1792" s="153">
        <f>0.042*0.08*2*8*1.11</f>
        <v>5.9673600000000007E-2</v>
      </c>
      <c r="H1792" s="538"/>
      <c r="K1792" s="73"/>
      <c r="L1792" s="73"/>
    </row>
    <row r="1793" spans="3:12" x14ac:dyDescent="0.25">
      <c r="C1793" s="100"/>
      <c r="D1793" s="75" t="s">
        <v>6112</v>
      </c>
      <c r="E1793" s="73"/>
      <c r="F1793" s="74"/>
      <c r="G1793" s="153"/>
      <c r="H1793" s="538"/>
      <c r="K1793" s="73"/>
      <c r="L1793" s="73"/>
    </row>
    <row r="1794" spans="3:12" x14ac:dyDescent="0.25">
      <c r="C1794" s="100"/>
      <c r="D1794" s="73" t="s">
        <v>6109</v>
      </c>
      <c r="E1794" s="73"/>
      <c r="F1794" s="74" t="s">
        <v>3</v>
      </c>
      <c r="G1794" s="153">
        <f>0.025*0.025*2*8*1.1</f>
        <v>1.1000000000000003E-2</v>
      </c>
      <c r="H1794" s="538"/>
      <c r="K1794" s="73"/>
      <c r="L1794" s="73"/>
    </row>
    <row r="1795" spans="3:12" x14ac:dyDescent="0.25">
      <c r="C1795" s="100"/>
      <c r="D1795" s="75" t="s">
        <v>6113</v>
      </c>
      <c r="E1795" s="73"/>
      <c r="F1795" s="74"/>
      <c r="G1795" s="153"/>
      <c r="H1795" s="538"/>
      <c r="K1795" s="73"/>
      <c r="L1795" s="73"/>
    </row>
    <row r="1796" spans="3:12" x14ac:dyDescent="0.25">
      <c r="C1796" s="100"/>
      <c r="D1796" s="73" t="s">
        <v>6109</v>
      </c>
      <c r="E1796" s="73"/>
      <c r="F1796" s="74" t="s">
        <v>3</v>
      </c>
      <c r="G1796" s="153">
        <f>0.2*0.17*2*8*1.103</f>
        <v>0.60003200000000001</v>
      </c>
      <c r="H1796" s="538"/>
      <c r="K1796" s="73"/>
      <c r="L1796" s="73"/>
    </row>
    <row r="1797" spans="3:12" x14ac:dyDescent="0.25">
      <c r="C1797" s="75" t="s">
        <v>6114</v>
      </c>
      <c r="D1797" s="73"/>
      <c r="E1797" s="73"/>
      <c r="F1797" s="74"/>
      <c r="G1797" s="153"/>
      <c r="H1797" s="538"/>
      <c r="K1797" s="73"/>
      <c r="L1797" s="73"/>
    </row>
    <row r="1798" spans="3:12" x14ac:dyDescent="0.25">
      <c r="C1798" s="100" t="s">
        <v>37</v>
      </c>
      <c r="D1798" s="73"/>
      <c r="E1798" s="73"/>
      <c r="F1798" s="74" t="s">
        <v>3</v>
      </c>
      <c r="G1798" s="153">
        <f>(0.22*0.035+0.14*0.035)*0.2*2</f>
        <v>5.0400000000000011E-3</v>
      </c>
      <c r="H1798" s="538"/>
      <c r="K1798" s="73"/>
      <c r="L1798" s="73"/>
    </row>
    <row r="1799" spans="3:12" x14ac:dyDescent="0.25">
      <c r="C1799" s="75"/>
      <c r="D1799" s="75" t="s">
        <v>6115</v>
      </c>
      <c r="E1799" s="73"/>
      <c r="F1799" s="74"/>
      <c r="G1799" s="153"/>
      <c r="H1799" s="538"/>
      <c r="K1799" s="73"/>
      <c r="L1799" s="73"/>
    </row>
    <row r="1800" spans="3:12" x14ac:dyDescent="0.25">
      <c r="C1800" s="75"/>
      <c r="D1800" s="73" t="s">
        <v>6109</v>
      </c>
      <c r="E1800" s="73"/>
      <c r="F1800" s="74" t="s">
        <v>3</v>
      </c>
      <c r="G1800" s="153">
        <f>0.225*0.17*2*8*1.1</f>
        <v>0.67320000000000013</v>
      </c>
      <c r="H1800" s="538"/>
      <c r="K1800" s="73"/>
      <c r="L1800" s="73"/>
    </row>
    <row r="1801" spans="3:12" x14ac:dyDescent="0.25">
      <c r="C1801" s="75"/>
      <c r="D1801" s="100" t="s">
        <v>8</v>
      </c>
      <c r="E1801" s="73"/>
      <c r="F1801" s="74" t="s">
        <v>3</v>
      </c>
      <c r="G1801" s="153">
        <v>0.02</v>
      </c>
      <c r="H1801" s="538"/>
      <c r="K1801" s="73"/>
      <c r="L1801" s="73"/>
    </row>
    <row r="1802" spans="3:12" x14ac:dyDescent="0.25">
      <c r="C1802" s="73"/>
      <c r="D1802" s="100" t="s">
        <v>12</v>
      </c>
      <c r="E1802" s="73"/>
      <c r="F1802" s="74" t="s">
        <v>3</v>
      </c>
      <c r="G1802" s="153">
        <f>0.3*G1801</f>
        <v>6.0000000000000001E-3</v>
      </c>
      <c r="H1802" s="538"/>
      <c r="K1802" s="73"/>
      <c r="L1802" s="73"/>
    </row>
    <row r="1803" spans="3:12" x14ac:dyDescent="0.25">
      <c r="C1803" s="73"/>
      <c r="D1803" s="100" t="s">
        <v>6107</v>
      </c>
      <c r="E1803" s="73"/>
      <c r="F1803" s="74" t="s">
        <v>3</v>
      </c>
      <c r="G1803" s="153">
        <f>0.225*0.17*2*0.15*2*1.1</f>
        <v>2.5245000000000004E-2</v>
      </c>
      <c r="H1803" s="538"/>
      <c r="K1803" s="73"/>
      <c r="L1803" s="73"/>
    </row>
    <row r="1804" spans="3:12" x14ac:dyDescent="0.25">
      <c r="C1804" s="73"/>
      <c r="D1804" s="100" t="s">
        <v>313</v>
      </c>
      <c r="E1804" s="73"/>
      <c r="F1804" s="74" t="s">
        <v>3</v>
      </c>
      <c r="G1804" s="153">
        <f>0.3*G1803</f>
        <v>7.5735000000000004E-3</v>
      </c>
      <c r="H1804" s="538"/>
      <c r="K1804" s="73"/>
      <c r="L1804" s="73"/>
    </row>
    <row r="1805" spans="3:12" x14ac:dyDescent="0.25">
      <c r="C1805" s="75" t="s">
        <v>6116</v>
      </c>
      <c r="D1805" s="73"/>
      <c r="E1805" s="73"/>
      <c r="F1805" s="74"/>
      <c r="G1805" s="153"/>
      <c r="H1805" s="538"/>
      <c r="K1805" s="73"/>
      <c r="L1805" s="73"/>
    </row>
    <row r="1806" spans="3:12" x14ac:dyDescent="0.25">
      <c r="C1806" s="73" t="s">
        <v>6117</v>
      </c>
      <c r="D1806" s="73"/>
      <c r="E1806" s="73"/>
      <c r="F1806" s="74" t="s">
        <v>3</v>
      </c>
      <c r="G1806" s="153">
        <f>0.15*0.01*3*8*1.1</f>
        <v>3.960000000000001E-2</v>
      </c>
      <c r="H1806" s="538"/>
      <c r="K1806" s="73"/>
      <c r="L1806" s="73"/>
    </row>
    <row r="1807" spans="3:12" x14ac:dyDescent="0.25">
      <c r="C1807" s="75" t="s">
        <v>6118</v>
      </c>
      <c r="D1807" s="73"/>
      <c r="E1807" s="73"/>
      <c r="F1807" s="74"/>
      <c r="G1807" s="153"/>
      <c r="H1807" s="538"/>
      <c r="K1807" s="73"/>
      <c r="L1807" s="73"/>
    </row>
    <row r="1808" spans="3:12" x14ac:dyDescent="0.25">
      <c r="C1808" s="73" t="s">
        <v>6117</v>
      </c>
      <c r="D1808" s="73"/>
      <c r="E1808" s="73"/>
      <c r="F1808" s="74" t="s">
        <v>3</v>
      </c>
      <c r="G1808" s="153">
        <f>0.085*0.01*3*8*1.1</f>
        <v>2.2440000000000005E-2</v>
      </c>
      <c r="H1808" s="538"/>
      <c r="K1808" s="73"/>
      <c r="L1808" s="73"/>
    </row>
    <row r="1809" spans="3:12" x14ac:dyDescent="0.25">
      <c r="C1809" s="75" t="s">
        <v>6119</v>
      </c>
      <c r="D1809" s="73"/>
      <c r="E1809" s="73"/>
      <c r="F1809" s="74"/>
      <c r="G1809" s="153"/>
      <c r="H1809" s="538"/>
      <c r="K1809" s="73"/>
      <c r="L1809" s="73"/>
    </row>
    <row r="1810" spans="3:12" x14ac:dyDescent="0.25">
      <c r="C1810" s="73" t="s">
        <v>6120</v>
      </c>
      <c r="D1810" s="73"/>
      <c r="E1810" s="73"/>
      <c r="F1810" s="74" t="s">
        <v>3</v>
      </c>
      <c r="G1810" s="153">
        <f>0.065*0.012*0.8*8*1.15</f>
        <v>5.7408000000000008E-3</v>
      </c>
      <c r="H1810" s="538"/>
      <c r="K1810" s="73"/>
      <c r="L1810" s="73"/>
    </row>
    <row r="1811" spans="3:12" x14ac:dyDescent="0.25">
      <c r="C1811" s="75" t="s">
        <v>6121</v>
      </c>
      <c r="D1811" s="73"/>
      <c r="E1811" s="73"/>
      <c r="F1811" s="74"/>
      <c r="G1811" s="153"/>
      <c r="H1811" s="538"/>
      <c r="K1811" s="73"/>
      <c r="L1811" s="73"/>
    </row>
    <row r="1812" spans="3:12" x14ac:dyDescent="0.25">
      <c r="C1812" s="73" t="s">
        <v>6122</v>
      </c>
      <c r="D1812" s="73"/>
      <c r="E1812" s="73"/>
      <c r="F1812" s="74" t="s">
        <v>3</v>
      </c>
      <c r="G1812" s="153">
        <f>0.06*0.012*0.5*8*1.15</f>
        <v>3.3119999999999994E-3</v>
      </c>
      <c r="H1812" s="538"/>
      <c r="K1812" s="73"/>
      <c r="L1812" s="73"/>
    </row>
    <row r="1813" spans="3:12" x14ac:dyDescent="0.25">
      <c r="C1813" s="75" t="s">
        <v>6123</v>
      </c>
      <c r="D1813" s="73"/>
      <c r="E1813" s="73"/>
      <c r="F1813" s="74"/>
      <c r="G1813" s="153"/>
      <c r="H1813" s="538"/>
      <c r="K1813" s="73"/>
      <c r="L1813" s="73"/>
    </row>
    <row r="1814" spans="3:12" x14ac:dyDescent="0.25">
      <c r="C1814" s="100" t="s">
        <v>6124</v>
      </c>
      <c r="D1814" s="73"/>
      <c r="E1814" s="73"/>
      <c r="F1814" s="74" t="s">
        <v>3</v>
      </c>
      <c r="G1814" s="153">
        <f>0.055*0.025*0.2*9*1.1</f>
        <v>2.7225000000000005E-3</v>
      </c>
      <c r="H1814" s="538"/>
      <c r="K1814" s="73"/>
      <c r="L1814" s="73"/>
    </row>
    <row r="1815" spans="3:12" x14ac:dyDescent="0.25">
      <c r="C1815" s="75" t="s">
        <v>6125</v>
      </c>
      <c r="D1815" s="73"/>
      <c r="E1815" s="73"/>
      <c r="F1815" s="74"/>
      <c r="G1815" s="153"/>
      <c r="H1815" s="538"/>
      <c r="K1815" s="73"/>
      <c r="L1815" s="73"/>
    </row>
    <row r="1816" spans="3:12" x14ac:dyDescent="0.25">
      <c r="C1816" s="73" t="s">
        <v>6126</v>
      </c>
      <c r="D1816" s="73"/>
      <c r="E1816" s="73"/>
      <c r="F1816" s="74" t="s">
        <v>3</v>
      </c>
      <c r="G1816" s="153">
        <f>0.012*0.012*4*8*1.2</f>
        <v>5.5296E-3</v>
      </c>
      <c r="H1816" s="538"/>
      <c r="K1816" s="73"/>
      <c r="L1816" s="73"/>
    </row>
    <row r="1817" spans="3:12" x14ac:dyDescent="0.25">
      <c r="C1817" s="75"/>
      <c r="D1817" s="73"/>
      <c r="E1817" s="73"/>
      <c r="F1817" s="74"/>
      <c r="G1817" s="153"/>
      <c r="H1817" s="538"/>
      <c r="K1817" s="73"/>
      <c r="L1817" s="73"/>
    </row>
    <row r="1818" spans="3:12" ht="18.75" x14ac:dyDescent="0.3">
      <c r="C1818" s="73"/>
      <c r="D1818" s="73"/>
      <c r="E1818" s="188" t="s">
        <v>6127</v>
      </c>
      <c r="F1818" s="74"/>
      <c r="G1818" s="153"/>
      <c r="H1818" s="538"/>
      <c r="K1818" s="73"/>
      <c r="L1818" s="73"/>
    </row>
    <row r="1819" spans="3:12" x14ac:dyDescent="0.25">
      <c r="C1819" s="73"/>
      <c r="D1819" s="73"/>
      <c r="E1819" s="73"/>
      <c r="F1819" s="74"/>
      <c r="G1819" s="153"/>
      <c r="H1819" s="538"/>
      <c r="K1819" s="73"/>
      <c r="L1819" s="73"/>
    </row>
    <row r="1820" spans="3:12" x14ac:dyDescent="0.25">
      <c r="C1820" s="75" t="s">
        <v>993</v>
      </c>
      <c r="D1820" s="73"/>
      <c r="E1820" s="73"/>
      <c r="F1820" s="74"/>
      <c r="G1820" s="153"/>
      <c r="H1820" s="538"/>
      <c r="K1820" s="73"/>
      <c r="L1820" s="73"/>
    </row>
    <row r="1821" spans="3:12" x14ac:dyDescent="0.25">
      <c r="C1821" s="73"/>
      <c r="D1821" s="73" t="s">
        <v>984</v>
      </c>
      <c r="E1821" s="73"/>
      <c r="F1821" s="74" t="s">
        <v>3</v>
      </c>
      <c r="G1821" s="153">
        <f>0.022*0.022*1*8*1</f>
        <v>3.8719999999999996E-3</v>
      </c>
      <c r="H1821" s="538"/>
      <c r="K1821" s="73"/>
      <c r="L1821" s="73"/>
    </row>
    <row r="1822" spans="3:12" x14ac:dyDescent="0.25">
      <c r="C1822" s="73"/>
      <c r="D1822" s="73"/>
      <c r="E1822" s="73"/>
      <c r="F1822" s="74"/>
      <c r="G1822" s="153"/>
      <c r="H1822" s="538"/>
      <c r="K1822" s="73"/>
      <c r="L1822" s="73"/>
    </row>
    <row r="1823" spans="3:12" ht="18.75" x14ac:dyDescent="0.3">
      <c r="C1823" s="73"/>
      <c r="D1823" s="73"/>
      <c r="E1823" s="188" t="s">
        <v>6128</v>
      </c>
      <c r="F1823" s="74"/>
      <c r="G1823" s="153"/>
      <c r="H1823" s="538"/>
      <c r="K1823" s="73"/>
      <c r="L1823" s="73"/>
    </row>
    <row r="1824" spans="3:12" x14ac:dyDescent="0.25">
      <c r="C1824" s="73"/>
      <c r="D1824" s="73"/>
      <c r="E1824" s="73"/>
      <c r="F1824" s="74"/>
      <c r="G1824" s="153"/>
      <c r="H1824" s="538"/>
      <c r="K1824" s="73"/>
      <c r="L1824" s="73"/>
    </row>
    <row r="1825" spans="1:12" x14ac:dyDescent="0.25">
      <c r="C1825" s="75" t="s">
        <v>6129</v>
      </c>
      <c r="D1825" s="73"/>
      <c r="E1825" s="73"/>
      <c r="F1825" s="74"/>
      <c r="G1825" s="153"/>
      <c r="H1825" s="538"/>
      <c r="K1825" s="73"/>
      <c r="L1825" s="73"/>
    </row>
    <row r="1826" spans="1:12" x14ac:dyDescent="0.25">
      <c r="C1826" s="73" t="s">
        <v>6130</v>
      </c>
      <c r="D1826" s="73"/>
      <c r="E1826" s="73"/>
      <c r="F1826" s="74" t="s">
        <v>3</v>
      </c>
      <c r="G1826" s="153">
        <f>0.15*0.155*2.5*2.7*1.115</f>
        <v>0.17498531250000002</v>
      </c>
      <c r="H1826" s="538"/>
      <c r="K1826" s="73"/>
      <c r="L1826" s="73"/>
    </row>
    <row r="1827" spans="1:12" x14ac:dyDescent="0.25">
      <c r="C1827" s="100" t="s">
        <v>6131</v>
      </c>
      <c r="D1827" s="73"/>
      <c r="E1827" s="73"/>
      <c r="F1827" s="74" t="s">
        <v>3</v>
      </c>
      <c r="G1827" s="153">
        <f>0.15*0.155*0.15*2*1.39</f>
        <v>9.695249999999999E-3</v>
      </c>
      <c r="H1827" s="538"/>
      <c r="K1827" s="73"/>
      <c r="L1827" s="73"/>
    </row>
    <row r="1828" spans="1:12" x14ac:dyDescent="0.25">
      <c r="C1828" s="100" t="s">
        <v>12</v>
      </c>
      <c r="D1828" s="73"/>
      <c r="E1828" s="73"/>
      <c r="F1828" s="74" t="s">
        <v>3</v>
      </c>
      <c r="G1828" s="153">
        <f>0.3*G1827</f>
        <v>2.9085749999999996E-3</v>
      </c>
      <c r="H1828" s="538"/>
      <c r="K1828" s="73"/>
      <c r="L1828" s="73"/>
    </row>
    <row r="1829" spans="1:12" x14ac:dyDescent="0.25">
      <c r="C1829" s="100" t="s">
        <v>6107</v>
      </c>
      <c r="D1829" s="73"/>
      <c r="E1829" s="73"/>
      <c r="F1829" s="74" t="s">
        <v>3</v>
      </c>
      <c r="G1829" s="153">
        <f>0.15*0.155*0.15*2*1.39</f>
        <v>9.695249999999999E-3</v>
      </c>
      <c r="H1829" s="538"/>
      <c r="K1829" s="73"/>
      <c r="L1829" s="73"/>
    </row>
    <row r="1830" spans="1:12" x14ac:dyDescent="0.25">
      <c r="C1830" s="100" t="s">
        <v>313</v>
      </c>
      <c r="D1830" s="73"/>
      <c r="E1830" s="73"/>
      <c r="F1830" s="74" t="s">
        <v>3</v>
      </c>
      <c r="G1830" s="153">
        <f>0.3*G1829</f>
        <v>2.9085749999999996E-3</v>
      </c>
      <c r="H1830" s="538"/>
      <c r="K1830" s="73"/>
      <c r="L1830" s="73"/>
    </row>
    <row r="1831" spans="1:12" x14ac:dyDescent="0.25">
      <c r="C1831" s="75" t="s">
        <v>6132</v>
      </c>
      <c r="D1831" s="73"/>
      <c r="E1831" s="73"/>
      <c r="F1831" s="74"/>
      <c r="G1831" s="153"/>
      <c r="H1831" s="538"/>
      <c r="K1831" s="73"/>
      <c r="L1831" s="73"/>
    </row>
    <row r="1832" spans="1:12" x14ac:dyDescent="0.25">
      <c r="C1832" s="100" t="s">
        <v>6133</v>
      </c>
      <c r="D1832" s="73"/>
      <c r="E1832" s="73"/>
      <c r="F1832" s="74" t="s">
        <v>3</v>
      </c>
      <c r="G1832" s="153">
        <f>0.02*0.02*0.6*1.5*1.3</f>
        <v>4.6800000000000005E-4</v>
      </c>
      <c r="H1832" s="538"/>
      <c r="K1832" s="73"/>
      <c r="L1832" s="73"/>
    </row>
    <row r="1833" spans="1:12" x14ac:dyDescent="0.25">
      <c r="C1833" s="75" t="s">
        <v>6134</v>
      </c>
      <c r="D1833" s="73"/>
      <c r="E1833" s="73"/>
      <c r="F1833" s="74"/>
      <c r="G1833" s="153"/>
      <c r="H1833" s="538"/>
      <c r="K1833" s="73"/>
      <c r="L1833" s="73"/>
    </row>
    <row r="1834" spans="1:12" x14ac:dyDescent="0.25">
      <c r="C1834" s="73" t="s">
        <v>6135</v>
      </c>
      <c r="D1834" s="73"/>
      <c r="E1834" s="73"/>
      <c r="F1834" s="74" t="s">
        <v>3</v>
      </c>
      <c r="G1834" s="153">
        <f>0.075*0.117*2.5*8*1.1</f>
        <v>0.19305</v>
      </c>
      <c r="H1834" s="538"/>
      <c r="K1834" s="73"/>
      <c r="L1834" s="73"/>
    </row>
    <row r="1835" spans="1:12" x14ac:dyDescent="0.25">
      <c r="C1835" s="75" t="s">
        <v>6136</v>
      </c>
      <c r="D1835" s="73"/>
      <c r="E1835" s="73"/>
      <c r="F1835" s="74"/>
      <c r="G1835" s="153"/>
      <c r="H1835" s="538"/>
      <c r="K1835" s="73"/>
      <c r="L1835" s="73"/>
    </row>
    <row r="1836" spans="1:12" x14ac:dyDescent="0.25">
      <c r="C1836" s="73" t="s">
        <v>3210</v>
      </c>
      <c r="D1836" s="73"/>
      <c r="E1836" s="73"/>
      <c r="F1836" s="74" t="s">
        <v>3</v>
      </c>
      <c r="G1836" s="153">
        <f>0.013</f>
        <v>1.2999999999999999E-2</v>
      </c>
      <c r="H1836" s="538"/>
      <c r="K1836" s="73"/>
      <c r="L1836" s="73"/>
    </row>
    <row r="1837" spans="1:12" x14ac:dyDescent="0.25">
      <c r="A1837" s="584"/>
      <c r="B1837" s="539"/>
      <c r="C1837" s="539"/>
      <c r="D1837" s="539"/>
      <c r="E1837" s="539"/>
      <c r="F1837" s="539"/>
      <c r="G1837" s="799"/>
      <c r="H1837" s="586"/>
      <c r="I1837" s="153"/>
      <c r="J1837" s="73"/>
      <c r="K1837" s="73"/>
      <c r="L1837" s="73"/>
    </row>
    <row r="1838" spans="1:12" x14ac:dyDescent="0.25">
      <c r="F1838" s="77"/>
      <c r="H1838" s="741" t="s">
        <v>9577</v>
      </c>
    </row>
    <row r="1839" spans="1:12" x14ac:dyDescent="0.25">
      <c r="F1839" s="77"/>
      <c r="H1839" s="590"/>
    </row>
    <row r="1840" spans="1:12" ht="17.25" x14ac:dyDescent="0.3">
      <c r="B1840" s="742" t="s">
        <v>9557</v>
      </c>
      <c r="F1840" s="77"/>
      <c r="H1840" s="590"/>
    </row>
    <row r="1841" spans="1:8" x14ac:dyDescent="0.25">
      <c r="F1841" s="77"/>
      <c r="H1841" s="590"/>
    </row>
    <row r="1842" spans="1:8" x14ac:dyDescent="0.25">
      <c r="C1842" s="617" t="s">
        <v>1021</v>
      </c>
      <c r="D1842" s="614"/>
      <c r="E1842" s="614"/>
      <c r="F1842" s="613" t="s">
        <v>3</v>
      </c>
      <c r="G1842" s="612">
        <f>G1846</f>
        <v>1.2</v>
      </c>
      <c r="H1842" s="590"/>
    </row>
    <row r="1843" spans="1:8" x14ac:dyDescent="0.25">
      <c r="C1843" s="617" t="s">
        <v>661</v>
      </c>
      <c r="D1843" s="614"/>
      <c r="E1843" s="614"/>
      <c r="F1843" s="613" t="s">
        <v>3</v>
      </c>
      <c r="G1843" s="612">
        <f>G1842*0.4</f>
        <v>0.48</v>
      </c>
      <c r="H1843" s="590"/>
    </row>
    <row r="1844" spans="1:8" x14ac:dyDescent="0.25">
      <c r="C1844" s="617" t="s">
        <v>1993</v>
      </c>
      <c r="D1844" s="614"/>
      <c r="E1844" s="614"/>
      <c r="F1844" s="613" t="s">
        <v>3</v>
      </c>
      <c r="G1844" s="612">
        <f>G1843*0.5</f>
        <v>0.24</v>
      </c>
      <c r="H1844" s="590"/>
    </row>
    <row r="1845" spans="1:8" x14ac:dyDescent="0.25">
      <c r="C1845" s="617" t="s">
        <v>9558</v>
      </c>
      <c r="F1845" s="613" t="s">
        <v>3</v>
      </c>
      <c r="G1845" s="153">
        <v>2</v>
      </c>
      <c r="H1845" s="590"/>
    </row>
    <row r="1846" spans="1:8" x14ac:dyDescent="0.25">
      <c r="C1846" s="617" t="s">
        <v>8</v>
      </c>
      <c r="F1846" s="613" t="s">
        <v>3</v>
      </c>
      <c r="G1846" s="153">
        <f>G1845*0.6</f>
        <v>1.2</v>
      </c>
      <c r="H1846" s="590"/>
    </row>
    <row r="1847" spans="1:8" x14ac:dyDescent="0.25">
      <c r="C1847" s="617" t="s">
        <v>12</v>
      </c>
      <c r="F1847" s="613" t="s">
        <v>3</v>
      </c>
      <c r="G1847" s="153">
        <f>0.3*(G1846+G1845)</f>
        <v>0.96</v>
      </c>
      <c r="H1847" s="590"/>
    </row>
    <row r="1848" spans="1:8" x14ac:dyDescent="0.25">
      <c r="C1848" s="617" t="s">
        <v>6576</v>
      </c>
      <c r="F1848" s="613" t="s">
        <v>3</v>
      </c>
      <c r="G1848" s="153">
        <v>1</v>
      </c>
      <c r="H1848" s="590"/>
    </row>
    <row r="1849" spans="1:8" x14ac:dyDescent="0.25">
      <c r="G1849" s="153"/>
      <c r="H1849" s="590"/>
    </row>
    <row r="1850" spans="1:8" x14ac:dyDescent="0.25">
      <c r="A1850" s="584"/>
      <c r="B1850" s="539"/>
      <c r="C1850" s="591"/>
      <c r="D1850" s="591"/>
      <c r="E1850" s="591"/>
      <c r="F1850" s="592"/>
      <c r="G1850" s="600"/>
      <c r="H1850" s="593"/>
    </row>
    <row r="1851" spans="1:8" x14ac:dyDescent="0.25">
      <c r="G1851" s="153"/>
      <c r="H1851" s="741" t="s">
        <v>9607</v>
      </c>
    </row>
    <row r="1852" spans="1:8" x14ac:dyDescent="0.25">
      <c r="E1852" s="77" t="s">
        <v>9613</v>
      </c>
      <c r="G1852" s="153"/>
      <c r="H1852" s="590"/>
    </row>
    <row r="1853" spans="1:8" x14ac:dyDescent="0.25">
      <c r="G1853" s="183" t="s">
        <v>9612</v>
      </c>
      <c r="H1853" s="590"/>
    </row>
    <row r="1854" spans="1:8" x14ac:dyDescent="0.25">
      <c r="G1854" s="153"/>
      <c r="H1854" s="590"/>
    </row>
    <row r="1855" spans="1:8" x14ac:dyDescent="0.25">
      <c r="C1855" s="78" t="s">
        <v>9609</v>
      </c>
      <c r="G1855" s="153"/>
      <c r="H1855" s="590"/>
    </row>
    <row r="1856" spans="1:8" x14ac:dyDescent="0.25">
      <c r="C1856" s="77" t="s">
        <v>9611</v>
      </c>
      <c r="F1856" s="152" t="s">
        <v>3</v>
      </c>
      <c r="G1856" s="153">
        <f>0.1*0.07*2*2*1.08</f>
        <v>3.0240000000000006E-2</v>
      </c>
      <c r="H1856" s="590"/>
    </row>
    <row r="1857" spans="1:8" x14ac:dyDescent="0.25">
      <c r="G1857" s="153"/>
      <c r="H1857" s="590"/>
    </row>
    <row r="1858" spans="1:8" x14ac:dyDescent="0.25">
      <c r="C1858" s="78" t="s">
        <v>9610</v>
      </c>
      <c r="H1858" s="590"/>
    </row>
    <row r="1859" spans="1:8" x14ac:dyDescent="0.25">
      <c r="C1859" s="77" t="s">
        <v>9611</v>
      </c>
      <c r="F1859" s="152" t="s">
        <v>3</v>
      </c>
      <c r="G1859" s="153">
        <f>0.065*0.04*2*2*1.12</f>
        <v>1.1648000000000002E-2</v>
      </c>
      <c r="H1859" s="590"/>
    </row>
    <row r="1860" spans="1:8" x14ac:dyDescent="0.25">
      <c r="A1860" s="584"/>
      <c r="B1860" s="539"/>
      <c r="C1860" s="591"/>
      <c r="D1860" s="591"/>
      <c r="E1860" s="591"/>
      <c r="F1860" s="592"/>
      <c r="G1860" s="600"/>
      <c r="H1860" s="593"/>
    </row>
    <row r="1861" spans="1:8" x14ac:dyDescent="0.25">
      <c r="G1861" s="153"/>
      <c r="H1861" s="741" t="s">
        <v>9740</v>
      </c>
    </row>
    <row r="1862" spans="1:8" ht="18.75" x14ac:dyDescent="0.3">
      <c r="E1862" s="740" t="s">
        <v>9724</v>
      </c>
      <c r="G1862" s="153"/>
      <c r="H1862" s="590"/>
    </row>
    <row r="1863" spans="1:8" x14ac:dyDescent="0.25">
      <c r="G1863" s="153"/>
      <c r="H1863" s="590"/>
    </row>
    <row r="1864" spans="1:8" x14ac:dyDescent="0.25">
      <c r="G1864" s="153"/>
      <c r="H1864" s="590"/>
    </row>
    <row r="1865" spans="1:8" x14ac:dyDescent="0.25">
      <c r="C1865" s="78" t="s">
        <v>9725</v>
      </c>
      <c r="G1865" s="153"/>
      <c r="H1865" s="590"/>
    </row>
    <row r="1866" spans="1:8" x14ac:dyDescent="0.25">
      <c r="C1866" s="186" t="s">
        <v>3470</v>
      </c>
      <c r="D1866" s="75"/>
      <c r="E1866" s="73"/>
      <c r="F1866" s="74" t="s">
        <v>3</v>
      </c>
      <c r="G1866" s="153">
        <f>0.03*3.14*0.05*1.1</f>
        <v>5.1810000000000007E-3</v>
      </c>
      <c r="H1866" s="590"/>
    </row>
    <row r="1867" spans="1:8" x14ac:dyDescent="0.25">
      <c r="C1867" s="186" t="s">
        <v>672</v>
      </c>
      <c r="D1867" s="75"/>
      <c r="E1867" s="73"/>
      <c r="F1867" s="74" t="s">
        <v>3</v>
      </c>
      <c r="G1867" s="153">
        <f>G1866*2</f>
        <v>1.0362000000000001E-2</v>
      </c>
      <c r="H1867" s="590"/>
    </row>
    <row r="1868" spans="1:8" x14ac:dyDescent="0.25">
      <c r="D1868" s="78" t="s">
        <v>9726</v>
      </c>
      <c r="G1868" s="153"/>
      <c r="H1868" s="590"/>
    </row>
    <row r="1869" spans="1:8" x14ac:dyDescent="0.25">
      <c r="D1869" s="77" t="s">
        <v>9727</v>
      </c>
      <c r="F1869" s="152" t="s">
        <v>207</v>
      </c>
      <c r="G1869" s="153">
        <f>0.03*0.03</f>
        <v>8.9999999999999998E-4</v>
      </c>
      <c r="H1869" s="590"/>
    </row>
    <row r="1870" spans="1:8" x14ac:dyDescent="0.25">
      <c r="G1870" s="153"/>
      <c r="H1870" s="590"/>
    </row>
    <row r="1871" spans="1:8" x14ac:dyDescent="0.25">
      <c r="C1871" s="78" t="s">
        <v>9728</v>
      </c>
      <c r="G1871" s="153"/>
      <c r="H1871" s="590"/>
    </row>
    <row r="1872" spans="1:8" x14ac:dyDescent="0.25">
      <c r="C1872" s="77" t="s">
        <v>9729</v>
      </c>
      <c r="F1872" s="152" t="s">
        <v>3</v>
      </c>
      <c r="G1872" s="153">
        <f>0.02*0.02*1.5*8*1</f>
        <v>4.8000000000000004E-3</v>
      </c>
      <c r="H1872" s="590"/>
    </row>
    <row r="1873" spans="3:9" x14ac:dyDescent="0.25">
      <c r="G1873" s="153"/>
      <c r="H1873" s="590"/>
    </row>
    <row r="1874" spans="3:9" x14ac:dyDescent="0.25">
      <c r="C1874" s="78" t="s">
        <v>9730</v>
      </c>
      <c r="G1874" s="153"/>
      <c r="H1874" s="590"/>
    </row>
    <row r="1875" spans="3:9" x14ac:dyDescent="0.25">
      <c r="C1875" s="100" t="s">
        <v>140</v>
      </c>
      <c r="D1875" s="73"/>
      <c r="E1875" s="73"/>
      <c r="F1875" s="74" t="s">
        <v>3</v>
      </c>
      <c r="G1875" s="153">
        <f>0.006*3.14*2*0.08*1.2</f>
        <v>3.6172800000000005E-3</v>
      </c>
      <c r="H1875" s="590"/>
    </row>
    <row r="1876" spans="3:9" ht="17.25" x14ac:dyDescent="0.25">
      <c r="C1876" s="100" t="s">
        <v>23</v>
      </c>
      <c r="D1876" s="73"/>
      <c r="E1876" s="73"/>
      <c r="F1876" s="74" t="s">
        <v>596</v>
      </c>
      <c r="G1876" s="153">
        <f>G1875*2</f>
        <v>7.234560000000001E-3</v>
      </c>
      <c r="H1876" s="590"/>
    </row>
    <row r="1877" spans="3:9" x14ac:dyDescent="0.25">
      <c r="C1877" s="100" t="s">
        <v>142</v>
      </c>
      <c r="D1877" s="73"/>
      <c r="E1877" s="73"/>
      <c r="F1877" s="74" t="s">
        <v>3</v>
      </c>
      <c r="G1877" s="153">
        <f>G1875/4</f>
        <v>9.0432000000000012E-4</v>
      </c>
      <c r="H1877" s="590"/>
    </row>
    <row r="1878" spans="3:9" x14ac:dyDescent="0.25">
      <c r="C1878" s="186" t="s">
        <v>3797</v>
      </c>
      <c r="F1878" s="152" t="s">
        <v>3</v>
      </c>
      <c r="G1878" s="153">
        <f>G1879</f>
        <v>4.0655999999999999E-3</v>
      </c>
      <c r="H1878" s="590"/>
    </row>
    <row r="1879" spans="3:9" x14ac:dyDescent="0.25">
      <c r="C1879" s="186" t="s">
        <v>8</v>
      </c>
      <c r="F1879" s="152" t="s">
        <v>3</v>
      </c>
      <c r="G1879" s="153">
        <f>G1880*0.7</f>
        <v>4.0655999999999999E-3</v>
      </c>
      <c r="H1879" s="590"/>
    </row>
    <row r="1880" spans="3:9" x14ac:dyDescent="0.25">
      <c r="C1880" s="186" t="s">
        <v>5794</v>
      </c>
      <c r="F1880" s="152" t="s">
        <v>3</v>
      </c>
      <c r="G1880" s="153">
        <f>0.22*0.011*2*1.2</f>
        <v>5.8079999999999998E-3</v>
      </c>
      <c r="H1880" s="590"/>
    </row>
    <row r="1881" spans="3:9" x14ac:dyDescent="0.25">
      <c r="C1881" s="186" t="s">
        <v>12</v>
      </c>
      <c r="F1881" s="152" t="s">
        <v>3</v>
      </c>
      <c r="G1881" s="153">
        <f>0.3*(G1880+G1879+G1878)</f>
        <v>4.1817599999999996E-3</v>
      </c>
      <c r="H1881" s="590"/>
    </row>
    <row r="1882" spans="3:9" x14ac:dyDescent="0.25">
      <c r="D1882" s="78" t="s">
        <v>9731</v>
      </c>
      <c r="G1882" s="153"/>
      <c r="H1882" s="590"/>
    </row>
    <row r="1883" spans="3:9" x14ac:dyDescent="0.25">
      <c r="D1883" s="77" t="s">
        <v>3712</v>
      </c>
      <c r="F1883" s="152" t="s">
        <v>3</v>
      </c>
      <c r="G1883" s="153">
        <f>0.123*0.25</f>
        <v>3.075E-2</v>
      </c>
      <c r="H1883" s="590"/>
      <c r="I1883" s="563" t="s">
        <v>1210</v>
      </c>
    </row>
    <row r="1884" spans="3:9" x14ac:dyDescent="0.25">
      <c r="G1884" s="153"/>
      <c r="H1884" s="590"/>
    </row>
    <row r="1885" spans="3:9" x14ac:dyDescent="0.25">
      <c r="C1885" s="78" t="s">
        <v>9732</v>
      </c>
      <c r="G1885" s="153"/>
      <c r="H1885" s="590"/>
    </row>
    <row r="1886" spans="3:9" x14ac:dyDescent="0.25">
      <c r="C1886" s="77" t="s">
        <v>9733</v>
      </c>
      <c r="F1886" s="152" t="s">
        <v>3</v>
      </c>
      <c r="G1886" s="153">
        <f>0.07*0.07*5*8*1.12</f>
        <v>0.21952000000000005</v>
      </c>
      <c r="H1886" s="590"/>
    </row>
    <row r="1887" spans="3:9" x14ac:dyDescent="0.25">
      <c r="G1887" s="153"/>
      <c r="H1887" s="590"/>
    </row>
    <row r="1888" spans="3:9" x14ac:dyDescent="0.25">
      <c r="C1888" s="78" t="s">
        <v>9734</v>
      </c>
      <c r="G1888" s="153"/>
      <c r="H1888" s="590"/>
    </row>
    <row r="1889" spans="1:8" x14ac:dyDescent="0.25">
      <c r="C1889" s="77" t="s">
        <v>9735</v>
      </c>
      <c r="F1889" s="152" t="s">
        <v>3</v>
      </c>
      <c r="G1889" s="153">
        <f>0.03*0.03*4*8*1.05</f>
        <v>3.024E-2</v>
      </c>
      <c r="H1889" s="590"/>
    </row>
    <row r="1890" spans="1:8" x14ac:dyDescent="0.25">
      <c r="G1890" s="153"/>
      <c r="H1890" s="590"/>
    </row>
    <row r="1891" spans="1:8" x14ac:dyDescent="0.25">
      <c r="C1891" s="78" t="s">
        <v>9736</v>
      </c>
      <c r="G1891" s="153"/>
      <c r="H1891" s="590"/>
    </row>
    <row r="1892" spans="1:8" x14ac:dyDescent="0.25">
      <c r="C1892" s="77" t="s">
        <v>9737</v>
      </c>
      <c r="F1892" s="152" t="s">
        <v>3</v>
      </c>
      <c r="G1892" s="153">
        <v>1.4999999999999999E-2</v>
      </c>
      <c r="H1892" s="590"/>
    </row>
    <row r="1893" spans="1:8" x14ac:dyDescent="0.25">
      <c r="G1893" s="153"/>
      <c r="H1893" s="590"/>
    </row>
    <row r="1894" spans="1:8" x14ac:dyDescent="0.25">
      <c r="G1894" s="153"/>
      <c r="H1894" s="590"/>
    </row>
    <row r="1895" spans="1:8" ht="18.75" x14ac:dyDescent="0.3">
      <c r="E1895" s="740" t="s">
        <v>9738</v>
      </c>
      <c r="G1895" s="153"/>
      <c r="H1895" s="590"/>
    </row>
    <row r="1896" spans="1:8" x14ac:dyDescent="0.25">
      <c r="G1896" s="153"/>
      <c r="H1896" s="590"/>
    </row>
    <row r="1897" spans="1:8" x14ac:dyDescent="0.25">
      <c r="G1897" s="153"/>
      <c r="H1897" s="590"/>
    </row>
    <row r="1898" spans="1:8" x14ac:dyDescent="0.25">
      <c r="C1898" s="78" t="s">
        <v>5858</v>
      </c>
      <c r="G1898" s="153"/>
      <c r="H1898" s="590"/>
    </row>
    <row r="1899" spans="1:8" x14ac:dyDescent="0.25">
      <c r="C1899" s="77" t="s">
        <v>9739</v>
      </c>
      <c r="F1899" s="152" t="s">
        <v>3</v>
      </c>
      <c r="G1899" s="153">
        <f>0.02*0.02*3*8</f>
        <v>9.6000000000000009E-3</v>
      </c>
      <c r="H1899" s="590"/>
    </row>
    <row r="1900" spans="1:8" x14ac:dyDescent="0.25">
      <c r="A1900" s="584"/>
      <c r="B1900" s="539"/>
      <c r="C1900" s="591"/>
      <c r="D1900" s="591"/>
      <c r="E1900" s="591"/>
      <c r="F1900" s="592"/>
      <c r="G1900" s="600"/>
      <c r="H1900" s="593"/>
    </row>
    <row r="1901" spans="1:8" x14ac:dyDescent="0.25">
      <c r="G1901" s="153"/>
      <c r="H1901" s="741" t="s">
        <v>10416</v>
      </c>
    </row>
    <row r="1902" spans="1:8" x14ac:dyDescent="0.25">
      <c r="G1902" s="153"/>
      <c r="H1902" s="590"/>
    </row>
    <row r="1903" spans="1:8" ht="18.75" x14ac:dyDescent="0.3">
      <c r="E1903" s="740" t="s">
        <v>10411</v>
      </c>
      <c r="G1903" s="153"/>
      <c r="H1903" s="590"/>
    </row>
    <row r="1904" spans="1:8" ht="18.75" x14ac:dyDescent="0.3">
      <c r="E1904" s="740"/>
      <c r="G1904" s="153"/>
      <c r="H1904" s="590"/>
    </row>
    <row r="1905" spans="1:8" x14ac:dyDescent="0.25">
      <c r="G1905" s="153"/>
      <c r="H1905" s="590"/>
    </row>
    <row r="1906" spans="1:8" x14ac:dyDescent="0.25">
      <c r="C1906" s="78" t="s">
        <v>10413</v>
      </c>
      <c r="G1906" s="153"/>
      <c r="H1906" s="590"/>
    </row>
    <row r="1907" spans="1:8" x14ac:dyDescent="0.25">
      <c r="C1907" s="77" t="s">
        <v>10414</v>
      </c>
      <c r="F1907" s="152" t="s">
        <v>3</v>
      </c>
      <c r="G1907" s="153">
        <v>5.0000000000000001E-3</v>
      </c>
      <c r="H1907" s="590"/>
    </row>
    <row r="1908" spans="1:8" x14ac:dyDescent="0.25">
      <c r="C1908" s="77" t="s">
        <v>8</v>
      </c>
      <c r="F1908" s="152" t="s">
        <v>3</v>
      </c>
      <c r="G1908" s="153">
        <f>G1909*0.6</f>
        <v>0.59971409999999992</v>
      </c>
      <c r="H1908" s="590"/>
    </row>
    <row r="1909" spans="1:8" x14ac:dyDescent="0.25">
      <c r="C1909" s="77" t="s">
        <v>649</v>
      </c>
      <c r="F1909" s="152" t="s">
        <v>3</v>
      </c>
      <c r="G1909" s="153">
        <f>(0.225*3.14)*4.3*0.15*2*1.1-0.003</f>
        <v>0.9995234999999999</v>
      </c>
      <c r="H1909" s="590"/>
    </row>
    <row r="1910" spans="1:8" x14ac:dyDescent="0.25">
      <c r="C1910" s="77" t="s">
        <v>12</v>
      </c>
      <c r="F1910" s="152" t="s">
        <v>3</v>
      </c>
      <c r="G1910" s="153">
        <f>0.3*(G1909+G1908)</f>
        <v>0.47977127999999997</v>
      </c>
      <c r="H1910" s="590"/>
    </row>
    <row r="1911" spans="1:8" x14ac:dyDescent="0.25">
      <c r="G1911" s="153"/>
      <c r="H1911" s="590"/>
    </row>
    <row r="1912" spans="1:8" x14ac:dyDescent="0.25">
      <c r="C1912" s="78" t="s">
        <v>10415</v>
      </c>
      <c r="F1912" s="152" t="s">
        <v>9948</v>
      </c>
      <c r="G1912" s="153"/>
      <c r="H1912" s="590"/>
    </row>
    <row r="1913" spans="1:8" x14ac:dyDescent="0.25">
      <c r="G1913" s="153"/>
      <c r="H1913" s="590"/>
    </row>
    <row r="1914" spans="1:8" x14ac:dyDescent="0.25">
      <c r="B1914" s="73" t="s">
        <v>2968</v>
      </c>
      <c r="C1914" s="78" t="s">
        <v>10412</v>
      </c>
      <c r="G1914" s="153"/>
      <c r="H1914" s="590"/>
    </row>
    <row r="1915" spans="1:8" x14ac:dyDescent="0.25">
      <c r="A1915" s="584"/>
      <c r="B1915" s="539"/>
      <c r="C1915" s="591"/>
      <c r="D1915" s="591"/>
      <c r="E1915" s="591"/>
      <c r="F1915" s="592"/>
      <c r="G1915" s="600"/>
      <c r="H1915" s="593"/>
    </row>
    <row r="1916" spans="1:8" x14ac:dyDescent="0.25">
      <c r="G1916" s="153"/>
      <c r="H1916" s="741" t="s">
        <v>10416</v>
      </c>
    </row>
    <row r="1917" spans="1:8" x14ac:dyDescent="0.25">
      <c r="G1917" s="153"/>
      <c r="H1917" s="590"/>
    </row>
    <row r="1918" spans="1:8" ht="18.75" x14ac:dyDescent="0.3">
      <c r="E1918" s="222" t="s">
        <v>10157</v>
      </c>
      <c r="H1918" s="590"/>
    </row>
    <row r="1919" spans="1:8" x14ac:dyDescent="0.25">
      <c r="H1919" s="590"/>
    </row>
    <row r="1920" spans="1:8" x14ac:dyDescent="0.25">
      <c r="C1920" s="78" t="s">
        <v>10158</v>
      </c>
      <c r="H1920" s="590"/>
    </row>
    <row r="1921" spans="3:12" x14ac:dyDescent="0.25">
      <c r="C1921" s="77" t="s">
        <v>39</v>
      </c>
      <c r="D1921" s="73"/>
      <c r="E1921" s="152"/>
      <c r="F1921" s="152" t="s">
        <v>3</v>
      </c>
      <c r="G1921" s="153">
        <f>0.16*0.08*1.2</f>
        <v>1.536E-2</v>
      </c>
      <c r="H1921" s="590"/>
    </row>
    <row r="1922" spans="3:12" ht="17.25" x14ac:dyDescent="0.25">
      <c r="C1922" s="77" t="s">
        <v>1055</v>
      </c>
      <c r="D1922" s="73"/>
      <c r="E1922" s="152"/>
      <c r="F1922" s="74" t="s">
        <v>596</v>
      </c>
      <c r="G1922" s="153">
        <f>1.1*G1921</f>
        <v>1.6896000000000001E-2</v>
      </c>
      <c r="H1922" s="590"/>
    </row>
    <row r="1923" spans="3:12" x14ac:dyDescent="0.25">
      <c r="D1923" s="75" t="s">
        <v>5834</v>
      </c>
      <c r="E1923" s="152"/>
      <c r="F1923" s="74"/>
      <c r="G1923" s="153"/>
      <c r="H1923" s="590"/>
    </row>
    <row r="1924" spans="3:12" x14ac:dyDescent="0.25">
      <c r="D1924" s="73" t="s">
        <v>10162</v>
      </c>
      <c r="E1924" s="152"/>
      <c r="F1924" s="74" t="s">
        <v>3</v>
      </c>
      <c r="G1924" s="153">
        <f>0.05*0.02*3*8*1.12</f>
        <v>2.6880000000000005E-2</v>
      </c>
      <c r="H1924" s="590"/>
    </row>
    <row r="1925" spans="3:12" x14ac:dyDescent="0.25">
      <c r="D1925" s="75" t="s">
        <v>5836</v>
      </c>
      <c r="E1925" s="152"/>
      <c r="F1925" s="74"/>
      <c r="G1925" s="153"/>
      <c r="H1925" s="590"/>
    </row>
    <row r="1926" spans="3:12" x14ac:dyDescent="0.25">
      <c r="D1926" s="73" t="s">
        <v>10163</v>
      </c>
      <c r="E1926" s="152"/>
      <c r="F1926" s="74" t="s">
        <v>3</v>
      </c>
      <c r="G1926" s="153">
        <f>0.03*0.475*1.6*8*1.125</f>
        <v>0.20519999999999999</v>
      </c>
      <c r="H1926" s="590"/>
    </row>
    <row r="1927" spans="3:12" x14ac:dyDescent="0.25">
      <c r="D1927" s="75" t="s">
        <v>5838</v>
      </c>
      <c r="E1927" s="152"/>
      <c r="F1927" s="74"/>
      <c r="G1927" s="153"/>
      <c r="H1927" s="590"/>
    </row>
    <row r="1928" spans="3:12" x14ac:dyDescent="0.25">
      <c r="D1928" s="100" t="s">
        <v>10161</v>
      </c>
      <c r="E1928" s="152"/>
      <c r="F1928" s="74" t="s">
        <v>3</v>
      </c>
      <c r="G1928" s="153">
        <v>2.3E-2</v>
      </c>
      <c r="H1928" s="590"/>
      <c r="I1928" s="789" t="s">
        <v>10149</v>
      </c>
      <c r="J1928" s="790">
        <v>2.1999999999999999E-2</v>
      </c>
      <c r="K1928" s="789" t="s">
        <v>10150</v>
      </c>
      <c r="L1928" s="791">
        <v>2.5999999999999999E-2</v>
      </c>
    </row>
    <row r="1929" spans="3:12" x14ac:dyDescent="0.25">
      <c r="H1929" s="590"/>
    </row>
    <row r="1930" spans="3:12" x14ac:dyDescent="0.25">
      <c r="C1930" s="78" t="s">
        <v>10159</v>
      </c>
      <c r="H1930" s="590"/>
    </row>
    <row r="1931" spans="3:12" x14ac:dyDescent="0.25">
      <c r="C1931" s="767" t="s">
        <v>1275</v>
      </c>
      <c r="D1931" s="767"/>
      <c r="E1931" s="767"/>
      <c r="F1931" s="793" t="s">
        <v>3</v>
      </c>
      <c r="G1931" s="10">
        <v>2E-3</v>
      </c>
      <c r="H1931" s="590"/>
    </row>
    <row r="1932" spans="3:12" x14ac:dyDescent="0.25">
      <c r="C1932" s="767" t="s">
        <v>671</v>
      </c>
      <c r="D1932" s="767"/>
      <c r="E1932" s="767"/>
      <c r="F1932" s="793" t="s">
        <v>3</v>
      </c>
      <c r="G1932" s="10">
        <v>7.0000000000000001E-3</v>
      </c>
      <c r="H1932" s="590"/>
    </row>
    <row r="1933" spans="3:12" x14ac:dyDescent="0.25">
      <c r="C1933" s="767" t="s">
        <v>672</v>
      </c>
      <c r="D1933" s="767"/>
      <c r="E1933" s="767"/>
      <c r="F1933" s="793" t="s">
        <v>3</v>
      </c>
      <c r="G1933" s="10">
        <f>3*G1932</f>
        <v>2.1000000000000001E-2</v>
      </c>
      <c r="H1933" s="590"/>
    </row>
    <row r="1934" spans="3:12" x14ac:dyDescent="0.25">
      <c r="C1934" s="767"/>
      <c r="D1934" s="3" t="s">
        <v>5462</v>
      </c>
      <c r="E1934" s="767"/>
      <c r="F1934" s="793"/>
      <c r="G1934" s="10"/>
      <c r="H1934" s="590"/>
    </row>
    <row r="1935" spans="3:12" x14ac:dyDescent="0.25">
      <c r="C1935" s="767"/>
      <c r="D1935" s="767" t="s">
        <v>5460</v>
      </c>
      <c r="E1935" s="767"/>
      <c r="F1935" s="793" t="s">
        <v>195</v>
      </c>
      <c r="G1935" s="10">
        <v>1</v>
      </c>
      <c r="H1935" s="590"/>
      <c r="I1935" s="789" t="s">
        <v>10149</v>
      </c>
      <c r="J1935" s="790">
        <v>0.95</v>
      </c>
      <c r="K1935" s="789" t="s">
        <v>10150</v>
      </c>
      <c r="L1935" s="791">
        <v>1</v>
      </c>
    </row>
    <row r="1936" spans="3:12" x14ac:dyDescent="0.25">
      <c r="H1936" s="590"/>
    </row>
    <row r="1937" spans="3:12" x14ac:dyDescent="0.25">
      <c r="C1937" s="78" t="s">
        <v>10188</v>
      </c>
      <c r="H1937" s="590"/>
    </row>
    <row r="1938" spans="3:12" x14ac:dyDescent="0.25">
      <c r="C1938" s="100" t="s">
        <v>140</v>
      </c>
      <c r="D1938" s="73"/>
      <c r="E1938" s="73"/>
      <c r="F1938" s="74" t="s">
        <v>3</v>
      </c>
      <c r="G1938" s="153">
        <f>0.05*3.14*0.08*1.2</f>
        <v>1.5072000000000002E-2</v>
      </c>
      <c r="H1938" s="590"/>
    </row>
    <row r="1939" spans="3:12" ht="17.25" x14ac:dyDescent="0.25">
      <c r="C1939" s="100" t="s">
        <v>23</v>
      </c>
      <c r="D1939" s="73"/>
      <c r="E1939" s="73"/>
      <c r="F1939" s="74" t="s">
        <v>596</v>
      </c>
      <c r="G1939" s="153">
        <f>G1938*2</f>
        <v>3.0144000000000004E-2</v>
      </c>
      <c r="H1939" s="590"/>
    </row>
    <row r="1940" spans="3:12" x14ac:dyDescent="0.25">
      <c r="C1940" s="100" t="s">
        <v>142</v>
      </c>
      <c r="D1940" s="73"/>
      <c r="E1940" s="73"/>
      <c r="F1940" s="74" t="s">
        <v>3</v>
      </c>
      <c r="G1940" s="153">
        <f>G1938/4</f>
        <v>3.7680000000000005E-3</v>
      </c>
      <c r="H1940" s="590"/>
    </row>
    <row r="1941" spans="3:12" x14ac:dyDescent="0.25">
      <c r="C1941" s="73" t="s">
        <v>1021</v>
      </c>
      <c r="D1941" s="73"/>
      <c r="E1941" s="73"/>
      <c r="F1941" s="74" t="s">
        <v>3</v>
      </c>
      <c r="G1941" s="153">
        <f>0.45*0.03*2*1.1</f>
        <v>2.9700000000000001E-2</v>
      </c>
      <c r="H1941" s="590"/>
    </row>
    <row r="1942" spans="3:12" x14ac:dyDescent="0.25">
      <c r="C1942" s="73" t="s">
        <v>661</v>
      </c>
      <c r="D1942" s="73"/>
      <c r="E1942" s="73"/>
      <c r="F1942" s="74" t="s">
        <v>3</v>
      </c>
      <c r="G1942" s="153">
        <f>G1941*0.3*0.66</f>
        <v>5.8805999999999997E-3</v>
      </c>
      <c r="H1942" s="590"/>
    </row>
    <row r="1943" spans="3:12" x14ac:dyDescent="0.25">
      <c r="C1943" s="73" t="s">
        <v>1993</v>
      </c>
      <c r="D1943" s="73"/>
      <c r="E1943" s="73"/>
      <c r="F1943" s="74" t="s">
        <v>3</v>
      </c>
      <c r="G1943" s="153">
        <f>G1942/2</f>
        <v>2.9402999999999999E-3</v>
      </c>
      <c r="H1943" s="590"/>
    </row>
    <row r="1944" spans="3:12" x14ac:dyDescent="0.25">
      <c r="C1944" s="186" t="s">
        <v>8</v>
      </c>
      <c r="D1944" s="73"/>
      <c r="E1944" s="73"/>
      <c r="F1944" s="74" t="s">
        <v>3</v>
      </c>
      <c r="G1944" s="153">
        <f>0.65*G1945</f>
        <v>1.9656000000000003E-2</v>
      </c>
      <c r="H1944" s="590"/>
    </row>
    <row r="1945" spans="3:12" x14ac:dyDescent="0.25">
      <c r="C1945" s="186" t="s">
        <v>5441</v>
      </c>
      <c r="D1945" s="73"/>
      <c r="E1945" s="73"/>
      <c r="F1945" s="74" t="s">
        <v>3</v>
      </c>
      <c r="G1945" s="153">
        <f>0.45*0.03*2*1.12</f>
        <v>3.0240000000000003E-2</v>
      </c>
      <c r="H1945" s="590"/>
    </row>
    <row r="1946" spans="3:12" x14ac:dyDescent="0.25">
      <c r="C1946" s="186" t="s">
        <v>12</v>
      </c>
      <c r="D1946" s="73"/>
      <c r="E1946" s="73"/>
      <c r="F1946" s="74" t="s">
        <v>3</v>
      </c>
      <c r="G1946" s="153">
        <f>0.3*(G1944+G1945)</f>
        <v>1.4968800000000003E-2</v>
      </c>
      <c r="H1946" s="590"/>
    </row>
    <row r="1947" spans="3:12" x14ac:dyDescent="0.25">
      <c r="D1947" s="78" t="s">
        <v>5466</v>
      </c>
      <c r="H1947" s="590"/>
    </row>
    <row r="1948" spans="3:12" x14ac:dyDescent="0.25">
      <c r="D1948" s="77" t="s">
        <v>10189</v>
      </c>
      <c r="F1948" s="152" t="s">
        <v>3</v>
      </c>
      <c r="G1948" s="427">
        <f>1.72*0.5</f>
        <v>0.86</v>
      </c>
      <c r="H1948" s="590"/>
      <c r="I1948" s="789" t="s">
        <v>10149</v>
      </c>
      <c r="J1948" s="790">
        <v>0.34499999999999997</v>
      </c>
      <c r="K1948" s="789" t="s">
        <v>10150</v>
      </c>
      <c r="L1948" s="791">
        <v>0.5</v>
      </c>
    </row>
    <row r="1949" spans="3:12" x14ac:dyDescent="0.25">
      <c r="D1949" s="78" t="s">
        <v>5469</v>
      </c>
      <c r="G1949" s="427"/>
      <c r="H1949" s="590"/>
    </row>
    <row r="1950" spans="3:12" x14ac:dyDescent="0.25">
      <c r="D1950" s="77" t="s">
        <v>9722</v>
      </c>
      <c r="F1950" s="152" t="s">
        <v>3</v>
      </c>
      <c r="G1950" s="427">
        <f>0.07*3.14*0.085*1*8*1.135</f>
        <v>0.16964164000000001</v>
      </c>
      <c r="H1950" s="590"/>
    </row>
    <row r="1951" spans="3:12" x14ac:dyDescent="0.25">
      <c r="G1951" s="427"/>
      <c r="H1951" s="590"/>
    </row>
    <row r="1952" spans="3:12" x14ac:dyDescent="0.25">
      <c r="C1952" s="78" t="s">
        <v>10190</v>
      </c>
      <c r="G1952" s="427"/>
      <c r="H1952" s="590"/>
    </row>
    <row r="1953" spans="1:12" x14ac:dyDescent="0.25">
      <c r="C1953" s="100" t="s">
        <v>140</v>
      </c>
      <c r="D1953" s="73"/>
      <c r="E1953" s="73"/>
      <c r="F1953" s="74" t="s">
        <v>3</v>
      </c>
      <c r="G1953" s="153">
        <f>0.025*3.14*0.08*1.2</f>
        <v>7.536000000000001E-3</v>
      </c>
      <c r="H1953" s="590"/>
    </row>
    <row r="1954" spans="1:12" ht="17.25" x14ac:dyDescent="0.25">
      <c r="C1954" s="100" t="s">
        <v>23</v>
      </c>
      <c r="D1954" s="73"/>
      <c r="E1954" s="73"/>
      <c r="F1954" s="74" t="s">
        <v>596</v>
      </c>
      <c r="G1954" s="153">
        <f>G1953*2</f>
        <v>1.5072000000000002E-2</v>
      </c>
      <c r="H1954" s="590"/>
    </row>
    <row r="1955" spans="1:12" x14ac:dyDescent="0.25">
      <c r="C1955" s="100" t="s">
        <v>142</v>
      </c>
      <c r="D1955" s="73"/>
      <c r="E1955" s="73"/>
      <c r="F1955" s="74" t="s">
        <v>3</v>
      </c>
      <c r="G1955" s="153">
        <f>G1953/4</f>
        <v>1.8840000000000003E-3</v>
      </c>
      <c r="H1955" s="590"/>
    </row>
    <row r="1956" spans="1:12" x14ac:dyDescent="0.25">
      <c r="C1956" s="73" t="s">
        <v>1021</v>
      </c>
      <c r="D1956" s="73"/>
      <c r="E1956" s="73"/>
      <c r="F1956" s="74" t="s">
        <v>3</v>
      </c>
      <c r="G1956" s="153">
        <f>0.45*0.03*2*1.1</f>
        <v>2.9700000000000001E-2</v>
      </c>
      <c r="H1956" s="590"/>
    </row>
    <row r="1957" spans="1:12" x14ac:dyDescent="0.25">
      <c r="C1957" s="73" t="s">
        <v>661</v>
      </c>
      <c r="D1957" s="73"/>
      <c r="E1957" s="73"/>
      <c r="F1957" s="74" t="s">
        <v>3</v>
      </c>
      <c r="G1957" s="153">
        <f>G1956*0.3*0.66</f>
        <v>5.8805999999999997E-3</v>
      </c>
      <c r="H1957" s="590"/>
    </row>
    <row r="1958" spans="1:12" x14ac:dyDescent="0.25">
      <c r="C1958" s="73" t="s">
        <v>1993</v>
      </c>
      <c r="D1958" s="73"/>
      <c r="E1958" s="73"/>
      <c r="F1958" s="74" t="s">
        <v>3</v>
      </c>
      <c r="G1958" s="153">
        <f>G1957/2</f>
        <v>2.9402999999999999E-3</v>
      </c>
      <c r="H1958" s="590"/>
    </row>
    <row r="1959" spans="1:12" x14ac:dyDescent="0.25">
      <c r="C1959" s="186" t="s">
        <v>8</v>
      </c>
      <c r="D1959" s="73"/>
      <c r="E1959" s="73"/>
      <c r="F1959" s="74" t="s">
        <v>3</v>
      </c>
      <c r="G1959" s="153">
        <f>G1960*0.65</f>
        <v>1.6473599999999998E-2</v>
      </c>
      <c r="H1959" s="590"/>
    </row>
    <row r="1960" spans="1:12" x14ac:dyDescent="0.25">
      <c r="C1960" s="186" t="s">
        <v>5441</v>
      </c>
      <c r="D1960" s="73"/>
      <c r="E1960" s="73"/>
      <c r="F1960" s="74" t="s">
        <v>3</v>
      </c>
      <c r="G1960" s="153">
        <f>J1965*0.03*2*1.2</f>
        <v>2.5343999999999995E-2</v>
      </c>
      <c r="H1960" s="590"/>
    </row>
    <row r="1961" spans="1:12" x14ac:dyDescent="0.25">
      <c r="C1961" s="186" t="s">
        <v>12</v>
      </c>
      <c r="D1961" s="73"/>
      <c r="E1961" s="73"/>
      <c r="F1961" s="74" t="s">
        <v>3</v>
      </c>
      <c r="G1961" s="153">
        <f>0.3*(G1959+G1960)</f>
        <v>1.2545279999999999E-2</v>
      </c>
      <c r="H1961" s="590"/>
    </row>
    <row r="1962" spans="1:12" x14ac:dyDescent="0.25">
      <c r="D1962" s="78" t="s">
        <v>10191</v>
      </c>
      <c r="G1962" s="427"/>
      <c r="H1962" s="590"/>
    </row>
    <row r="1963" spans="1:12" x14ac:dyDescent="0.25">
      <c r="D1963" s="77" t="s">
        <v>10417</v>
      </c>
      <c r="F1963" s="152" t="s">
        <v>3</v>
      </c>
      <c r="G1963" s="427">
        <f>0.37*L1963</f>
        <v>8.14E-2</v>
      </c>
      <c r="H1963" s="590"/>
      <c r="I1963" s="789" t="s">
        <v>10149</v>
      </c>
      <c r="J1963" s="790">
        <v>0.14599999999999999</v>
      </c>
      <c r="K1963" s="789" t="s">
        <v>10150</v>
      </c>
      <c r="L1963" s="791">
        <v>0.22</v>
      </c>
    </row>
    <row r="1964" spans="1:12" x14ac:dyDescent="0.25">
      <c r="D1964" s="78" t="s">
        <v>10418</v>
      </c>
      <c r="G1964" s="427"/>
      <c r="H1964" s="590"/>
    </row>
    <row r="1965" spans="1:12" x14ac:dyDescent="0.25">
      <c r="D1965" s="77" t="s">
        <v>10419</v>
      </c>
      <c r="F1965" s="152" t="s">
        <v>3</v>
      </c>
      <c r="G1965" s="427">
        <f>0.715*L1965</f>
        <v>0.30029999999999996</v>
      </c>
      <c r="H1965" s="590"/>
      <c r="I1965" s="789" t="s">
        <v>10149</v>
      </c>
      <c r="J1965" s="790">
        <v>0.35199999999999998</v>
      </c>
      <c r="K1965" s="789" t="s">
        <v>10150</v>
      </c>
      <c r="L1965" s="791">
        <v>0.42</v>
      </c>
    </row>
    <row r="1966" spans="1:12" x14ac:dyDescent="0.25">
      <c r="A1966" s="584"/>
      <c r="B1966" s="539"/>
      <c r="C1966" s="591"/>
      <c r="D1966" s="591"/>
      <c r="E1966" s="591"/>
      <c r="F1966" s="592"/>
      <c r="G1966" s="732"/>
      <c r="H1966" s="593"/>
    </row>
    <row r="1967" spans="1:12" x14ac:dyDescent="0.25">
      <c r="H1967" s="741" t="s">
        <v>10513</v>
      </c>
    </row>
    <row r="1968" spans="1:12" ht="15.75" x14ac:dyDescent="0.25">
      <c r="E1968" s="816" t="s">
        <v>10512</v>
      </c>
      <c r="H1968" s="590"/>
    </row>
    <row r="1969" spans="3:8" ht="15.75" x14ac:dyDescent="0.25">
      <c r="E1969" s="816"/>
      <c r="H1969" s="590"/>
    </row>
    <row r="1970" spans="3:8" x14ac:dyDescent="0.25">
      <c r="H1970" s="590"/>
    </row>
    <row r="1971" spans="3:8" x14ac:dyDescent="0.25">
      <c r="C1971" s="78" t="s">
        <v>10496</v>
      </c>
      <c r="H1971" s="590"/>
    </row>
    <row r="1972" spans="3:8" x14ac:dyDescent="0.25">
      <c r="C1972" s="73" t="s">
        <v>1021</v>
      </c>
      <c r="D1972" s="73"/>
      <c r="E1972" s="73"/>
      <c r="F1972" s="74" t="s">
        <v>3</v>
      </c>
      <c r="G1972" s="153">
        <f>0.03*3.14*3.7*0.12*2*1.2</f>
        <v>0.10037952</v>
      </c>
      <c r="H1972" s="590"/>
    </row>
    <row r="1973" spans="3:8" x14ac:dyDescent="0.25">
      <c r="C1973" s="73" t="s">
        <v>661</v>
      </c>
      <c r="D1973" s="73"/>
      <c r="E1973" s="73"/>
      <c r="F1973" s="74" t="s">
        <v>3</v>
      </c>
      <c r="G1973" s="153">
        <f>G1972*0.3*0.66</f>
        <v>1.987514496E-2</v>
      </c>
      <c r="H1973" s="590"/>
    </row>
    <row r="1974" spans="3:8" x14ac:dyDescent="0.25">
      <c r="C1974" s="73" t="s">
        <v>1993</v>
      </c>
      <c r="D1974" s="73"/>
      <c r="E1974" s="73"/>
      <c r="F1974" s="74" t="s">
        <v>3</v>
      </c>
      <c r="G1974" s="153">
        <f>G1973/2</f>
        <v>9.9375724800000002E-3</v>
      </c>
      <c r="H1974" s="590"/>
    </row>
    <row r="1975" spans="3:8" x14ac:dyDescent="0.25">
      <c r="H1975" s="590"/>
    </row>
    <row r="1976" spans="3:8" x14ac:dyDescent="0.25">
      <c r="C1976" s="78" t="s">
        <v>10497</v>
      </c>
      <c r="H1976" s="590"/>
    </row>
    <row r="1977" spans="3:8" x14ac:dyDescent="0.25">
      <c r="C1977" s="77" t="s">
        <v>39</v>
      </c>
      <c r="D1977" s="73"/>
      <c r="E1977" s="152"/>
      <c r="F1977" s="152" t="s">
        <v>3</v>
      </c>
      <c r="G1977" s="153">
        <f>0.2*0.08*1.25</f>
        <v>0.02</v>
      </c>
      <c r="H1977" s="590"/>
    </row>
    <row r="1978" spans="3:8" ht="17.25" x14ac:dyDescent="0.25">
      <c r="C1978" s="77" t="s">
        <v>1055</v>
      </c>
      <c r="D1978" s="73"/>
      <c r="E1978" s="152"/>
      <c r="F1978" s="74" t="s">
        <v>596</v>
      </c>
      <c r="G1978" s="153">
        <f>1.1*G1977</f>
        <v>2.2000000000000002E-2</v>
      </c>
      <c r="H1978" s="590"/>
    </row>
    <row r="1979" spans="3:8" x14ac:dyDescent="0.25">
      <c r="C1979" s="77" t="s">
        <v>10505</v>
      </c>
      <c r="F1979" s="152" t="s">
        <v>3</v>
      </c>
      <c r="G1979" s="427">
        <f>0.25*0.2*2*0.15*2*1.15</f>
        <v>3.4499999999999996E-2</v>
      </c>
      <c r="H1979" s="590"/>
    </row>
    <row r="1980" spans="3:8" x14ac:dyDescent="0.25">
      <c r="C1980" s="77" t="s">
        <v>12</v>
      </c>
      <c r="F1980" s="152" t="s">
        <v>3</v>
      </c>
      <c r="G1980" s="427">
        <f>0.3*G1979</f>
        <v>1.0349999999999998E-2</v>
      </c>
      <c r="H1980" s="590"/>
    </row>
    <row r="1981" spans="3:8" x14ac:dyDescent="0.25">
      <c r="D1981" s="78" t="s">
        <v>10506</v>
      </c>
      <c r="H1981" s="590"/>
    </row>
    <row r="1982" spans="3:8" x14ac:dyDescent="0.25">
      <c r="D1982" s="77" t="s">
        <v>10509</v>
      </c>
      <c r="F1982" s="152" t="s">
        <v>3</v>
      </c>
      <c r="G1982" s="427">
        <f>0.235*0.125*4*8*1.128</f>
        <v>1.0603199999999999</v>
      </c>
      <c r="H1982" s="590"/>
    </row>
    <row r="1983" spans="3:8" x14ac:dyDescent="0.25">
      <c r="D1983" s="78" t="s">
        <v>10507</v>
      </c>
      <c r="G1983" s="427"/>
      <c r="H1983" s="590"/>
    </row>
    <row r="1984" spans="3:8" x14ac:dyDescent="0.25">
      <c r="D1984" s="77" t="s">
        <v>4960</v>
      </c>
      <c r="F1984" s="152" t="s">
        <v>3</v>
      </c>
      <c r="G1984" s="427">
        <f>0.1*0.09*3*4*1.12</f>
        <v>0.12096</v>
      </c>
      <c r="H1984" s="590"/>
    </row>
    <row r="1985" spans="1:12" x14ac:dyDescent="0.25">
      <c r="D1985" s="78" t="s">
        <v>10508</v>
      </c>
      <c r="G1985" s="427"/>
      <c r="H1985" s="590"/>
    </row>
    <row r="1986" spans="1:12" x14ac:dyDescent="0.25">
      <c r="G1986" s="427"/>
      <c r="H1986" s="590"/>
    </row>
    <row r="1987" spans="1:12" x14ac:dyDescent="0.25">
      <c r="C1987" s="78" t="s">
        <v>10499</v>
      </c>
      <c r="G1987" s="427"/>
      <c r="H1987" s="590"/>
    </row>
    <row r="1988" spans="1:12" x14ac:dyDescent="0.25">
      <c r="C1988" s="77" t="s">
        <v>10504</v>
      </c>
      <c r="F1988" s="152" t="s">
        <v>3</v>
      </c>
      <c r="G1988" s="427">
        <f>1.85*L1988</f>
        <v>0.92500000000000004</v>
      </c>
      <c r="H1988" s="590"/>
      <c r="I1988" s="789" t="s">
        <v>10149</v>
      </c>
      <c r="J1988" s="790">
        <v>0.45</v>
      </c>
      <c r="K1988" s="789" t="s">
        <v>10150</v>
      </c>
      <c r="L1988" s="791">
        <v>0.5</v>
      </c>
    </row>
    <row r="1989" spans="1:12" x14ac:dyDescent="0.25">
      <c r="G1989" s="427"/>
      <c r="H1989" s="590"/>
    </row>
    <row r="1990" spans="1:12" x14ac:dyDescent="0.25">
      <c r="C1990" s="78" t="s">
        <v>10502</v>
      </c>
      <c r="G1990" s="427"/>
      <c r="H1990" s="590"/>
    </row>
    <row r="1991" spans="1:12" x14ac:dyDescent="0.25">
      <c r="C1991" s="77" t="s">
        <v>10510</v>
      </c>
      <c r="F1991" s="152" t="s">
        <v>3</v>
      </c>
      <c r="G1991" s="427">
        <f>0.016*0.016*1*8*1.5</f>
        <v>3.0720000000000001E-3</v>
      </c>
      <c r="H1991" s="590"/>
    </row>
    <row r="1992" spans="1:12" x14ac:dyDescent="0.25">
      <c r="G1992" s="427"/>
      <c r="H1992" s="590"/>
    </row>
    <row r="1993" spans="1:12" x14ac:dyDescent="0.25">
      <c r="C1993" s="78" t="s">
        <v>10503</v>
      </c>
      <c r="G1993" s="427"/>
      <c r="H1993" s="590"/>
    </row>
    <row r="1994" spans="1:12" x14ac:dyDescent="0.25">
      <c r="C1994" s="77" t="s">
        <v>10511</v>
      </c>
      <c r="F1994" s="152" t="s">
        <v>3</v>
      </c>
      <c r="G1994" s="427">
        <f>0.02*0.02*1.5*8*1.1</f>
        <v>5.2800000000000008E-3</v>
      </c>
      <c r="H1994" s="590"/>
    </row>
    <row r="1995" spans="1:12" x14ac:dyDescent="0.25">
      <c r="G1995" s="427"/>
      <c r="H1995" s="590"/>
    </row>
    <row r="1996" spans="1:12" x14ac:dyDescent="0.25">
      <c r="C1996" s="78" t="s">
        <v>9927</v>
      </c>
      <c r="G1996" s="427"/>
      <c r="H1996" s="590"/>
      <c r="I1996" s="669" t="s">
        <v>2968</v>
      </c>
    </row>
    <row r="1997" spans="1:12" x14ac:dyDescent="0.25">
      <c r="C1997" s="78" t="s">
        <v>10500</v>
      </c>
      <c r="G1997" s="427"/>
      <c r="H1997" s="590"/>
      <c r="I1997" s="669" t="s">
        <v>2968</v>
      </c>
    </row>
    <row r="1998" spans="1:12" x14ac:dyDescent="0.25">
      <c r="C1998" s="78" t="s">
        <v>10501</v>
      </c>
      <c r="G1998" s="427"/>
      <c r="H1998" s="590"/>
      <c r="I1998" s="669" t="s">
        <v>2968</v>
      </c>
    </row>
    <row r="1999" spans="1:12" x14ac:dyDescent="0.25">
      <c r="C1999" s="78" t="s">
        <v>10498</v>
      </c>
      <c r="G1999" s="427"/>
      <c r="H1999" s="590"/>
      <c r="I1999" s="669" t="s">
        <v>2968</v>
      </c>
    </row>
    <row r="2000" spans="1:12" x14ac:dyDescent="0.25">
      <c r="A2000" s="584"/>
      <c r="B2000" s="539"/>
      <c r="C2000" s="591"/>
      <c r="D2000" s="591"/>
      <c r="E2000" s="591"/>
      <c r="F2000" s="592"/>
      <c r="G2000" s="732"/>
      <c r="H2000" s="593"/>
    </row>
    <row r="2001" spans="1:12" x14ac:dyDescent="0.25">
      <c r="G2001" s="427"/>
      <c r="H2001" s="741" t="s">
        <v>10618</v>
      </c>
    </row>
    <row r="2002" spans="1:12" ht="18.75" x14ac:dyDescent="0.3">
      <c r="B2002" s="77"/>
      <c r="D2002" s="202" t="s">
        <v>10633</v>
      </c>
      <c r="G2002" s="427"/>
      <c r="H2002" s="590"/>
      <c r="I2002" s="789"/>
      <c r="J2002" s="790"/>
      <c r="K2002" s="789"/>
      <c r="L2002" s="791"/>
    </row>
    <row r="2003" spans="1:12" ht="15.75" x14ac:dyDescent="0.25">
      <c r="C2003" s="78"/>
      <c r="E2003" s="816"/>
      <c r="G2003" s="427"/>
      <c r="H2003" s="590"/>
      <c r="I2003" s="789"/>
      <c r="J2003" s="790"/>
      <c r="K2003" s="789"/>
      <c r="L2003" s="791"/>
    </row>
    <row r="2004" spans="1:12" ht="15.75" x14ac:dyDescent="0.25">
      <c r="C2004" s="78"/>
      <c r="E2004" s="816"/>
      <c r="G2004" s="427"/>
      <c r="H2004" s="590"/>
      <c r="I2004" s="789"/>
      <c r="J2004" s="790"/>
      <c r="K2004" s="789"/>
      <c r="L2004" s="791"/>
    </row>
    <row r="2005" spans="1:12" x14ac:dyDescent="0.25">
      <c r="C2005" s="78"/>
      <c r="G2005" s="817" t="s">
        <v>195</v>
      </c>
      <c r="H2005" s="900" t="s">
        <v>3</v>
      </c>
      <c r="I2005" s="789"/>
      <c r="J2005" s="790"/>
      <c r="K2005" s="789"/>
      <c r="L2005" s="791"/>
    </row>
    <row r="2006" spans="1:12" x14ac:dyDescent="0.25">
      <c r="C2006" s="186" t="s">
        <v>10631</v>
      </c>
      <c r="G2006" s="427">
        <v>2</v>
      </c>
      <c r="H2006" s="590">
        <f>0.123*G2006</f>
        <v>0.246</v>
      </c>
      <c r="I2006" s="789"/>
      <c r="J2006" s="790"/>
      <c r="K2006" s="789"/>
      <c r="L2006" s="791"/>
    </row>
    <row r="2007" spans="1:12" x14ac:dyDescent="0.25">
      <c r="C2007" s="186"/>
      <c r="G2007" s="427"/>
      <c r="H2007" s="590"/>
      <c r="I2007" s="789"/>
      <c r="J2007" s="790"/>
      <c r="K2007" s="789"/>
      <c r="L2007" s="791"/>
    </row>
    <row r="2008" spans="1:12" x14ac:dyDescent="0.25">
      <c r="C2008" s="186" t="s">
        <v>10630</v>
      </c>
      <c r="G2008" s="427">
        <v>12.45</v>
      </c>
      <c r="H2008" s="590">
        <f>0.271*G2008</f>
        <v>3.3739500000000002</v>
      </c>
      <c r="I2008" s="789"/>
      <c r="J2008" s="790">
        <f>0.271</f>
        <v>0.27100000000000002</v>
      </c>
      <c r="K2008" s="789"/>
      <c r="L2008" s="791"/>
    </row>
    <row r="2009" spans="1:12" x14ac:dyDescent="0.25">
      <c r="C2009" s="186"/>
      <c r="G2009" s="427"/>
      <c r="H2009" s="590">
        <f>0.222* G2008</f>
        <v>2.7639</v>
      </c>
      <c r="I2009" s="789"/>
      <c r="J2009" s="790"/>
      <c r="K2009" s="789"/>
      <c r="L2009" s="791"/>
    </row>
    <row r="2010" spans="1:12" x14ac:dyDescent="0.25">
      <c r="C2010" s="186" t="s">
        <v>10632</v>
      </c>
      <c r="G2010" s="427">
        <v>0.6</v>
      </c>
      <c r="H2010" s="590">
        <f>0.37*G2010</f>
        <v>0.222</v>
      </c>
      <c r="I2010" s="789"/>
      <c r="J2010" s="790"/>
      <c r="K2010" s="789"/>
      <c r="L2010" s="791"/>
    </row>
    <row r="2011" spans="1:12" x14ac:dyDescent="0.25">
      <c r="A2011" s="584"/>
      <c r="B2011" s="539"/>
      <c r="C2011" s="591"/>
      <c r="D2011" s="591"/>
      <c r="E2011" s="591"/>
      <c r="F2011" s="592"/>
      <c r="G2011" s="732"/>
      <c r="H2011" s="593"/>
    </row>
    <row r="2012" spans="1:12" x14ac:dyDescent="0.25">
      <c r="G2012" s="427"/>
      <c r="H2012" s="741" t="s">
        <v>11857</v>
      </c>
    </row>
    <row r="2013" spans="1:12" ht="15.75" x14ac:dyDescent="0.25">
      <c r="E2013" s="999" t="s">
        <v>9612</v>
      </c>
      <c r="G2013" s="427"/>
      <c r="H2013" s="590"/>
    </row>
    <row r="2014" spans="1:12" x14ac:dyDescent="0.25">
      <c r="G2014" s="427"/>
      <c r="H2014" s="590"/>
    </row>
    <row r="2015" spans="1:12" x14ac:dyDescent="0.25">
      <c r="C2015" s="78" t="s">
        <v>11849</v>
      </c>
      <c r="G2015" s="427"/>
      <c r="H2015" s="590"/>
    </row>
    <row r="2016" spans="1:12" x14ac:dyDescent="0.25">
      <c r="C2016" s="77" t="s">
        <v>11856</v>
      </c>
      <c r="F2016" s="152" t="s">
        <v>3</v>
      </c>
      <c r="G2016" s="427">
        <f>0.5*0.03*4*8*1.15</f>
        <v>0.55199999999999994</v>
      </c>
      <c r="H2016" s="590"/>
    </row>
    <row r="2017" spans="1:8" x14ac:dyDescent="0.25">
      <c r="G2017" s="427"/>
      <c r="H2017" s="590"/>
    </row>
    <row r="2018" spans="1:8" x14ac:dyDescent="0.25">
      <c r="C2018" s="78" t="s">
        <v>11850</v>
      </c>
      <c r="G2018" s="427"/>
      <c r="H2018" s="590"/>
    </row>
    <row r="2019" spans="1:8" x14ac:dyDescent="0.25">
      <c r="C2019" s="77" t="s">
        <v>11856</v>
      </c>
      <c r="F2019" s="152" t="s">
        <v>3</v>
      </c>
      <c r="G2019" s="427">
        <f>0.05*0.03*4*8*1.12</f>
        <v>5.3760000000000009E-2</v>
      </c>
      <c r="H2019" s="590"/>
    </row>
    <row r="2020" spans="1:8" x14ac:dyDescent="0.25">
      <c r="G2020" s="427"/>
      <c r="H2020" s="590"/>
    </row>
    <row r="2021" spans="1:8" x14ac:dyDescent="0.25">
      <c r="C2021" s="78" t="s">
        <v>11851</v>
      </c>
      <c r="G2021" s="427"/>
      <c r="H2021" s="590"/>
    </row>
    <row r="2022" spans="1:8" x14ac:dyDescent="0.25">
      <c r="C2022" s="77" t="s">
        <v>11855</v>
      </c>
      <c r="F2022" s="152" t="s">
        <v>3</v>
      </c>
      <c r="G2022" s="427">
        <f>0.1*0.07*3.5*8*1.12</f>
        <v>0.21952000000000005</v>
      </c>
      <c r="H2022" s="590"/>
    </row>
    <row r="2023" spans="1:8" x14ac:dyDescent="0.25">
      <c r="G2023" s="427"/>
      <c r="H2023" s="590"/>
    </row>
    <row r="2024" spans="1:8" x14ac:dyDescent="0.25">
      <c r="C2024" s="78" t="s">
        <v>11852</v>
      </c>
      <c r="G2024" s="427"/>
      <c r="H2024" s="590"/>
    </row>
    <row r="2025" spans="1:8" x14ac:dyDescent="0.25">
      <c r="C2025" s="77" t="s">
        <v>10160</v>
      </c>
      <c r="F2025" s="152" t="s">
        <v>3</v>
      </c>
      <c r="G2025" s="427">
        <f>0.09*0.09*1*8*1.15</f>
        <v>7.4519999999999989E-2</v>
      </c>
      <c r="H2025" s="590"/>
    </row>
    <row r="2026" spans="1:8" x14ac:dyDescent="0.25">
      <c r="G2026" s="427"/>
      <c r="H2026" s="590"/>
    </row>
    <row r="2027" spans="1:8" x14ac:dyDescent="0.25">
      <c r="C2027" s="78" t="s">
        <v>11853</v>
      </c>
      <c r="G2027" s="427"/>
      <c r="H2027" s="590"/>
    </row>
    <row r="2028" spans="1:8" x14ac:dyDescent="0.25">
      <c r="C2028" s="77" t="s">
        <v>11854</v>
      </c>
      <c r="F2028" s="152" t="s">
        <v>3</v>
      </c>
      <c r="G2028" s="427">
        <f>0.065*0.065*2*8*1.12</f>
        <v>7.5712000000000015E-2</v>
      </c>
      <c r="H2028" s="590"/>
    </row>
    <row r="2029" spans="1:8" x14ac:dyDescent="0.25">
      <c r="G2029" s="427"/>
      <c r="H2029" s="590"/>
    </row>
    <row r="2030" spans="1:8" x14ac:dyDescent="0.25">
      <c r="C2030" s="75" t="s">
        <v>6057</v>
      </c>
      <c r="D2030" s="73"/>
      <c r="E2030" s="73"/>
      <c r="F2030" s="74"/>
      <c r="G2030" s="153"/>
      <c r="H2030" s="590"/>
    </row>
    <row r="2031" spans="1:8" x14ac:dyDescent="0.25">
      <c r="A2031" s="584"/>
      <c r="B2031" s="539"/>
      <c r="C2031" s="625"/>
      <c r="D2031" s="539" t="s">
        <v>6058</v>
      </c>
      <c r="E2031" s="539"/>
      <c r="F2031" s="599" t="s">
        <v>3</v>
      </c>
      <c r="G2031" s="600">
        <v>0.625</v>
      </c>
      <c r="H2031" s="593"/>
    </row>
    <row r="2032" spans="1:8" x14ac:dyDescent="0.25">
      <c r="G2032" s="427"/>
      <c r="H2032" s="741" t="s">
        <v>12289</v>
      </c>
    </row>
    <row r="2033" spans="1:14" x14ac:dyDescent="0.25">
      <c r="A2033" s="77"/>
      <c r="B2033" s="77"/>
      <c r="C2033" s="326"/>
      <c r="G2033" s="427"/>
      <c r="H2033" s="590"/>
      <c r="N2033" s="326"/>
    </row>
    <row r="2034" spans="1:14" x14ac:dyDescent="0.25">
      <c r="A2034" s="77"/>
      <c r="B2034" s="77"/>
      <c r="C2034" s="1000" t="s">
        <v>11866</v>
      </c>
      <c r="G2034" s="427"/>
      <c r="H2034" s="590"/>
      <c r="N2034" s="326"/>
    </row>
    <row r="2035" spans="1:14" x14ac:dyDescent="0.25">
      <c r="A2035" s="77"/>
      <c r="B2035" s="77"/>
      <c r="C2035" s="1001" t="s">
        <v>11870</v>
      </c>
      <c r="F2035" s="152" t="s">
        <v>3</v>
      </c>
      <c r="G2035" s="427">
        <f>0.17*0.43*3*8*1.14</f>
        <v>2.0000159999999996</v>
      </c>
      <c r="H2035" s="590"/>
      <c r="N2035" s="326"/>
    </row>
    <row r="2036" spans="1:14" x14ac:dyDescent="0.25">
      <c r="A2036" s="77"/>
      <c r="B2036" s="77"/>
      <c r="C2036" s="326"/>
      <c r="G2036" s="427"/>
      <c r="H2036" s="590"/>
      <c r="N2036" s="326"/>
    </row>
    <row r="2037" spans="1:14" x14ac:dyDescent="0.25">
      <c r="A2037" s="77"/>
      <c r="B2037" s="77"/>
      <c r="C2037" s="1000" t="s">
        <v>11867</v>
      </c>
      <c r="G2037" s="427"/>
      <c r="H2037" s="590"/>
      <c r="N2037" s="326"/>
    </row>
    <row r="2038" spans="1:14" x14ac:dyDescent="0.25">
      <c r="A2038" s="77"/>
      <c r="B2038" s="77"/>
      <c r="C2038" s="77" t="s">
        <v>39</v>
      </c>
      <c r="D2038" s="73"/>
      <c r="E2038" s="152"/>
      <c r="F2038" s="152" t="s">
        <v>3</v>
      </c>
      <c r="G2038" s="153">
        <f>0.022*3.14*2*0.08*1.25</f>
        <v>1.3816E-2</v>
      </c>
      <c r="H2038" s="590"/>
      <c r="N2038" s="326"/>
    </row>
    <row r="2039" spans="1:14" ht="17.25" x14ac:dyDescent="0.25">
      <c r="A2039" s="77"/>
      <c r="B2039" s="77"/>
      <c r="C2039" s="77" t="s">
        <v>1055</v>
      </c>
      <c r="D2039" s="73"/>
      <c r="E2039" s="152"/>
      <c r="F2039" s="74" t="s">
        <v>596</v>
      </c>
      <c r="G2039" s="153">
        <f>1.1*G2038</f>
        <v>1.5197600000000002E-2</v>
      </c>
      <c r="H2039" s="590"/>
      <c r="N2039" s="326"/>
    </row>
    <row r="2040" spans="1:14" x14ac:dyDescent="0.25">
      <c r="A2040" s="77"/>
      <c r="B2040" s="77"/>
      <c r="D2040" s="1000" t="s">
        <v>11865</v>
      </c>
      <c r="G2040" s="427"/>
      <c r="H2040" s="590"/>
      <c r="N2040" s="326"/>
    </row>
    <row r="2041" spans="1:14" x14ac:dyDescent="0.25">
      <c r="A2041" s="77"/>
      <c r="B2041" s="77"/>
      <c r="D2041" s="1001" t="s">
        <v>11869</v>
      </c>
      <c r="F2041" s="152" t="s">
        <v>3</v>
      </c>
      <c r="G2041" s="427">
        <f>0.93*0.205*4*8*1.1474</f>
        <v>7.0000579199999997</v>
      </c>
      <c r="H2041" s="590"/>
      <c r="N2041" s="326"/>
    </row>
    <row r="2042" spans="1:14" ht="17.25" x14ac:dyDescent="0.25">
      <c r="A2042" s="77"/>
      <c r="B2042" s="77"/>
      <c r="D2042" s="73"/>
      <c r="E2042" s="152"/>
      <c r="F2042" s="74"/>
      <c r="G2042" s="153"/>
      <c r="H2042" s="590"/>
      <c r="N2042" s="326"/>
    </row>
    <row r="2043" spans="1:14" x14ac:dyDescent="0.25">
      <c r="A2043" s="77"/>
      <c r="B2043" s="77"/>
      <c r="C2043" s="1000" t="s">
        <v>11868</v>
      </c>
      <c r="G2043" s="427"/>
      <c r="H2043" s="590"/>
      <c r="N2043" s="326"/>
    </row>
    <row r="2044" spans="1:14" x14ac:dyDescent="0.25">
      <c r="A2044" s="77"/>
      <c r="B2044" s="77"/>
      <c r="C2044" s="73" t="s">
        <v>6058</v>
      </c>
      <c r="D2044" s="73"/>
      <c r="F2044" s="74" t="s">
        <v>3</v>
      </c>
      <c r="G2044" s="153">
        <f>0.882*L2044</f>
        <v>0.441</v>
      </c>
      <c r="H2044" s="590"/>
      <c r="I2044" s="789" t="s">
        <v>10149</v>
      </c>
      <c r="J2044" s="790">
        <v>0.45</v>
      </c>
      <c r="K2044" s="789" t="s">
        <v>10150</v>
      </c>
      <c r="L2044" s="791">
        <v>0.5</v>
      </c>
      <c r="N2044" s="326"/>
    </row>
    <row r="2045" spans="1:14" x14ac:dyDescent="0.25">
      <c r="A2045" s="77"/>
      <c r="B2045" s="77"/>
      <c r="C2045" s="326"/>
      <c r="G2045" s="427"/>
      <c r="H2045" s="590"/>
      <c r="N2045" s="326"/>
    </row>
    <row r="2046" spans="1:14" x14ac:dyDescent="0.25">
      <c r="A2046" s="77"/>
      <c r="B2046" s="77"/>
      <c r="C2046" s="338" t="s">
        <v>6057</v>
      </c>
      <c r="G2046" s="427"/>
      <c r="H2046" s="590"/>
    </row>
    <row r="2047" spans="1:14" x14ac:dyDescent="0.25">
      <c r="A2047" s="77"/>
      <c r="B2047" s="77"/>
      <c r="C2047" s="73" t="s">
        <v>6058</v>
      </c>
      <c r="D2047" s="73"/>
      <c r="F2047" s="74" t="s">
        <v>3</v>
      </c>
      <c r="G2047" s="153">
        <v>0.625</v>
      </c>
      <c r="H2047" s="590"/>
    </row>
    <row r="2048" spans="1:14" x14ac:dyDescent="0.25">
      <c r="A2048" s="77"/>
      <c r="B2048" s="77"/>
      <c r="G2048" s="427"/>
      <c r="H2048" s="590"/>
    </row>
    <row r="2049" spans="1:8" x14ac:dyDescent="0.25">
      <c r="A2049" s="77"/>
      <c r="B2049" s="77"/>
      <c r="C2049" s="78" t="s">
        <v>12274</v>
      </c>
      <c r="F2049" s="152" t="s">
        <v>2180</v>
      </c>
      <c r="G2049" s="427"/>
      <c r="H2049" s="590"/>
    </row>
    <row r="2050" spans="1:8" x14ac:dyDescent="0.25">
      <c r="A2050" s="77"/>
      <c r="B2050" s="77"/>
      <c r="C2050" s="186" t="s">
        <v>12281</v>
      </c>
      <c r="F2050" s="152" t="s">
        <v>1516</v>
      </c>
      <c r="G2050" s="427">
        <v>4</v>
      </c>
      <c r="H2050" s="590"/>
    </row>
    <row r="2051" spans="1:8" x14ac:dyDescent="0.25">
      <c r="A2051" s="77"/>
      <c r="B2051" s="77"/>
      <c r="C2051" s="186" t="s">
        <v>12282</v>
      </c>
      <c r="F2051" s="152" t="s">
        <v>1516</v>
      </c>
      <c r="G2051" s="427">
        <v>4</v>
      </c>
      <c r="H2051" s="590"/>
    </row>
    <row r="2052" spans="1:8" x14ac:dyDescent="0.25">
      <c r="A2052" s="77"/>
      <c r="B2052" s="77"/>
      <c r="C2052" s="186" t="s">
        <v>12283</v>
      </c>
      <c r="F2052" s="152" t="s">
        <v>1516</v>
      </c>
      <c r="G2052" s="427">
        <v>4</v>
      </c>
      <c r="H2052" s="590"/>
    </row>
    <row r="2053" spans="1:8" x14ac:dyDescent="0.25">
      <c r="A2053" s="77"/>
      <c r="B2053" s="77"/>
      <c r="C2053" s="186" t="s">
        <v>12284</v>
      </c>
      <c r="F2053" s="152" t="s">
        <v>1516</v>
      </c>
      <c r="G2053" s="427">
        <v>4</v>
      </c>
      <c r="H2053" s="590"/>
    </row>
    <row r="2054" spans="1:8" x14ac:dyDescent="0.25">
      <c r="A2054" s="77"/>
      <c r="B2054" s="77"/>
      <c r="D2054" s="78" t="s">
        <v>12275</v>
      </c>
      <c r="G2054" s="427"/>
      <c r="H2054" s="590"/>
    </row>
    <row r="2055" spans="1:8" x14ac:dyDescent="0.25">
      <c r="A2055" s="77"/>
      <c r="B2055" s="77"/>
      <c r="D2055" s="77" t="s">
        <v>8</v>
      </c>
      <c r="F2055" s="152" t="s">
        <v>3</v>
      </c>
      <c r="G2055" s="427">
        <f>G2056*0.7</f>
        <v>1.0920000000000001E-2</v>
      </c>
      <c r="H2055" s="590"/>
    </row>
    <row r="2056" spans="1:8" x14ac:dyDescent="0.25">
      <c r="A2056" s="77"/>
      <c r="B2056" s="77"/>
      <c r="C2056" s="78"/>
      <c r="D2056" s="77" t="s">
        <v>12285</v>
      </c>
      <c r="F2056" s="152" t="s">
        <v>3</v>
      </c>
      <c r="G2056" s="427">
        <f>0.25*0.12*2*0.1*2*1.3</f>
        <v>1.5600000000000001E-2</v>
      </c>
      <c r="H2056" s="590"/>
    </row>
    <row r="2057" spans="1:8" x14ac:dyDescent="0.25">
      <c r="A2057" s="77"/>
      <c r="B2057" s="77"/>
      <c r="D2057" s="77" t="s">
        <v>12</v>
      </c>
      <c r="F2057" s="152" t="s">
        <v>3</v>
      </c>
      <c r="G2057" s="427">
        <f>0.3*(G2056+G2055)</f>
        <v>7.9559999999999995E-3</v>
      </c>
      <c r="H2057" s="590"/>
    </row>
    <row r="2058" spans="1:8" x14ac:dyDescent="0.25">
      <c r="A2058" s="77"/>
      <c r="B2058" s="77"/>
      <c r="E2058" s="78" t="s">
        <v>12276</v>
      </c>
      <c r="G2058" s="427"/>
      <c r="H2058" s="590"/>
    </row>
    <row r="2059" spans="1:8" x14ac:dyDescent="0.25">
      <c r="A2059" s="77"/>
      <c r="B2059" s="77"/>
      <c r="E2059" s="77" t="s">
        <v>12286</v>
      </c>
      <c r="F2059" s="152" t="s">
        <v>3</v>
      </c>
      <c r="G2059" s="427">
        <f>0.25*0.125*1*8*1.14</f>
        <v>0.28499999999999998</v>
      </c>
      <c r="H2059" s="590"/>
    </row>
    <row r="2060" spans="1:8" x14ac:dyDescent="0.25">
      <c r="A2060" s="77"/>
      <c r="B2060" s="77"/>
      <c r="E2060" s="78" t="s">
        <v>12277</v>
      </c>
      <c r="G2060" s="427"/>
      <c r="H2060" s="590"/>
    </row>
    <row r="2061" spans="1:8" x14ac:dyDescent="0.25">
      <c r="A2061" s="77"/>
      <c r="B2061" s="77"/>
      <c r="E2061" s="77" t="s">
        <v>12286</v>
      </c>
      <c r="F2061" s="152" t="s">
        <v>3</v>
      </c>
      <c r="G2061" s="427">
        <f>0.045*0.02*2*8*1.12</f>
        <v>1.6128E-2</v>
      </c>
      <c r="H2061" s="590"/>
    </row>
    <row r="2062" spans="1:8" x14ac:dyDescent="0.25">
      <c r="A2062" s="77"/>
      <c r="B2062" s="77"/>
      <c r="D2062" s="78" t="s">
        <v>12278</v>
      </c>
      <c r="G2062" s="427"/>
      <c r="H2062" s="590"/>
    </row>
    <row r="2063" spans="1:8" x14ac:dyDescent="0.25">
      <c r="A2063" s="77"/>
      <c r="B2063" s="77"/>
      <c r="D2063" s="77" t="s">
        <v>8</v>
      </c>
      <c r="F2063" s="152" t="s">
        <v>3</v>
      </c>
      <c r="G2063" s="427">
        <f>G2064*0.7</f>
        <v>1.0920000000000001E-2</v>
      </c>
      <c r="H2063" s="590"/>
    </row>
    <row r="2064" spans="1:8" x14ac:dyDescent="0.25">
      <c r="A2064" s="77"/>
      <c r="B2064" s="77"/>
      <c r="D2064" s="77" t="s">
        <v>12285</v>
      </c>
      <c r="F2064" s="152" t="s">
        <v>3</v>
      </c>
      <c r="G2064" s="427">
        <f>0.25*0.12*2*0.1*2*1.3</f>
        <v>1.5600000000000001E-2</v>
      </c>
      <c r="H2064" s="590"/>
    </row>
    <row r="2065" spans="1:11" x14ac:dyDescent="0.25">
      <c r="A2065" s="77"/>
      <c r="B2065" s="77"/>
      <c r="D2065" s="77" t="s">
        <v>12</v>
      </c>
      <c r="F2065" s="152" t="s">
        <v>3</v>
      </c>
      <c r="G2065" s="427">
        <f>0.3*(G2064+G2063)</f>
        <v>7.9559999999999995E-3</v>
      </c>
      <c r="H2065" s="590"/>
    </row>
    <row r="2066" spans="1:11" x14ac:dyDescent="0.25">
      <c r="A2066" s="77"/>
      <c r="B2066" s="77"/>
      <c r="D2066" s="77" t="s">
        <v>12287</v>
      </c>
      <c r="F2066" s="152" t="s">
        <v>3</v>
      </c>
      <c r="G2066" s="427">
        <f>0.1*0.1*0.2*2*1.15</f>
        <v>4.6000000000000008E-3</v>
      </c>
      <c r="H2066" s="590"/>
    </row>
    <row r="2067" spans="1:11" x14ac:dyDescent="0.25">
      <c r="A2067" s="77"/>
      <c r="B2067" s="77"/>
      <c r="E2067" s="78" t="s">
        <v>12279</v>
      </c>
      <c r="G2067" s="427"/>
      <c r="H2067" s="590"/>
    </row>
    <row r="2068" spans="1:11" x14ac:dyDescent="0.25">
      <c r="A2068" s="77"/>
      <c r="B2068" s="77"/>
      <c r="E2068" s="77" t="s">
        <v>12286</v>
      </c>
      <c r="F2068" s="152" t="s">
        <v>3</v>
      </c>
      <c r="G2068" s="427">
        <f>0.25*0.125*1*8*1.14</f>
        <v>0.28499999999999998</v>
      </c>
      <c r="H2068" s="590"/>
    </row>
    <row r="2069" spans="1:11" x14ac:dyDescent="0.25">
      <c r="A2069" s="77"/>
      <c r="B2069" s="77"/>
      <c r="E2069" s="78" t="s">
        <v>12277</v>
      </c>
      <c r="G2069" s="427"/>
      <c r="H2069" s="590"/>
    </row>
    <row r="2070" spans="1:11" x14ac:dyDescent="0.25">
      <c r="A2070" s="77"/>
      <c r="B2070" s="77"/>
      <c r="E2070" s="77" t="s">
        <v>12286</v>
      </c>
      <c r="F2070" s="152" t="s">
        <v>3</v>
      </c>
      <c r="G2070" s="427">
        <f>0.045*0.02*2*8*1.12</f>
        <v>1.6128E-2</v>
      </c>
      <c r="H2070" s="590"/>
    </row>
    <row r="2071" spans="1:11" x14ac:dyDescent="0.25">
      <c r="A2071" s="77"/>
      <c r="B2071" s="77"/>
      <c r="E2071" s="78"/>
      <c r="G2071" s="427"/>
      <c r="H2071" s="590"/>
    </row>
    <row r="2072" spans="1:11" x14ac:dyDescent="0.25">
      <c r="A2072" s="77"/>
      <c r="B2072" s="77"/>
      <c r="C2072" s="78" t="s">
        <v>12280</v>
      </c>
      <c r="G2072" s="427"/>
      <c r="H2072" s="590"/>
    </row>
    <row r="2073" spans="1:11" x14ac:dyDescent="0.25">
      <c r="A2073" s="77"/>
      <c r="B2073" s="77"/>
      <c r="C2073" s="77" t="s">
        <v>12286</v>
      </c>
      <c r="F2073" s="152" t="s">
        <v>3</v>
      </c>
      <c r="G2073" s="427">
        <f>0.82*0.115*1*8*1.153</f>
        <v>0.86982320000000002</v>
      </c>
      <c r="H2073" s="590"/>
    </row>
    <row r="2074" spans="1:11" x14ac:dyDescent="0.25">
      <c r="A2074" s="77"/>
      <c r="B2074" s="77"/>
      <c r="C2074" s="77" t="s">
        <v>8</v>
      </c>
      <c r="F2074" s="152" t="s">
        <v>3</v>
      </c>
      <c r="G2074" s="427">
        <f>G2075*0.7</f>
        <v>3.485328E-2</v>
      </c>
      <c r="H2074" s="590"/>
    </row>
    <row r="2075" spans="1:11" x14ac:dyDescent="0.25">
      <c r="A2075" s="77"/>
      <c r="B2075" s="77"/>
      <c r="C2075" s="77" t="s">
        <v>12285</v>
      </c>
      <c r="F2075" s="152" t="s">
        <v>3</v>
      </c>
      <c r="G2075" s="427">
        <f>0.82*0.115*2*0.1*2*1.32</f>
        <v>4.9790400000000005E-2</v>
      </c>
      <c r="H2075" s="590"/>
    </row>
    <row r="2076" spans="1:11" x14ac:dyDescent="0.25">
      <c r="A2076" s="77"/>
      <c r="B2076" s="77"/>
      <c r="C2076" s="77" t="s">
        <v>12</v>
      </c>
      <c r="F2076" s="152" t="s">
        <v>3</v>
      </c>
      <c r="G2076" s="427">
        <f>0.3*(G2075+G2074)</f>
        <v>2.5393104E-2</v>
      </c>
      <c r="H2076" s="590"/>
    </row>
    <row r="2077" spans="1:11" x14ac:dyDescent="0.25">
      <c r="A2077" s="77"/>
      <c r="B2077" s="77"/>
      <c r="F2077" s="77"/>
      <c r="G2077" s="427"/>
      <c r="H2077" s="635"/>
      <c r="I2077" s="77"/>
      <c r="J2077" s="77"/>
      <c r="K2077" s="77"/>
    </row>
    <row r="2078" spans="1:11" x14ac:dyDescent="0.25">
      <c r="A2078" s="77"/>
      <c r="B2078" s="77"/>
      <c r="C2078" s="3" t="s">
        <v>12206</v>
      </c>
      <c r="G2078" s="427"/>
      <c r="H2078" s="635"/>
      <c r="I2078" s="77"/>
      <c r="J2078" s="77"/>
      <c r="K2078" s="77"/>
    </row>
    <row r="2079" spans="1:11" x14ac:dyDescent="0.25">
      <c r="A2079" s="77"/>
      <c r="B2079" s="77"/>
      <c r="C2079" s="77" t="s">
        <v>12288</v>
      </c>
      <c r="F2079" s="152" t="s">
        <v>3</v>
      </c>
      <c r="G2079" s="427">
        <f>0.04*0.04*0.5*8*1.15</f>
        <v>7.3599999999999994E-3</v>
      </c>
      <c r="H2079" s="635"/>
      <c r="I2079" s="77"/>
      <c r="J2079" s="77"/>
      <c r="K2079" s="77"/>
    </row>
    <row r="2080" spans="1:11" x14ac:dyDescent="0.25">
      <c r="A2080" s="77"/>
      <c r="B2080" s="77"/>
      <c r="D2080" s="767"/>
      <c r="G2080" s="427"/>
      <c r="H2080" s="635"/>
      <c r="I2080" s="77"/>
      <c r="J2080" s="77"/>
      <c r="K2080" s="77"/>
    </row>
    <row r="2081" spans="1:11" x14ac:dyDescent="0.25">
      <c r="A2081" s="77"/>
      <c r="B2081" s="77"/>
      <c r="C2081" s="3" t="s">
        <v>12212</v>
      </c>
      <c r="D2081" s="767"/>
      <c r="G2081" s="427"/>
      <c r="H2081" s="635"/>
      <c r="I2081" s="77"/>
      <c r="J2081" s="77"/>
      <c r="K2081" s="77"/>
    </row>
    <row r="2082" spans="1:11" x14ac:dyDescent="0.25">
      <c r="A2082" s="77"/>
      <c r="B2082" s="77"/>
      <c r="C2082" s="77" t="s">
        <v>10458</v>
      </c>
      <c r="D2082" s="767"/>
      <c r="F2082" s="152" t="s">
        <v>3</v>
      </c>
      <c r="G2082" s="427">
        <f>0.085*0.018*1*8*1.15</f>
        <v>1.4075999999999998E-2</v>
      </c>
      <c r="H2082" s="635"/>
      <c r="I2082" s="77"/>
      <c r="J2082" s="77"/>
      <c r="K2082" s="77"/>
    </row>
    <row r="2083" spans="1:11" x14ac:dyDescent="0.25">
      <c r="A2083" s="77"/>
      <c r="B2083" s="77"/>
      <c r="D2083" s="73"/>
      <c r="E2083" s="152"/>
      <c r="G2083" s="153"/>
      <c r="H2083" s="635"/>
      <c r="I2083" s="77"/>
      <c r="J2083" s="77"/>
      <c r="K2083" s="77"/>
    </row>
    <row r="2084" spans="1:11" x14ac:dyDescent="0.25">
      <c r="A2084" s="77"/>
      <c r="B2084" s="77"/>
      <c r="C2084" s="3" t="s">
        <v>12213</v>
      </c>
      <c r="D2084" s="73"/>
      <c r="E2084" s="152"/>
      <c r="F2084" s="74"/>
      <c r="G2084" s="153"/>
      <c r="H2084" s="635"/>
      <c r="I2084" s="77"/>
      <c r="J2084" s="77"/>
      <c r="K2084" s="77"/>
    </row>
    <row r="2085" spans="1:11" x14ac:dyDescent="0.25">
      <c r="A2085" s="77"/>
      <c r="B2085" s="77"/>
      <c r="C2085" s="25" t="s">
        <v>6048</v>
      </c>
      <c r="D2085" s="73"/>
      <c r="F2085" s="152" t="s">
        <v>3</v>
      </c>
      <c r="G2085" s="427">
        <f>0.019*0.058*4*8*1.15</f>
        <v>4.0553600000000002E-2</v>
      </c>
      <c r="H2085" s="635"/>
      <c r="I2085" s="77"/>
      <c r="J2085" s="77"/>
      <c r="K2085" s="77"/>
    </row>
    <row r="2086" spans="1:11" x14ac:dyDescent="0.25">
      <c r="A2086" s="77"/>
      <c r="B2086" s="77"/>
      <c r="D2086" s="73"/>
      <c r="G2086" s="427"/>
      <c r="H2086" s="635"/>
      <c r="I2086" s="77"/>
      <c r="J2086" s="77"/>
      <c r="K2086" s="77"/>
    </row>
    <row r="2087" spans="1:11" x14ac:dyDescent="0.25">
      <c r="A2087" s="77"/>
      <c r="B2087" s="77"/>
      <c r="C2087" s="3" t="s">
        <v>12214</v>
      </c>
      <c r="D2087" s="767"/>
      <c r="G2087" s="427"/>
      <c r="H2087" s="635"/>
      <c r="I2087" s="77"/>
      <c r="J2087" s="77"/>
      <c r="K2087" s="77"/>
    </row>
    <row r="2088" spans="1:11" x14ac:dyDescent="0.25">
      <c r="A2088" s="77"/>
      <c r="B2088" s="77"/>
      <c r="C2088" s="77" t="s">
        <v>12290</v>
      </c>
      <c r="D2088" s="767"/>
      <c r="F2088" s="152" t="s">
        <v>3</v>
      </c>
      <c r="G2088" s="427">
        <f>0.05*1.25*4*8*1.15</f>
        <v>2.2999999999999998</v>
      </c>
      <c r="H2088" s="635"/>
      <c r="I2088" s="77"/>
      <c r="J2088" s="77"/>
      <c r="K2088" s="77"/>
    </row>
    <row r="2089" spans="1:11" x14ac:dyDescent="0.25">
      <c r="A2089" s="77"/>
      <c r="B2089" s="77"/>
      <c r="D2089" s="3"/>
      <c r="G2089" s="427"/>
      <c r="H2089" s="635"/>
      <c r="I2089" s="77"/>
      <c r="J2089" s="77"/>
      <c r="K2089" s="77"/>
    </row>
    <row r="2090" spans="1:11" x14ac:dyDescent="0.25">
      <c r="A2090" s="77"/>
      <c r="B2090" s="77"/>
      <c r="C2090" s="3" t="s">
        <v>12215</v>
      </c>
      <c r="G2090" s="427"/>
      <c r="H2090" s="635"/>
      <c r="I2090" s="77"/>
      <c r="J2090" s="77"/>
      <c r="K2090" s="77"/>
    </row>
    <row r="2091" spans="1:11" x14ac:dyDescent="0.25">
      <c r="A2091" s="77"/>
      <c r="B2091" s="77"/>
      <c r="C2091" s="77" t="s">
        <v>12290</v>
      </c>
      <c r="D2091" s="3"/>
      <c r="F2091" s="152" t="s">
        <v>3</v>
      </c>
      <c r="G2091" s="427">
        <f>0.415*0.07*4*8*1.151</f>
        <v>1.0699696000000001</v>
      </c>
      <c r="H2091" s="635"/>
      <c r="I2091" s="77"/>
      <c r="J2091" s="77"/>
      <c r="K2091" s="77"/>
    </row>
    <row r="2092" spans="1:11" x14ac:dyDescent="0.25">
      <c r="A2092" s="77"/>
      <c r="B2092" s="77"/>
      <c r="G2092" s="427"/>
      <c r="H2092" s="635"/>
      <c r="I2092" s="77"/>
      <c r="J2092" s="77"/>
      <c r="K2092" s="77"/>
    </row>
    <row r="2093" spans="1:11" x14ac:dyDescent="0.25">
      <c r="A2093" s="77"/>
      <c r="B2093" s="77"/>
      <c r="C2093" s="3" t="s">
        <v>12216</v>
      </c>
      <c r="D2093" s="767"/>
      <c r="G2093" s="427"/>
      <c r="H2093" s="635"/>
      <c r="I2093" s="77"/>
      <c r="J2093" s="77"/>
      <c r="K2093" s="77"/>
    </row>
    <row r="2094" spans="1:11" x14ac:dyDescent="0.25">
      <c r="A2094" s="77"/>
      <c r="B2094" s="77"/>
      <c r="C2094" s="77" t="s">
        <v>12291</v>
      </c>
      <c r="D2094" s="767"/>
      <c r="F2094" s="152" t="s">
        <v>3</v>
      </c>
      <c r="G2094" s="427">
        <f>0.08*0.085*2*8*1.15</f>
        <v>0.12512000000000001</v>
      </c>
      <c r="H2094" s="635"/>
      <c r="I2094" s="77"/>
      <c r="J2094" s="77"/>
      <c r="K2094" s="77"/>
    </row>
    <row r="2095" spans="1:11" x14ac:dyDescent="0.25">
      <c r="A2095" s="77"/>
      <c r="B2095" s="77"/>
      <c r="D2095" s="73"/>
      <c r="E2095" s="152"/>
      <c r="G2095" s="153"/>
      <c r="H2095" s="635"/>
      <c r="I2095" s="77"/>
      <c r="J2095" s="77"/>
      <c r="K2095" s="77"/>
    </row>
    <row r="2096" spans="1:11" x14ac:dyDescent="0.25">
      <c r="A2096" s="77"/>
      <c r="B2096" s="77"/>
      <c r="C2096" s="3" t="s">
        <v>12273</v>
      </c>
      <c r="D2096" s="73"/>
      <c r="E2096" s="152"/>
      <c r="F2096" s="74"/>
      <c r="G2096" s="153"/>
      <c r="H2096" s="635"/>
      <c r="I2096" s="77"/>
      <c r="J2096" s="77"/>
      <c r="K2096" s="77"/>
    </row>
    <row r="2097" spans="1:12" x14ac:dyDescent="0.25">
      <c r="A2097" s="77"/>
      <c r="B2097" s="77"/>
      <c r="C2097" s="77" t="s">
        <v>12292</v>
      </c>
      <c r="D2097" s="73"/>
      <c r="F2097" s="152" t="s">
        <v>3</v>
      </c>
      <c r="G2097" s="427">
        <f>0.045*1.25*4*8*1.15</f>
        <v>2.0699999999999998</v>
      </c>
      <c r="H2097" s="635"/>
      <c r="I2097" s="77"/>
      <c r="J2097" s="77"/>
      <c r="K2097" s="77"/>
    </row>
    <row r="2098" spans="1:12" x14ac:dyDescent="0.25">
      <c r="A2098" s="77"/>
      <c r="B2098" s="77"/>
      <c r="D2098" s="73"/>
      <c r="G2098" s="427"/>
      <c r="H2098" s="635"/>
      <c r="I2098" s="77"/>
      <c r="J2098" s="77"/>
      <c r="K2098" s="77"/>
    </row>
    <row r="2099" spans="1:12" x14ac:dyDescent="0.25">
      <c r="A2099" s="77"/>
      <c r="B2099" s="77"/>
      <c r="C2099" s="3" t="s">
        <v>12205</v>
      </c>
      <c r="D2099" s="767"/>
      <c r="G2099" s="427"/>
      <c r="H2099" s="635"/>
      <c r="I2099" s="77"/>
      <c r="J2099" s="77"/>
      <c r="K2099" s="77"/>
    </row>
    <row r="2100" spans="1:12" x14ac:dyDescent="0.25">
      <c r="A2100" s="77"/>
      <c r="B2100" s="77"/>
      <c r="C2100" s="77" t="s">
        <v>3724</v>
      </c>
      <c r="D2100" s="767"/>
      <c r="F2100" s="152" t="s">
        <v>3</v>
      </c>
      <c r="G2100" s="427">
        <f>0.95*0.31*0.2*2+0.002</f>
        <v>0.1198</v>
      </c>
      <c r="H2100" s="635"/>
      <c r="I2100" s="77"/>
      <c r="J2100" s="77"/>
      <c r="K2100" s="77"/>
    </row>
    <row r="2101" spans="1:12" x14ac:dyDescent="0.25">
      <c r="A2101" s="77"/>
      <c r="B2101" s="77"/>
      <c r="C2101" s="77" t="s">
        <v>8</v>
      </c>
      <c r="D2101" s="8"/>
      <c r="F2101" s="152" t="s">
        <v>3</v>
      </c>
      <c r="G2101" s="427">
        <f>0.65*G2102</f>
        <v>6.1750000000000006E-2</v>
      </c>
      <c r="H2101" s="635"/>
      <c r="I2101" s="77"/>
      <c r="J2101" s="77"/>
      <c r="K2101" s="77"/>
    </row>
    <row r="2102" spans="1:12" x14ac:dyDescent="0.25">
      <c r="A2102" s="77"/>
      <c r="B2102" s="77"/>
      <c r="C2102" s="77" t="s">
        <v>5630</v>
      </c>
      <c r="D2102" s="8"/>
      <c r="F2102" s="152" t="s">
        <v>3</v>
      </c>
      <c r="G2102" s="427">
        <f>1*0.31*0.15*2+0.002</f>
        <v>9.5000000000000001E-2</v>
      </c>
      <c r="H2102" s="635"/>
      <c r="I2102" s="77"/>
      <c r="J2102" s="77"/>
      <c r="K2102" s="77"/>
    </row>
    <row r="2103" spans="1:12" x14ac:dyDescent="0.25">
      <c r="A2103" s="77"/>
      <c r="B2103" s="77"/>
      <c r="C2103" s="77" t="s">
        <v>12</v>
      </c>
      <c r="D2103" s="8"/>
      <c r="F2103" s="152" t="s">
        <v>3</v>
      </c>
      <c r="G2103" s="427">
        <f>0.3*(G2101+G2102)</f>
        <v>4.7024999999999997E-2</v>
      </c>
      <c r="H2103" s="635"/>
      <c r="I2103" s="77"/>
      <c r="J2103" s="77"/>
      <c r="K2103" s="77"/>
    </row>
    <row r="2104" spans="1:12" x14ac:dyDescent="0.25">
      <c r="A2104" s="77"/>
      <c r="B2104" s="77"/>
      <c r="D2104" s="3" t="s">
        <v>12146</v>
      </c>
      <c r="E2104" s="152"/>
      <c r="G2104" s="153"/>
      <c r="H2104" s="635"/>
      <c r="I2104" s="77"/>
      <c r="J2104" s="77"/>
      <c r="K2104" s="77"/>
    </row>
    <row r="2105" spans="1:12" x14ac:dyDescent="0.25">
      <c r="A2105" s="77"/>
      <c r="B2105" s="77"/>
      <c r="D2105" s="73" t="s">
        <v>12293</v>
      </c>
      <c r="E2105" s="152"/>
      <c r="F2105" s="74" t="s">
        <v>3</v>
      </c>
      <c r="G2105" s="153">
        <f>1*0.31*3*8*1.1559</f>
        <v>8.5998959999999993</v>
      </c>
      <c r="H2105" s="635"/>
      <c r="I2105" s="77"/>
      <c r="J2105" s="77"/>
      <c r="K2105" s="77"/>
    </row>
    <row r="2106" spans="1:12" x14ac:dyDescent="0.25">
      <c r="A2106" s="77"/>
      <c r="B2106" s="77"/>
      <c r="C2106" s="25"/>
      <c r="G2106" s="427"/>
      <c r="H2106" s="635"/>
      <c r="I2106" s="77"/>
      <c r="J2106" s="77"/>
      <c r="K2106" s="77"/>
    </row>
    <row r="2107" spans="1:12" x14ac:dyDescent="0.25">
      <c r="A2107" s="77"/>
      <c r="B2107" s="77"/>
      <c r="C2107" s="3" t="s">
        <v>12204</v>
      </c>
      <c r="G2107" s="427"/>
      <c r="H2107" s="635"/>
      <c r="I2107" s="77"/>
      <c r="J2107" s="77"/>
      <c r="K2107" s="77"/>
    </row>
    <row r="2108" spans="1:12" x14ac:dyDescent="0.25">
      <c r="A2108" s="77"/>
      <c r="B2108" s="77"/>
      <c r="C2108" s="25" t="s">
        <v>12294</v>
      </c>
      <c r="F2108" s="152" t="s">
        <v>3</v>
      </c>
      <c r="G2108" s="427">
        <f>0.00153* L2108</f>
        <v>9.1799999999999987E-4</v>
      </c>
      <c r="H2108" s="635"/>
      <c r="I2108" s="789" t="s">
        <v>10149</v>
      </c>
      <c r="J2108" s="790">
        <v>0.5</v>
      </c>
      <c r="K2108" s="789" t="s">
        <v>10150</v>
      </c>
      <c r="L2108" s="791">
        <v>0.6</v>
      </c>
    </row>
    <row r="2109" spans="1:12" x14ac:dyDescent="0.25">
      <c r="A2109" s="77"/>
      <c r="B2109" s="77"/>
      <c r="C2109" s="25" t="s">
        <v>671</v>
      </c>
      <c r="F2109" s="152" t="s">
        <v>3</v>
      </c>
      <c r="G2109" s="427">
        <f>0.01</f>
        <v>0.01</v>
      </c>
      <c r="H2109" s="635"/>
      <c r="I2109" s="789"/>
      <c r="J2109" s="790"/>
      <c r="K2109" s="789"/>
      <c r="L2109" s="791"/>
    </row>
    <row r="2110" spans="1:12" x14ac:dyDescent="0.25">
      <c r="A2110" s="77"/>
      <c r="B2110" s="77"/>
      <c r="C2110" s="25" t="s">
        <v>672</v>
      </c>
      <c r="F2110" s="152" t="s">
        <v>3</v>
      </c>
      <c r="G2110" s="427">
        <f>2*G2109</f>
        <v>0.02</v>
      </c>
      <c r="H2110" s="635"/>
      <c r="I2110" s="789"/>
      <c r="J2110" s="790"/>
      <c r="K2110" s="789"/>
      <c r="L2110" s="791"/>
    </row>
    <row r="2111" spans="1:12" x14ac:dyDescent="0.25">
      <c r="A2111" s="77"/>
      <c r="B2111" s="77"/>
      <c r="C2111" s="25"/>
      <c r="D2111" s="78" t="s">
        <v>12295</v>
      </c>
      <c r="G2111" s="427"/>
      <c r="H2111" s="635"/>
      <c r="I2111" s="77"/>
      <c r="J2111" s="77"/>
      <c r="K2111" s="77"/>
    </row>
    <row r="2112" spans="1:12" x14ac:dyDescent="0.25">
      <c r="A2112" s="77"/>
      <c r="B2112" s="77"/>
      <c r="D2112" s="25" t="s">
        <v>12296</v>
      </c>
      <c r="F2112" s="152" t="s">
        <v>195</v>
      </c>
      <c r="G2112" s="427">
        <f>L2112</f>
        <v>0.4</v>
      </c>
      <c r="H2112" s="635"/>
      <c r="I2112" s="789" t="s">
        <v>10149</v>
      </c>
      <c r="J2112" s="790">
        <v>0.37</v>
      </c>
      <c r="K2112" s="789" t="s">
        <v>10150</v>
      </c>
      <c r="L2112" s="791">
        <v>0.4</v>
      </c>
    </row>
    <row r="2113" spans="1:12" x14ac:dyDescent="0.25">
      <c r="A2113" s="77"/>
      <c r="B2113" s="77"/>
      <c r="G2113" s="427"/>
      <c r="H2113" s="635"/>
      <c r="I2113" s="77"/>
      <c r="J2113" s="77"/>
      <c r="K2113" s="77"/>
    </row>
    <row r="2114" spans="1:12" x14ac:dyDescent="0.25">
      <c r="A2114" s="77"/>
      <c r="B2114" s="77"/>
      <c r="C2114" s="3" t="s">
        <v>12203</v>
      </c>
      <c r="D2114" s="767"/>
      <c r="G2114" s="427"/>
      <c r="H2114" s="635"/>
      <c r="I2114" s="77"/>
      <c r="J2114" s="77"/>
      <c r="K2114" s="77"/>
    </row>
    <row r="2115" spans="1:12" x14ac:dyDescent="0.25">
      <c r="A2115" s="77"/>
      <c r="B2115" s="77"/>
      <c r="C2115" s="77" t="s">
        <v>12297</v>
      </c>
      <c r="D2115" s="767"/>
      <c r="F2115" s="152" t="s">
        <v>3</v>
      </c>
      <c r="G2115" s="427">
        <f>0.4*0.06*0.2*2*1.1</f>
        <v>1.0560000000000002E-2</v>
      </c>
      <c r="H2115" s="635"/>
      <c r="I2115" s="77"/>
      <c r="J2115" s="77"/>
      <c r="K2115" s="77"/>
    </row>
    <row r="2116" spans="1:12" x14ac:dyDescent="0.25">
      <c r="A2116" s="77"/>
      <c r="B2116" s="77"/>
      <c r="D2116" s="3" t="s">
        <v>12143</v>
      </c>
      <c r="G2116" s="427"/>
      <c r="H2116" s="635"/>
      <c r="I2116" s="77"/>
      <c r="J2116" s="77"/>
      <c r="K2116" s="77"/>
    </row>
    <row r="2117" spans="1:12" x14ac:dyDescent="0.25">
      <c r="A2117" s="77"/>
      <c r="B2117" s="77"/>
      <c r="D2117" s="73" t="s">
        <v>12298</v>
      </c>
      <c r="F2117" s="152" t="s">
        <v>3</v>
      </c>
      <c r="G2117" s="427">
        <f>0.83*0.105*1*8*1.15-0.002</f>
        <v>0.79977999999999982</v>
      </c>
      <c r="H2117" s="635"/>
      <c r="I2117" s="77"/>
      <c r="J2117" s="77"/>
      <c r="K2117" s="77"/>
    </row>
    <row r="2118" spans="1:12" x14ac:dyDescent="0.25">
      <c r="A2118" s="77"/>
      <c r="B2118" s="77"/>
      <c r="D2118" s="3" t="s">
        <v>12144</v>
      </c>
      <c r="G2118" s="427"/>
      <c r="H2118" s="635"/>
      <c r="I2118" s="77"/>
      <c r="J2118" s="77"/>
      <c r="K2118" s="77"/>
    </row>
    <row r="2119" spans="1:12" x14ac:dyDescent="0.25">
      <c r="A2119" s="77"/>
      <c r="B2119" s="77"/>
      <c r="D2119" s="73" t="s">
        <v>12298</v>
      </c>
      <c r="F2119" s="152" t="s">
        <v>3</v>
      </c>
      <c r="G2119" s="427">
        <f>0.48*0.02*1*8*1.15</f>
        <v>8.8319999999999982E-2</v>
      </c>
      <c r="H2119" s="635"/>
      <c r="I2119" s="77"/>
      <c r="J2119" s="77"/>
      <c r="K2119" s="77"/>
    </row>
    <row r="2120" spans="1:12" x14ac:dyDescent="0.25">
      <c r="A2120" s="77"/>
      <c r="B2120" s="77"/>
      <c r="D2120" s="77" t="s">
        <v>8</v>
      </c>
      <c r="F2120" s="152" t="s">
        <v>3</v>
      </c>
      <c r="G2120" s="427">
        <f>0.48*0.011*2</f>
        <v>1.0559999999999998E-2</v>
      </c>
      <c r="H2120" s="635"/>
      <c r="I2120" s="77"/>
      <c r="J2120" s="77"/>
      <c r="K2120" s="77"/>
    </row>
    <row r="2121" spans="1:12" x14ac:dyDescent="0.25">
      <c r="A2121" s="77"/>
      <c r="B2121" s="77"/>
      <c r="D2121" s="77" t="s">
        <v>12</v>
      </c>
      <c r="F2121" s="152" t="s">
        <v>3</v>
      </c>
      <c r="G2121" s="427">
        <f>0.3*G2120</f>
        <v>3.1679999999999994E-3</v>
      </c>
      <c r="H2121" s="635"/>
      <c r="I2121" s="77"/>
      <c r="J2121" s="77"/>
      <c r="K2121" s="77"/>
    </row>
    <row r="2122" spans="1:12" x14ac:dyDescent="0.25">
      <c r="A2122" s="77"/>
      <c r="B2122" s="77"/>
      <c r="D2122" s="3" t="s">
        <v>12145</v>
      </c>
      <c r="G2122" s="427"/>
      <c r="H2122" s="635"/>
      <c r="I2122" s="77"/>
      <c r="J2122" s="77"/>
      <c r="K2122" s="77"/>
    </row>
    <row r="2123" spans="1:12" x14ac:dyDescent="0.25">
      <c r="A2123" s="77"/>
      <c r="B2123" s="77"/>
      <c r="D2123" s="73" t="s">
        <v>12298</v>
      </c>
      <c r="F2123" s="152" t="s">
        <v>3</v>
      </c>
      <c r="G2123" s="427">
        <f>0.35*0.02*1*8*1.15</f>
        <v>6.4399999999999985E-2</v>
      </c>
      <c r="H2123" s="635"/>
      <c r="I2123" s="77"/>
      <c r="J2123" s="77"/>
      <c r="K2123" s="77"/>
    </row>
    <row r="2124" spans="1:12" x14ac:dyDescent="0.25">
      <c r="A2124" s="77"/>
      <c r="B2124" s="77"/>
      <c r="D2124" s="77" t="s">
        <v>8</v>
      </c>
      <c r="F2124" s="152" t="s">
        <v>3</v>
      </c>
      <c r="G2124" s="427">
        <f>0.48*0.011*2</f>
        <v>1.0559999999999998E-2</v>
      </c>
      <c r="H2124" s="635"/>
      <c r="I2124" s="77"/>
      <c r="J2124" s="77"/>
      <c r="K2124" s="77"/>
    </row>
    <row r="2125" spans="1:12" x14ac:dyDescent="0.25">
      <c r="A2125" s="77"/>
      <c r="B2125" s="77"/>
      <c r="D2125" s="77" t="s">
        <v>12</v>
      </c>
      <c r="F2125" s="152" t="s">
        <v>3</v>
      </c>
      <c r="G2125" s="427">
        <f>0.3*G2124</f>
        <v>3.1679999999999994E-3</v>
      </c>
      <c r="H2125" s="635"/>
      <c r="I2125" s="77"/>
      <c r="J2125" s="77"/>
      <c r="K2125" s="77"/>
    </row>
    <row r="2126" spans="1:12" x14ac:dyDescent="0.25">
      <c r="A2126" s="77"/>
      <c r="B2126" s="77"/>
      <c r="D2126" s="767"/>
      <c r="G2126" s="427"/>
      <c r="H2126" s="635"/>
      <c r="I2126" s="77"/>
      <c r="J2126" s="77"/>
      <c r="K2126" s="77"/>
    </row>
    <row r="2127" spans="1:12" x14ac:dyDescent="0.25">
      <c r="A2127" s="77"/>
      <c r="B2127" s="77"/>
      <c r="C2127" s="3" t="s">
        <v>12208</v>
      </c>
      <c r="D2127" s="767"/>
      <c r="G2127" s="427"/>
      <c r="H2127" s="635"/>
      <c r="I2127" s="77"/>
      <c r="J2127" s="77"/>
      <c r="K2127" s="77"/>
    </row>
    <row r="2128" spans="1:12" x14ac:dyDescent="0.25">
      <c r="A2128" s="77"/>
      <c r="B2128" s="77"/>
      <c r="C2128" s="77" t="s">
        <v>9433</v>
      </c>
      <c r="D2128" s="767"/>
      <c r="F2128" s="152" t="s">
        <v>3</v>
      </c>
      <c r="G2128" s="427">
        <f>3.084*0.25</f>
        <v>0.77100000000000002</v>
      </c>
      <c r="H2128" s="635"/>
      <c r="I2128" s="789" t="s">
        <v>10149</v>
      </c>
      <c r="J2128" s="790">
        <v>0.23</v>
      </c>
      <c r="K2128" s="789" t="s">
        <v>10150</v>
      </c>
      <c r="L2128" s="791">
        <v>0.25</v>
      </c>
    </row>
    <row r="2129" spans="1:12" x14ac:dyDescent="0.25">
      <c r="A2129" s="77"/>
      <c r="B2129" s="77"/>
      <c r="D2129" s="767"/>
      <c r="G2129" s="427"/>
      <c r="H2129" s="635"/>
      <c r="I2129" s="77"/>
      <c r="J2129" s="77"/>
      <c r="K2129" s="77"/>
    </row>
    <row r="2130" spans="1:12" x14ac:dyDescent="0.25">
      <c r="A2130" s="77"/>
      <c r="B2130" s="77"/>
      <c r="C2130" s="3" t="s">
        <v>12299</v>
      </c>
      <c r="D2130" s="767"/>
      <c r="G2130" s="427"/>
      <c r="H2130" s="635"/>
      <c r="I2130" s="77"/>
      <c r="J2130" s="77"/>
      <c r="K2130" s="77"/>
    </row>
    <row r="2131" spans="1:12" x14ac:dyDescent="0.25">
      <c r="A2131" s="77"/>
      <c r="B2131" s="77"/>
      <c r="C2131" s="77" t="s">
        <v>12300</v>
      </c>
      <c r="D2131" s="767"/>
      <c r="F2131" s="152" t="s">
        <v>3</v>
      </c>
      <c r="G2131" s="427">
        <f>0.469*L2131+0.002</f>
        <v>0.56479999999999997</v>
      </c>
      <c r="H2131" s="635"/>
      <c r="I2131" s="789" t="s">
        <v>10149</v>
      </c>
      <c r="J2131" s="790">
        <v>1.1499999999999999</v>
      </c>
      <c r="K2131" s="789" t="s">
        <v>10150</v>
      </c>
      <c r="L2131" s="791">
        <v>1.2</v>
      </c>
    </row>
    <row r="2132" spans="1:12" x14ac:dyDescent="0.25">
      <c r="A2132" s="591"/>
      <c r="B2132" s="591"/>
      <c r="C2132" s="591"/>
      <c r="D2132" s="539"/>
      <c r="E2132" s="591"/>
      <c r="F2132" s="592"/>
      <c r="G2132" s="732"/>
      <c r="H2132" s="733"/>
      <c r="I2132" s="77"/>
      <c r="J2132" s="77"/>
      <c r="K2132" s="77"/>
    </row>
    <row r="2133" spans="1:12" x14ac:dyDescent="0.25">
      <c r="A2133" s="77"/>
      <c r="B2133" s="77"/>
      <c r="H2133" s="741" t="s">
        <v>12393</v>
      </c>
      <c r="K2133" s="563"/>
    </row>
    <row r="2134" spans="1:12" x14ac:dyDescent="0.25">
      <c r="A2134" s="77"/>
      <c r="B2134" s="77"/>
      <c r="H2134" s="590"/>
      <c r="L2134" s="791"/>
    </row>
    <row r="2135" spans="1:12" x14ac:dyDescent="0.25">
      <c r="A2135" s="77"/>
      <c r="B2135" s="77"/>
      <c r="C2135" s="3" t="s">
        <v>12217</v>
      </c>
      <c r="G2135" s="77"/>
      <c r="H2135" s="635"/>
      <c r="I2135" s="77"/>
      <c r="J2135" s="77"/>
      <c r="K2135" s="77"/>
    </row>
    <row r="2136" spans="1:12" x14ac:dyDescent="0.25">
      <c r="A2136" s="77"/>
      <c r="B2136" s="77"/>
      <c r="C2136" s="77" t="s">
        <v>12379</v>
      </c>
      <c r="F2136" s="152" t="s">
        <v>3</v>
      </c>
      <c r="G2136" s="427">
        <f>0.2* 0.2*1*0.75*1.1</f>
        <v>3.3000000000000008E-2</v>
      </c>
      <c r="H2136" s="635"/>
      <c r="I2136" s="77"/>
      <c r="J2136" s="77"/>
      <c r="K2136" s="77"/>
      <c r="L2136" s="791"/>
    </row>
    <row r="2137" spans="1:12" x14ac:dyDescent="0.25">
      <c r="A2137" s="77"/>
      <c r="B2137" s="77"/>
      <c r="D2137" s="767"/>
      <c r="G2137" s="427"/>
      <c r="H2137" s="635"/>
      <c r="I2137" s="77"/>
      <c r="J2137" s="77"/>
      <c r="K2137" s="77"/>
    </row>
    <row r="2138" spans="1:12" x14ac:dyDescent="0.25">
      <c r="A2138" s="77"/>
      <c r="B2138" s="77"/>
      <c r="C2138" s="3" t="s">
        <v>12218</v>
      </c>
      <c r="D2138" s="767"/>
      <c r="G2138" s="427"/>
      <c r="H2138" s="635"/>
      <c r="I2138" s="77"/>
      <c r="J2138" s="77"/>
      <c r="K2138" s="77"/>
    </row>
    <row r="2139" spans="1:12" x14ac:dyDescent="0.25">
      <c r="A2139" s="77"/>
      <c r="B2139" s="77"/>
      <c r="C2139" s="77" t="s">
        <v>12378</v>
      </c>
      <c r="F2139" s="152" t="s">
        <v>3</v>
      </c>
      <c r="G2139" s="427">
        <f>0.5* 0.175*1.5*0.75*1.15</f>
        <v>0.11320312499999997</v>
      </c>
      <c r="H2139" s="635"/>
      <c r="I2139" s="77"/>
      <c r="J2139" s="77"/>
      <c r="K2139" s="77"/>
    </row>
    <row r="2140" spans="1:12" x14ac:dyDescent="0.25">
      <c r="A2140" s="77"/>
      <c r="B2140" s="77"/>
      <c r="D2140" s="767"/>
      <c r="G2140" s="427"/>
      <c r="H2140" s="635"/>
      <c r="I2140" s="77"/>
      <c r="J2140" s="77"/>
      <c r="K2140" s="77"/>
    </row>
    <row r="2141" spans="1:12" x14ac:dyDescent="0.25">
      <c r="A2141" s="77"/>
      <c r="B2141" s="77"/>
      <c r="C2141" s="78" t="s">
        <v>12386</v>
      </c>
      <c r="D2141" s="767"/>
      <c r="G2141" s="427"/>
      <c r="H2141" s="635"/>
      <c r="I2141" s="77"/>
      <c r="J2141" s="77"/>
      <c r="K2141" s="77"/>
    </row>
    <row r="2142" spans="1:12" x14ac:dyDescent="0.25">
      <c r="A2142" s="77"/>
      <c r="B2142" s="77"/>
      <c r="C2142" s="77" t="s">
        <v>10160</v>
      </c>
      <c r="D2142" s="767"/>
      <c r="F2142" s="152" t="s">
        <v>3</v>
      </c>
      <c r="G2142" s="427">
        <f>0.04*0.04*1*8*1.1</f>
        <v>1.4080000000000002E-2</v>
      </c>
      <c r="H2142" s="635"/>
      <c r="I2142" s="77"/>
      <c r="J2142" s="77"/>
      <c r="K2142" s="77"/>
    </row>
    <row r="2143" spans="1:12" x14ac:dyDescent="0.25">
      <c r="A2143" s="77"/>
      <c r="B2143" s="77"/>
      <c r="D2143" s="767"/>
      <c r="G2143" s="427"/>
      <c r="H2143" s="635"/>
      <c r="I2143" s="77"/>
      <c r="J2143" s="77"/>
      <c r="K2143" s="77"/>
    </row>
    <row r="2144" spans="1:12" x14ac:dyDescent="0.25">
      <c r="A2144" s="77"/>
      <c r="B2144" s="77"/>
      <c r="C2144" s="78" t="s">
        <v>12390</v>
      </c>
      <c r="D2144" s="767"/>
      <c r="G2144" s="427"/>
      <c r="H2144" s="635"/>
      <c r="I2144" s="77"/>
      <c r="J2144" s="77"/>
      <c r="K2144" s="77"/>
    </row>
    <row r="2145" spans="1:11" x14ac:dyDescent="0.25">
      <c r="A2145" s="77"/>
      <c r="B2145" s="77"/>
      <c r="C2145" s="77" t="s">
        <v>12391</v>
      </c>
      <c r="D2145" s="767"/>
      <c r="F2145" s="152" t="s">
        <v>207</v>
      </c>
      <c r="G2145" s="1007">
        <f>0.035*0.035</f>
        <v>1.2250000000000002E-3</v>
      </c>
      <c r="H2145" s="635"/>
      <c r="I2145" s="77"/>
      <c r="J2145" s="77"/>
      <c r="K2145" s="77"/>
    </row>
    <row r="2146" spans="1:11" x14ac:dyDescent="0.25">
      <c r="A2146" s="77"/>
      <c r="B2146" s="77"/>
      <c r="D2146" s="767"/>
      <c r="G2146" s="427"/>
      <c r="H2146" s="635"/>
      <c r="I2146" s="77"/>
      <c r="J2146" s="77"/>
      <c r="K2146" s="77"/>
    </row>
    <row r="2147" spans="1:11" x14ac:dyDescent="0.25">
      <c r="A2147" s="77"/>
      <c r="B2147" s="77"/>
      <c r="C2147" s="3" t="s">
        <v>12392</v>
      </c>
      <c r="D2147" s="767"/>
      <c r="G2147" s="427"/>
      <c r="H2147" s="635"/>
      <c r="I2147" s="77"/>
      <c r="J2147" s="77"/>
      <c r="K2147" s="77"/>
    </row>
    <row r="2148" spans="1:11" x14ac:dyDescent="0.25">
      <c r="A2148" s="77"/>
      <c r="B2148" s="77"/>
      <c r="C2148" s="77" t="s">
        <v>12394</v>
      </c>
      <c r="D2148" s="767"/>
      <c r="F2148" s="152" t="s">
        <v>3</v>
      </c>
      <c r="G2148" s="427">
        <f>0.055*0.03*4*8*1.14</f>
        <v>6.0191999999999996E-2</v>
      </c>
      <c r="H2148" s="635"/>
      <c r="I2148" s="77"/>
      <c r="J2148" s="77"/>
      <c r="K2148" s="77"/>
    </row>
    <row r="2149" spans="1:11" x14ac:dyDescent="0.25">
      <c r="A2149" s="591"/>
      <c r="B2149" s="591"/>
      <c r="C2149" s="591"/>
      <c r="D2149" s="539"/>
      <c r="E2149" s="591"/>
      <c r="F2149" s="592"/>
      <c r="G2149" s="732"/>
      <c r="H2149" s="733"/>
      <c r="I2149" s="77"/>
      <c r="J2149" s="77"/>
      <c r="K2149" s="77"/>
    </row>
    <row r="2150" spans="1:11" x14ac:dyDescent="0.25">
      <c r="A2150" s="77"/>
      <c r="B2150" s="77"/>
      <c r="D2150" s="767"/>
      <c r="G2150" s="427"/>
      <c r="H2150" s="741" t="s">
        <v>12477</v>
      </c>
      <c r="I2150" s="77"/>
      <c r="J2150" s="77"/>
      <c r="K2150" s="77"/>
    </row>
    <row r="2151" spans="1:11" ht="15.75" x14ac:dyDescent="0.25">
      <c r="A2151" s="77"/>
      <c r="B2151" s="77"/>
      <c r="D2151" s="767"/>
      <c r="E2151" s="816" t="s">
        <v>12478</v>
      </c>
      <c r="G2151" s="427"/>
      <c r="H2151" s="635"/>
      <c r="I2151" s="77"/>
      <c r="J2151" s="77"/>
      <c r="K2151" s="77"/>
    </row>
    <row r="2152" spans="1:11" ht="15.75" x14ac:dyDescent="0.25">
      <c r="A2152" s="77"/>
      <c r="B2152" s="77"/>
      <c r="D2152" s="767"/>
      <c r="E2152" s="816"/>
      <c r="G2152" s="427"/>
      <c r="H2152" s="635"/>
      <c r="I2152" s="77"/>
      <c r="J2152" s="77"/>
      <c r="K2152" s="77"/>
    </row>
    <row r="2153" spans="1:11" x14ac:dyDescent="0.25">
      <c r="A2153" s="77"/>
      <c r="B2153" s="77"/>
      <c r="C2153" s="78" t="s">
        <v>12473</v>
      </c>
      <c r="D2153" s="767"/>
      <c r="G2153" s="427"/>
      <c r="H2153" s="635"/>
      <c r="I2153" s="77"/>
      <c r="J2153" s="77"/>
      <c r="K2153" s="77"/>
    </row>
    <row r="2154" spans="1:11" x14ac:dyDescent="0.25">
      <c r="A2154" s="77"/>
      <c r="B2154" s="77"/>
      <c r="C2154" s="77" t="s">
        <v>12475</v>
      </c>
      <c r="D2154" s="767"/>
      <c r="F2154" s="152" t="s">
        <v>3</v>
      </c>
      <c r="G2154" s="427">
        <f>0.49*0.24*5*8*1.148</f>
        <v>5.4001919999999997</v>
      </c>
      <c r="H2154" s="635"/>
      <c r="I2154" s="77"/>
      <c r="J2154" s="77"/>
      <c r="K2154" s="77"/>
    </row>
    <row r="2155" spans="1:11" x14ac:dyDescent="0.25">
      <c r="A2155" s="77"/>
      <c r="B2155" s="77"/>
      <c r="C2155" s="77" t="s">
        <v>114</v>
      </c>
      <c r="D2155" s="767"/>
      <c r="F2155" s="152" t="s">
        <v>3</v>
      </c>
      <c r="G2155" s="427">
        <f>G2157*0.71</f>
        <v>6.0117119999999996E-2</v>
      </c>
      <c r="H2155" s="635"/>
      <c r="I2155" s="77"/>
      <c r="J2155" s="77"/>
      <c r="K2155" s="77"/>
    </row>
    <row r="2156" spans="1:11" x14ac:dyDescent="0.25">
      <c r="A2156" s="77"/>
      <c r="B2156" s="77"/>
      <c r="C2156" s="77" t="s">
        <v>164</v>
      </c>
      <c r="F2156" s="152" t="s">
        <v>3</v>
      </c>
      <c r="G2156" s="427">
        <f>G2155*0.3</f>
        <v>1.8035135999999997E-2</v>
      </c>
      <c r="H2156" s="635"/>
      <c r="I2156" s="77"/>
      <c r="J2156" s="77"/>
      <c r="K2156" s="77"/>
    </row>
    <row r="2157" spans="1:11" x14ac:dyDescent="0.25">
      <c r="A2157" s="77"/>
      <c r="B2157" s="77"/>
      <c r="C2157" s="77" t="s">
        <v>72</v>
      </c>
      <c r="F2157" s="152" t="s">
        <v>3</v>
      </c>
      <c r="G2157" s="427">
        <f>0.49*0.24*2*0.15*2*1.2</f>
        <v>8.4671999999999997E-2</v>
      </c>
      <c r="H2157" s="635"/>
      <c r="I2157" s="77"/>
      <c r="J2157" s="77"/>
      <c r="K2157" s="77"/>
    </row>
    <row r="2158" spans="1:11" x14ac:dyDescent="0.25">
      <c r="A2158" s="77"/>
      <c r="B2158" s="77"/>
      <c r="C2158" s="77" t="s">
        <v>11</v>
      </c>
      <c r="D2158" s="767"/>
      <c r="F2158" s="152" t="s">
        <v>3</v>
      </c>
      <c r="G2158" s="427">
        <f>G2157*0.3</f>
        <v>2.54016E-2</v>
      </c>
      <c r="H2158" s="635"/>
      <c r="I2158" s="77"/>
      <c r="J2158" s="77"/>
      <c r="K2158" s="77"/>
    </row>
    <row r="2159" spans="1:11" x14ac:dyDescent="0.25">
      <c r="A2159" s="77"/>
      <c r="B2159" s="77"/>
      <c r="C2159" s="77" t="s">
        <v>12476</v>
      </c>
      <c r="D2159" s="767"/>
      <c r="F2159" s="152" t="s">
        <v>3</v>
      </c>
      <c r="G2159" s="427">
        <v>0.1</v>
      </c>
      <c r="H2159" s="635"/>
      <c r="I2159" s="77"/>
      <c r="J2159" s="77"/>
      <c r="K2159" s="77"/>
    </row>
    <row r="2160" spans="1:11" x14ac:dyDescent="0.25">
      <c r="A2160" s="77"/>
      <c r="B2160" s="77"/>
      <c r="D2160" s="767"/>
      <c r="G2160" s="427"/>
      <c r="H2160" s="635"/>
      <c r="I2160" s="77"/>
      <c r="J2160" s="77"/>
      <c r="K2160" s="77"/>
    </row>
    <row r="2161" spans="1:11" x14ac:dyDescent="0.25">
      <c r="A2161" s="77"/>
      <c r="B2161" s="77"/>
      <c r="C2161" s="78" t="s">
        <v>12474</v>
      </c>
      <c r="D2161" s="767"/>
      <c r="G2161" s="427"/>
      <c r="H2161" s="635"/>
      <c r="I2161" s="77"/>
      <c r="J2161" s="77"/>
      <c r="K2161" s="77"/>
    </row>
    <row r="2162" spans="1:11" x14ac:dyDescent="0.25">
      <c r="A2162" s="77"/>
      <c r="B2162" s="77"/>
      <c r="C2162" s="77" t="s">
        <v>12475</v>
      </c>
      <c r="D2162" s="767"/>
      <c r="F2162" s="152" t="s">
        <v>3</v>
      </c>
      <c r="G2162" s="427">
        <f>0.49*0.24*5*8*1.148</f>
        <v>5.4001919999999997</v>
      </c>
      <c r="H2162" s="635"/>
      <c r="I2162" s="77"/>
      <c r="J2162" s="77"/>
      <c r="K2162" s="77"/>
    </row>
    <row r="2163" spans="1:11" x14ac:dyDescent="0.25">
      <c r="A2163" s="77"/>
      <c r="B2163" s="77"/>
      <c r="C2163" s="77" t="s">
        <v>114</v>
      </c>
      <c r="D2163" s="767"/>
      <c r="F2163" s="152" t="s">
        <v>3</v>
      </c>
      <c r="G2163" s="427">
        <f>G2165*0.71</f>
        <v>6.0117119999999996E-2</v>
      </c>
      <c r="H2163" s="635"/>
      <c r="I2163" s="77"/>
      <c r="J2163" s="77"/>
      <c r="K2163" s="77"/>
    </row>
    <row r="2164" spans="1:11" x14ac:dyDescent="0.25">
      <c r="A2164" s="77"/>
      <c r="B2164" s="77"/>
      <c r="C2164" s="77" t="s">
        <v>164</v>
      </c>
      <c r="F2164" s="152" t="s">
        <v>3</v>
      </c>
      <c r="G2164" s="427">
        <f>G2163*0.3</f>
        <v>1.8035135999999997E-2</v>
      </c>
      <c r="H2164" s="635"/>
      <c r="I2164" s="77"/>
      <c r="J2164" s="77"/>
      <c r="K2164" s="77"/>
    </row>
    <row r="2165" spans="1:11" x14ac:dyDescent="0.25">
      <c r="A2165" s="77"/>
      <c r="B2165" s="77"/>
      <c r="C2165" s="77" t="s">
        <v>72</v>
      </c>
      <c r="F2165" s="152" t="s">
        <v>3</v>
      </c>
      <c r="G2165" s="427">
        <f>0.49*0.24*2*0.15*2*1.2</f>
        <v>8.4671999999999997E-2</v>
      </c>
      <c r="H2165" s="635"/>
      <c r="I2165" s="77"/>
      <c r="J2165" s="77"/>
      <c r="K2165" s="77"/>
    </row>
    <row r="2166" spans="1:11" x14ac:dyDescent="0.25">
      <c r="A2166" s="77"/>
      <c r="B2166" s="77"/>
      <c r="C2166" s="77" t="s">
        <v>11</v>
      </c>
      <c r="D2166" s="767"/>
      <c r="F2166" s="152" t="s">
        <v>3</v>
      </c>
      <c r="G2166" s="427">
        <f>G2165*0.3</f>
        <v>2.54016E-2</v>
      </c>
      <c r="H2166" s="635"/>
      <c r="I2166" s="77"/>
      <c r="J2166" s="77"/>
      <c r="K2166" s="77"/>
    </row>
    <row r="2167" spans="1:11" x14ac:dyDescent="0.25">
      <c r="A2167" s="77"/>
      <c r="B2167" s="77"/>
      <c r="C2167" s="77" t="s">
        <v>12476</v>
      </c>
      <c r="D2167" s="767"/>
      <c r="F2167" s="152" t="s">
        <v>3</v>
      </c>
      <c r="G2167" s="427">
        <v>0.1</v>
      </c>
      <c r="H2167" s="635"/>
      <c r="I2167" s="77"/>
      <c r="J2167" s="77"/>
      <c r="K2167" s="77"/>
    </row>
    <row r="2168" spans="1:11" x14ac:dyDescent="0.25">
      <c r="A2168" s="591"/>
      <c r="B2168" s="591"/>
      <c r="C2168" s="591"/>
      <c r="D2168" s="539"/>
      <c r="E2168" s="591"/>
      <c r="F2168" s="592"/>
      <c r="G2168" s="732"/>
      <c r="H2168" s="733"/>
      <c r="I2168" s="77"/>
      <c r="J2168" s="77"/>
      <c r="K2168" s="77"/>
    </row>
    <row r="2169" spans="1:11" x14ac:dyDescent="0.25">
      <c r="A2169" s="77"/>
      <c r="B2169" s="77"/>
      <c r="D2169" s="767"/>
      <c r="G2169" s="427"/>
      <c r="H2169" s="741" t="s">
        <v>12587</v>
      </c>
      <c r="I2169" s="77"/>
      <c r="J2169" s="77" t="s">
        <v>12588</v>
      </c>
      <c r="K2169" s="77"/>
    </row>
    <row r="2170" spans="1:11" x14ac:dyDescent="0.25">
      <c r="A2170" s="77"/>
      <c r="B2170" s="77"/>
      <c r="D2170" s="767"/>
      <c r="G2170" s="427"/>
      <c r="H2170" s="635"/>
      <c r="I2170" s="77"/>
      <c r="J2170" s="77"/>
      <c r="K2170" s="77"/>
    </row>
    <row r="2171" spans="1:11" x14ac:dyDescent="0.25">
      <c r="A2171" s="77"/>
      <c r="B2171" s="77"/>
      <c r="C2171" s="78" t="s">
        <v>12576</v>
      </c>
      <c r="D2171" s="767"/>
      <c r="G2171" s="427"/>
      <c r="H2171" s="635"/>
      <c r="I2171" s="77"/>
      <c r="J2171" s="77"/>
      <c r="K2171" s="77"/>
    </row>
    <row r="2172" spans="1:11" x14ac:dyDescent="0.25">
      <c r="A2172" s="77"/>
      <c r="B2172" s="77"/>
      <c r="C2172" s="77" t="s">
        <v>39</v>
      </c>
      <c r="D2172" s="73"/>
      <c r="E2172" s="152"/>
      <c r="F2172" s="152" t="s">
        <v>3</v>
      </c>
      <c r="G2172" s="427">
        <f>0.04*28*0.08*1.3</f>
        <v>0.11648000000000001</v>
      </c>
      <c r="H2172" s="635"/>
      <c r="I2172" s="77"/>
      <c r="J2172" s="77"/>
      <c r="K2172" s="77"/>
    </row>
    <row r="2173" spans="1:11" ht="17.25" x14ac:dyDescent="0.25">
      <c r="A2173" s="77"/>
      <c r="B2173" s="77"/>
      <c r="C2173" s="77" t="s">
        <v>1055</v>
      </c>
      <c r="D2173" s="73"/>
      <c r="E2173" s="152"/>
      <c r="F2173" s="74" t="s">
        <v>596</v>
      </c>
      <c r="G2173" s="153">
        <f>1.1*G2172</f>
        <v>0.12812800000000002</v>
      </c>
      <c r="H2173" s="635"/>
      <c r="I2173" s="77"/>
      <c r="J2173" s="77"/>
      <c r="K2173" s="77"/>
    </row>
    <row r="2174" spans="1:11" x14ac:dyDescent="0.25">
      <c r="A2174" s="77"/>
      <c r="B2174" s="77"/>
      <c r="C2174" s="77" t="s">
        <v>8</v>
      </c>
      <c r="D2174" s="73"/>
      <c r="E2174" s="152"/>
      <c r="F2174" s="74" t="s">
        <v>3</v>
      </c>
      <c r="G2174" s="153">
        <f>0.7*G2175</f>
        <v>0.49004927999999998</v>
      </c>
      <c r="H2174" s="635"/>
      <c r="I2174" s="77"/>
      <c r="J2174" s="77"/>
      <c r="K2174" s="77"/>
    </row>
    <row r="2175" spans="1:11" x14ac:dyDescent="0.25">
      <c r="A2175" s="77"/>
      <c r="B2175" s="77"/>
      <c r="C2175" s="77" t="s">
        <v>12586</v>
      </c>
      <c r="D2175" s="73"/>
      <c r="E2175" s="152"/>
      <c r="F2175" s="74" t="s">
        <v>3</v>
      </c>
      <c r="G2175" s="153">
        <f>(J2178+J2180+J2182+J2184+J2186+J2188)*0.03*2*1.18</f>
        <v>0.70007039999999998</v>
      </c>
      <c r="H2175" s="635"/>
      <c r="I2175" s="77"/>
      <c r="J2175" s="77"/>
      <c r="K2175" s="77"/>
    </row>
    <row r="2176" spans="1:11" x14ac:dyDescent="0.25">
      <c r="A2176" s="77"/>
      <c r="B2176" s="77"/>
      <c r="C2176" s="77" t="s">
        <v>12</v>
      </c>
      <c r="D2176" s="73"/>
      <c r="E2176" s="152"/>
      <c r="F2176" s="74" t="s">
        <v>3</v>
      </c>
      <c r="G2176" s="153">
        <f>0.3*(G2174+G2174)+0.006</f>
        <v>0.30002956799999997</v>
      </c>
      <c r="H2176" s="635"/>
      <c r="I2176" s="77"/>
      <c r="J2176" s="77"/>
      <c r="K2176" s="77"/>
    </row>
    <row r="2177" spans="1:12" x14ac:dyDescent="0.25">
      <c r="A2177" s="77"/>
      <c r="B2177" s="77"/>
      <c r="D2177" s="78" t="s">
        <v>12577</v>
      </c>
      <c r="G2177" s="153"/>
      <c r="H2177" s="635"/>
      <c r="I2177" s="77"/>
      <c r="J2177" s="77"/>
      <c r="K2177" s="77"/>
    </row>
    <row r="2178" spans="1:12" x14ac:dyDescent="0.25">
      <c r="A2178" s="77"/>
      <c r="B2178" s="77"/>
      <c r="D2178" s="77" t="s">
        <v>12584</v>
      </c>
      <c r="F2178" s="152" t="s">
        <v>3</v>
      </c>
      <c r="G2178" s="153">
        <f>2.37*L2178+0.001</f>
        <v>1.66</v>
      </c>
      <c r="H2178" s="635"/>
      <c r="I2178" s="789" t="s">
        <v>10149</v>
      </c>
      <c r="J2178" s="790">
        <v>0.63</v>
      </c>
      <c r="K2178" s="789" t="s">
        <v>10150</v>
      </c>
      <c r="L2178" s="791">
        <v>0.7</v>
      </c>
    </row>
    <row r="2179" spans="1:12" x14ac:dyDescent="0.25">
      <c r="A2179" s="77"/>
      <c r="B2179" s="77"/>
      <c r="D2179" s="78" t="s">
        <v>12578</v>
      </c>
      <c r="G2179" s="153"/>
      <c r="H2179" s="635"/>
      <c r="I2179" s="77"/>
      <c r="J2179" s="77"/>
      <c r="K2179" s="77"/>
    </row>
    <row r="2180" spans="1:12" x14ac:dyDescent="0.25">
      <c r="A2180" s="77"/>
      <c r="B2180" s="77"/>
      <c r="D2180" s="77" t="s">
        <v>12584</v>
      </c>
      <c r="F2180" s="152" t="s">
        <v>3</v>
      </c>
      <c r="G2180" s="153">
        <f>2.37*L2180</f>
        <v>9.48</v>
      </c>
      <c r="H2180" s="635"/>
      <c r="I2180" s="789" t="s">
        <v>10149</v>
      </c>
      <c r="J2180" s="790">
        <v>3.8540000000000001</v>
      </c>
      <c r="K2180" s="789" t="s">
        <v>10150</v>
      </c>
      <c r="L2180" s="791">
        <v>4</v>
      </c>
    </row>
    <row r="2181" spans="1:12" x14ac:dyDescent="0.25">
      <c r="A2181" s="77"/>
      <c r="B2181" s="77"/>
      <c r="D2181" s="78" t="s">
        <v>12579</v>
      </c>
      <c r="G2181" s="153"/>
      <c r="H2181" s="635"/>
      <c r="I2181" s="77"/>
      <c r="J2181" s="77"/>
      <c r="K2181" s="77"/>
    </row>
    <row r="2182" spans="1:12" x14ac:dyDescent="0.25">
      <c r="A2182" s="77"/>
      <c r="B2182" s="77"/>
      <c r="D2182" s="77" t="s">
        <v>12584</v>
      </c>
      <c r="F2182" s="152" t="s">
        <v>3</v>
      </c>
      <c r="G2182" s="153">
        <f>2.37*L2182</f>
        <v>9.48</v>
      </c>
      <c r="H2182" s="635"/>
      <c r="I2182" s="789" t="s">
        <v>10149</v>
      </c>
      <c r="J2182" s="790">
        <v>3.8540000000000001</v>
      </c>
      <c r="K2182" s="789" t="s">
        <v>10150</v>
      </c>
      <c r="L2182" s="791">
        <v>4</v>
      </c>
    </row>
    <row r="2183" spans="1:12" x14ac:dyDescent="0.25">
      <c r="A2183" s="77"/>
      <c r="B2183" s="77"/>
      <c r="D2183" s="78" t="s">
        <v>12580</v>
      </c>
      <c r="G2183" s="153"/>
      <c r="H2183" s="635"/>
      <c r="I2183" s="77"/>
      <c r="J2183" s="77"/>
      <c r="K2183" s="77"/>
    </row>
    <row r="2184" spans="1:12" x14ac:dyDescent="0.25">
      <c r="A2184" s="77"/>
      <c r="B2184" s="77"/>
      <c r="D2184" s="77" t="s">
        <v>12584</v>
      </c>
      <c r="F2184" s="152" t="s">
        <v>3</v>
      </c>
      <c r="G2184" s="153">
        <f>2.37*L2184</f>
        <v>1.4219999999999999</v>
      </c>
      <c r="H2184" s="635"/>
      <c r="I2184" s="789" t="s">
        <v>10149</v>
      </c>
      <c r="J2184" s="790">
        <v>0.55000000000000004</v>
      </c>
      <c r="K2184" s="789" t="s">
        <v>10150</v>
      </c>
      <c r="L2184" s="791">
        <v>0.6</v>
      </c>
    </row>
    <row r="2185" spans="1:12" x14ac:dyDescent="0.25">
      <c r="A2185" s="77"/>
      <c r="B2185" s="77"/>
      <c r="D2185" s="78" t="s">
        <v>12581</v>
      </c>
      <c r="G2185" s="153"/>
      <c r="H2185" s="635"/>
      <c r="I2185" s="77"/>
      <c r="J2185" s="77"/>
      <c r="K2185" s="77"/>
    </row>
    <row r="2186" spans="1:12" x14ac:dyDescent="0.25">
      <c r="A2186" s="77"/>
      <c r="B2186" s="77"/>
      <c r="D2186" s="77" t="s">
        <v>12584</v>
      </c>
      <c r="F2186" s="152" t="s">
        <v>3</v>
      </c>
      <c r="G2186" s="153">
        <f>2.37*L2186+0.001</f>
        <v>1.3045</v>
      </c>
      <c r="H2186" s="635"/>
      <c r="I2186" s="789" t="s">
        <v>10149</v>
      </c>
      <c r="J2186" s="790">
        <v>0.5</v>
      </c>
      <c r="K2186" s="789" t="s">
        <v>10150</v>
      </c>
      <c r="L2186" s="791">
        <v>0.55000000000000004</v>
      </c>
    </row>
    <row r="2187" spans="1:12" x14ac:dyDescent="0.25">
      <c r="A2187" s="77"/>
      <c r="B2187" s="77"/>
      <c r="D2187" s="78" t="s">
        <v>12582</v>
      </c>
      <c r="G2187" s="153"/>
      <c r="H2187" s="635"/>
      <c r="I2187" s="77"/>
      <c r="J2187" s="77"/>
      <c r="K2187" s="77"/>
    </row>
    <row r="2188" spans="1:12" x14ac:dyDescent="0.25">
      <c r="A2188" s="77"/>
      <c r="B2188" s="77"/>
      <c r="D2188" s="77" t="s">
        <v>12584</v>
      </c>
      <c r="F2188" s="152" t="s">
        <v>3</v>
      </c>
      <c r="G2188" s="153">
        <f>2.37*L2188+0.001</f>
        <v>1.3045</v>
      </c>
      <c r="H2188" s="635"/>
      <c r="I2188" s="789" t="s">
        <v>10149</v>
      </c>
      <c r="J2188" s="790">
        <v>0.5</v>
      </c>
      <c r="K2188" s="789" t="s">
        <v>10150</v>
      </c>
      <c r="L2188" s="791">
        <v>0.55000000000000004</v>
      </c>
    </row>
    <row r="2189" spans="1:12" x14ac:dyDescent="0.25">
      <c r="A2189" s="77"/>
      <c r="B2189" s="77"/>
      <c r="D2189" s="78" t="s">
        <v>12583</v>
      </c>
      <c r="G2189" s="153"/>
      <c r="H2189" s="635"/>
      <c r="I2189" s="77"/>
      <c r="J2189" s="77"/>
      <c r="K2189" s="77"/>
    </row>
    <row r="2190" spans="1:12" x14ac:dyDescent="0.25">
      <c r="A2190" s="77"/>
      <c r="B2190" s="77"/>
      <c r="D2190" s="77" t="s">
        <v>12585</v>
      </c>
      <c r="F2190" s="152" t="s">
        <v>3</v>
      </c>
      <c r="G2190" s="153">
        <f>0.08*0.04*5*8*1.17</f>
        <v>0.14976</v>
      </c>
      <c r="H2190" s="635"/>
      <c r="I2190" s="77"/>
      <c r="J2190" s="77"/>
      <c r="K2190" s="77"/>
    </row>
    <row r="2191" spans="1:12" x14ac:dyDescent="0.25">
      <c r="A2191" s="591"/>
      <c r="B2191" s="591"/>
      <c r="C2191" s="591"/>
      <c r="D2191" s="539"/>
      <c r="E2191" s="591"/>
      <c r="F2191" s="592"/>
      <c r="G2191" s="600"/>
      <c r="H2191" s="733"/>
      <c r="I2191" s="77"/>
      <c r="J2191" s="77"/>
      <c r="K2191" s="77"/>
    </row>
    <row r="2192" spans="1:12" x14ac:dyDescent="0.25">
      <c r="A2192" s="77"/>
      <c r="B2192" s="77"/>
      <c r="D2192" s="767"/>
      <c r="G2192" s="427"/>
      <c r="H2192" s="77"/>
      <c r="I2192" s="77"/>
      <c r="J2192" s="77"/>
      <c r="K2192" s="77"/>
    </row>
    <row r="2193" spans="1:11" x14ac:dyDescent="0.25">
      <c r="A2193" s="77"/>
      <c r="B2193" s="77"/>
      <c r="D2193" s="767"/>
      <c r="G2193" s="427"/>
      <c r="H2193" s="77"/>
      <c r="I2193" s="77"/>
      <c r="J2193" s="77"/>
      <c r="K2193" s="77"/>
    </row>
    <row r="2194" spans="1:11" x14ac:dyDescent="0.25">
      <c r="A2194" s="77"/>
      <c r="B2194" s="77"/>
      <c r="D2194" s="767"/>
      <c r="G2194" s="427"/>
      <c r="H2194" s="77"/>
      <c r="I2194" s="77"/>
      <c r="J2194" s="77"/>
      <c r="K2194" s="77"/>
    </row>
    <row r="2195" spans="1:11" x14ac:dyDescent="0.25">
      <c r="A2195" s="77"/>
      <c r="B2195" s="77"/>
      <c r="D2195" s="767"/>
      <c r="G2195" s="427"/>
      <c r="H2195" s="77"/>
      <c r="I2195" s="77"/>
      <c r="J2195" s="77"/>
      <c r="K2195" s="77"/>
    </row>
    <row r="2196" spans="1:11" x14ac:dyDescent="0.25">
      <c r="A2196" s="77"/>
      <c r="B2196" s="77"/>
      <c r="D2196" s="767"/>
      <c r="G2196" s="427"/>
      <c r="H2196" s="77"/>
      <c r="I2196" s="77"/>
      <c r="J2196" s="77"/>
      <c r="K2196" s="77"/>
    </row>
    <row r="2197" spans="1:11" x14ac:dyDescent="0.25">
      <c r="A2197" s="77"/>
      <c r="B2197" s="77"/>
      <c r="D2197" s="767"/>
      <c r="G2197" s="427"/>
      <c r="H2197" s="77"/>
      <c r="I2197" s="77"/>
      <c r="J2197" s="77"/>
      <c r="K2197" s="77"/>
    </row>
    <row r="2198" spans="1:11" x14ac:dyDescent="0.25">
      <c r="A2198" s="77"/>
      <c r="B2198" s="77"/>
      <c r="D2198" s="767"/>
      <c r="G2198" s="427"/>
      <c r="H2198" s="77"/>
      <c r="I2198" s="77"/>
      <c r="J2198" s="77"/>
      <c r="K2198" s="77"/>
    </row>
    <row r="2199" spans="1:11" x14ac:dyDescent="0.25">
      <c r="A2199" s="77"/>
      <c r="B2199" s="77"/>
      <c r="D2199" s="767"/>
      <c r="G2199" s="427"/>
      <c r="H2199" s="77"/>
      <c r="I2199" s="77"/>
      <c r="J2199" s="77"/>
      <c r="K2199" s="77"/>
    </row>
    <row r="2200" spans="1:11" x14ac:dyDescent="0.25">
      <c r="A2200" s="77"/>
      <c r="B2200" s="77"/>
      <c r="D2200" s="767"/>
      <c r="G2200" s="427"/>
      <c r="H2200" s="77"/>
      <c r="I2200" s="77"/>
      <c r="J2200" s="77"/>
      <c r="K2200" s="77"/>
    </row>
    <row r="2201" spans="1:11" x14ac:dyDescent="0.25">
      <c r="A2201" s="77"/>
      <c r="B2201" s="77"/>
      <c r="D2201" s="767"/>
      <c r="G2201" s="427"/>
      <c r="H2201" s="77"/>
      <c r="I2201" s="77"/>
      <c r="J2201" s="77"/>
      <c r="K2201" s="77"/>
    </row>
    <row r="2202" spans="1:11" x14ac:dyDescent="0.25">
      <c r="A2202" s="77"/>
      <c r="B2202" s="77"/>
      <c r="D2202" s="767"/>
      <c r="G2202" s="427"/>
      <c r="H2202" s="77"/>
      <c r="I2202" s="77"/>
      <c r="J2202" s="77"/>
      <c r="K2202" s="77"/>
    </row>
    <row r="2203" spans="1:11" x14ac:dyDescent="0.25">
      <c r="A2203" s="77"/>
      <c r="B2203" s="77"/>
      <c r="D2203" s="767"/>
      <c r="G2203" s="427"/>
      <c r="H2203" s="77"/>
      <c r="I2203" s="77"/>
      <c r="J2203" s="77"/>
      <c r="K2203" s="77"/>
    </row>
    <row r="2204" spans="1:11" x14ac:dyDescent="0.25">
      <c r="A2204" s="77"/>
      <c r="B2204" s="77"/>
      <c r="D2204" s="767"/>
      <c r="G2204" s="427"/>
      <c r="H2204" s="77"/>
      <c r="I2204" s="77"/>
      <c r="J2204" s="77"/>
      <c r="K2204" s="77"/>
    </row>
    <row r="2205" spans="1:11" x14ac:dyDescent="0.25">
      <c r="A2205" s="77"/>
      <c r="B2205" s="77"/>
      <c r="D2205" s="767"/>
      <c r="G2205" s="427"/>
      <c r="H2205" s="77"/>
      <c r="I2205" s="77"/>
      <c r="J2205" s="77"/>
      <c r="K2205" s="77"/>
    </row>
    <row r="2206" spans="1:11" x14ac:dyDescent="0.25">
      <c r="A2206" s="77"/>
      <c r="B2206" s="77"/>
      <c r="D2206" s="767"/>
      <c r="G2206" s="427"/>
      <c r="H2206" s="77"/>
      <c r="I2206" s="77"/>
      <c r="J2206" s="77"/>
      <c r="K2206" s="77"/>
    </row>
    <row r="2207" spans="1:11" x14ac:dyDescent="0.25">
      <c r="A2207" s="77"/>
      <c r="B2207" s="77"/>
      <c r="D2207" s="767"/>
      <c r="G2207" s="427"/>
      <c r="H2207" s="77"/>
      <c r="I2207" s="77"/>
      <c r="J2207" s="77"/>
      <c r="K2207" s="77"/>
    </row>
    <row r="2208" spans="1:11" x14ac:dyDescent="0.25">
      <c r="A2208" s="77"/>
      <c r="B2208" s="77"/>
      <c r="D2208" s="767"/>
      <c r="G2208" s="427"/>
      <c r="H2208" s="77"/>
      <c r="I2208" s="77"/>
      <c r="J2208" s="77"/>
      <c r="K2208" s="77"/>
    </row>
    <row r="2209" spans="1:11" x14ac:dyDescent="0.25">
      <c r="A2209" s="77"/>
      <c r="B2209" s="77"/>
      <c r="D2209" s="767"/>
      <c r="G2209" s="427"/>
      <c r="H2209" s="77"/>
      <c r="I2209" s="77"/>
      <c r="J2209" s="77"/>
      <c r="K2209" s="77"/>
    </row>
    <row r="2210" spans="1:11" x14ac:dyDescent="0.25">
      <c r="A2210" s="77"/>
      <c r="B2210" s="77"/>
      <c r="C2210" s="78" t="s">
        <v>12617</v>
      </c>
      <c r="D2210" s="767"/>
      <c r="G2210" s="427"/>
      <c r="H2210" s="77"/>
      <c r="I2210" s="77"/>
      <c r="J2210" s="77"/>
      <c r="K2210" s="77"/>
    </row>
    <row r="2211" spans="1:11" x14ac:dyDescent="0.25">
      <c r="A2211" s="77"/>
      <c r="B2211" s="77"/>
      <c r="C2211" s="767"/>
      <c r="D2211" s="767"/>
      <c r="G2211" s="427"/>
      <c r="H2211" s="77"/>
      <c r="I2211" s="77"/>
      <c r="J2211" s="77"/>
      <c r="K2211" s="77"/>
    </row>
    <row r="2212" spans="1:11" x14ac:dyDescent="0.25">
      <c r="A2212" s="77"/>
      <c r="B2212" s="77"/>
      <c r="C2212" s="767" t="s">
        <v>12590</v>
      </c>
      <c r="D2212" s="767"/>
      <c r="G2212" s="427"/>
      <c r="H2212" s="77"/>
      <c r="I2212" s="77"/>
      <c r="J2212" s="77"/>
      <c r="K2212" s="77"/>
    </row>
    <row r="2213" spans="1:11" x14ac:dyDescent="0.25">
      <c r="A2213" s="77"/>
      <c r="B2213" s="77"/>
      <c r="C2213" s="767" t="s">
        <v>12591</v>
      </c>
      <c r="D2213" s="767"/>
      <c r="G2213" s="427"/>
      <c r="H2213" s="77"/>
      <c r="I2213" s="77"/>
      <c r="J2213" s="77"/>
      <c r="K2213" s="77"/>
    </row>
    <row r="2214" spans="1:11" x14ac:dyDescent="0.25">
      <c r="A2214" s="77"/>
      <c r="B2214" s="77"/>
      <c r="C2214" s="767" t="s">
        <v>12592</v>
      </c>
      <c r="D2214" s="767"/>
      <c r="G2214" s="427"/>
      <c r="H2214" s="77"/>
      <c r="I2214" s="77"/>
      <c r="J2214" s="77"/>
      <c r="K2214" s="77"/>
    </row>
    <row r="2215" spans="1:11" x14ac:dyDescent="0.25">
      <c r="A2215" s="77"/>
      <c r="B2215" s="77"/>
      <c r="C2215" s="767" t="s">
        <v>12593</v>
      </c>
      <c r="D2215" s="767"/>
      <c r="G2215" s="427"/>
      <c r="H2215" s="77"/>
      <c r="I2215" s="77"/>
      <c r="J2215" s="77"/>
      <c r="K2215" s="77"/>
    </row>
    <row r="2216" spans="1:11" x14ac:dyDescent="0.25">
      <c r="A2216" s="77"/>
      <c r="B2216" s="77"/>
      <c r="C2216" s="767" t="s">
        <v>12594</v>
      </c>
      <c r="D2216" s="767"/>
      <c r="G2216" s="427"/>
      <c r="H2216" s="77"/>
      <c r="I2216" s="77"/>
      <c r="J2216" s="77"/>
      <c r="K2216" s="77"/>
    </row>
    <row r="2217" spans="1:11" x14ac:dyDescent="0.25">
      <c r="A2217" s="77"/>
      <c r="B2217" s="77"/>
      <c r="C2217" s="767" t="s">
        <v>12595</v>
      </c>
      <c r="D2217" s="767"/>
      <c r="G2217" s="427"/>
      <c r="H2217" s="77"/>
      <c r="I2217" s="77"/>
      <c r="J2217" s="77"/>
      <c r="K2217" s="77"/>
    </row>
    <row r="2218" spans="1:11" x14ac:dyDescent="0.25">
      <c r="A2218" s="77"/>
      <c r="B2218" s="77"/>
      <c r="C2218" s="767" t="s">
        <v>12596</v>
      </c>
      <c r="D2218" s="767"/>
      <c r="G2218" s="427"/>
      <c r="H2218" s="77"/>
      <c r="I2218" s="77"/>
      <c r="J2218" s="77"/>
      <c r="K2218" s="77"/>
    </row>
    <row r="2219" spans="1:11" x14ac:dyDescent="0.25">
      <c r="A2219" s="77"/>
      <c r="B2219" s="77"/>
      <c r="C2219" s="767" t="s">
        <v>12597</v>
      </c>
      <c r="D2219" s="767"/>
      <c r="G2219" s="427"/>
      <c r="H2219" s="77"/>
      <c r="I2219" s="77"/>
      <c r="J2219" s="77"/>
      <c r="K2219" s="77"/>
    </row>
    <row r="2220" spans="1:11" x14ac:dyDescent="0.25">
      <c r="A2220" s="77"/>
      <c r="B2220" s="77"/>
      <c r="C2220" s="767" t="s">
        <v>12598</v>
      </c>
      <c r="D2220" s="767"/>
      <c r="G2220" s="427"/>
      <c r="H2220" s="77"/>
      <c r="I2220" s="77"/>
      <c r="J2220" s="77"/>
      <c r="K2220" s="77"/>
    </row>
    <row r="2221" spans="1:11" x14ac:dyDescent="0.25">
      <c r="A2221" s="77"/>
      <c r="B2221" s="77"/>
      <c r="C2221" s="767" t="s">
        <v>12599</v>
      </c>
      <c r="D2221" s="767"/>
      <c r="G2221" s="427"/>
      <c r="H2221" s="77"/>
      <c r="I2221" s="77"/>
      <c r="J2221" s="77"/>
      <c r="K2221" s="77"/>
    </row>
    <row r="2222" spans="1:11" x14ac:dyDescent="0.25">
      <c r="A2222" s="77"/>
      <c r="B2222" s="77"/>
      <c r="C2222" s="767" t="s">
        <v>12600</v>
      </c>
      <c r="D2222" s="767"/>
      <c r="G2222" s="427"/>
      <c r="H2222" s="77"/>
      <c r="I2222" s="77"/>
      <c r="J2222" s="77"/>
      <c r="K2222" s="77"/>
    </row>
    <row r="2223" spans="1:11" x14ac:dyDescent="0.25">
      <c r="A2223" s="77"/>
      <c r="B2223" s="77"/>
      <c r="C2223" s="767" t="s">
        <v>12601</v>
      </c>
      <c r="D2223" s="767"/>
      <c r="G2223" s="427"/>
      <c r="H2223" s="77"/>
      <c r="I2223" s="77"/>
      <c r="J2223" s="77"/>
      <c r="K2223" s="77"/>
    </row>
    <row r="2224" spans="1:11" x14ac:dyDescent="0.25">
      <c r="A2224" s="77"/>
      <c r="B2224" s="77"/>
      <c r="C2224" s="767" t="s">
        <v>12602</v>
      </c>
      <c r="D2224" s="767"/>
      <c r="G2224" s="427"/>
      <c r="H2224" s="77"/>
      <c r="I2224" s="77"/>
      <c r="J2224" s="77"/>
      <c r="K2224" s="77"/>
    </row>
    <row r="2225" spans="1:11" x14ac:dyDescent="0.25">
      <c r="A2225" s="77"/>
      <c r="B2225" s="77"/>
      <c r="C2225" s="767" t="s">
        <v>12603</v>
      </c>
      <c r="D2225" s="767"/>
      <c r="G2225" s="427"/>
      <c r="H2225" s="77"/>
      <c r="I2225" s="77"/>
      <c r="J2225" s="77"/>
      <c r="K2225" s="77"/>
    </row>
    <row r="2226" spans="1:11" x14ac:dyDescent="0.25">
      <c r="A2226" s="77"/>
      <c r="B2226" s="77"/>
      <c r="C2226" s="767" t="s">
        <v>12604</v>
      </c>
      <c r="D2226" s="767"/>
      <c r="G2226" s="427"/>
      <c r="H2226" s="77"/>
      <c r="I2226" s="77"/>
      <c r="J2226" s="77"/>
      <c r="K2226" s="77"/>
    </row>
    <row r="2227" spans="1:11" x14ac:dyDescent="0.25">
      <c r="A2227" s="77"/>
      <c r="B2227" s="77"/>
      <c r="C2227" s="767" t="s">
        <v>12605</v>
      </c>
      <c r="D2227" s="767"/>
      <c r="G2227" s="427"/>
      <c r="H2227" s="77"/>
      <c r="I2227" s="77"/>
      <c r="J2227" s="77"/>
      <c r="K2227" s="77"/>
    </row>
    <row r="2228" spans="1:11" x14ac:dyDescent="0.25">
      <c r="A2228" s="77"/>
      <c r="B2228" s="77"/>
      <c r="C2228" s="767" t="s">
        <v>12606</v>
      </c>
      <c r="D2228" s="767"/>
      <c r="G2228" s="427"/>
      <c r="H2228" s="77"/>
      <c r="I2228" s="77"/>
      <c r="J2228" s="77"/>
      <c r="K2228" s="77"/>
    </row>
    <row r="2229" spans="1:11" x14ac:dyDescent="0.25">
      <c r="A2229" s="77"/>
      <c r="B2229" s="77"/>
      <c r="C2229" s="767" t="s">
        <v>12607</v>
      </c>
      <c r="D2229" s="767"/>
      <c r="G2229" s="427"/>
      <c r="H2229" s="77"/>
      <c r="I2229" s="77"/>
      <c r="J2229" s="77"/>
      <c r="K2229" s="77"/>
    </row>
    <row r="2230" spans="1:11" x14ac:dyDescent="0.25">
      <c r="A2230" s="77"/>
      <c r="B2230" s="77"/>
      <c r="C2230" s="767" t="s">
        <v>12608</v>
      </c>
      <c r="D2230" s="767"/>
      <c r="G2230" s="427"/>
      <c r="H2230" s="77"/>
      <c r="I2230" s="77"/>
      <c r="J2230" s="77"/>
      <c r="K2230" s="77"/>
    </row>
    <row r="2231" spans="1:11" x14ac:dyDescent="0.25">
      <c r="A2231" s="77"/>
      <c r="B2231" s="77"/>
      <c r="C2231" s="767" t="s">
        <v>12609</v>
      </c>
      <c r="D2231" s="767"/>
      <c r="G2231" s="427"/>
      <c r="H2231" s="77"/>
      <c r="I2231" s="77"/>
      <c r="J2231" s="77"/>
      <c r="K2231" s="77"/>
    </row>
    <row r="2232" spans="1:11" x14ac:dyDescent="0.25">
      <c r="A2232" s="77"/>
      <c r="B2232" s="77"/>
      <c r="C2232" s="767" t="s">
        <v>12610</v>
      </c>
      <c r="D2232" s="767"/>
      <c r="G2232" s="427"/>
      <c r="H2232" s="77"/>
      <c r="I2232" s="77"/>
      <c r="J2232" s="77"/>
      <c r="K2232" s="77"/>
    </row>
    <row r="2233" spans="1:11" x14ac:dyDescent="0.25">
      <c r="A2233" s="77"/>
      <c r="B2233" s="77"/>
      <c r="C2233" s="767" t="s">
        <v>12611</v>
      </c>
      <c r="D2233" s="767"/>
      <c r="G2233" s="427"/>
      <c r="H2233" s="77"/>
      <c r="I2233" s="77"/>
      <c r="J2233" s="77"/>
      <c r="K2233" s="77"/>
    </row>
    <row r="2234" spans="1:11" x14ac:dyDescent="0.25">
      <c r="A2234" s="77"/>
      <c r="B2234" s="77"/>
      <c r="C2234" s="767" t="s">
        <v>12612</v>
      </c>
      <c r="D2234" s="767"/>
      <c r="G2234" s="427"/>
      <c r="H2234" s="77"/>
      <c r="I2234" s="77"/>
      <c r="J2234" s="77"/>
      <c r="K2234" s="77"/>
    </row>
    <row r="2235" spans="1:11" x14ac:dyDescent="0.25">
      <c r="A2235" s="77"/>
      <c r="B2235" s="77"/>
      <c r="C2235" s="767" t="s">
        <v>12613</v>
      </c>
      <c r="D2235" s="767"/>
      <c r="G2235" s="427"/>
      <c r="H2235" s="77"/>
      <c r="I2235" s="77"/>
      <c r="J2235" s="77"/>
      <c r="K2235" s="77"/>
    </row>
    <row r="2236" spans="1:11" x14ac:dyDescent="0.25">
      <c r="A2236" s="77"/>
      <c r="B2236" s="77"/>
      <c r="C2236" s="767" t="s">
        <v>12614</v>
      </c>
      <c r="D2236" s="767"/>
      <c r="G2236" s="427"/>
      <c r="H2236" s="77"/>
      <c r="I2236" s="77"/>
      <c r="J2236" s="77"/>
      <c r="K2236" s="77"/>
    </row>
    <row r="2237" spans="1:11" x14ac:dyDescent="0.25">
      <c r="A2237" s="77"/>
      <c r="B2237" s="77"/>
      <c r="C2237" s="767" t="s">
        <v>12615</v>
      </c>
      <c r="D2237" s="767"/>
      <c r="G2237" s="427"/>
      <c r="H2237" s="77"/>
      <c r="I2237" s="77"/>
      <c r="J2237" s="77"/>
      <c r="K2237" s="77"/>
    </row>
    <row r="2238" spans="1:11" x14ac:dyDescent="0.25">
      <c r="A2238" s="77"/>
      <c r="B2238" s="77"/>
      <c r="C2238" s="767" t="s">
        <v>12616</v>
      </c>
      <c r="D2238" s="767"/>
      <c r="G2238" s="427"/>
      <c r="H2238" s="77"/>
      <c r="I2238" s="77"/>
      <c r="J2238" s="77"/>
      <c r="K2238" s="77"/>
    </row>
    <row r="2239" spans="1:11" x14ac:dyDescent="0.25">
      <c r="A2239" s="77"/>
      <c r="B2239" s="77"/>
      <c r="D2239" s="767"/>
      <c r="G2239" s="427"/>
      <c r="H2239" s="77"/>
      <c r="I2239" s="77"/>
      <c r="J2239" s="77"/>
      <c r="K2239" s="77"/>
    </row>
    <row r="2240" spans="1:11" x14ac:dyDescent="0.25">
      <c r="A2240" s="77"/>
      <c r="B2240" s="77"/>
      <c r="D2240" s="767"/>
      <c r="G2240" s="427"/>
      <c r="H2240" s="77"/>
      <c r="I2240" s="77"/>
      <c r="J2240" s="77"/>
      <c r="K2240" s="77"/>
    </row>
    <row r="2241" spans="1:11" x14ac:dyDescent="0.25">
      <c r="A2241" s="77"/>
      <c r="B2241" s="77"/>
      <c r="D2241" s="767"/>
      <c r="G2241" s="427"/>
      <c r="H2241" s="77"/>
      <c r="I2241" s="77"/>
      <c r="J2241" s="77"/>
      <c r="K2241" s="77"/>
    </row>
    <row r="2242" spans="1:11" x14ac:dyDescent="0.25">
      <c r="A2242" s="77"/>
      <c r="B2242" s="77"/>
      <c r="D2242" s="767"/>
      <c r="G2242" s="427"/>
      <c r="H2242" s="77"/>
      <c r="I2242" s="77"/>
      <c r="J2242" s="77"/>
      <c r="K2242" s="77"/>
    </row>
    <row r="2243" spans="1:11" x14ac:dyDescent="0.25">
      <c r="A2243" s="77"/>
      <c r="B2243" s="77"/>
      <c r="D2243" s="767"/>
      <c r="G2243" s="427"/>
      <c r="H2243" s="77"/>
      <c r="I2243" s="77"/>
      <c r="J2243" s="77"/>
      <c r="K2243" s="77"/>
    </row>
    <row r="2244" spans="1:11" x14ac:dyDescent="0.25">
      <c r="A2244" s="77"/>
      <c r="B2244" s="77"/>
      <c r="D2244" s="767"/>
      <c r="G2244" s="427"/>
      <c r="H2244" s="77"/>
      <c r="I2244" s="77"/>
      <c r="J2244" s="77"/>
      <c r="K2244" s="77"/>
    </row>
    <row r="2245" spans="1:11" x14ac:dyDescent="0.25">
      <c r="A2245" s="77"/>
      <c r="B2245" s="77"/>
      <c r="D2245" s="767"/>
      <c r="G2245" s="427"/>
      <c r="H2245" s="77"/>
      <c r="I2245" s="77"/>
      <c r="J2245" s="77"/>
      <c r="K2245" s="77"/>
    </row>
    <row r="2246" spans="1:11" x14ac:dyDescent="0.25">
      <c r="A2246" s="77"/>
      <c r="B2246" s="77"/>
      <c r="D2246" s="767"/>
      <c r="G2246" s="427"/>
      <c r="H2246" s="77"/>
      <c r="I2246" s="77"/>
      <c r="J2246" s="77"/>
      <c r="K2246" s="77"/>
    </row>
    <row r="2247" spans="1:11" x14ac:dyDescent="0.25">
      <c r="A2247" s="77"/>
      <c r="B2247" s="77"/>
      <c r="D2247" s="767"/>
      <c r="G2247" s="427"/>
      <c r="H2247" s="77"/>
      <c r="I2247" s="77"/>
      <c r="J2247" s="77"/>
      <c r="K2247" s="77"/>
    </row>
    <row r="2248" spans="1:11" x14ac:dyDescent="0.25">
      <c r="A2248" s="77"/>
      <c r="B2248" s="77"/>
      <c r="D2248" s="767"/>
      <c r="G2248" s="427"/>
      <c r="H2248" s="77"/>
      <c r="I2248" s="77"/>
      <c r="J2248" s="77"/>
      <c r="K2248" s="77"/>
    </row>
    <row r="2249" spans="1:11" x14ac:dyDescent="0.25">
      <c r="A2249" s="77"/>
      <c r="B2249" s="77"/>
      <c r="D2249" s="767"/>
      <c r="G2249" s="427"/>
      <c r="H2249" s="77"/>
      <c r="I2249" s="77"/>
      <c r="J2249" s="77"/>
      <c r="K2249" s="77"/>
    </row>
    <row r="2250" spans="1:11" x14ac:dyDescent="0.25">
      <c r="A2250" s="77"/>
      <c r="B2250" s="77"/>
      <c r="D2250" s="767"/>
      <c r="G2250" s="427"/>
      <c r="H2250" s="77"/>
      <c r="I2250" s="77"/>
      <c r="J2250" s="77"/>
      <c r="K2250" s="77"/>
    </row>
    <row r="2251" spans="1:11" x14ac:dyDescent="0.25">
      <c r="A2251" s="77"/>
      <c r="B2251" s="77"/>
      <c r="D2251" s="767"/>
      <c r="G2251" s="427"/>
      <c r="H2251" s="77"/>
      <c r="I2251" s="77"/>
      <c r="J2251" s="77"/>
      <c r="K2251" s="77"/>
    </row>
    <row r="2252" spans="1:11" x14ac:dyDescent="0.25">
      <c r="A2252" s="77"/>
      <c r="B2252" s="77"/>
      <c r="D2252" s="767"/>
      <c r="G2252" s="427"/>
      <c r="H2252" s="77"/>
      <c r="I2252" s="77"/>
      <c r="J2252" s="77"/>
      <c r="K2252" s="77"/>
    </row>
    <row r="2253" spans="1:11" x14ac:dyDescent="0.25">
      <c r="A2253" s="77"/>
      <c r="B2253" s="77"/>
      <c r="D2253" s="767"/>
      <c r="G2253" s="427"/>
      <c r="H2253" s="77"/>
      <c r="I2253" s="77"/>
      <c r="J2253" s="77"/>
      <c r="K2253" s="77"/>
    </row>
    <row r="2254" spans="1:11" x14ac:dyDescent="0.25">
      <c r="A2254" s="77"/>
      <c r="B2254" s="77"/>
      <c r="C2254" s="767" t="s">
        <v>12202</v>
      </c>
      <c r="G2254" s="427"/>
      <c r="H2254" s="77"/>
      <c r="I2254" s="77"/>
      <c r="J2254" s="77"/>
      <c r="K2254" s="77"/>
    </row>
    <row r="2255" spans="1:11" x14ac:dyDescent="0.25">
      <c r="A2255" s="77"/>
      <c r="B2255" s="77"/>
      <c r="C2255" s="767" t="s">
        <v>12139</v>
      </c>
      <c r="G2255" s="427"/>
      <c r="H2255" s="77"/>
      <c r="I2255" s="77"/>
      <c r="J2255" s="77"/>
      <c r="K2255" s="77"/>
    </row>
    <row r="2256" spans="1:11" x14ac:dyDescent="0.25">
      <c r="A2256" s="77"/>
      <c r="B2256" s="77"/>
      <c r="C2256" s="767" t="s">
        <v>12140</v>
      </c>
      <c r="G2256" s="427"/>
      <c r="H2256" s="77"/>
      <c r="I2256" s="77"/>
      <c r="J2256" s="77"/>
      <c r="K2256" s="77"/>
    </row>
    <row r="2257" spans="1:11" x14ac:dyDescent="0.25">
      <c r="A2257" s="77"/>
      <c r="B2257" s="77"/>
      <c r="C2257" s="767" t="s">
        <v>12141</v>
      </c>
      <c r="G2257" s="427"/>
      <c r="H2257" s="77"/>
      <c r="I2257" s="77"/>
      <c r="J2257" s="77"/>
      <c r="K2257" s="77"/>
    </row>
    <row r="2258" spans="1:11" x14ac:dyDescent="0.25">
      <c r="A2258" s="77"/>
      <c r="B2258" s="77"/>
      <c r="C2258" s="767" t="s">
        <v>12142</v>
      </c>
      <c r="G2258" s="427"/>
      <c r="H2258" s="77"/>
      <c r="I2258" s="77"/>
      <c r="J2258" s="77"/>
      <c r="K2258" s="77"/>
    </row>
    <row r="2259" spans="1:11" x14ac:dyDescent="0.25">
      <c r="A2259" s="77"/>
      <c r="B2259" s="77"/>
      <c r="C2259" s="767" t="s">
        <v>12147</v>
      </c>
      <c r="G2259" s="427"/>
      <c r="H2259" s="77"/>
      <c r="I2259" s="77"/>
      <c r="J2259" s="77"/>
      <c r="K2259" s="77"/>
    </row>
    <row r="2260" spans="1:11" x14ac:dyDescent="0.25">
      <c r="A2260" s="77"/>
      <c r="B2260" s="77"/>
      <c r="C2260" s="767" t="s">
        <v>12148</v>
      </c>
      <c r="G2260" s="427"/>
      <c r="H2260" s="77"/>
      <c r="I2260" s="77"/>
      <c r="J2260" s="77"/>
      <c r="K2260" s="77"/>
    </row>
    <row r="2261" spans="1:11" x14ac:dyDescent="0.25">
      <c r="A2261" s="77"/>
      <c r="B2261" s="77"/>
      <c r="C2261" s="767" t="s">
        <v>12149</v>
      </c>
      <c r="G2261" s="427"/>
      <c r="H2261" s="77"/>
      <c r="I2261" s="77"/>
      <c r="J2261" s="77"/>
      <c r="K2261" s="77"/>
    </row>
    <row r="2262" spans="1:11" x14ac:dyDescent="0.25">
      <c r="A2262" s="77"/>
      <c r="B2262" s="77"/>
      <c r="C2262" s="767" t="s">
        <v>12150</v>
      </c>
      <c r="G2262" s="427"/>
      <c r="H2262" s="77"/>
      <c r="I2262" s="77"/>
      <c r="J2262" s="77"/>
      <c r="K2262" s="77"/>
    </row>
    <row r="2263" spans="1:11" x14ac:dyDescent="0.25">
      <c r="A2263" s="77"/>
      <c r="B2263" s="77"/>
      <c r="C2263" s="767" t="s">
        <v>12151</v>
      </c>
      <c r="G2263" s="427"/>
      <c r="H2263" s="77"/>
      <c r="I2263" s="77"/>
      <c r="J2263" s="77"/>
      <c r="K2263" s="77"/>
    </row>
    <row r="2264" spans="1:11" x14ac:dyDescent="0.25">
      <c r="A2264" s="77"/>
      <c r="B2264" s="77"/>
      <c r="C2264" s="767" t="s">
        <v>12152</v>
      </c>
      <c r="G2264" s="427"/>
      <c r="H2264" s="77"/>
      <c r="I2264" s="77"/>
      <c r="J2264" s="77"/>
      <c r="K2264" s="77"/>
    </row>
    <row r="2265" spans="1:11" x14ac:dyDescent="0.25">
      <c r="A2265" s="77"/>
      <c r="B2265" s="77"/>
      <c r="C2265" s="767" t="s">
        <v>12153</v>
      </c>
      <c r="G2265" s="427"/>
      <c r="H2265" s="77"/>
      <c r="I2265" s="77"/>
      <c r="J2265" s="77"/>
      <c r="K2265" s="77"/>
    </row>
    <row r="2266" spans="1:11" x14ac:dyDescent="0.25">
      <c r="A2266" s="77"/>
      <c r="B2266" s="77"/>
      <c r="C2266" s="767" t="s">
        <v>12154</v>
      </c>
      <c r="G2266" s="427"/>
      <c r="H2266" s="77"/>
      <c r="I2266" s="77"/>
      <c r="J2266" s="77"/>
      <c r="K2266" s="77"/>
    </row>
    <row r="2267" spans="1:11" x14ac:dyDescent="0.25">
      <c r="A2267" s="77"/>
      <c r="B2267" s="77"/>
      <c r="C2267" s="767" t="s">
        <v>12155</v>
      </c>
      <c r="G2267" s="427"/>
      <c r="H2267" s="77"/>
      <c r="I2267" s="77"/>
      <c r="J2267" s="77"/>
      <c r="K2267" s="77"/>
    </row>
    <row r="2268" spans="1:11" x14ac:dyDescent="0.25">
      <c r="A2268" s="77"/>
      <c r="B2268" s="77"/>
      <c r="C2268" s="767" t="s">
        <v>12156</v>
      </c>
      <c r="G2268" s="427"/>
      <c r="H2268" s="77"/>
      <c r="I2268" s="77"/>
      <c r="J2268" s="77"/>
      <c r="K2268" s="77"/>
    </row>
    <row r="2269" spans="1:11" x14ac:dyDescent="0.25">
      <c r="A2269" s="77"/>
      <c r="B2269" s="77"/>
      <c r="C2269" s="767" t="s">
        <v>12157</v>
      </c>
      <c r="G2269" s="427"/>
      <c r="H2269" s="77"/>
      <c r="I2269" s="77"/>
      <c r="J2269" s="77"/>
      <c r="K2269" s="77"/>
    </row>
    <row r="2270" spans="1:11" x14ac:dyDescent="0.25">
      <c r="A2270" s="77"/>
      <c r="B2270" s="77"/>
      <c r="C2270" s="767" t="s">
        <v>12158</v>
      </c>
      <c r="G2270" s="427"/>
      <c r="H2270" s="77"/>
      <c r="I2270" s="77"/>
      <c r="J2270" s="77"/>
      <c r="K2270" s="77"/>
    </row>
    <row r="2271" spans="1:11" x14ac:dyDescent="0.25">
      <c r="A2271" s="77"/>
      <c r="B2271" s="77"/>
      <c r="C2271" s="767" t="s">
        <v>12159</v>
      </c>
      <c r="G2271" s="427"/>
      <c r="H2271" s="77"/>
      <c r="I2271" s="77"/>
      <c r="J2271" s="77"/>
      <c r="K2271" s="77"/>
    </row>
    <row r="2272" spans="1:11" x14ac:dyDescent="0.25">
      <c r="A2272" s="77"/>
      <c r="B2272" s="77"/>
      <c r="C2272" s="767" t="s">
        <v>12160</v>
      </c>
      <c r="G2272" s="427"/>
      <c r="H2272" s="77"/>
      <c r="I2272" s="77"/>
      <c r="J2272" s="77"/>
      <c r="K2272" s="77"/>
    </row>
    <row r="2273" spans="1:11" x14ac:dyDescent="0.25">
      <c r="A2273" s="77"/>
      <c r="B2273" s="77"/>
      <c r="C2273" s="767" t="s">
        <v>12161</v>
      </c>
      <c r="G2273" s="427"/>
      <c r="H2273" s="77"/>
      <c r="I2273" s="77"/>
      <c r="J2273" s="77"/>
      <c r="K2273" s="77"/>
    </row>
    <row r="2274" spans="1:11" x14ac:dyDescent="0.25">
      <c r="A2274" s="77"/>
      <c r="B2274" s="77"/>
      <c r="C2274" s="767" t="s">
        <v>12162</v>
      </c>
      <c r="G2274" s="427"/>
      <c r="H2274" s="77"/>
      <c r="I2274" s="77"/>
      <c r="J2274" s="77"/>
      <c r="K2274" s="77"/>
    </row>
    <row r="2275" spans="1:11" x14ac:dyDescent="0.25">
      <c r="A2275" s="77"/>
      <c r="B2275" s="77"/>
      <c r="C2275" s="767" t="s">
        <v>12219</v>
      </c>
      <c r="G2275" s="427"/>
      <c r="H2275" s="77"/>
      <c r="I2275" s="77"/>
      <c r="J2275" s="77"/>
      <c r="K2275" s="77"/>
    </row>
    <row r="2276" spans="1:11" x14ac:dyDescent="0.25">
      <c r="A2276" s="77"/>
      <c r="B2276" s="77"/>
      <c r="C2276" s="767" t="s">
        <v>12163</v>
      </c>
      <c r="G2276" s="427"/>
      <c r="H2276" s="77"/>
      <c r="I2276" s="77"/>
      <c r="J2276" s="77"/>
      <c r="K2276" s="77"/>
    </row>
    <row r="2277" spans="1:11" x14ac:dyDescent="0.25">
      <c r="A2277" s="77"/>
      <c r="B2277" s="77"/>
      <c r="C2277" s="767" t="s">
        <v>12164</v>
      </c>
      <c r="G2277" s="427"/>
      <c r="H2277" s="77"/>
      <c r="I2277" s="77"/>
      <c r="J2277" s="77"/>
      <c r="K2277" s="77"/>
    </row>
    <row r="2278" spans="1:11" x14ac:dyDescent="0.25">
      <c r="A2278" s="77"/>
      <c r="B2278" s="77"/>
      <c r="C2278" s="767" t="s">
        <v>12165</v>
      </c>
      <c r="G2278" s="427"/>
      <c r="H2278" s="77"/>
      <c r="I2278" s="77"/>
      <c r="J2278" s="77"/>
      <c r="K2278" s="77"/>
    </row>
    <row r="2279" spans="1:11" x14ac:dyDescent="0.25">
      <c r="A2279" s="77"/>
      <c r="B2279" s="77"/>
      <c r="C2279" s="767" t="s">
        <v>12166</v>
      </c>
      <c r="G2279" s="427"/>
      <c r="H2279" s="77"/>
      <c r="I2279" s="77"/>
      <c r="J2279" s="77"/>
      <c r="K2279" s="77"/>
    </row>
    <row r="2280" spans="1:11" x14ac:dyDescent="0.25">
      <c r="A2280" s="77"/>
      <c r="B2280" s="77"/>
      <c r="C2280" s="767" t="s">
        <v>12209</v>
      </c>
      <c r="G2280" s="427"/>
      <c r="H2280" s="77"/>
      <c r="I2280" s="77"/>
      <c r="J2280" s="77"/>
      <c r="K2280" s="77"/>
    </row>
    <row r="2281" spans="1:11" x14ac:dyDescent="0.25">
      <c r="A2281" s="77"/>
      <c r="B2281" s="77"/>
      <c r="C2281" s="767" t="s">
        <v>12167</v>
      </c>
      <c r="G2281" s="427"/>
      <c r="H2281" s="77"/>
      <c r="I2281" s="77"/>
      <c r="J2281" s="77"/>
      <c r="K2281" s="77"/>
    </row>
    <row r="2282" spans="1:11" x14ac:dyDescent="0.25">
      <c r="A2282" s="77"/>
      <c r="B2282" s="77"/>
      <c r="C2282" s="767" t="s">
        <v>12227</v>
      </c>
      <c r="G2282" s="427"/>
      <c r="H2282" s="77"/>
      <c r="I2282" s="77"/>
      <c r="J2282" s="77"/>
      <c r="K2282" s="77"/>
    </row>
    <row r="2283" spans="1:11" x14ac:dyDescent="0.25">
      <c r="A2283" s="77"/>
      <c r="B2283" s="77"/>
      <c r="C2283" s="767" t="s">
        <v>12168</v>
      </c>
      <c r="G2283" s="427"/>
      <c r="H2283" s="77"/>
      <c r="I2283" s="77"/>
      <c r="J2283" s="77"/>
      <c r="K2283" s="77"/>
    </row>
    <row r="2284" spans="1:11" x14ac:dyDescent="0.25">
      <c r="A2284" s="77"/>
      <c r="B2284" s="77"/>
      <c r="C2284" s="767" t="s">
        <v>12210</v>
      </c>
      <c r="G2284" s="427"/>
      <c r="H2284" s="77"/>
      <c r="I2284" s="77"/>
      <c r="J2284" s="77"/>
      <c r="K2284" s="77"/>
    </row>
    <row r="2285" spans="1:11" x14ac:dyDescent="0.25">
      <c r="A2285" s="77"/>
      <c r="B2285" s="77"/>
      <c r="C2285" s="767" t="s">
        <v>12220</v>
      </c>
      <c r="G2285" s="427"/>
      <c r="H2285" s="77"/>
      <c r="I2285" s="77"/>
      <c r="J2285" s="77"/>
      <c r="K2285" s="77"/>
    </row>
    <row r="2286" spans="1:11" x14ac:dyDescent="0.25">
      <c r="A2286" s="77"/>
      <c r="B2286" s="77"/>
      <c r="C2286" s="767" t="s">
        <v>12221</v>
      </c>
      <c r="G2286" s="427"/>
      <c r="H2286" s="77"/>
      <c r="I2286" s="77"/>
      <c r="J2286" s="77"/>
      <c r="K2286" s="77"/>
    </row>
    <row r="2287" spans="1:11" x14ac:dyDescent="0.25">
      <c r="A2287" s="77"/>
      <c r="B2287" s="77"/>
      <c r="C2287" s="767" t="s">
        <v>12222</v>
      </c>
      <c r="G2287" s="427"/>
      <c r="H2287" s="77"/>
      <c r="I2287" s="77"/>
      <c r="J2287" s="77"/>
      <c r="K2287" s="77"/>
    </row>
    <row r="2288" spans="1:11" x14ac:dyDescent="0.25">
      <c r="A2288" s="77"/>
      <c r="B2288" s="77"/>
      <c r="C2288" s="767" t="s">
        <v>12223</v>
      </c>
      <c r="G2288" s="427"/>
      <c r="H2288" s="77"/>
      <c r="I2288" s="77"/>
      <c r="J2288" s="77"/>
      <c r="K2288" s="77"/>
    </row>
    <row r="2289" spans="1:11" x14ac:dyDescent="0.25">
      <c r="A2289" s="77"/>
      <c r="B2289" s="77"/>
      <c r="C2289" s="767" t="s">
        <v>12224</v>
      </c>
      <c r="G2289" s="427"/>
      <c r="H2289" s="77"/>
      <c r="I2289" s="77"/>
      <c r="J2289" s="77"/>
      <c r="K2289" s="77"/>
    </row>
    <row r="2290" spans="1:11" x14ac:dyDescent="0.25">
      <c r="A2290" s="77"/>
      <c r="B2290" s="77"/>
      <c r="C2290" s="767" t="s">
        <v>12169</v>
      </c>
      <c r="G2290" s="427"/>
      <c r="H2290" s="77"/>
      <c r="I2290" s="77"/>
      <c r="J2290" s="77"/>
      <c r="K2290" s="77"/>
    </row>
    <row r="2291" spans="1:11" x14ac:dyDescent="0.25">
      <c r="A2291" s="77"/>
      <c r="B2291" s="77"/>
      <c r="C2291" s="767" t="s">
        <v>12170</v>
      </c>
      <c r="G2291" s="427"/>
      <c r="H2291" s="77"/>
      <c r="I2291" s="77"/>
      <c r="J2291" s="77"/>
      <c r="K2291" s="77"/>
    </row>
    <row r="2292" spans="1:11" x14ac:dyDescent="0.25">
      <c r="A2292" s="77"/>
      <c r="B2292" s="77"/>
      <c r="C2292" s="767" t="s">
        <v>12171</v>
      </c>
      <c r="G2292" s="427"/>
      <c r="H2292" s="77"/>
      <c r="I2292" s="77"/>
      <c r="J2292" s="77"/>
      <c r="K2292" s="77"/>
    </row>
    <row r="2293" spans="1:11" x14ac:dyDescent="0.25">
      <c r="A2293" s="77"/>
      <c r="B2293" s="77"/>
      <c r="C2293" s="767" t="s">
        <v>12172</v>
      </c>
      <c r="G2293" s="427"/>
      <c r="H2293" s="77"/>
      <c r="I2293" s="77"/>
      <c r="J2293" s="77"/>
      <c r="K2293" s="77"/>
    </row>
    <row r="2294" spans="1:11" x14ac:dyDescent="0.25">
      <c r="A2294" s="77"/>
      <c r="B2294" s="77"/>
      <c r="C2294" s="767" t="s">
        <v>12225</v>
      </c>
      <c r="G2294" s="427"/>
      <c r="H2294" s="77"/>
      <c r="I2294" s="77"/>
      <c r="J2294" s="77"/>
      <c r="K2294" s="77"/>
    </row>
    <row r="2295" spans="1:11" x14ac:dyDescent="0.25">
      <c r="A2295" s="77"/>
      <c r="B2295" s="77"/>
      <c r="C2295" s="767" t="s">
        <v>12226</v>
      </c>
      <c r="G2295" s="427"/>
      <c r="H2295" s="77"/>
      <c r="I2295" s="77"/>
      <c r="J2295" s="77"/>
      <c r="K2295" s="77"/>
    </row>
    <row r="2296" spans="1:11" x14ac:dyDescent="0.25">
      <c r="A2296" s="77"/>
      <c r="B2296" s="77"/>
      <c r="C2296" s="767" t="s">
        <v>12173</v>
      </c>
      <c r="G2296" s="427"/>
      <c r="H2296" s="77"/>
      <c r="I2296" s="77"/>
      <c r="J2296" s="77"/>
      <c r="K2296" s="77"/>
    </row>
    <row r="2297" spans="1:11" x14ac:dyDescent="0.25">
      <c r="A2297" s="77"/>
      <c r="B2297" s="77"/>
      <c r="C2297" s="767" t="s">
        <v>12211</v>
      </c>
      <c r="G2297" s="427"/>
      <c r="H2297" s="77"/>
      <c r="I2297" s="77"/>
      <c r="J2297" s="77"/>
      <c r="K2297" s="77"/>
    </row>
    <row r="2298" spans="1:11" x14ac:dyDescent="0.25">
      <c r="A2298" s="77"/>
      <c r="B2298" s="77"/>
      <c r="C2298" s="767" t="s">
        <v>12174</v>
      </c>
      <c r="G2298" s="427"/>
      <c r="H2298" s="77"/>
      <c r="I2298" s="77"/>
      <c r="J2298" s="77"/>
      <c r="K2298" s="77"/>
    </row>
    <row r="2299" spans="1:11" x14ac:dyDescent="0.25">
      <c r="A2299" s="77"/>
      <c r="B2299" s="77"/>
      <c r="C2299" s="767" t="s">
        <v>12175</v>
      </c>
      <c r="G2299" s="427"/>
      <c r="H2299" s="77"/>
      <c r="I2299" s="77"/>
      <c r="J2299" s="77"/>
      <c r="K2299" s="77"/>
    </row>
    <row r="2300" spans="1:11" x14ac:dyDescent="0.25">
      <c r="A2300" s="77"/>
      <c r="B2300" s="77"/>
      <c r="C2300" s="767" t="s">
        <v>12176</v>
      </c>
      <c r="G2300" s="427"/>
      <c r="H2300" s="77"/>
      <c r="I2300" s="77"/>
      <c r="J2300" s="77"/>
      <c r="K2300" s="77"/>
    </row>
    <row r="2301" spans="1:11" x14ac:dyDescent="0.25">
      <c r="A2301" s="77"/>
      <c r="B2301" s="77"/>
      <c r="C2301" s="767" t="s">
        <v>12177</v>
      </c>
      <c r="G2301" s="427"/>
      <c r="H2301" s="77"/>
      <c r="I2301" s="77"/>
      <c r="J2301" s="77"/>
      <c r="K2301" s="77"/>
    </row>
    <row r="2302" spans="1:11" x14ac:dyDescent="0.25">
      <c r="A2302" s="77"/>
      <c r="B2302" s="77"/>
      <c r="C2302" s="767" t="s">
        <v>12207</v>
      </c>
      <c r="G2302" s="427"/>
      <c r="H2302" s="77"/>
      <c r="I2302" s="77"/>
      <c r="J2302" s="77"/>
      <c r="K2302" s="77"/>
    </row>
    <row r="2303" spans="1:11" x14ac:dyDescent="0.25">
      <c r="A2303" s="77"/>
      <c r="B2303" s="77"/>
      <c r="C2303" s="767" t="s">
        <v>12178</v>
      </c>
      <c r="G2303" s="427"/>
      <c r="H2303" s="77"/>
      <c r="I2303" s="77"/>
      <c r="J2303" s="77"/>
      <c r="K2303" s="77"/>
    </row>
    <row r="2304" spans="1:11" x14ac:dyDescent="0.25">
      <c r="A2304" s="77"/>
      <c r="B2304" s="77"/>
      <c r="C2304" s="767" t="s">
        <v>12179</v>
      </c>
      <c r="G2304" s="427"/>
      <c r="H2304" s="77"/>
      <c r="I2304" s="77"/>
      <c r="J2304" s="77"/>
      <c r="K2304" s="77"/>
    </row>
    <row r="2305" spans="1:11" x14ac:dyDescent="0.25">
      <c r="A2305" s="77"/>
      <c r="B2305" s="77"/>
      <c r="C2305" s="767" t="s">
        <v>12180</v>
      </c>
      <c r="G2305" s="427"/>
      <c r="H2305" s="77"/>
      <c r="I2305" s="77"/>
      <c r="J2305" s="77"/>
      <c r="K2305" s="77"/>
    </row>
    <row r="2306" spans="1:11" x14ac:dyDescent="0.25">
      <c r="A2306" s="77"/>
      <c r="B2306" s="77"/>
      <c r="C2306" s="767" t="s">
        <v>12181</v>
      </c>
      <c r="G2306" s="427"/>
      <c r="H2306" s="77"/>
      <c r="I2306" s="77"/>
      <c r="J2306" s="77"/>
      <c r="K2306" s="77"/>
    </row>
    <row r="2307" spans="1:11" x14ac:dyDescent="0.25">
      <c r="A2307" s="77"/>
      <c r="B2307" s="77"/>
      <c r="C2307" s="767" t="s">
        <v>12182</v>
      </c>
      <c r="G2307" s="427"/>
      <c r="H2307" s="77"/>
      <c r="I2307" s="77"/>
      <c r="J2307" s="77"/>
      <c r="K2307" s="77"/>
    </row>
    <row r="2308" spans="1:11" x14ac:dyDescent="0.25">
      <c r="A2308" s="77"/>
      <c r="B2308" s="77"/>
      <c r="C2308" s="767" t="s">
        <v>12183</v>
      </c>
      <c r="G2308" s="427"/>
      <c r="H2308" s="77"/>
      <c r="I2308" s="77"/>
      <c r="J2308" s="77"/>
      <c r="K2308" s="77"/>
    </row>
    <row r="2309" spans="1:11" x14ac:dyDescent="0.25">
      <c r="A2309" s="77"/>
      <c r="B2309" s="77"/>
      <c r="C2309" s="767" t="s">
        <v>12184</v>
      </c>
      <c r="G2309" s="427"/>
      <c r="H2309" s="77"/>
      <c r="I2309" s="77"/>
      <c r="J2309" s="77"/>
      <c r="K2309" s="77"/>
    </row>
    <row r="2310" spans="1:11" x14ac:dyDescent="0.25">
      <c r="A2310" s="77"/>
      <c r="B2310" s="77"/>
      <c r="C2310" s="767" t="s">
        <v>12185</v>
      </c>
      <c r="G2310" s="427"/>
      <c r="H2310" s="77"/>
      <c r="I2310" s="77"/>
      <c r="J2310" s="77"/>
      <c r="K2310" s="77"/>
    </row>
    <row r="2311" spans="1:11" x14ac:dyDescent="0.25">
      <c r="A2311" s="77"/>
      <c r="B2311" s="77"/>
      <c r="C2311" s="767" t="s">
        <v>12186</v>
      </c>
      <c r="G2311" s="427"/>
      <c r="H2311" s="77"/>
      <c r="I2311" s="77"/>
      <c r="J2311" s="77"/>
      <c r="K2311" s="77"/>
    </row>
    <row r="2312" spans="1:11" x14ac:dyDescent="0.25">
      <c r="A2312" s="77"/>
      <c r="B2312" s="77"/>
      <c r="C2312" s="767" t="s">
        <v>12187</v>
      </c>
      <c r="G2312" s="427"/>
      <c r="H2312" s="77"/>
      <c r="I2312" s="77"/>
      <c r="J2312" s="77"/>
      <c r="K2312" s="77"/>
    </row>
    <row r="2313" spans="1:11" x14ac:dyDescent="0.25">
      <c r="A2313" s="77"/>
      <c r="B2313" s="77"/>
      <c r="C2313" s="767" t="s">
        <v>12188</v>
      </c>
      <c r="G2313" s="427"/>
      <c r="H2313" s="77"/>
      <c r="I2313" s="77"/>
      <c r="J2313" s="77"/>
      <c r="K2313" s="77"/>
    </row>
    <row r="2314" spans="1:11" x14ac:dyDescent="0.25">
      <c r="A2314" s="77"/>
      <c r="B2314" s="77"/>
      <c r="C2314" s="767" t="s">
        <v>12189</v>
      </c>
      <c r="G2314" s="427"/>
      <c r="H2314" s="77"/>
      <c r="I2314" s="77"/>
      <c r="J2314" s="77"/>
      <c r="K2314" s="77"/>
    </row>
    <row r="2315" spans="1:11" x14ac:dyDescent="0.25">
      <c r="A2315" s="77"/>
      <c r="B2315" s="77"/>
      <c r="C2315" s="767" t="s">
        <v>12190</v>
      </c>
      <c r="G2315" s="427"/>
      <c r="H2315" s="77"/>
      <c r="I2315" s="77"/>
      <c r="J2315" s="77"/>
      <c r="K2315" s="77"/>
    </row>
    <row r="2316" spans="1:11" x14ac:dyDescent="0.25">
      <c r="A2316" s="77"/>
      <c r="B2316" s="77"/>
      <c r="C2316" s="767" t="s">
        <v>12191</v>
      </c>
      <c r="G2316" s="427"/>
      <c r="H2316" s="77"/>
      <c r="I2316" s="77"/>
      <c r="J2316" s="77"/>
      <c r="K2316" s="77"/>
    </row>
    <row r="2317" spans="1:11" x14ac:dyDescent="0.25">
      <c r="A2317" s="77"/>
      <c r="B2317" s="77"/>
      <c r="C2317" s="767" t="s">
        <v>12192</v>
      </c>
      <c r="G2317" s="427"/>
      <c r="H2317" s="77"/>
      <c r="I2317" s="77"/>
      <c r="J2317" s="77"/>
      <c r="K2317" s="77"/>
    </row>
    <row r="2318" spans="1:11" x14ac:dyDescent="0.25">
      <c r="A2318" s="77"/>
      <c r="B2318" s="77"/>
      <c r="C2318" s="767" t="s">
        <v>12193</v>
      </c>
      <c r="G2318" s="427"/>
      <c r="H2318" s="77"/>
      <c r="I2318" s="77"/>
      <c r="J2318" s="77"/>
      <c r="K2318" s="77"/>
    </row>
    <row r="2319" spans="1:11" x14ac:dyDescent="0.25">
      <c r="A2319" s="77"/>
      <c r="B2319" s="77"/>
      <c r="C2319" s="767" t="s">
        <v>12194</v>
      </c>
      <c r="G2319" s="427"/>
      <c r="H2319" s="77"/>
      <c r="I2319" s="77"/>
      <c r="J2319" s="77"/>
      <c r="K2319" s="77"/>
    </row>
    <row r="2320" spans="1:11" x14ac:dyDescent="0.25">
      <c r="A2320" s="77"/>
      <c r="B2320" s="77"/>
      <c r="C2320" s="767" t="s">
        <v>12228</v>
      </c>
      <c r="G2320" s="427"/>
      <c r="H2320" s="77"/>
      <c r="I2320" s="77"/>
      <c r="J2320" s="77"/>
      <c r="K2320" s="77"/>
    </row>
    <row r="2321" spans="1:11" x14ac:dyDescent="0.25">
      <c r="A2321" s="77"/>
      <c r="B2321" s="77"/>
      <c r="C2321" s="767" t="s">
        <v>12195</v>
      </c>
      <c r="G2321" s="427"/>
      <c r="H2321" s="77"/>
      <c r="I2321" s="77"/>
      <c r="J2321" s="77"/>
      <c r="K2321" s="77"/>
    </row>
    <row r="2322" spans="1:11" x14ac:dyDescent="0.25">
      <c r="A2322" s="77"/>
      <c r="B2322" s="77"/>
      <c r="C2322" s="767" t="s">
        <v>12196</v>
      </c>
      <c r="G2322" s="427"/>
      <c r="H2322" s="77"/>
      <c r="I2322" s="77"/>
      <c r="J2322" s="77"/>
      <c r="K2322" s="77"/>
    </row>
    <row r="2323" spans="1:11" x14ac:dyDescent="0.25">
      <c r="A2323" s="77"/>
      <c r="B2323" s="77"/>
      <c r="C2323" s="767" t="s">
        <v>12197</v>
      </c>
      <c r="G2323" s="427"/>
      <c r="H2323" s="77"/>
      <c r="I2323" s="77"/>
      <c r="J2323" s="77"/>
      <c r="K2323" s="77"/>
    </row>
    <row r="2324" spans="1:11" x14ac:dyDescent="0.25">
      <c r="A2324" s="77"/>
      <c r="B2324" s="77"/>
      <c r="C2324" s="767" t="s">
        <v>12198</v>
      </c>
      <c r="G2324" s="427"/>
      <c r="H2324" s="77"/>
      <c r="I2324" s="77"/>
      <c r="J2324" s="77"/>
      <c r="K2324" s="77"/>
    </row>
    <row r="2325" spans="1:11" x14ac:dyDescent="0.25">
      <c r="A2325" s="77"/>
      <c r="B2325" s="77"/>
      <c r="C2325" s="767" t="s">
        <v>12199</v>
      </c>
      <c r="G2325" s="427"/>
      <c r="H2325" s="77"/>
      <c r="I2325" s="77"/>
      <c r="J2325" s="77"/>
      <c r="K2325" s="77"/>
    </row>
    <row r="2326" spans="1:11" x14ac:dyDescent="0.25">
      <c r="A2326" s="77"/>
      <c r="B2326" s="77"/>
      <c r="C2326" s="767" t="s">
        <v>12229</v>
      </c>
      <c r="G2326" s="427"/>
      <c r="H2326" s="77"/>
      <c r="I2326" s="77"/>
      <c r="J2326" s="77"/>
      <c r="K2326" s="77"/>
    </row>
    <row r="2327" spans="1:11" x14ac:dyDescent="0.25">
      <c r="A2327" s="77"/>
      <c r="B2327" s="77"/>
      <c r="C2327" s="767" t="s">
        <v>12200</v>
      </c>
      <c r="G2327" s="427"/>
      <c r="H2327" s="77"/>
      <c r="I2327" s="77"/>
      <c r="J2327" s="77"/>
      <c r="K2327" s="77"/>
    </row>
    <row r="2328" spans="1:11" x14ac:dyDescent="0.25">
      <c r="A2328" s="77"/>
      <c r="B2328" s="77"/>
      <c r="C2328" s="767" t="s">
        <v>12201</v>
      </c>
      <c r="G2328" s="427"/>
      <c r="H2328" s="77"/>
      <c r="I2328" s="77"/>
      <c r="J2328" s="77"/>
      <c r="K2328" s="77"/>
    </row>
    <row r="2329" spans="1:11" x14ac:dyDescent="0.25">
      <c r="A2329" s="77"/>
      <c r="B2329" s="77"/>
      <c r="C2329" s="767" t="s">
        <v>12230</v>
      </c>
      <c r="G2329" s="427"/>
      <c r="H2329" s="77"/>
      <c r="I2329" s="77"/>
      <c r="J2329" s="77"/>
      <c r="K2329" s="77"/>
    </row>
    <row r="2330" spans="1:11" x14ac:dyDescent="0.25">
      <c r="A2330" s="77"/>
      <c r="B2330" s="77"/>
      <c r="C2330" s="767" t="s">
        <v>12231</v>
      </c>
      <c r="G2330" s="427"/>
      <c r="H2330" s="77"/>
      <c r="I2330" s="77"/>
      <c r="J2330" s="77"/>
      <c r="K2330" s="77"/>
    </row>
    <row r="2331" spans="1:11" x14ac:dyDescent="0.25">
      <c r="A2331" s="77"/>
      <c r="B2331" s="77"/>
      <c r="C2331" s="767" t="s">
        <v>12232</v>
      </c>
      <c r="G2331" s="427"/>
      <c r="H2331" s="77"/>
      <c r="I2331" s="77"/>
      <c r="J2331" s="77"/>
      <c r="K2331" s="77"/>
    </row>
    <row r="2332" spans="1:11" x14ac:dyDescent="0.25">
      <c r="A2332" s="77"/>
      <c r="B2332" s="77"/>
      <c r="C2332" s="767" t="s">
        <v>12233</v>
      </c>
      <c r="G2332" s="427"/>
      <c r="H2332" s="77"/>
      <c r="I2332" s="77"/>
      <c r="J2332" s="77"/>
      <c r="K2332" s="77"/>
    </row>
    <row r="2333" spans="1:11" x14ac:dyDescent="0.25">
      <c r="A2333" s="77"/>
      <c r="B2333" s="77"/>
      <c r="C2333" s="767" t="s">
        <v>12234</v>
      </c>
      <c r="G2333" s="427"/>
      <c r="H2333" s="77"/>
      <c r="I2333" s="77"/>
      <c r="J2333" s="77"/>
      <c r="K2333" s="77"/>
    </row>
    <row r="2334" spans="1:11" x14ac:dyDescent="0.25">
      <c r="A2334" s="77"/>
      <c r="B2334" s="77"/>
      <c r="C2334" s="767" t="s">
        <v>12235</v>
      </c>
      <c r="G2334" s="427"/>
      <c r="H2334" s="77"/>
      <c r="I2334" s="77"/>
      <c r="J2334" s="77"/>
      <c r="K2334" s="77"/>
    </row>
    <row r="2335" spans="1:11" x14ac:dyDescent="0.25">
      <c r="A2335" s="77"/>
      <c r="B2335" s="77"/>
      <c r="C2335" s="767" t="s">
        <v>12236</v>
      </c>
      <c r="G2335" s="427"/>
      <c r="H2335" s="77"/>
      <c r="I2335" s="77"/>
      <c r="J2335" s="77"/>
      <c r="K2335" s="77"/>
    </row>
    <row r="2336" spans="1:11" x14ac:dyDescent="0.25">
      <c r="A2336" s="77"/>
      <c r="B2336" s="77"/>
      <c r="C2336" s="767" t="s">
        <v>12237</v>
      </c>
      <c r="G2336" s="427"/>
      <c r="H2336" s="77"/>
      <c r="I2336" s="77"/>
      <c r="J2336" s="77"/>
      <c r="K2336" s="77"/>
    </row>
    <row r="2337" spans="1:11" x14ac:dyDescent="0.25">
      <c r="A2337" s="77"/>
      <c r="B2337" s="77"/>
      <c r="C2337" s="767" t="s">
        <v>12238</v>
      </c>
      <c r="G2337" s="427"/>
      <c r="H2337" s="77"/>
      <c r="I2337" s="77"/>
      <c r="J2337" s="77"/>
      <c r="K2337" s="77"/>
    </row>
    <row r="2338" spans="1:11" x14ac:dyDescent="0.25">
      <c r="A2338" s="77"/>
      <c r="B2338" s="77"/>
      <c r="C2338" s="767" t="s">
        <v>12239</v>
      </c>
      <c r="G2338" s="427"/>
      <c r="H2338" s="77"/>
      <c r="I2338" s="77"/>
      <c r="J2338" s="77"/>
      <c r="K2338" s="77"/>
    </row>
    <row r="2339" spans="1:11" x14ac:dyDescent="0.25">
      <c r="A2339" s="77"/>
      <c r="B2339" s="77"/>
      <c r="C2339" s="767" t="s">
        <v>12240</v>
      </c>
      <c r="G2339" s="427"/>
      <c r="H2339" s="77"/>
      <c r="I2339" s="77"/>
      <c r="J2339" s="77"/>
      <c r="K2339" s="77"/>
    </row>
    <row r="2340" spans="1:11" x14ac:dyDescent="0.25">
      <c r="A2340" s="77"/>
      <c r="B2340" s="77"/>
      <c r="C2340" s="767" t="s">
        <v>12241</v>
      </c>
      <c r="G2340" s="427"/>
      <c r="H2340" s="77"/>
      <c r="I2340" s="77"/>
      <c r="J2340" s="77"/>
      <c r="K2340" s="77"/>
    </row>
    <row r="2341" spans="1:11" x14ac:dyDescent="0.25">
      <c r="A2341" s="77"/>
      <c r="B2341" s="77"/>
      <c r="C2341" s="767" t="s">
        <v>12242</v>
      </c>
      <c r="G2341" s="427"/>
      <c r="H2341" s="77"/>
      <c r="I2341" s="77"/>
      <c r="J2341" s="77"/>
      <c r="K2341" s="77"/>
    </row>
    <row r="2342" spans="1:11" x14ac:dyDescent="0.25">
      <c r="A2342" s="77"/>
      <c r="B2342" s="77"/>
      <c r="C2342" s="767" t="s">
        <v>12243</v>
      </c>
      <c r="G2342" s="427"/>
      <c r="H2342" s="77"/>
      <c r="I2342" s="77"/>
      <c r="J2342" s="77"/>
      <c r="K2342" s="77"/>
    </row>
    <row r="2343" spans="1:11" x14ac:dyDescent="0.25">
      <c r="A2343" s="77"/>
      <c r="B2343" s="77"/>
      <c r="C2343" s="767" t="s">
        <v>12244</v>
      </c>
      <c r="G2343" s="427"/>
      <c r="H2343" s="77"/>
      <c r="I2343" s="77"/>
      <c r="J2343" s="77"/>
      <c r="K2343" s="77"/>
    </row>
    <row r="2344" spans="1:11" x14ac:dyDescent="0.25">
      <c r="A2344" s="77"/>
      <c r="B2344" s="77"/>
      <c r="C2344" s="767" t="s">
        <v>12245</v>
      </c>
      <c r="G2344" s="427"/>
      <c r="H2344" s="77"/>
      <c r="I2344" s="77"/>
      <c r="J2344" s="77"/>
      <c r="K2344" s="77"/>
    </row>
    <row r="2345" spans="1:11" x14ac:dyDescent="0.25">
      <c r="A2345" s="77"/>
      <c r="B2345" s="77"/>
      <c r="C2345" s="767" t="s">
        <v>12246</v>
      </c>
      <c r="G2345" s="427"/>
      <c r="H2345" s="77"/>
      <c r="I2345" s="77"/>
      <c r="J2345" s="77"/>
      <c r="K2345" s="77"/>
    </row>
    <row r="2346" spans="1:11" x14ac:dyDescent="0.25">
      <c r="A2346" s="77"/>
      <c r="B2346" s="77"/>
      <c r="C2346" s="767" t="s">
        <v>12247</v>
      </c>
      <c r="G2346" s="427"/>
      <c r="H2346" s="77"/>
      <c r="I2346" s="77"/>
      <c r="J2346" s="77"/>
      <c r="K2346" s="77"/>
    </row>
    <row r="2347" spans="1:11" x14ac:dyDescent="0.25">
      <c r="A2347" s="77"/>
      <c r="B2347" s="77"/>
      <c r="C2347" s="767" t="s">
        <v>12248</v>
      </c>
      <c r="G2347" s="427"/>
      <c r="H2347" s="77"/>
      <c r="I2347" s="77"/>
      <c r="J2347" s="77"/>
      <c r="K2347" s="77"/>
    </row>
    <row r="2348" spans="1:11" x14ac:dyDescent="0.25">
      <c r="A2348" s="77"/>
      <c r="B2348" s="77"/>
      <c r="C2348" s="767" t="s">
        <v>12249</v>
      </c>
      <c r="G2348" s="427"/>
      <c r="H2348" s="77"/>
      <c r="I2348" s="77"/>
      <c r="J2348" s="77"/>
      <c r="K2348" s="77"/>
    </row>
    <row r="2349" spans="1:11" x14ac:dyDescent="0.25">
      <c r="A2349" s="77"/>
      <c r="B2349" s="77"/>
      <c r="C2349" s="767" t="s">
        <v>12250</v>
      </c>
      <c r="G2349" s="427"/>
      <c r="H2349" s="77"/>
      <c r="I2349" s="77"/>
      <c r="J2349" s="77"/>
      <c r="K2349" s="77"/>
    </row>
    <row r="2350" spans="1:11" x14ac:dyDescent="0.25">
      <c r="A2350" s="77"/>
      <c r="B2350" s="77"/>
      <c r="C2350" s="767" t="s">
        <v>12251</v>
      </c>
      <c r="G2350" s="427"/>
      <c r="H2350" s="77"/>
      <c r="I2350" s="77"/>
      <c r="J2350" s="77"/>
      <c r="K2350" s="77"/>
    </row>
    <row r="2351" spans="1:11" x14ac:dyDescent="0.25">
      <c r="A2351" s="77"/>
      <c r="B2351" s="77"/>
      <c r="C2351" s="767" t="s">
        <v>12252</v>
      </c>
      <c r="G2351" s="427"/>
      <c r="H2351" s="77"/>
      <c r="I2351" s="77"/>
      <c r="J2351" s="77"/>
      <c r="K2351" s="77"/>
    </row>
    <row r="2352" spans="1:11" x14ac:dyDescent="0.25">
      <c r="A2352" s="77"/>
      <c r="B2352" s="77"/>
      <c r="C2352" s="767" t="s">
        <v>12253</v>
      </c>
      <c r="G2352" s="427"/>
      <c r="H2352" s="77"/>
      <c r="I2352" s="77"/>
      <c r="J2352" s="77"/>
      <c r="K2352" s="77"/>
    </row>
    <row r="2353" spans="1:11" x14ac:dyDescent="0.25">
      <c r="A2353" s="77"/>
      <c r="B2353" s="77"/>
      <c r="C2353" s="767" t="s">
        <v>12254</v>
      </c>
      <c r="G2353" s="427"/>
      <c r="H2353" s="77"/>
      <c r="I2353" s="77"/>
      <c r="J2353" s="77"/>
      <c r="K2353" s="77"/>
    </row>
    <row r="2354" spans="1:11" x14ac:dyDescent="0.25">
      <c r="A2354" s="77"/>
      <c r="B2354" s="77"/>
      <c r="C2354" s="767" t="s">
        <v>12255</v>
      </c>
      <c r="G2354" s="427"/>
      <c r="H2354" s="77"/>
      <c r="I2354" s="77"/>
      <c r="J2354" s="77"/>
      <c r="K2354" s="77"/>
    </row>
    <row r="2355" spans="1:11" x14ac:dyDescent="0.25">
      <c r="A2355" s="77"/>
      <c r="B2355" s="77"/>
      <c r="C2355" s="767" t="s">
        <v>12256</v>
      </c>
      <c r="G2355" s="427"/>
      <c r="H2355" s="77"/>
      <c r="I2355" s="77"/>
      <c r="J2355" s="77"/>
      <c r="K2355" s="77"/>
    </row>
    <row r="2356" spans="1:11" x14ac:dyDescent="0.25">
      <c r="A2356" s="77"/>
      <c r="B2356" s="77"/>
      <c r="C2356" s="767" t="s">
        <v>12257</v>
      </c>
      <c r="G2356" s="427"/>
      <c r="H2356" s="77"/>
      <c r="I2356" s="77"/>
      <c r="J2356" s="77"/>
      <c r="K2356" s="77"/>
    </row>
    <row r="2357" spans="1:11" x14ac:dyDescent="0.25">
      <c r="A2357" s="77"/>
      <c r="B2357" s="77"/>
      <c r="C2357" s="767" t="s">
        <v>12258</v>
      </c>
      <c r="G2357" s="427"/>
      <c r="H2357" s="77"/>
      <c r="I2357" s="77"/>
      <c r="J2357" s="77"/>
      <c r="K2357" s="77"/>
    </row>
    <row r="2358" spans="1:11" x14ac:dyDescent="0.25">
      <c r="A2358" s="77"/>
      <c r="B2358" s="77"/>
      <c r="C2358" s="767" t="s">
        <v>12259</v>
      </c>
      <c r="G2358" s="427"/>
      <c r="H2358" s="77"/>
      <c r="I2358" s="77"/>
      <c r="J2358" s="77"/>
      <c r="K2358" s="77"/>
    </row>
    <row r="2359" spans="1:11" x14ac:dyDescent="0.25">
      <c r="A2359" s="77"/>
      <c r="B2359" s="77"/>
      <c r="C2359" s="767" t="s">
        <v>12260</v>
      </c>
      <c r="G2359" s="427"/>
      <c r="H2359" s="77"/>
      <c r="I2359" s="77"/>
      <c r="J2359" s="77"/>
      <c r="K2359" s="77"/>
    </row>
    <row r="2360" spans="1:11" x14ac:dyDescent="0.25">
      <c r="A2360" s="77"/>
      <c r="B2360" s="77"/>
      <c r="C2360" s="767" t="s">
        <v>12261</v>
      </c>
      <c r="G2360" s="427"/>
      <c r="H2360" s="77"/>
      <c r="I2360" s="77"/>
      <c r="J2360" s="77"/>
      <c r="K2360" s="77"/>
    </row>
    <row r="2361" spans="1:11" x14ac:dyDescent="0.25">
      <c r="A2361" s="77"/>
      <c r="B2361" s="77"/>
      <c r="C2361" s="767" t="s">
        <v>12262</v>
      </c>
      <c r="G2361" s="427"/>
      <c r="H2361" s="77"/>
      <c r="I2361" s="77"/>
      <c r="J2361" s="77"/>
      <c r="K2361" s="77"/>
    </row>
    <row r="2362" spans="1:11" x14ac:dyDescent="0.25">
      <c r="A2362" s="77"/>
      <c r="B2362" s="77"/>
      <c r="C2362" s="767" t="s">
        <v>12263</v>
      </c>
      <c r="G2362" s="427"/>
      <c r="H2362" s="77"/>
      <c r="I2362" s="77"/>
      <c r="J2362" s="77"/>
      <c r="K2362" s="77"/>
    </row>
    <row r="2363" spans="1:11" x14ac:dyDescent="0.25">
      <c r="A2363" s="77"/>
      <c r="B2363" s="77"/>
      <c r="C2363" s="767" t="s">
        <v>12264</v>
      </c>
      <c r="G2363" s="427"/>
      <c r="H2363" s="77"/>
      <c r="I2363" s="77"/>
      <c r="J2363" s="77"/>
      <c r="K2363" s="77"/>
    </row>
    <row r="2364" spans="1:11" x14ac:dyDescent="0.25">
      <c r="A2364" s="77"/>
      <c r="B2364" s="77"/>
      <c r="C2364" s="767" t="s">
        <v>12265</v>
      </c>
      <c r="G2364" s="427"/>
      <c r="H2364" s="77"/>
      <c r="I2364" s="77"/>
      <c r="J2364" s="77"/>
      <c r="K2364" s="77"/>
    </row>
    <row r="2365" spans="1:11" x14ac:dyDescent="0.25">
      <c r="A2365" s="77"/>
      <c r="B2365" s="77"/>
      <c r="C2365" s="767" t="s">
        <v>12266</v>
      </c>
      <c r="G2365" s="427"/>
      <c r="H2365" s="77"/>
      <c r="I2365" s="77"/>
      <c r="J2365" s="77"/>
      <c r="K2365" s="77"/>
    </row>
    <row r="2366" spans="1:11" x14ac:dyDescent="0.25">
      <c r="A2366" s="77"/>
      <c r="B2366" s="77"/>
      <c r="C2366" s="767" t="s">
        <v>12267</v>
      </c>
      <c r="G2366" s="427"/>
      <c r="H2366" s="77"/>
      <c r="I2366" s="77"/>
      <c r="J2366" s="77"/>
      <c r="K2366" s="77"/>
    </row>
    <row r="2367" spans="1:11" x14ac:dyDescent="0.25">
      <c r="A2367" s="77"/>
      <c r="B2367" s="77"/>
      <c r="C2367" s="767" t="s">
        <v>12268</v>
      </c>
      <c r="G2367" s="427"/>
      <c r="H2367" s="77"/>
      <c r="I2367" s="77"/>
      <c r="J2367" s="77"/>
      <c r="K2367" s="77"/>
    </row>
    <row r="2368" spans="1:11" x14ac:dyDescent="0.25">
      <c r="A2368" s="77"/>
      <c r="B2368" s="77"/>
      <c r="C2368" s="767" t="s">
        <v>12269</v>
      </c>
      <c r="G2368" s="427"/>
      <c r="H2368" s="77"/>
      <c r="I2368" s="77"/>
      <c r="J2368" s="77"/>
      <c r="K2368" s="77"/>
    </row>
    <row r="2369" spans="1:16" x14ac:dyDescent="0.25">
      <c r="A2369" s="77"/>
      <c r="B2369" s="77"/>
      <c r="C2369" s="767" t="s">
        <v>12270</v>
      </c>
      <c r="G2369" s="427"/>
      <c r="H2369" s="77"/>
      <c r="I2369" s="77"/>
      <c r="J2369" s="77"/>
      <c r="K2369" s="77"/>
    </row>
    <row r="2370" spans="1:16" x14ac:dyDescent="0.25">
      <c r="A2370" s="77"/>
      <c r="B2370" s="77"/>
      <c r="C2370" s="767" t="s">
        <v>12271</v>
      </c>
      <c r="G2370" s="427"/>
      <c r="H2370" s="77"/>
      <c r="I2370" s="77"/>
      <c r="J2370" s="77"/>
      <c r="K2370" s="77"/>
    </row>
    <row r="2371" spans="1:16" x14ac:dyDescent="0.25">
      <c r="A2371" s="77"/>
      <c r="B2371" s="77"/>
      <c r="C2371" s="767" t="s">
        <v>12272</v>
      </c>
      <c r="G2371" s="427"/>
      <c r="H2371" s="77"/>
      <c r="I2371" s="77"/>
      <c r="J2371" s="77"/>
      <c r="K2371" s="77"/>
    </row>
    <row r="2372" spans="1:16" x14ac:dyDescent="0.25">
      <c r="A2372" s="77"/>
      <c r="B2372" s="77"/>
      <c r="C2372" s="3" t="s">
        <v>12302</v>
      </c>
      <c r="D2372" s="767"/>
      <c r="G2372" s="427"/>
      <c r="H2372" s="77"/>
      <c r="I2372" s="77"/>
      <c r="J2372" s="77"/>
      <c r="K2372" s="77"/>
    </row>
    <row r="2373" spans="1:16" x14ac:dyDescent="0.25">
      <c r="A2373" s="77"/>
      <c r="B2373" s="77"/>
      <c r="C2373" s="77" t="s">
        <v>12301</v>
      </c>
      <c r="D2373" s="767"/>
      <c r="F2373" s="152" t="s">
        <v>3</v>
      </c>
      <c r="G2373" s="427" t="s">
        <v>12304</v>
      </c>
      <c r="H2373" s="77"/>
      <c r="I2373" s="789" t="s">
        <v>10149</v>
      </c>
      <c r="J2373" s="790"/>
      <c r="K2373" s="789" t="s">
        <v>10150</v>
      </c>
    </row>
    <row r="2374" spans="1:16" x14ac:dyDescent="0.25">
      <c r="A2374" s="77"/>
      <c r="B2374" s="77"/>
      <c r="C2374" s="3" t="s">
        <v>12303</v>
      </c>
      <c r="D2374" s="767"/>
      <c r="G2374" s="427"/>
      <c r="H2374" s="77"/>
      <c r="I2374" s="77"/>
      <c r="J2374" s="77"/>
      <c r="K2374" s="77"/>
    </row>
    <row r="2375" spans="1:16" x14ac:dyDescent="0.25">
      <c r="A2375" s="77"/>
      <c r="B2375" s="77"/>
      <c r="C2375" s="77" t="s">
        <v>12301</v>
      </c>
      <c r="D2375" s="767"/>
      <c r="F2375" s="152" t="s">
        <v>3</v>
      </c>
      <c r="G2375" s="427" t="s">
        <v>12304</v>
      </c>
      <c r="H2375" s="77"/>
      <c r="I2375" s="789" t="s">
        <v>10149</v>
      </c>
      <c r="J2375" s="790"/>
      <c r="K2375" s="789" t="s">
        <v>10150</v>
      </c>
    </row>
    <row r="2376" spans="1:16" x14ac:dyDescent="0.25">
      <c r="A2376" s="77"/>
      <c r="B2376" s="77"/>
      <c r="G2376" s="427"/>
      <c r="H2376" s="77"/>
      <c r="I2376" s="77"/>
      <c r="J2376" s="77"/>
      <c r="K2376" s="77"/>
    </row>
    <row r="2377" spans="1:16" x14ac:dyDescent="0.25">
      <c r="A2377" s="77"/>
      <c r="B2377" s="77"/>
      <c r="G2377" s="427"/>
      <c r="H2377" s="77"/>
      <c r="I2377" s="77"/>
      <c r="J2377" s="77"/>
      <c r="K2377" s="77"/>
    </row>
    <row r="2378" spans="1:16" x14ac:dyDescent="0.25">
      <c r="A2378" s="77"/>
      <c r="B2378" s="77"/>
      <c r="G2378" s="427"/>
      <c r="H2378" s="77"/>
      <c r="I2378" s="77"/>
      <c r="J2378" s="77"/>
      <c r="K2378" s="77"/>
    </row>
    <row r="2379" spans="1:16" x14ac:dyDescent="0.25">
      <c r="A2379" s="77"/>
      <c r="B2379" s="77"/>
      <c r="G2379" s="427"/>
      <c r="H2379" s="77"/>
      <c r="I2379" s="77"/>
      <c r="J2379" s="77"/>
      <c r="K2379" s="77"/>
    </row>
    <row r="2380" spans="1:16" x14ac:dyDescent="0.25">
      <c r="A2380" s="77"/>
      <c r="B2380" s="77"/>
      <c r="G2380" s="427"/>
      <c r="H2380" s="77"/>
      <c r="I2380" s="77"/>
      <c r="J2380" s="77"/>
      <c r="K2380" s="77"/>
    </row>
    <row r="2381" spans="1:16" x14ac:dyDescent="0.25">
      <c r="A2381" s="77"/>
      <c r="B2381" s="77"/>
      <c r="G2381" s="427"/>
      <c r="H2381" s="77"/>
      <c r="I2381" s="77"/>
      <c r="J2381" s="77"/>
      <c r="K2381" s="77"/>
    </row>
    <row r="2382" spans="1:16" x14ac:dyDescent="0.25">
      <c r="A2382" s="77"/>
      <c r="B2382" s="77"/>
      <c r="G2382" s="427"/>
      <c r="H2382" s="77"/>
      <c r="I2382" s="77"/>
      <c r="J2382" s="77"/>
      <c r="K2382" s="77"/>
    </row>
    <row r="2383" spans="1:16" x14ac:dyDescent="0.25">
      <c r="A2383" s="77"/>
      <c r="B2383" s="77"/>
      <c r="G2383" s="427"/>
      <c r="H2383" s="77"/>
      <c r="I2383" s="77"/>
      <c r="J2383" s="77"/>
      <c r="K2383" s="77"/>
    </row>
    <row r="2384" spans="1:16" x14ac:dyDescent="0.25">
      <c r="A2384" s="77"/>
      <c r="B2384" s="77"/>
      <c r="G2384" s="427"/>
      <c r="H2384" s="77"/>
      <c r="I2384" s="77"/>
      <c r="J2384" s="77"/>
      <c r="K2384" s="77"/>
      <c r="P2384" s="77" t="s">
        <v>12589</v>
      </c>
    </row>
    <row r="2385" spans="1:11" x14ac:dyDescent="0.25">
      <c r="A2385" s="77"/>
      <c r="B2385" s="77"/>
      <c r="G2385" s="427"/>
      <c r="H2385" s="77"/>
      <c r="I2385" s="77"/>
      <c r="J2385" s="77"/>
      <c r="K2385" s="77"/>
    </row>
    <row r="2386" spans="1:11" x14ac:dyDescent="0.25">
      <c r="A2386" s="77"/>
      <c r="B2386" s="77"/>
      <c r="G2386" s="427"/>
      <c r="H2386" s="77"/>
      <c r="I2386" s="77"/>
      <c r="J2386" s="77"/>
      <c r="K2386" s="77"/>
    </row>
    <row r="2387" spans="1:11" x14ac:dyDescent="0.25">
      <c r="A2387" s="77"/>
      <c r="B2387" s="77"/>
      <c r="G2387" s="427"/>
      <c r="H2387" s="77"/>
      <c r="I2387" s="77"/>
      <c r="J2387" s="77"/>
      <c r="K2387" s="77"/>
    </row>
    <row r="2388" spans="1:11" x14ac:dyDescent="0.25">
      <c r="A2388" s="77"/>
      <c r="B2388" s="77"/>
      <c r="G2388" s="427"/>
      <c r="H2388" s="77"/>
      <c r="I2388" s="77"/>
      <c r="J2388" s="77"/>
      <c r="K2388" s="77"/>
    </row>
    <row r="2389" spans="1:11" x14ac:dyDescent="0.25">
      <c r="A2389" s="77"/>
      <c r="B2389" s="77"/>
      <c r="G2389" s="427"/>
      <c r="H2389" s="77"/>
      <c r="I2389" s="77"/>
      <c r="J2389" s="77"/>
      <c r="K2389" s="77"/>
    </row>
    <row r="2390" spans="1:11" x14ac:dyDescent="0.25">
      <c r="A2390" s="77"/>
      <c r="B2390" s="77"/>
      <c r="G2390" s="427"/>
      <c r="H2390" s="77"/>
      <c r="I2390" s="77"/>
      <c r="J2390" s="77"/>
      <c r="K2390" s="77"/>
    </row>
    <row r="2391" spans="1:11" x14ac:dyDescent="0.25">
      <c r="A2391" s="77"/>
      <c r="B2391" s="77"/>
      <c r="G2391" s="427"/>
      <c r="H2391" s="77"/>
      <c r="I2391" s="77"/>
      <c r="J2391" s="77"/>
      <c r="K2391" s="77"/>
    </row>
    <row r="2392" spans="1:11" x14ac:dyDescent="0.25">
      <c r="A2392" s="77"/>
      <c r="B2392" s="77"/>
      <c r="G2392" s="427"/>
      <c r="H2392" s="77"/>
      <c r="I2392" s="77"/>
      <c r="J2392" s="77"/>
      <c r="K2392" s="77"/>
    </row>
    <row r="2393" spans="1:11" x14ac:dyDescent="0.25">
      <c r="A2393" s="77"/>
      <c r="B2393" s="77"/>
      <c r="G2393" s="427"/>
      <c r="H2393" s="77"/>
      <c r="I2393" s="77"/>
      <c r="J2393" s="77"/>
      <c r="K2393" s="77"/>
    </row>
    <row r="2394" spans="1:11" x14ac:dyDescent="0.25">
      <c r="A2394" s="77"/>
      <c r="B2394" s="77"/>
      <c r="G2394" s="427"/>
      <c r="H2394" s="77"/>
      <c r="I2394" s="77"/>
      <c r="J2394" s="77"/>
      <c r="K2394" s="77"/>
    </row>
    <row r="2395" spans="1:11" x14ac:dyDescent="0.25">
      <c r="A2395" s="77"/>
      <c r="B2395" s="77"/>
      <c r="G2395" s="427"/>
      <c r="H2395" s="77"/>
      <c r="I2395" s="77"/>
      <c r="J2395" s="77"/>
      <c r="K2395" s="77"/>
    </row>
    <row r="2396" spans="1:11" x14ac:dyDescent="0.25">
      <c r="A2396" s="77"/>
      <c r="B2396" s="77"/>
      <c r="G2396" s="427"/>
      <c r="H2396" s="77"/>
      <c r="I2396" s="77"/>
      <c r="J2396" s="77"/>
      <c r="K2396" s="77"/>
    </row>
    <row r="2397" spans="1:11" x14ac:dyDescent="0.25">
      <c r="A2397" s="77"/>
      <c r="B2397" s="77"/>
      <c r="G2397" s="427"/>
      <c r="H2397" s="77"/>
      <c r="I2397" s="77"/>
      <c r="J2397" s="77"/>
      <c r="K2397" s="77"/>
    </row>
    <row r="2398" spans="1:11" x14ac:dyDescent="0.25">
      <c r="A2398" s="77"/>
      <c r="B2398" s="77"/>
      <c r="G2398" s="427"/>
      <c r="H2398" s="77"/>
      <c r="I2398" s="77"/>
      <c r="J2398" s="77"/>
      <c r="K2398" s="77"/>
    </row>
    <row r="2399" spans="1:11" x14ac:dyDescent="0.25">
      <c r="A2399" s="77"/>
      <c r="B2399" s="77"/>
      <c r="G2399" s="427"/>
      <c r="H2399" s="77"/>
      <c r="I2399" s="77"/>
      <c r="J2399" s="77"/>
      <c r="K2399" s="77"/>
    </row>
    <row r="2400" spans="1:11" x14ac:dyDescent="0.25">
      <c r="A2400" s="77"/>
      <c r="B2400" s="77"/>
      <c r="G2400" s="427"/>
      <c r="H2400" s="77"/>
      <c r="I2400" s="77"/>
      <c r="J2400" s="77"/>
      <c r="K2400" s="77"/>
    </row>
    <row r="2401" spans="1:11" x14ac:dyDescent="0.25">
      <c r="A2401" s="77"/>
      <c r="B2401" s="77"/>
      <c r="G2401" s="427"/>
      <c r="H2401" s="77"/>
      <c r="I2401" s="77"/>
      <c r="J2401" s="77"/>
      <c r="K2401" s="77"/>
    </row>
    <row r="2402" spans="1:11" x14ac:dyDescent="0.25">
      <c r="A2402" s="77"/>
      <c r="B2402" s="77"/>
      <c r="G2402" s="427"/>
      <c r="H2402" s="77"/>
      <c r="I2402" s="77"/>
      <c r="J2402" s="77"/>
      <c r="K2402" s="77"/>
    </row>
    <row r="2403" spans="1:11" x14ac:dyDescent="0.25">
      <c r="A2403" s="77"/>
      <c r="B2403" s="77"/>
      <c r="G2403" s="427"/>
      <c r="H2403" s="77"/>
      <c r="I2403" s="77"/>
      <c r="J2403" s="77"/>
      <c r="K2403" s="77"/>
    </row>
    <row r="2404" spans="1:11" x14ac:dyDescent="0.25">
      <c r="A2404" s="77"/>
      <c r="B2404" s="77"/>
      <c r="G2404" s="427"/>
      <c r="H2404" s="77"/>
      <c r="I2404" s="77"/>
      <c r="J2404" s="77"/>
      <c r="K2404" s="77"/>
    </row>
    <row r="2405" spans="1:11" x14ac:dyDescent="0.25">
      <c r="A2405" s="77"/>
      <c r="B2405" s="77"/>
      <c r="G2405" s="427"/>
      <c r="H2405" s="77"/>
      <c r="I2405" s="77"/>
      <c r="J2405" s="77"/>
      <c r="K2405" s="77"/>
    </row>
    <row r="2406" spans="1:11" x14ac:dyDescent="0.25">
      <c r="A2406" s="77"/>
      <c r="B2406" s="77"/>
      <c r="G2406" s="427"/>
      <c r="H2406" s="77"/>
      <c r="I2406" s="77"/>
      <c r="J2406" s="77"/>
      <c r="K2406" s="77"/>
    </row>
    <row r="2407" spans="1:11" x14ac:dyDescent="0.25">
      <c r="A2407" s="77"/>
      <c r="B2407" s="77"/>
      <c r="G2407" s="427"/>
      <c r="H2407" s="77"/>
      <c r="I2407" s="77"/>
      <c r="J2407" s="77"/>
      <c r="K2407" s="77"/>
    </row>
    <row r="2408" spans="1:11" x14ac:dyDescent="0.25">
      <c r="A2408" s="77"/>
      <c r="B2408" s="77"/>
      <c r="G2408"/>
      <c r="H2408"/>
      <c r="I2408" s="77"/>
      <c r="J2408" s="77"/>
      <c r="K2408" s="77"/>
    </row>
    <row r="2409" spans="1:11" x14ac:dyDescent="0.25">
      <c r="A2409" s="77"/>
      <c r="B2409" s="77"/>
      <c r="G2409"/>
      <c r="H2409"/>
      <c r="I2409" s="77"/>
      <c r="J2409" s="77"/>
      <c r="K2409" s="77"/>
    </row>
    <row r="2410" spans="1:11" x14ac:dyDescent="0.25">
      <c r="A2410" s="77"/>
      <c r="B2410" s="77"/>
      <c r="G2410"/>
      <c r="H2410"/>
      <c r="I2410" s="77"/>
      <c r="J2410" s="77"/>
      <c r="K2410" s="77"/>
    </row>
    <row r="2411" spans="1:11" x14ac:dyDescent="0.25">
      <c r="A2411" s="77"/>
      <c r="B2411" s="77"/>
      <c r="G2411" s="427"/>
      <c r="H2411" s="77"/>
      <c r="I2411" s="77"/>
      <c r="J2411" s="77"/>
      <c r="K2411" s="77"/>
    </row>
    <row r="2412" spans="1:11" x14ac:dyDescent="0.25">
      <c r="A2412" s="77"/>
      <c r="B2412" s="77"/>
      <c r="G2412" s="427"/>
      <c r="H2412" s="77"/>
      <c r="I2412" s="77"/>
      <c r="J2412" s="77"/>
      <c r="K2412" s="77"/>
    </row>
    <row r="2413" spans="1:11" x14ac:dyDescent="0.25">
      <c r="A2413" s="77"/>
      <c r="B2413" s="77"/>
      <c r="G2413" s="427"/>
      <c r="H2413" s="77"/>
      <c r="I2413" s="77"/>
      <c r="J2413" s="77"/>
      <c r="K2413" s="77"/>
    </row>
    <row r="2414" spans="1:11" x14ac:dyDescent="0.25">
      <c r="A2414" s="77"/>
      <c r="B2414" s="77"/>
      <c r="G2414" s="427"/>
      <c r="H2414" s="77"/>
      <c r="I2414" s="77"/>
      <c r="J2414" s="77"/>
      <c r="K2414" s="77"/>
    </row>
    <row r="2415" spans="1:11" x14ac:dyDescent="0.25">
      <c r="A2415" s="77"/>
      <c r="B2415" s="77"/>
      <c r="G2415" s="427"/>
      <c r="H2415" s="77"/>
      <c r="I2415" s="77"/>
      <c r="J2415" s="77"/>
      <c r="K2415" s="77"/>
    </row>
    <row r="2416" spans="1:11" x14ac:dyDescent="0.25">
      <c r="A2416" s="77"/>
      <c r="B2416" s="77"/>
      <c r="G2416" s="427"/>
      <c r="H2416" s="77"/>
      <c r="I2416" s="77"/>
      <c r="J2416" s="77"/>
      <c r="K2416" s="77"/>
    </row>
    <row r="2417" spans="1:12" x14ac:dyDescent="0.25">
      <c r="A2417" s="77"/>
      <c r="B2417" s="77"/>
      <c r="G2417" s="427"/>
      <c r="H2417" s="77"/>
      <c r="I2417" s="77"/>
      <c r="J2417" s="77"/>
      <c r="K2417" s="77"/>
    </row>
    <row r="2418" spans="1:12" x14ac:dyDescent="0.25">
      <c r="A2418" s="77"/>
      <c r="B2418" s="77"/>
      <c r="G2418" s="427"/>
      <c r="H2418" s="77"/>
      <c r="I2418" s="77"/>
      <c r="J2418" s="77"/>
      <c r="K2418" s="77"/>
    </row>
    <row r="2419" spans="1:12" x14ac:dyDescent="0.25">
      <c r="A2419" s="77"/>
      <c r="B2419" s="77"/>
      <c r="G2419" s="427"/>
      <c r="H2419" s="77"/>
      <c r="I2419" s="77"/>
      <c r="J2419" s="77"/>
      <c r="K2419" s="77"/>
    </row>
    <row r="2420" spans="1:12" x14ac:dyDescent="0.25">
      <c r="A2420" s="77"/>
      <c r="B2420" s="77"/>
      <c r="G2420" s="427"/>
      <c r="H2420" s="77"/>
      <c r="I2420" s="77"/>
      <c r="J2420" s="77"/>
      <c r="K2420" s="77"/>
    </row>
    <row r="2421" spans="1:12" x14ac:dyDescent="0.25">
      <c r="A2421" s="77"/>
      <c r="B2421" s="77"/>
      <c r="G2421" s="427"/>
      <c r="H2421" s="77"/>
      <c r="I2421" s="77"/>
      <c r="J2421" s="77"/>
      <c r="K2421" s="77"/>
    </row>
    <row r="2422" spans="1:12" x14ac:dyDescent="0.25">
      <c r="A2422" s="77"/>
      <c r="B2422" s="77"/>
      <c r="G2422" s="427"/>
      <c r="H2422" s="77"/>
      <c r="I2422" s="77"/>
      <c r="J2422" s="77"/>
      <c r="K2422" s="77"/>
    </row>
    <row r="2423" spans="1:12" x14ac:dyDescent="0.25">
      <c r="A2423" s="77"/>
      <c r="B2423" s="77"/>
      <c r="G2423" s="427"/>
    </row>
    <row r="2424" spans="1:12" x14ac:dyDescent="0.25">
      <c r="A2424" s="77"/>
      <c r="B2424" s="77"/>
      <c r="G2424" s="427"/>
    </row>
    <row r="2425" spans="1:12" x14ac:dyDescent="0.25">
      <c r="A2425" s="77"/>
      <c r="B2425" s="77"/>
      <c r="G2425" s="427"/>
    </row>
    <row r="2426" spans="1:12" x14ac:dyDescent="0.25">
      <c r="A2426" s="77"/>
      <c r="B2426" s="77"/>
      <c r="C2426" s="78" t="s">
        <v>10576</v>
      </c>
      <c r="G2426" s="427"/>
    </row>
    <row r="2427" spans="1:12" x14ac:dyDescent="0.25">
      <c r="A2427" s="77"/>
      <c r="B2427" s="77"/>
      <c r="C2427" s="78"/>
      <c r="F2427" s="152" t="s">
        <v>195</v>
      </c>
      <c r="G2427" s="427"/>
      <c r="I2427" s="789" t="s">
        <v>10149</v>
      </c>
      <c r="J2427" s="790"/>
      <c r="K2427" s="789" t="s">
        <v>10150</v>
      </c>
      <c r="L2427" s="791"/>
    </row>
    <row r="2428" spans="1:12" x14ac:dyDescent="0.25">
      <c r="A2428" s="77"/>
      <c r="B2428" s="77"/>
      <c r="C2428" s="78"/>
      <c r="G2428" s="427"/>
    </row>
    <row r="2429" spans="1:12" x14ac:dyDescent="0.25">
      <c r="A2429" s="77"/>
      <c r="B2429" s="77"/>
      <c r="C2429" s="78" t="s">
        <v>10577</v>
      </c>
      <c r="G2429" s="427"/>
    </row>
    <row r="2430" spans="1:12" x14ac:dyDescent="0.25">
      <c r="A2430" s="77"/>
      <c r="B2430" s="77"/>
      <c r="C2430" s="78"/>
      <c r="G2430" s="427"/>
      <c r="I2430" s="789" t="s">
        <v>10149</v>
      </c>
      <c r="J2430" s="790"/>
      <c r="K2430" s="789" t="s">
        <v>10150</v>
      </c>
      <c r="L2430" s="791"/>
    </row>
    <row r="2431" spans="1:12" x14ac:dyDescent="0.25">
      <c r="A2431" s="77"/>
      <c r="B2431" s="77"/>
      <c r="C2431" s="78"/>
      <c r="G2431" s="427"/>
    </row>
    <row r="2432" spans="1:12" x14ac:dyDescent="0.25">
      <c r="A2432" s="77"/>
      <c r="B2432" s="77"/>
      <c r="C2432" s="78" t="s">
        <v>10578</v>
      </c>
      <c r="G2432" s="427"/>
    </row>
    <row r="2433" spans="1:12" x14ac:dyDescent="0.25">
      <c r="A2433" s="77"/>
      <c r="B2433" s="77"/>
      <c r="C2433" s="78"/>
      <c r="G2433" s="427"/>
      <c r="I2433" s="789" t="s">
        <v>10149</v>
      </c>
      <c r="J2433" s="790"/>
      <c r="K2433" s="789" t="s">
        <v>10150</v>
      </c>
      <c r="L2433" s="791"/>
    </row>
    <row r="2434" spans="1:12" x14ac:dyDescent="0.25">
      <c r="A2434" s="77"/>
      <c r="B2434" s="77"/>
      <c r="C2434" s="78"/>
      <c r="G2434" s="427"/>
    </row>
    <row r="2435" spans="1:12" x14ac:dyDescent="0.25">
      <c r="A2435" s="77"/>
      <c r="B2435" s="77"/>
      <c r="C2435" s="78" t="s">
        <v>10579</v>
      </c>
      <c r="G2435" s="427"/>
    </row>
    <row r="2436" spans="1:12" x14ac:dyDescent="0.25">
      <c r="A2436" s="77"/>
      <c r="B2436" s="77"/>
      <c r="C2436" s="78"/>
      <c r="G2436" s="427"/>
      <c r="I2436" s="789" t="s">
        <v>10149</v>
      </c>
      <c r="J2436" s="790"/>
      <c r="K2436" s="789" t="s">
        <v>10150</v>
      </c>
      <c r="L2436" s="791"/>
    </row>
    <row r="2437" spans="1:12" x14ac:dyDescent="0.25">
      <c r="A2437" s="77"/>
      <c r="B2437" s="77"/>
      <c r="C2437" s="78"/>
      <c r="G2437" s="427"/>
    </row>
    <row r="2438" spans="1:12" x14ac:dyDescent="0.25">
      <c r="A2438" s="77"/>
      <c r="B2438" s="77"/>
      <c r="C2438" s="78" t="s">
        <v>10580</v>
      </c>
      <c r="G2438" s="427"/>
    </row>
    <row r="2439" spans="1:12" x14ac:dyDescent="0.25">
      <c r="A2439" s="77"/>
      <c r="B2439" s="77"/>
      <c r="C2439" s="78"/>
      <c r="G2439" s="427"/>
      <c r="I2439" s="789" t="s">
        <v>10149</v>
      </c>
      <c r="J2439" s="790"/>
      <c r="K2439" s="789" t="s">
        <v>10150</v>
      </c>
      <c r="L2439" s="791"/>
    </row>
    <row r="2440" spans="1:12" x14ac:dyDescent="0.25">
      <c r="A2440" s="77"/>
      <c r="B2440" s="77"/>
      <c r="C2440" s="78"/>
      <c r="G2440" s="427"/>
    </row>
    <row r="2441" spans="1:12" x14ac:dyDescent="0.25">
      <c r="A2441" s="77"/>
      <c r="B2441" s="77"/>
      <c r="C2441" s="78" t="s">
        <v>10581</v>
      </c>
      <c r="G2441" s="427"/>
    </row>
    <row r="2442" spans="1:12" x14ac:dyDescent="0.25">
      <c r="A2442" s="77"/>
      <c r="B2442" s="77"/>
      <c r="C2442" s="78"/>
      <c r="G2442" s="427"/>
      <c r="I2442" s="789" t="s">
        <v>10149</v>
      </c>
      <c r="J2442" s="790"/>
      <c r="K2442" s="789" t="s">
        <v>10150</v>
      </c>
      <c r="L2442" s="791"/>
    </row>
    <row r="2443" spans="1:12" x14ac:dyDescent="0.25">
      <c r="A2443" s="77"/>
      <c r="B2443" s="77"/>
      <c r="C2443" s="78"/>
      <c r="G2443" s="427"/>
    </row>
    <row r="2444" spans="1:12" x14ac:dyDescent="0.25">
      <c r="A2444" s="77"/>
      <c r="B2444" s="77"/>
      <c r="C2444" s="78" t="s">
        <v>10582</v>
      </c>
      <c r="G2444" s="427"/>
    </row>
    <row r="2445" spans="1:12" x14ac:dyDescent="0.25">
      <c r="A2445" s="77"/>
      <c r="B2445" s="77"/>
      <c r="C2445" s="78"/>
      <c r="G2445" s="427"/>
      <c r="I2445" s="789" t="s">
        <v>10149</v>
      </c>
      <c r="J2445" s="790"/>
      <c r="K2445" s="789" t="s">
        <v>10150</v>
      </c>
      <c r="L2445" s="791"/>
    </row>
    <row r="2446" spans="1:12" x14ac:dyDescent="0.25">
      <c r="A2446" s="77"/>
      <c r="B2446" s="77"/>
      <c r="C2446" s="78"/>
      <c r="G2446" s="427"/>
    </row>
    <row r="2447" spans="1:12" x14ac:dyDescent="0.25">
      <c r="A2447" s="77"/>
      <c r="B2447" s="77"/>
      <c r="C2447" s="78" t="s">
        <v>10583</v>
      </c>
      <c r="G2447" s="427"/>
    </row>
    <row r="2448" spans="1:12" x14ac:dyDescent="0.25">
      <c r="A2448" s="77"/>
      <c r="B2448" s="77"/>
      <c r="C2448" s="78"/>
      <c r="G2448" s="427"/>
      <c r="I2448" s="789" t="s">
        <v>10149</v>
      </c>
      <c r="J2448" s="790"/>
      <c r="K2448" s="789" t="s">
        <v>10150</v>
      </c>
      <c r="L2448" s="791"/>
    </row>
    <row r="2449" spans="1:12" x14ac:dyDescent="0.25">
      <c r="A2449" s="77"/>
      <c r="B2449" s="77"/>
      <c r="C2449" s="78"/>
      <c r="G2449" s="427"/>
    </row>
    <row r="2450" spans="1:12" x14ac:dyDescent="0.25">
      <c r="A2450" s="77"/>
      <c r="B2450" s="77"/>
      <c r="C2450" s="78" t="s">
        <v>10584</v>
      </c>
      <c r="G2450" s="427"/>
    </row>
    <row r="2451" spans="1:12" x14ac:dyDescent="0.25">
      <c r="A2451" s="77"/>
      <c r="B2451" s="77"/>
      <c r="C2451" s="78"/>
      <c r="G2451" s="427"/>
      <c r="I2451" s="789" t="s">
        <v>10149</v>
      </c>
      <c r="J2451" s="790"/>
      <c r="K2451" s="789" t="s">
        <v>10150</v>
      </c>
      <c r="L2451" s="791"/>
    </row>
    <row r="2452" spans="1:12" x14ac:dyDescent="0.25">
      <c r="A2452" s="77"/>
      <c r="B2452" s="77"/>
      <c r="C2452" s="78"/>
      <c r="G2452" s="427"/>
    </row>
    <row r="2453" spans="1:12" x14ac:dyDescent="0.25">
      <c r="A2453" s="77"/>
      <c r="B2453" s="77"/>
      <c r="C2453" s="78" t="s">
        <v>10585</v>
      </c>
      <c r="G2453" s="427"/>
    </row>
    <row r="2454" spans="1:12" x14ac:dyDescent="0.25">
      <c r="A2454" s="77"/>
      <c r="B2454" s="77"/>
      <c r="C2454" s="78"/>
      <c r="G2454" s="427"/>
      <c r="I2454" s="789" t="s">
        <v>10149</v>
      </c>
      <c r="J2454" s="790"/>
      <c r="K2454" s="789" t="s">
        <v>10150</v>
      </c>
      <c r="L2454" s="791"/>
    </row>
    <row r="2455" spans="1:12" x14ac:dyDescent="0.25">
      <c r="A2455" s="77"/>
      <c r="B2455" s="77"/>
      <c r="C2455" s="78"/>
      <c r="G2455" s="427"/>
    </row>
    <row r="2456" spans="1:12" x14ac:dyDescent="0.25">
      <c r="A2456" s="77"/>
      <c r="B2456" s="77"/>
      <c r="C2456" s="78" t="s">
        <v>10586</v>
      </c>
      <c r="G2456" s="427"/>
    </row>
    <row r="2457" spans="1:12" x14ac:dyDescent="0.25">
      <c r="A2457" s="77"/>
      <c r="B2457" s="77"/>
      <c r="C2457" s="78"/>
      <c r="G2457" s="427"/>
      <c r="I2457" s="789" t="s">
        <v>10149</v>
      </c>
      <c r="J2457" s="790"/>
      <c r="K2457" s="789" t="s">
        <v>10150</v>
      </c>
      <c r="L2457" s="791"/>
    </row>
    <row r="2458" spans="1:12" x14ac:dyDescent="0.25">
      <c r="A2458" s="77"/>
      <c r="B2458" s="77"/>
      <c r="C2458" s="78"/>
      <c r="G2458" s="427"/>
    </row>
    <row r="2459" spans="1:12" x14ac:dyDescent="0.25">
      <c r="A2459" s="77"/>
      <c r="B2459" s="77"/>
      <c r="C2459" s="78" t="s">
        <v>10587</v>
      </c>
      <c r="G2459" s="427"/>
    </row>
    <row r="2460" spans="1:12" x14ac:dyDescent="0.25">
      <c r="A2460" s="77"/>
      <c r="B2460" s="77"/>
      <c r="C2460" s="78"/>
      <c r="G2460" s="427"/>
      <c r="I2460" s="789" t="s">
        <v>10149</v>
      </c>
      <c r="J2460" s="790"/>
      <c r="K2460" s="789" t="s">
        <v>10150</v>
      </c>
      <c r="L2460" s="791"/>
    </row>
    <row r="2461" spans="1:12" x14ac:dyDescent="0.25">
      <c r="A2461" s="77"/>
      <c r="B2461" s="77"/>
      <c r="C2461" s="78"/>
      <c r="G2461" s="427"/>
    </row>
    <row r="2462" spans="1:12" x14ac:dyDescent="0.25">
      <c r="A2462" s="77"/>
      <c r="B2462" s="77"/>
      <c r="C2462" s="78" t="s">
        <v>10588</v>
      </c>
      <c r="G2462" s="427"/>
    </row>
    <row r="2463" spans="1:12" x14ac:dyDescent="0.25">
      <c r="A2463" s="77"/>
      <c r="B2463" s="77"/>
      <c r="C2463" s="78"/>
      <c r="G2463" s="427"/>
      <c r="I2463" s="789" t="s">
        <v>10149</v>
      </c>
      <c r="J2463" s="790"/>
      <c r="K2463" s="789" t="s">
        <v>10150</v>
      </c>
      <c r="L2463" s="791"/>
    </row>
    <row r="2464" spans="1:12" x14ac:dyDescent="0.25">
      <c r="A2464" s="77"/>
      <c r="B2464" s="77"/>
      <c r="C2464" s="78"/>
      <c r="G2464" s="427"/>
    </row>
    <row r="2465" spans="1:12" x14ac:dyDescent="0.25">
      <c r="A2465" s="77"/>
      <c r="B2465" s="77"/>
      <c r="C2465" s="78" t="s">
        <v>10589</v>
      </c>
      <c r="G2465" s="427"/>
    </row>
    <row r="2466" spans="1:12" x14ac:dyDescent="0.25">
      <c r="A2466" s="77"/>
      <c r="B2466" s="77"/>
      <c r="C2466" s="78"/>
      <c r="G2466" s="427"/>
      <c r="I2466" s="789" t="s">
        <v>10149</v>
      </c>
      <c r="J2466" s="790"/>
      <c r="K2466" s="789" t="s">
        <v>10150</v>
      </c>
      <c r="L2466" s="791"/>
    </row>
    <row r="2467" spans="1:12" x14ac:dyDescent="0.25">
      <c r="A2467" s="77"/>
      <c r="B2467" s="77"/>
      <c r="C2467" s="78"/>
      <c r="G2467" s="427"/>
    </row>
    <row r="2468" spans="1:12" x14ac:dyDescent="0.25">
      <c r="A2468" s="77"/>
      <c r="B2468" s="77"/>
      <c r="C2468" s="78" t="s">
        <v>10590</v>
      </c>
      <c r="G2468" s="427"/>
    </row>
    <row r="2469" spans="1:12" x14ac:dyDescent="0.25">
      <c r="A2469" s="77"/>
      <c r="B2469" s="77"/>
      <c r="C2469" s="78"/>
      <c r="G2469" s="427"/>
      <c r="I2469" s="789" t="s">
        <v>10149</v>
      </c>
      <c r="J2469" s="790"/>
      <c r="K2469" s="789" t="s">
        <v>10150</v>
      </c>
      <c r="L2469" s="791"/>
    </row>
    <row r="2470" spans="1:12" x14ac:dyDescent="0.25">
      <c r="A2470" s="77"/>
      <c r="B2470" s="77"/>
      <c r="C2470" s="78"/>
      <c r="G2470" s="427"/>
    </row>
    <row r="2471" spans="1:12" x14ac:dyDescent="0.25">
      <c r="A2471" s="77"/>
      <c r="B2471" s="77"/>
      <c r="C2471" s="78" t="s">
        <v>10591</v>
      </c>
      <c r="G2471" s="427"/>
    </row>
    <row r="2472" spans="1:12" x14ac:dyDescent="0.25">
      <c r="A2472" s="77"/>
      <c r="B2472" s="77"/>
      <c r="C2472" s="78"/>
      <c r="G2472" s="427"/>
      <c r="I2472" s="789" t="s">
        <v>10149</v>
      </c>
      <c r="J2472" s="790"/>
      <c r="K2472" s="789" t="s">
        <v>10150</v>
      </c>
      <c r="L2472" s="791"/>
    </row>
    <row r="2473" spans="1:12" x14ac:dyDescent="0.25">
      <c r="A2473" s="77"/>
      <c r="B2473" s="77"/>
      <c r="C2473" s="78"/>
      <c r="G2473" s="427"/>
    </row>
    <row r="2474" spans="1:12" x14ac:dyDescent="0.25">
      <c r="A2474" s="77"/>
      <c r="B2474" s="77"/>
      <c r="C2474" s="78" t="s">
        <v>10592</v>
      </c>
      <c r="G2474" s="427"/>
    </row>
    <row r="2475" spans="1:12" x14ac:dyDescent="0.25">
      <c r="A2475" s="77"/>
      <c r="B2475" s="77"/>
      <c r="C2475" s="78"/>
      <c r="G2475" s="427"/>
      <c r="I2475" s="789" t="s">
        <v>10149</v>
      </c>
      <c r="J2475" s="790"/>
      <c r="K2475" s="789" t="s">
        <v>10150</v>
      </c>
      <c r="L2475" s="791"/>
    </row>
    <row r="2476" spans="1:12" x14ac:dyDescent="0.25">
      <c r="A2476" s="77"/>
      <c r="B2476" s="77"/>
      <c r="C2476" s="78"/>
      <c r="G2476" s="427"/>
    </row>
    <row r="2477" spans="1:12" x14ac:dyDescent="0.25">
      <c r="A2477" s="77"/>
      <c r="B2477" s="77"/>
      <c r="C2477" s="78" t="s">
        <v>10593</v>
      </c>
      <c r="G2477" s="427"/>
    </row>
    <row r="2478" spans="1:12" x14ac:dyDescent="0.25">
      <c r="A2478" s="77"/>
      <c r="B2478" s="77"/>
      <c r="C2478" s="78"/>
      <c r="G2478" s="427"/>
      <c r="I2478" s="789" t="s">
        <v>10149</v>
      </c>
      <c r="J2478" s="790"/>
      <c r="K2478" s="789" t="s">
        <v>10150</v>
      </c>
      <c r="L2478" s="791"/>
    </row>
    <row r="2479" spans="1:12" x14ac:dyDescent="0.25">
      <c r="A2479" s="77"/>
      <c r="B2479" s="77"/>
      <c r="C2479" s="78"/>
      <c r="G2479" s="427"/>
    </row>
    <row r="2480" spans="1:12" x14ac:dyDescent="0.25">
      <c r="A2480" s="77"/>
      <c r="B2480" s="77"/>
      <c r="C2480" s="78" t="s">
        <v>10594</v>
      </c>
      <c r="G2480" s="427"/>
    </row>
    <row r="2481" spans="1:12" x14ac:dyDescent="0.25">
      <c r="A2481" s="77"/>
      <c r="B2481" s="77"/>
      <c r="C2481" s="78"/>
      <c r="G2481" s="427"/>
      <c r="I2481" s="789" t="s">
        <v>10149</v>
      </c>
      <c r="J2481" s="790"/>
      <c r="K2481" s="789" t="s">
        <v>10150</v>
      </c>
      <c r="L2481" s="791"/>
    </row>
    <row r="2482" spans="1:12" x14ac:dyDescent="0.25">
      <c r="A2482" s="77"/>
      <c r="B2482" s="77"/>
      <c r="C2482" s="78"/>
      <c r="G2482" s="427"/>
    </row>
    <row r="2483" spans="1:12" x14ac:dyDescent="0.25">
      <c r="A2483" s="77"/>
      <c r="B2483" s="77"/>
      <c r="C2483" s="78" t="s">
        <v>10595</v>
      </c>
      <c r="G2483" s="427"/>
    </row>
    <row r="2484" spans="1:12" x14ac:dyDescent="0.25">
      <c r="A2484" s="77"/>
      <c r="B2484" s="77"/>
      <c r="C2484" s="78"/>
      <c r="G2484" s="427"/>
      <c r="I2484" s="789" t="s">
        <v>10149</v>
      </c>
      <c r="J2484" s="790"/>
      <c r="K2484" s="789" t="s">
        <v>10150</v>
      </c>
      <c r="L2484" s="791"/>
    </row>
    <row r="2485" spans="1:12" x14ac:dyDescent="0.25">
      <c r="A2485" s="77"/>
      <c r="B2485" s="77"/>
      <c r="C2485" s="78"/>
      <c r="G2485" s="427"/>
    </row>
    <row r="2486" spans="1:12" x14ac:dyDescent="0.25">
      <c r="A2486" s="77"/>
      <c r="B2486" s="77"/>
      <c r="C2486" s="78" t="s">
        <v>10596</v>
      </c>
      <c r="G2486" s="427"/>
    </row>
    <row r="2487" spans="1:12" x14ac:dyDescent="0.25">
      <c r="A2487" s="77"/>
      <c r="B2487" s="77"/>
      <c r="C2487" s="78"/>
      <c r="G2487" s="427"/>
      <c r="I2487" s="789" t="s">
        <v>10149</v>
      </c>
      <c r="J2487" s="790"/>
      <c r="K2487" s="789" t="s">
        <v>10150</v>
      </c>
      <c r="L2487" s="791"/>
    </row>
    <row r="2488" spans="1:12" x14ac:dyDescent="0.25">
      <c r="A2488" s="77"/>
      <c r="B2488" s="77"/>
      <c r="C2488" s="78"/>
      <c r="G2488" s="427"/>
    </row>
    <row r="2489" spans="1:12" x14ac:dyDescent="0.25">
      <c r="A2489" s="77"/>
      <c r="B2489" s="77"/>
      <c r="C2489" s="78" t="s">
        <v>10597</v>
      </c>
      <c r="G2489" s="427"/>
    </row>
    <row r="2490" spans="1:12" x14ac:dyDescent="0.25">
      <c r="A2490" s="77"/>
      <c r="B2490" s="77"/>
      <c r="C2490" s="78"/>
      <c r="G2490" s="427"/>
      <c r="I2490" s="789" t="s">
        <v>10149</v>
      </c>
      <c r="J2490" s="790"/>
      <c r="K2490" s="789" t="s">
        <v>10150</v>
      </c>
      <c r="L2490" s="791"/>
    </row>
    <row r="2491" spans="1:12" x14ac:dyDescent="0.25">
      <c r="A2491" s="77"/>
      <c r="B2491" s="77"/>
      <c r="C2491" s="78"/>
      <c r="G2491" s="427"/>
    </row>
    <row r="2492" spans="1:12" x14ac:dyDescent="0.25">
      <c r="A2492" s="77"/>
      <c r="B2492" s="77"/>
      <c r="C2492" s="78" t="s">
        <v>10598</v>
      </c>
      <c r="G2492" s="427"/>
    </row>
    <row r="2493" spans="1:12" x14ac:dyDescent="0.25">
      <c r="A2493" s="77"/>
      <c r="B2493" s="77"/>
      <c r="C2493" s="78"/>
      <c r="G2493" s="427"/>
      <c r="I2493" s="789" t="s">
        <v>10149</v>
      </c>
      <c r="J2493" s="790"/>
      <c r="K2493" s="789" t="s">
        <v>10150</v>
      </c>
      <c r="L2493" s="791"/>
    </row>
    <row r="2494" spans="1:12" x14ac:dyDescent="0.25">
      <c r="A2494" s="77"/>
      <c r="B2494" s="77"/>
      <c r="C2494" s="78"/>
      <c r="G2494" s="427"/>
    </row>
    <row r="2495" spans="1:12" x14ac:dyDescent="0.25">
      <c r="A2495" s="77"/>
      <c r="B2495" s="77"/>
      <c r="C2495" s="78" t="s">
        <v>10599</v>
      </c>
      <c r="G2495" s="427"/>
    </row>
    <row r="2496" spans="1:12" x14ac:dyDescent="0.25">
      <c r="A2496" s="77"/>
      <c r="B2496" s="77"/>
      <c r="C2496" s="78"/>
      <c r="G2496" s="427"/>
      <c r="I2496" s="789" t="s">
        <v>10149</v>
      </c>
      <c r="J2496" s="790"/>
      <c r="K2496" s="789" t="s">
        <v>10150</v>
      </c>
      <c r="L2496" s="791"/>
    </row>
    <row r="2497" spans="1:12" x14ac:dyDescent="0.25">
      <c r="A2497" s="77"/>
      <c r="B2497" s="77"/>
      <c r="C2497" s="78"/>
      <c r="G2497" s="427"/>
    </row>
    <row r="2498" spans="1:12" x14ac:dyDescent="0.25">
      <c r="A2498" s="77"/>
      <c r="B2498" s="77"/>
      <c r="C2498" s="78" t="s">
        <v>10600</v>
      </c>
      <c r="G2498" s="427"/>
    </row>
    <row r="2499" spans="1:12" x14ac:dyDescent="0.25">
      <c r="A2499" s="77"/>
      <c r="B2499" s="77"/>
      <c r="C2499" s="78"/>
      <c r="G2499" s="427"/>
      <c r="I2499" s="789" t="s">
        <v>10149</v>
      </c>
      <c r="J2499" s="790"/>
      <c r="K2499" s="789" t="s">
        <v>10150</v>
      </c>
      <c r="L2499" s="791"/>
    </row>
    <row r="2500" spans="1:12" x14ac:dyDescent="0.25">
      <c r="A2500" s="77"/>
      <c r="B2500" s="77"/>
      <c r="C2500" s="78"/>
      <c r="G2500" s="427"/>
    </row>
    <row r="2501" spans="1:12" x14ac:dyDescent="0.25">
      <c r="A2501" s="77"/>
      <c r="B2501" s="77"/>
      <c r="C2501" s="78" t="s">
        <v>10601</v>
      </c>
      <c r="G2501" s="427"/>
    </row>
    <row r="2502" spans="1:12" x14ac:dyDescent="0.25">
      <c r="A2502" s="77"/>
      <c r="B2502" s="77"/>
      <c r="C2502" s="78"/>
      <c r="G2502" s="427"/>
      <c r="I2502" s="789" t="s">
        <v>10149</v>
      </c>
      <c r="J2502" s="790"/>
      <c r="K2502" s="789" t="s">
        <v>10150</v>
      </c>
      <c r="L2502" s="791"/>
    </row>
    <row r="2503" spans="1:12" x14ac:dyDescent="0.25">
      <c r="A2503" s="77"/>
      <c r="B2503" s="77"/>
      <c r="C2503" s="78"/>
      <c r="G2503" s="427"/>
    </row>
    <row r="2504" spans="1:12" x14ac:dyDescent="0.25">
      <c r="A2504" s="77"/>
      <c r="B2504" s="77"/>
      <c r="C2504" s="78" t="s">
        <v>10602</v>
      </c>
      <c r="G2504" s="427"/>
    </row>
    <row r="2505" spans="1:12" x14ac:dyDescent="0.25">
      <c r="A2505" s="77"/>
      <c r="B2505" s="77"/>
      <c r="C2505" s="78"/>
      <c r="G2505" s="427"/>
      <c r="I2505" s="789" t="s">
        <v>10149</v>
      </c>
      <c r="J2505" s="790"/>
      <c r="K2505" s="789" t="s">
        <v>10150</v>
      </c>
      <c r="L2505" s="791"/>
    </row>
    <row r="2506" spans="1:12" x14ac:dyDescent="0.25">
      <c r="A2506" s="77"/>
      <c r="B2506" s="77"/>
      <c r="C2506" s="78"/>
      <c r="G2506" s="427"/>
    </row>
    <row r="2507" spans="1:12" x14ac:dyDescent="0.25">
      <c r="A2507" s="77"/>
      <c r="B2507" s="77"/>
      <c r="C2507" s="78" t="s">
        <v>10603</v>
      </c>
      <c r="G2507" s="427"/>
    </row>
    <row r="2508" spans="1:12" x14ac:dyDescent="0.25">
      <c r="A2508" s="77"/>
      <c r="B2508" s="77"/>
      <c r="C2508" s="78"/>
      <c r="G2508" s="427"/>
      <c r="I2508" s="789" t="s">
        <v>10149</v>
      </c>
      <c r="J2508" s="790"/>
      <c r="K2508" s="789" t="s">
        <v>10150</v>
      </c>
      <c r="L2508" s="791"/>
    </row>
    <row r="2509" spans="1:12" x14ac:dyDescent="0.25">
      <c r="A2509" s="77"/>
      <c r="B2509" s="77"/>
      <c r="C2509" s="78"/>
      <c r="G2509" s="427"/>
    </row>
    <row r="2510" spans="1:12" x14ac:dyDescent="0.25">
      <c r="A2510" s="77"/>
      <c r="B2510" s="77"/>
      <c r="C2510" s="78" t="s">
        <v>10604</v>
      </c>
      <c r="G2510" s="427"/>
    </row>
    <row r="2511" spans="1:12" x14ac:dyDescent="0.25">
      <c r="A2511" s="77"/>
      <c r="B2511" s="77"/>
      <c r="C2511" s="78"/>
      <c r="G2511" s="427"/>
      <c r="I2511" s="789" t="s">
        <v>10149</v>
      </c>
      <c r="J2511" s="790"/>
      <c r="K2511" s="789" t="s">
        <v>10150</v>
      </c>
      <c r="L2511" s="791"/>
    </row>
    <row r="2512" spans="1:12" x14ac:dyDescent="0.25">
      <c r="A2512" s="77"/>
      <c r="B2512" s="77"/>
      <c r="C2512" s="78"/>
      <c r="G2512" s="427"/>
    </row>
    <row r="2513" spans="1:12" x14ac:dyDescent="0.25">
      <c r="A2513" s="77"/>
      <c r="B2513" s="77"/>
      <c r="C2513" s="78" t="s">
        <v>10605</v>
      </c>
      <c r="G2513" s="427"/>
    </row>
    <row r="2514" spans="1:12" x14ac:dyDescent="0.25">
      <c r="A2514" s="77"/>
      <c r="B2514" s="77"/>
      <c r="C2514" s="78"/>
      <c r="G2514" s="427"/>
      <c r="I2514" s="789" t="s">
        <v>10149</v>
      </c>
      <c r="J2514" s="790"/>
      <c r="K2514" s="789" t="s">
        <v>10150</v>
      </c>
      <c r="L2514" s="791"/>
    </row>
    <row r="2515" spans="1:12" x14ac:dyDescent="0.25">
      <c r="A2515" s="77"/>
      <c r="B2515" s="77"/>
      <c r="C2515" s="78"/>
      <c r="G2515" s="427"/>
    </row>
    <row r="2516" spans="1:12" x14ac:dyDescent="0.25">
      <c r="A2516" s="77"/>
      <c r="B2516" s="77"/>
      <c r="C2516" s="78" t="s">
        <v>10606</v>
      </c>
      <c r="G2516" s="427"/>
    </row>
    <row r="2517" spans="1:12" x14ac:dyDescent="0.25">
      <c r="A2517" s="77"/>
      <c r="B2517" s="77"/>
      <c r="C2517" s="78"/>
      <c r="G2517" s="427"/>
      <c r="I2517" s="789" t="s">
        <v>10149</v>
      </c>
      <c r="J2517" s="790"/>
      <c r="K2517" s="789" t="s">
        <v>10150</v>
      </c>
      <c r="L2517" s="791"/>
    </row>
    <row r="2518" spans="1:12" x14ac:dyDescent="0.25">
      <c r="A2518" s="77"/>
      <c r="B2518" s="77"/>
      <c r="C2518" s="78"/>
      <c r="G2518" s="427"/>
    </row>
    <row r="2519" spans="1:12" x14ac:dyDescent="0.25">
      <c r="A2519" s="77"/>
      <c r="B2519" s="77"/>
      <c r="C2519" s="78" t="s">
        <v>10607</v>
      </c>
      <c r="G2519" s="427"/>
    </row>
    <row r="2520" spans="1:12" x14ac:dyDescent="0.25">
      <c r="A2520" s="77"/>
      <c r="B2520" s="77"/>
      <c r="C2520" s="78"/>
      <c r="G2520" s="427"/>
      <c r="I2520" s="789" t="s">
        <v>10149</v>
      </c>
      <c r="J2520" s="790"/>
      <c r="K2520" s="789" t="s">
        <v>10150</v>
      </c>
      <c r="L2520" s="791"/>
    </row>
    <row r="2521" spans="1:12" x14ac:dyDescent="0.25">
      <c r="A2521" s="77"/>
      <c r="B2521" s="77"/>
      <c r="C2521" s="78"/>
      <c r="G2521" s="427"/>
    </row>
    <row r="2522" spans="1:12" x14ac:dyDescent="0.25">
      <c r="A2522" s="77"/>
      <c r="B2522" s="77"/>
      <c r="C2522" s="78" t="s">
        <v>10608</v>
      </c>
      <c r="G2522" s="427"/>
    </row>
    <row r="2523" spans="1:12" x14ac:dyDescent="0.25">
      <c r="A2523" s="77"/>
      <c r="B2523" s="77"/>
      <c r="C2523" s="78"/>
      <c r="G2523" s="427"/>
      <c r="I2523" s="789" t="s">
        <v>10149</v>
      </c>
      <c r="J2523" s="790"/>
      <c r="K2523" s="789" t="s">
        <v>10150</v>
      </c>
      <c r="L2523" s="791"/>
    </row>
    <row r="2524" spans="1:12" x14ac:dyDescent="0.25">
      <c r="A2524" s="77"/>
      <c r="B2524" s="77"/>
      <c r="C2524" s="78"/>
      <c r="G2524" s="427"/>
    </row>
    <row r="2525" spans="1:12" x14ac:dyDescent="0.25">
      <c r="A2525" s="77"/>
      <c r="B2525" s="77"/>
      <c r="C2525" s="78" t="s">
        <v>10609</v>
      </c>
      <c r="G2525" s="427"/>
    </row>
    <row r="2526" spans="1:12" x14ac:dyDescent="0.25">
      <c r="A2526" s="77"/>
      <c r="B2526" s="77"/>
      <c r="C2526" s="78"/>
      <c r="G2526" s="427"/>
      <c r="I2526" s="789" t="s">
        <v>10149</v>
      </c>
      <c r="J2526" s="790"/>
      <c r="K2526" s="789" t="s">
        <v>10150</v>
      </c>
      <c r="L2526" s="791"/>
    </row>
    <row r="2527" spans="1:12" x14ac:dyDescent="0.25">
      <c r="A2527" s="77"/>
      <c r="B2527" s="77"/>
      <c r="C2527" s="78"/>
      <c r="G2527" s="427"/>
    </row>
    <row r="2528" spans="1:12" x14ac:dyDescent="0.25">
      <c r="A2528" s="77"/>
      <c r="B2528" s="77"/>
      <c r="C2528" s="78" t="s">
        <v>10610</v>
      </c>
      <c r="G2528" s="427"/>
    </row>
    <row r="2529" spans="1:12" x14ac:dyDescent="0.25">
      <c r="A2529" s="77"/>
      <c r="B2529" s="77"/>
      <c r="C2529" s="78"/>
      <c r="G2529" s="427"/>
      <c r="I2529" s="789" t="s">
        <v>10149</v>
      </c>
      <c r="J2529" s="790"/>
      <c r="K2529" s="789" t="s">
        <v>10150</v>
      </c>
      <c r="L2529" s="791"/>
    </row>
    <row r="2530" spans="1:12" x14ac:dyDescent="0.25">
      <c r="A2530" s="77"/>
      <c r="B2530" s="77"/>
      <c r="C2530" s="78"/>
      <c r="G2530" s="427"/>
    </row>
    <row r="2531" spans="1:12" x14ac:dyDescent="0.25">
      <c r="A2531" s="77"/>
      <c r="B2531" s="77"/>
      <c r="C2531" s="78" t="s">
        <v>10611</v>
      </c>
      <c r="G2531" s="427"/>
    </row>
    <row r="2532" spans="1:12" x14ac:dyDescent="0.25">
      <c r="A2532" s="77"/>
      <c r="B2532" s="77"/>
      <c r="C2532" s="78"/>
      <c r="G2532" s="427"/>
      <c r="I2532" s="789" t="s">
        <v>10149</v>
      </c>
      <c r="J2532" s="790"/>
      <c r="K2532" s="789" t="s">
        <v>10150</v>
      </c>
      <c r="L2532" s="791"/>
    </row>
    <row r="2533" spans="1:12" x14ac:dyDescent="0.25">
      <c r="A2533" s="77"/>
      <c r="B2533" s="77"/>
      <c r="C2533" s="78"/>
      <c r="G2533" s="427"/>
    </row>
    <row r="2534" spans="1:12" x14ac:dyDescent="0.25">
      <c r="A2534" s="77"/>
      <c r="B2534" s="77"/>
      <c r="C2534" s="78" t="s">
        <v>10612</v>
      </c>
      <c r="G2534" s="427"/>
    </row>
    <row r="2535" spans="1:12" x14ac:dyDescent="0.25">
      <c r="A2535" s="77"/>
      <c r="B2535" s="77"/>
      <c r="C2535" s="78"/>
      <c r="G2535" s="427"/>
      <c r="I2535" s="789" t="s">
        <v>10149</v>
      </c>
      <c r="J2535" s="790"/>
      <c r="K2535" s="789" t="s">
        <v>10150</v>
      </c>
      <c r="L2535" s="791"/>
    </row>
    <row r="2536" spans="1:12" x14ac:dyDescent="0.25">
      <c r="A2536" s="77"/>
      <c r="B2536" s="77"/>
      <c r="C2536" s="78"/>
      <c r="G2536" s="427"/>
    </row>
    <row r="2537" spans="1:12" x14ac:dyDescent="0.25">
      <c r="A2537" s="77"/>
      <c r="B2537" s="77"/>
      <c r="C2537" s="78" t="s">
        <v>10613</v>
      </c>
      <c r="G2537" s="427"/>
    </row>
    <row r="2538" spans="1:12" x14ac:dyDescent="0.25">
      <c r="A2538" s="77"/>
      <c r="B2538" s="77"/>
      <c r="C2538" s="78"/>
      <c r="G2538" s="427"/>
      <c r="I2538" s="789" t="s">
        <v>10149</v>
      </c>
      <c r="J2538" s="790"/>
      <c r="K2538" s="789" t="s">
        <v>10150</v>
      </c>
      <c r="L2538" s="791"/>
    </row>
    <row r="2539" spans="1:12" x14ac:dyDescent="0.25">
      <c r="A2539" s="77"/>
      <c r="B2539" s="77"/>
      <c r="C2539" s="78"/>
      <c r="G2539" s="427"/>
    </row>
    <row r="2540" spans="1:12" x14ac:dyDescent="0.25">
      <c r="A2540" s="77"/>
      <c r="B2540" s="77"/>
      <c r="C2540" s="78" t="s">
        <v>10614</v>
      </c>
      <c r="G2540" s="427"/>
    </row>
    <row r="2541" spans="1:12" x14ac:dyDescent="0.25">
      <c r="A2541" s="77"/>
      <c r="B2541" s="77"/>
      <c r="C2541" s="78"/>
      <c r="G2541" s="427"/>
      <c r="I2541" s="789" t="s">
        <v>10149</v>
      </c>
      <c r="J2541" s="790"/>
      <c r="K2541" s="789" t="s">
        <v>10150</v>
      </c>
      <c r="L2541" s="791"/>
    </row>
    <row r="2542" spans="1:12" x14ac:dyDescent="0.25">
      <c r="A2542" s="77"/>
      <c r="B2542" s="77"/>
      <c r="C2542" s="78"/>
      <c r="G2542" s="427"/>
    </row>
    <row r="2543" spans="1:12" x14ac:dyDescent="0.25">
      <c r="A2543" s="77"/>
      <c r="B2543" s="77"/>
      <c r="C2543" s="78" t="s">
        <v>10615</v>
      </c>
      <c r="G2543" s="427"/>
    </row>
    <row r="2544" spans="1:12" x14ac:dyDescent="0.25">
      <c r="A2544" s="77"/>
      <c r="B2544" s="77"/>
      <c r="C2544" s="78"/>
      <c r="G2544" s="427"/>
      <c r="I2544" s="789" t="s">
        <v>10149</v>
      </c>
      <c r="J2544" s="790"/>
      <c r="K2544" s="789" t="s">
        <v>10150</v>
      </c>
      <c r="L2544" s="791"/>
    </row>
    <row r="2545" spans="1:12" x14ac:dyDescent="0.25">
      <c r="A2545" s="77"/>
      <c r="B2545" s="77"/>
      <c r="C2545" s="78"/>
      <c r="G2545" s="427"/>
    </row>
    <row r="2546" spans="1:12" x14ac:dyDescent="0.25">
      <c r="A2546" s="77"/>
      <c r="B2546" s="77"/>
      <c r="C2546" s="78" t="s">
        <v>10616</v>
      </c>
      <c r="G2546" s="427"/>
    </row>
    <row r="2547" spans="1:12" x14ac:dyDescent="0.25">
      <c r="A2547" s="77"/>
      <c r="B2547" s="77"/>
      <c r="C2547" s="78"/>
      <c r="G2547" s="427"/>
      <c r="I2547" s="789" t="s">
        <v>10149</v>
      </c>
      <c r="J2547" s="790"/>
      <c r="K2547" s="789" t="s">
        <v>10150</v>
      </c>
      <c r="L2547" s="791"/>
    </row>
    <row r="2548" spans="1:12" x14ac:dyDescent="0.25">
      <c r="A2548" s="77"/>
      <c r="B2548" s="77"/>
      <c r="C2548" s="78"/>
      <c r="G2548" s="427"/>
    </row>
    <row r="2549" spans="1:12" x14ac:dyDescent="0.25">
      <c r="A2549" s="77"/>
      <c r="B2549" s="77"/>
      <c r="C2549" s="78" t="s">
        <v>10617</v>
      </c>
      <c r="G2549" s="427"/>
    </row>
    <row r="2550" spans="1:12" x14ac:dyDescent="0.25">
      <c r="A2550" s="77"/>
      <c r="B2550" s="77"/>
      <c r="C2550" s="78"/>
      <c r="G2550" s="427"/>
    </row>
    <row r="2551" spans="1:12" x14ac:dyDescent="0.25">
      <c r="A2551" s="77"/>
      <c r="B2551" s="77"/>
      <c r="C2551" s="78"/>
      <c r="G2551" s="427"/>
      <c r="I2551" s="789" t="s">
        <v>10149</v>
      </c>
      <c r="J2551" s="790"/>
      <c r="K2551" s="789" t="s">
        <v>10150</v>
      </c>
      <c r="L2551" s="791"/>
    </row>
    <row r="2552" spans="1:12" x14ac:dyDescent="0.25">
      <c r="A2552" s="77"/>
      <c r="B2552" s="77"/>
      <c r="C2552" s="78"/>
      <c r="G2552" s="427"/>
      <c r="I2552" s="789"/>
      <c r="J2552" s="790"/>
      <c r="K2552" s="789"/>
      <c r="L2552" s="791"/>
    </row>
    <row r="2553" spans="1:12" x14ac:dyDescent="0.25">
      <c r="A2553" s="77"/>
      <c r="B2553" s="77"/>
      <c r="C2553" s="78"/>
      <c r="G2553" s="427"/>
      <c r="I2553" s="789"/>
      <c r="J2553" s="790"/>
      <c r="K2553" s="789"/>
      <c r="L2553" s="791"/>
    </row>
    <row r="2554" spans="1:12" x14ac:dyDescent="0.25">
      <c r="A2554" s="77"/>
      <c r="B2554" s="77"/>
      <c r="C2554" s="78"/>
      <c r="G2554" s="427"/>
    </row>
    <row r="2555" spans="1:12" x14ac:dyDescent="0.25">
      <c r="A2555" s="77"/>
      <c r="B2555" s="77"/>
      <c r="C2555" s="78" t="s">
        <v>10561</v>
      </c>
      <c r="G2555" s="427">
        <v>1</v>
      </c>
    </row>
    <row r="2556" spans="1:12" x14ac:dyDescent="0.25">
      <c r="A2556" s="77"/>
      <c r="B2556" s="77"/>
      <c r="G2556" s="427">
        <v>0.85</v>
      </c>
    </row>
    <row r="2557" spans="1:12" x14ac:dyDescent="0.25">
      <c r="A2557" s="77"/>
      <c r="B2557" s="77"/>
      <c r="G2557" s="427">
        <v>0.8</v>
      </c>
    </row>
    <row r="2558" spans="1:12" x14ac:dyDescent="0.25">
      <c r="A2558" s="77"/>
      <c r="B2558" s="77"/>
      <c r="G2558" s="427">
        <v>0.5</v>
      </c>
    </row>
    <row r="2559" spans="1:12" x14ac:dyDescent="0.25">
      <c r="A2559" s="77"/>
      <c r="B2559" s="77"/>
      <c r="G2559" s="427">
        <v>0.5</v>
      </c>
    </row>
    <row r="2560" spans="1:12" x14ac:dyDescent="0.25">
      <c r="A2560" s="77"/>
      <c r="B2560" s="77"/>
      <c r="G2560" s="427">
        <v>0.4</v>
      </c>
    </row>
    <row r="2561" spans="1:11" x14ac:dyDescent="0.25">
      <c r="A2561" s="77"/>
      <c r="B2561" s="77"/>
      <c r="G2561" s="427">
        <v>0.55000000000000004</v>
      </c>
    </row>
    <row r="2562" spans="1:11" x14ac:dyDescent="0.25">
      <c r="A2562" s="77"/>
      <c r="B2562" s="77"/>
      <c r="G2562" s="427">
        <v>0.85</v>
      </c>
    </row>
    <row r="2563" spans="1:11" x14ac:dyDescent="0.25">
      <c r="A2563" s="77"/>
      <c r="B2563" s="77"/>
      <c r="G2563" s="427">
        <v>0.3</v>
      </c>
    </row>
    <row r="2564" spans="1:11" x14ac:dyDescent="0.25">
      <c r="A2564" s="77"/>
      <c r="B2564" s="77"/>
      <c r="G2564" s="427">
        <v>0.25</v>
      </c>
    </row>
    <row r="2565" spans="1:11" x14ac:dyDescent="0.25">
      <c r="A2565" s="77"/>
      <c r="B2565" s="77"/>
      <c r="G2565" s="427">
        <v>0.3</v>
      </c>
    </row>
    <row r="2566" spans="1:11" x14ac:dyDescent="0.25">
      <c r="A2566" s="77"/>
      <c r="B2566" s="77"/>
      <c r="G2566" s="427">
        <v>0.3</v>
      </c>
    </row>
    <row r="2567" spans="1:11" x14ac:dyDescent="0.25">
      <c r="A2567" s="77"/>
      <c r="B2567" s="77"/>
      <c r="G2567" s="427">
        <v>0.2</v>
      </c>
      <c r="J2567" s="77"/>
      <c r="K2567" s="77"/>
    </row>
    <row r="2568" spans="1:11" x14ac:dyDescent="0.25">
      <c r="A2568" s="77"/>
      <c r="B2568" s="77"/>
      <c r="G2568" s="427">
        <v>0.3</v>
      </c>
      <c r="J2568" s="77"/>
      <c r="K2568" s="77"/>
    </row>
    <row r="2569" spans="1:11" x14ac:dyDescent="0.25">
      <c r="A2569" s="77"/>
      <c r="B2569" s="77"/>
      <c r="G2569" s="427">
        <v>1.3</v>
      </c>
      <c r="J2569" s="77"/>
      <c r="K2569" s="77"/>
    </row>
    <row r="2570" spans="1:11" x14ac:dyDescent="0.25">
      <c r="A2570" s="77"/>
      <c r="B2570" s="77"/>
      <c r="G2570" s="427">
        <v>0.5</v>
      </c>
      <c r="J2570" s="77"/>
      <c r="K2570" s="77"/>
    </row>
    <row r="2571" spans="1:11" x14ac:dyDescent="0.25">
      <c r="A2571" s="77"/>
      <c r="B2571" s="77"/>
      <c r="G2571" s="427">
        <v>0.35</v>
      </c>
      <c r="J2571" s="77"/>
      <c r="K2571" s="77"/>
    </row>
    <row r="2572" spans="1:11" x14ac:dyDescent="0.25">
      <c r="A2572" s="77"/>
      <c r="B2572" s="77"/>
      <c r="G2572" s="427">
        <v>0.35</v>
      </c>
      <c r="J2572" s="77"/>
      <c r="K2572" s="77"/>
    </row>
    <row r="2573" spans="1:11" x14ac:dyDescent="0.25">
      <c r="A2573" s="77"/>
      <c r="B2573" s="77"/>
      <c r="G2573" s="427">
        <v>0.3</v>
      </c>
      <c r="J2573" s="77"/>
      <c r="K2573" s="77"/>
    </row>
    <row r="2574" spans="1:11" x14ac:dyDescent="0.25">
      <c r="A2574" s="77"/>
      <c r="B2574" s="77"/>
      <c r="G2574" s="427">
        <v>0.5</v>
      </c>
      <c r="J2574" s="77"/>
      <c r="K2574" s="77"/>
    </row>
    <row r="2575" spans="1:11" x14ac:dyDescent="0.25">
      <c r="A2575" s="77"/>
      <c r="B2575" s="77"/>
      <c r="G2575" s="427">
        <v>0.25</v>
      </c>
      <c r="J2575" s="77"/>
      <c r="K2575" s="77"/>
    </row>
    <row r="2576" spans="1:11" x14ac:dyDescent="0.25">
      <c r="A2576" s="77"/>
      <c r="B2576" s="77"/>
      <c r="G2576" s="427">
        <v>0.5</v>
      </c>
      <c r="H2576" s="427">
        <f>0.222</f>
        <v>0.222</v>
      </c>
      <c r="J2576" s="77"/>
      <c r="K2576" s="77"/>
    </row>
    <row r="2577" spans="1:11" x14ac:dyDescent="0.25">
      <c r="A2577" s="77"/>
      <c r="B2577" s="77"/>
      <c r="G2577" s="427">
        <v>1.3</v>
      </c>
      <c r="H2577" s="427">
        <f>0.271</f>
        <v>0.27100000000000002</v>
      </c>
      <c r="J2577" s="77"/>
      <c r="K2577" s="77"/>
    </row>
    <row r="2578" spans="1:11" x14ac:dyDescent="0.25">
      <c r="A2578" s="77"/>
      <c r="B2578" s="77"/>
      <c r="F2578" s="152" t="s">
        <v>195</v>
      </c>
      <c r="G2578" s="427">
        <f>SUM(G2555:G2577)</f>
        <v>12.450000000000001</v>
      </c>
      <c r="H2578" s="427">
        <f>0.222* G2578</f>
        <v>2.7639000000000005</v>
      </c>
      <c r="I2578" s="563" t="s">
        <v>3</v>
      </c>
      <c r="J2578" s="77"/>
      <c r="K2578" s="77"/>
    </row>
    <row r="2579" spans="1:11" x14ac:dyDescent="0.25">
      <c r="A2579" s="77"/>
      <c r="B2579" s="77"/>
      <c r="G2579" s="427"/>
      <c r="J2579" s="77"/>
      <c r="K2579" s="77"/>
    </row>
    <row r="2580" spans="1:11" x14ac:dyDescent="0.25">
      <c r="A2580" s="77"/>
      <c r="B2580" s="77"/>
      <c r="C2580" s="78" t="s">
        <v>10562</v>
      </c>
      <c r="G2580" s="427">
        <v>0.3</v>
      </c>
      <c r="J2580" s="77"/>
      <c r="K2580" s="77"/>
    </row>
    <row r="2581" spans="1:11" x14ac:dyDescent="0.25">
      <c r="A2581" s="77"/>
      <c r="B2581" s="77"/>
      <c r="G2581" s="427">
        <v>0.3</v>
      </c>
      <c r="J2581" s="77"/>
      <c r="K2581" s="77"/>
    </row>
    <row r="2582" spans="1:11" x14ac:dyDescent="0.25">
      <c r="A2582" s="77"/>
      <c r="B2582" s="77"/>
      <c r="F2582" s="152" t="s">
        <v>195</v>
      </c>
      <c r="G2582" s="427">
        <f>SUM(G2580:G2581)</f>
        <v>0.6</v>
      </c>
      <c r="H2582" s="427">
        <f>0.37* G2582</f>
        <v>0.222</v>
      </c>
      <c r="I2582" s="563" t="s">
        <v>3</v>
      </c>
      <c r="J2582" s="77"/>
      <c r="K2582" s="77"/>
    </row>
    <row r="2583" spans="1:11" x14ac:dyDescent="0.25">
      <c r="A2583" s="77"/>
      <c r="B2583" s="77"/>
      <c r="G2583" s="427"/>
      <c r="H2583" s="77"/>
      <c r="I2583" s="77"/>
      <c r="J2583" s="77"/>
      <c r="K2583" s="77"/>
    </row>
    <row r="2584" spans="1:11" x14ac:dyDescent="0.25">
      <c r="A2584" s="77"/>
      <c r="B2584" s="77"/>
      <c r="C2584" s="78" t="s">
        <v>10629</v>
      </c>
      <c r="G2584" s="427">
        <v>1</v>
      </c>
      <c r="H2584" s="77"/>
      <c r="I2584" s="77"/>
      <c r="J2584" s="77"/>
      <c r="K2584" s="77"/>
    </row>
    <row r="2585" spans="1:11" x14ac:dyDescent="0.25">
      <c r="A2585" s="77"/>
      <c r="B2585" s="77"/>
      <c r="G2585" s="427">
        <v>1</v>
      </c>
      <c r="H2585" s="77"/>
      <c r="I2585" s="77"/>
      <c r="J2585" s="77"/>
      <c r="K2585" s="77"/>
    </row>
    <row r="2586" spans="1:11" x14ac:dyDescent="0.25">
      <c r="A2586" s="77"/>
      <c r="B2586" s="77"/>
      <c r="F2586" s="152" t="s">
        <v>195</v>
      </c>
      <c r="G2586" s="427">
        <f>SUM(G2584:G2585)</f>
        <v>2</v>
      </c>
      <c r="H2586" s="77"/>
      <c r="I2586" s="77"/>
      <c r="J2586" s="77"/>
      <c r="K2586" s="77"/>
    </row>
    <row r="2587" spans="1:11" x14ac:dyDescent="0.25">
      <c r="A2587" s="77"/>
      <c r="B2587" s="77"/>
      <c r="G2587" s="427"/>
      <c r="H2587" s="77"/>
      <c r="I2587" s="77"/>
      <c r="J2587" s="77"/>
      <c r="K2587" s="77"/>
    </row>
    <row r="2588" spans="1:11" x14ac:dyDescent="0.25">
      <c r="A2588" s="77"/>
      <c r="B2588" s="77"/>
      <c r="G2588" s="427"/>
      <c r="H2588" s="77"/>
      <c r="I2588" s="77"/>
      <c r="J2588" s="77"/>
      <c r="K2588" s="77"/>
    </row>
    <row r="2589" spans="1:11" x14ac:dyDescent="0.25">
      <c r="A2589" s="77"/>
      <c r="B2589" s="77"/>
      <c r="G2589" s="427"/>
      <c r="H2589" s="77"/>
      <c r="I2589" s="77"/>
      <c r="J2589" s="77"/>
      <c r="K2589" s="77"/>
    </row>
    <row r="2590" spans="1:11" x14ac:dyDescent="0.25">
      <c r="A2590" s="77"/>
      <c r="B2590" s="77"/>
      <c r="G2590" s="427"/>
      <c r="H2590" s="77"/>
      <c r="I2590" s="77"/>
      <c r="J2590" s="77"/>
      <c r="K2590" s="77"/>
    </row>
    <row r="2591" spans="1:11" x14ac:dyDescent="0.25">
      <c r="A2591" s="77"/>
      <c r="B2591" s="77"/>
      <c r="G2591" s="427"/>
      <c r="H2591" s="77"/>
      <c r="I2591" s="77"/>
      <c r="J2591" s="77"/>
      <c r="K2591" s="77"/>
    </row>
    <row r="2592" spans="1:11" x14ac:dyDescent="0.25">
      <c r="A2592" s="77"/>
      <c r="B2592" s="77"/>
      <c r="G2592" s="427"/>
      <c r="H2592" s="77"/>
      <c r="I2592" s="77"/>
      <c r="J2592" s="77"/>
      <c r="K2592" s="77"/>
    </row>
    <row r="2593" spans="1:11" x14ac:dyDescent="0.25">
      <c r="A2593" s="77"/>
      <c r="B2593" s="77"/>
      <c r="G2593" s="427"/>
      <c r="H2593" s="77"/>
      <c r="I2593" s="77"/>
      <c r="J2593" s="77"/>
      <c r="K2593" s="77"/>
    </row>
    <row r="2594" spans="1:11" x14ac:dyDescent="0.25">
      <c r="A2594" s="77"/>
      <c r="B2594" s="77"/>
      <c r="G2594" s="427"/>
      <c r="H2594" s="77"/>
      <c r="I2594" s="77"/>
      <c r="J2594" s="77"/>
      <c r="K2594" s="77"/>
    </row>
    <row r="2595" spans="1:11" x14ac:dyDescent="0.25">
      <c r="A2595" s="77"/>
      <c r="B2595" s="77"/>
      <c r="G2595" s="427"/>
      <c r="H2595" s="77"/>
      <c r="I2595" s="77"/>
      <c r="J2595" s="77"/>
      <c r="K2595" s="77"/>
    </row>
    <row r="2596" spans="1:11" x14ac:dyDescent="0.25">
      <c r="G2596" s="427"/>
    </row>
    <row r="2597" spans="1:11" x14ac:dyDescent="0.25">
      <c r="A2597" s="77"/>
      <c r="B2597" s="77"/>
      <c r="G2597" s="427"/>
      <c r="H2597" s="77"/>
      <c r="I2597" s="77"/>
      <c r="J2597" s="77"/>
      <c r="K2597" s="77"/>
    </row>
    <row r="2598" spans="1:11" x14ac:dyDescent="0.25">
      <c r="A2598" s="77"/>
      <c r="B2598" s="77"/>
      <c r="G2598" s="427"/>
      <c r="H2598" s="77"/>
      <c r="I2598" s="77"/>
      <c r="J2598" s="77"/>
      <c r="K2598" s="77"/>
    </row>
    <row r="2599" spans="1:11" x14ac:dyDescent="0.25">
      <c r="A2599" s="77"/>
      <c r="B2599" s="77"/>
      <c r="F2599" s="77"/>
      <c r="G2599" s="427"/>
      <c r="H2599" s="77"/>
      <c r="I2599" s="77"/>
      <c r="J2599" s="77"/>
      <c r="K2599" s="77"/>
    </row>
    <row r="2600" spans="1:11" x14ac:dyDescent="0.25">
      <c r="A2600" s="77"/>
      <c r="B2600" s="77"/>
      <c r="F2600" s="77"/>
      <c r="G2600" s="427"/>
      <c r="H2600" s="77"/>
      <c r="I2600" s="77"/>
      <c r="J2600" s="77"/>
      <c r="K2600" s="77"/>
    </row>
    <row r="2601" spans="1:11" x14ac:dyDescent="0.25">
      <c r="A2601" s="77"/>
      <c r="B2601" s="77"/>
      <c r="F2601" s="77"/>
      <c r="G2601" s="427"/>
      <c r="H2601" s="77"/>
      <c r="I2601" s="77"/>
      <c r="J2601" s="77"/>
      <c r="K2601" s="77"/>
    </row>
    <row r="2602" spans="1:11" x14ac:dyDescent="0.25">
      <c r="A2602" s="77"/>
      <c r="B2602" s="77"/>
      <c r="F2602" s="77"/>
      <c r="G2602" s="427"/>
      <c r="H2602" s="77"/>
      <c r="I2602" s="77"/>
      <c r="J2602" s="77"/>
      <c r="K2602" s="77"/>
    </row>
    <row r="2603" spans="1:11" x14ac:dyDescent="0.25">
      <c r="A2603" s="77"/>
      <c r="B2603" s="77"/>
      <c r="F2603" s="77"/>
      <c r="G2603" s="427"/>
      <c r="H2603" s="77"/>
      <c r="I2603" s="77"/>
      <c r="J2603" s="77"/>
      <c r="K2603" s="77"/>
    </row>
    <row r="2604" spans="1:11" x14ac:dyDescent="0.25">
      <c r="A2604" s="77"/>
      <c r="B2604" s="77"/>
      <c r="F2604" s="77"/>
      <c r="G2604" s="427"/>
      <c r="H2604" s="77"/>
      <c r="I2604" s="77"/>
      <c r="J2604" s="77"/>
      <c r="K2604" s="77"/>
    </row>
    <row r="2605" spans="1:11" x14ac:dyDescent="0.25">
      <c r="A2605" s="77"/>
      <c r="B2605" s="77"/>
      <c r="F2605" s="77"/>
      <c r="G2605" s="427"/>
      <c r="H2605" s="77"/>
      <c r="I2605" s="77"/>
      <c r="J2605" s="77"/>
      <c r="K2605" s="77"/>
    </row>
    <row r="2606" spans="1:11" x14ac:dyDescent="0.25">
      <c r="A2606" s="77"/>
      <c r="B2606" s="77"/>
      <c r="F2606" s="77"/>
      <c r="G2606" s="427"/>
      <c r="H2606" s="77"/>
      <c r="I2606" s="77"/>
      <c r="J2606" s="77"/>
      <c r="K2606" s="77"/>
    </row>
    <row r="2607" spans="1:11" x14ac:dyDescent="0.25">
      <c r="A2607" s="77"/>
      <c r="B2607" s="77"/>
      <c r="F2607" s="77"/>
      <c r="G2607" s="427"/>
      <c r="H2607" s="77"/>
      <c r="I2607" s="77"/>
      <c r="J2607" s="77"/>
      <c r="K2607" s="77"/>
    </row>
    <row r="2608" spans="1:11" x14ac:dyDescent="0.25">
      <c r="A2608" s="77"/>
      <c r="B2608" s="77"/>
      <c r="F2608" s="77"/>
      <c r="G2608" s="427"/>
      <c r="H2608" s="77"/>
      <c r="I2608" s="77"/>
      <c r="J2608" s="77"/>
      <c r="K2608" s="77"/>
    </row>
    <row r="2609" spans="1:11" x14ac:dyDescent="0.25">
      <c r="A2609" s="77"/>
      <c r="B2609" s="77"/>
      <c r="F2609" s="77"/>
      <c r="G2609" s="427"/>
      <c r="H2609" s="77"/>
      <c r="I2609" s="77"/>
      <c r="J2609" s="77"/>
      <c r="K2609" s="77"/>
    </row>
    <row r="2610" spans="1:11" x14ac:dyDescent="0.25">
      <c r="A2610" s="77"/>
      <c r="B2610" s="77"/>
      <c r="F2610" s="77"/>
      <c r="G2610" s="427"/>
      <c r="H2610" s="77"/>
      <c r="I2610" s="77"/>
      <c r="J2610" s="77"/>
      <c r="K2610" s="77"/>
    </row>
    <row r="2611" spans="1:11" x14ac:dyDescent="0.25">
      <c r="A2611" s="77"/>
      <c r="B2611" s="77"/>
      <c r="F2611" s="77"/>
      <c r="G2611" s="427"/>
      <c r="H2611" s="77"/>
      <c r="I2611" s="77"/>
      <c r="J2611" s="77"/>
      <c r="K2611" s="77"/>
    </row>
    <row r="2612" spans="1:11" x14ac:dyDescent="0.25">
      <c r="A2612" s="77"/>
      <c r="B2612" s="77"/>
      <c r="F2612" s="77"/>
      <c r="G2612" s="427"/>
      <c r="H2612" s="77"/>
      <c r="I2612" s="77"/>
      <c r="J2612" s="77"/>
      <c r="K2612" s="77"/>
    </row>
    <row r="2613" spans="1:11" x14ac:dyDescent="0.25">
      <c r="A2613" s="77"/>
      <c r="B2613" s="77"/>
      <c r="F2613" s="77"/>
      <c r="G2613" s="427"/>
      <c r="H2613" s="77"/>
      <c r="I2613" s="77"/>
      <c r="J2613" s="77"/>
      <c r="K2613" s="77"/>
    </row>
    <row r="2614" spans="1:11" x14ac:dyDescent="0.25">
      <c r="A2614" s="77"/>
      <c r="B2614" s="77"/>
      <c r="F2614" s="77"/>
      <c r="G2614" s="427"/>
      <c r="H2614" s="77"/>
      <c r="I2614" s="77"/>
      <c r="J2614" s="77"/>
      <c r="K2614" s="77"/>
    </row>
    <row r="2615" spans="1:11" x14ac:dyDescent="0.25">
      <c r="A2615" s="77"/>
      <c r="B2615" s="77"/>
      <c r="F2615" s="77"/>
      <c r="G2615" s="427"/>
      <c r="H2615" s="77"/>
      <c r="I2615" s="77"/>
      <c r="J2615" s="77"/>
      <c r="K2615" s="77"/>
    </row>
    <row r="2616" spans="1:11" x14ac:dyDescent="0.25">
      <c r="A2616" s="77"/>
      <c r="B2616" s="77"/>
      <c r="F2616" s="77"/>
      <c r="G2616" s="427"/>
      <c r="H2616" s="77"/>
      <c r="I2616" s="77"/>
      <c r="J2616" s="77"/>
      <c r="K2616" s="77"/>
    </row>
    <row r="2617" spans="1:11" x14ac:dyDescent="0.25">
      <c r="A2617" s="77"/>
      <c r="B2617" s="77"/>
      <c r="F2617" s="77"/>
      <c r="G2617" s="427"/>
      <c r="H2617" s="77"/>
      <c r="I2617" s="77"/>
      <c r="J2617" s="77"/>
      <c r="K2617" s="77"/>
    </row>
    <row r="2618" spans="1:11" x14ac:dyDescent="0.25">
      <c r="A2618" s="77"/>
      <c r="B2618" s="77"/>
      <c r="F2618" s="77"/>
      <c r="G2618" s="427"/>
      <c r="H2618" s="77"/>
      <c r="I2618" s="77"/>
      <c r="J2618" s="77"/>
      <c r="K2618" s="77"/>
    </row>
    <row r="2619" spans="1:11" x14ac:dyDescent="0.25">
      <c r="A2619" s="77"/>
      <c r="B2619" s="77"/>
      <c r="F2619" s="77"/>
      <c r="G2619" s="427"/>
      <c r="H2619" s="77"/>
      <c r="I2619" s="77"/>
      <c r="J2619" s="77"/>
      <c r="K2619" s="77"/>
    </row>
    <row r="2620" spans="1:11" x14ac:dyDescent="0.25">
      <c r="A2620" s="77"/>
      <c r="B2620" s="77"/>
      <c r="F2620" s="77"/>
      <c r="G2620" s="427"/>
      <c r="H2620" s="77"/>
      <c r="I2620" s="77"/>
      <c r="J2620" s="77"/>
      <c r="K2620" s="77"/>
    </row>
    <row r="2621" spans="1:11" x14ac:dyDescent="0.25">
      <c r="A2621" s="77"/>
      <c r="B2621" s="77"/>
      <c r="F2621" s="77"/>
      <c r="G2621" s="427"/>
      <c r="H2621" s="77"/>
      <c r="I2621" s="77"/>
      <c r="J2621" s="77"/>
      <c r="K2621" s="77"/>
    </row>
    <row r="2622" spans="1:11" x14ac:dyDescent="0.25">
      <c r="A2622" s="77"/>
      <c r="B2622" s="77"/>
      <c r="F2622" s="77"/>
      <c r="G2622" s="427"/>
      <c r="H2622" s="77"/>
      <c r="I2622" s="77"/>
      <c r="J2622" s="77"/>
      <c r="K2622" s="77"/>
    </row>
    <row r="2623" spans="1:11" x14ac:dyDescent="0.25">
      <c r="A2623" s="77"/>
      <c r="B2623" s="77"/>
      <c r="F2623" s="77"/>
      <c r="G2623" s="427"/>
      <c r="H2623" s="77"/>
      <c r="I2623" s="77"/>
      <c r="J2623" s="77"/>
      <c r="K2623" s="77"/>
    </row>
    <row r="2624" spans="1:11" x14ac:dyDescent="0.25">
      <c r="A2624" s="77"/>
      <c r="B2624" s="77"/>
      <c r="F2624" s="77"/>
      <c r="G2624" s="427"/>
      <c r="H2624" s="77"/>
      <c r="I2624" s="77"/>
      <c r="J2624" s="77"/>
      <c r="K2624" s="77"/>
    </row>
    <row r="2625" spans="1:11" x14ac:dyDescent="0.25">
      <c r="A2625" s="77"/>
      <c r="B2625" s="77"/>
      <c r="F2625" s="77"/>
      <c r="G2625" s="427"/>
      <c r="H2625" s="77"/>
      <c r="I2625" s="77"/>
      <c r="J2625" s="77"/>
      <c r="K2625" s="77"/>
    </row>
    <row r="2626" spans="1:11" x14ac:dyDescent="0.25">
      <c r="A2626" s="77"/>
      <c r="B2626" s="77"/>
      <c r="F2626" s="77"/>
      <c r="G2626" s="427"/>
      <c r="H2626" s="77"/>
      <c r="I2626" s="77"/>
      <c r="J2626" s="77"/>
      <c r="K2626" s="77"/>
    </row>
    <row r="2627" spans="1:11" x14ac:dyDescent="0.25">
      <c r="A2627" s="77"/>
      <c r="B2627" s="77"/>
      <c r="F2627" s="77"/>
      <c r="G2627" s="427"/>
      <c r="H2627" s="77"/>
      <c r="I2627" s="77"/>
      <c r="J2627" s="77"/>
      <c r="K2627" s="77"/>
    </row>
    <row r="2628" spans="1:11" x14ac:dyDescent="0.25">
      <c r="A2628" s="77"/>
      <c r="B2628" s="77"/>
      <c r="F2628" s="77"/>
      <c r="G2628" s="427"/>
      <c r="H2628" s="77"/>
      <c r="I2628" s="77"/>
      <c r="J2628" s="77"/>
      <c r="K2628" s="77"/>
    </row>
    <row r="2629" spans="1:11" x14ac:dyDescent="0.25">
      <c r="A2629" s="77"/>
      <c r="B2629" s="77"/>
      <c r="F2629" s="77"/>
      <c r="G2629" s="427"/>
      <c r="H2629" s="77"/>
      <c r="I2629" s="77"/>
      <c r="J2629" s="77"/>
      <c r="K2629" s="77"/>
    </row>
    <row r="2630" spans="1:11" x14ac:dyDescent="0.25">
      <c r="A2630" s="77"/>
      <c r="B2630" s="77"/>
      <c r="F2630" s="77"/>
      <c r="G2630" s="427"/>
      <c r="H2630" s="77"/>
      <c r="I2630" s="77"/>
      <c r="J2630" s="77"/>
      <c r="K2630" s="77"/>
    </row>
    <row r="2631" spans="1:11" x14ac:dyDescent="0.25">
      <c r="A2631" s="77"/>
      <c r="B2631" s="77"/>
      <c r="F2631" s="77"/>
      <c r="G2631" s="427"/>
      <c r="H2631" s="77"/>
      <c r="I2631" s="77"/>
      <c r="J2631" s="77"/>
      <c r="K2631" s="77"/>
    </row>
    <row r="2632" spans="1:11" x14ac:dyDescent="0.25">
      <c r="A2632" s="77"/>
      <c r="B2632" s="77"/>
      <c r="F2632" s="77"/>
      <c r="G2632" s="427"/>
      <c r="H2632" s="77"/>
      <c r="I2632" s="77"/>
      <c r="J2632" s="77"/>
      <c r="K2632" s="77"/>
    </row>
    <row r="2633" spans="1:11" x14ac:dyDescent="0.25">
      <c r="A2633" s="77"/>
      <c r="B2633" s="77"/>
      <c r="F2633" s="77"/>
      <c r="G2633" s="427"/>
      <c r="H2633" s="77"/>
      <c r="I2633" s="77"/>
      <c r="J2633" s="77"/>
      <c r="K2633" s="77"/>
    </row>
    <row r="2634" spans="1:11" x14ac:dyDescent="0.25">
      <c r="A2634" s="77"/>
      <c r="B2634" s="77"/>
      <c r="F2634" s="77"/>
      <c r="G2634" s="427"/>
      <c r="H2634" s="77"/>
      <c r="I2634" s="77"/>
      <c r="J2634" s="77"/>
      <c r="K2634" s="77"/>
    </row>
    <row r="2635" spans="1:11" x14ac:dyDescent="0.25">
      <c r="A2635" s="77"/>
      <c r="B2635" s="77"/>
      <c r="F2635" s="77"/>
      <c r="G2635" s="427"/>
      <c r="H2635" s="77"/>
      <c r="I2635" s="77"/>
      <c r="J2635" s="77"/>
      <c r="K2635" s="77"/>
    </row>
    <row r="2636" spans="1:11" x14ac:dyDescent="0.25">
      <c r="A2636" s="77"/>
      <c r="B2636" s="77"/>
      <c r="F2636" s="77"/>
      <c r="G2636" s="427"/>
      <c r="H2636" s="77"/>
      <c r="I2636" s="77"/>
      <c r="J2636" s="77"/>
      <c r="K2636" s="77"/>
    </row>
    <row r="2637" spans="1:11" x14ac:dyDescent="0.25">
      <c r="A2637" s="77"/>
      <c r="B2637" s="77"/>
      <c r="F2637" s="77"/>
      <c r="G2637" s="427"/>
      <c r="H2637" s="77"/>
      <c r="I2637" s="77"/>
      <c r="J2637" s="77"/>
      <c r="K2637" s="77"/>
    </row>
    <row r="2638" spans="1:11" x14ac:dyDescent="0.25">
      <c r="A2638" s="77"/>
      <c r="B2638" s="77"/>
      <c r="F2638" s="77"/>
      <c r="G2638" s="427"/>
      <c r="H2638" s="77"/>
      <c r="I2638" s="77"/>
      <c r="J2638" s="77"/>
      <c r="K2638" s="77"/>
    </row>
    <row r="2639" spans="1:11" x14ac:dyDescent="0.25">
      <c r="A2639" s="77"/>
      <c r="B2639" s="77"/>
      <c r="F2639" s="77"/>
      <c r="G2639" s="427"/>
      <c r="H2639" s="77"/>
      <c r="I2639" s="77"/>
      <c r="J2639" s="77"/>
      <c r="K2639" s="77"/>
    </row>
    <row r="2640" spans="1:11" x14ac:dyDescent="0.25">
      <c r="A2640" s="77"/>
      <c r="B2640" s="77"/>
      <c r="F2640" s="77"/>
      <c r="G2640" s="427"/>
      <c r="H2640" s="77"/>
      <c r="I2640" s="77"/>
      <c r="J2640" s="77"/>
      <c r="K2640" s="77"/>
    </row>
    <row r="2641" spans="1:11" x14ac:dyDescent="0.25">
      <c r="A2641" s="77"/>
      <c r="B2641" s="77"/>
      <c r="F2641" s="77"/>
      <c r="G2641" s="427"/>
      <c r="H2641" s="77"/>
      <c r="I2641" s="77"/>
      <c r="J2641" s="77"/>
      <c r="K2641" s="77"/>
    </row>
    <row r="2642" spans="1:11" x14ac:dyDescent="0.25">
      <c r="A2642" s="77"/>
      <c r="B2642" s="77"/>
      <c r="F2642" s="77"/>
      <c r="G2642" s="427"/>
      <c r="H2642" s="77"/>
      <c r="I2642" s="77"/>
      <c r="J2642" s="77"/>
      <c r="K2642" s="77"/>
    </row>
    <row r="2643" spans="1:11" x14ac:dyDescent="0.25">
      <c r="A2643" s="77"/>
      <c r="B2643" s="77"/>
      <c r="F2643" s="77"/>
      <c r="G2643" s="427"/>
      <c r="H2643" s="77"/>
      <c r="I2643" s="77"/>
      <c r="J2643" s="77"/>
      <c r="K2643" s="77"/>
    </row>
    <row r="2644" spans="1:11" x14ac:dyDescent="0.25">
      <c r="A2644" s="77"/>
      <c r="B2644" s="77"/>
      <c r="F2644" s="77"/>
      <c r="G2644" s="427"/>
      <c r="H2644" s="77"/>
      <c r="I2644" s="77"/>
      <c r="J2644" s="77"/>
      <c r="K2644" s="77"/>
    </row>
    <row r="2645" spans="1:11" x14ac:dyDescent="0.25">
      <c r="A2645" s="77"/>
      <c r="B2645" s="77"/>
      <c r="F2645" s="77"/>
      <c r="G2645" s="427"/>
      <c r="H2645" s="77"/>
      <c r="I2645" s="77"/>
      <c r="J2645" s="77"/>
      <c r="K2645" s="77"/>
    </row>
    <row r="2646" spans="1:11" x14ac:dyDescent="0.25">
      <c r="A2646" s="77"/>
      <c r="B2646" s="77"/>
      <c r="F2646" s="77"/>
      <c r="G2646" s="427"/>
      <c r="H2646" s="77"/>
      <c r="I2646" s="77"/>
      <c r="J2646" s="77"/>
      <c r="K2646" s="77"/>
    </row>
    <row r="2647" spans="1:11" x14ac:dyDescent="0.25">
      <c r="A2647" s="77"/>
      <c r="B2647" s="77"/>
      <c r="F2647" s="77"/>
      <c r="G2647" s="427"/>
      <c r="H2647" s="77"/>
      <c r="I2647" s="77"/>
      <c r="J2647" s="77"/>
      <c r="K2647" s="77"/>
    </row>
    <row r="2648" spans="1:11" x14ac:dyDescent="0.25">
      <c r="A2648" s="77"/>
      <c r="B2648" s="77"/>
      <c r="F2648" s="77"/>
      <c r="G2648" s="427"/>
      <c r="H2648" s="77"/>
      <c r="I2648" s="77"/>
      <c r="J2648" s="77"/>
      <c r="K2648" s="77"/>
    </row>
    <row r="2649" spans="1:11" x14ac:dyDescent="0.25">
      <c r="A2649" s="77"/>
      <c r="B2649" s="77"/>
      <c r="F2649" s="77"/>
      <c r="G2649" s="427"/>
      <c r="H2649" s="77"/>
      <c r="I2649" s="77"/>
      <c r="J2649" s="77"/>
      <c r="K2649" s="77"/>
    </row>
    <row r="2650" spans="1:11" x14ac:dyDescent="0.25">
      <c r="A2650" s="77"/>
      <c r="B2650" s="77"/>
      <c r="F2650" s="77"/>
      <c r="G2650" s="427"/>
      <c r="H2650" s="77"/>
      <c r="I2650" s="77"/>
      <c r="J2650" s="77"/>
      <c r="K2650" s="77"/>
    </row>
    <row r="2651" spans="1:11" x14ac:dyDescent="0.25">
      <c r="A2651" s="77"/>
      <c r="B2651" s="77"/>
      <c r="F2651" s="77"/>
      <c r="G2651" s="427"/>
      <c r="H2651" s="77"/>
      <c r="I2651" s="77"/>
      <c r="J2651" s="77"/>
      <c r="K2651" s="77"/>
    </row>
    <row r="2652" spans="1:11" x14ac:dyDescent="0.25">
      <c r="A2652" s="77"/>
      <c r="B2652" s="77"/>
      <c r="F2652" s="77"/>
      <c r="G2652" s="427"/>
      <c r="H2652" s="77"/>
      <c r="I2652" s="77"/>
      <c r="J2652" s="77"/>
      <c r="K2652" s="77"/>
    </row>
    <row r="2653" spans="1:11" x14ac:dyDescent="0.25">
      <c r="A2653" s="77"/>
      <c r="B2653" s="77"/>
      <c r="F2653" s="77"/>
      <c r="G2653" s="427"/>
      <c r="H2653" s="77"/>
      <c r="I2653" s="77"/>
      <c r="J2653" s="77"/>
      <c r="K2653" s="77"/>
    </row>
    <row r="2654" spans="1:11" x14ac:dyDescent="0.25">
      <c r="A2654" s="77"/>
      <c r="B2654" s="77"/>
      <c r="F2654" s="77"/>
      <c r="G2654" s="427"/>
      <c r="H2654" s="77"/>
      <c r="I2654" s="77"/>
      <c r="J2654" s="77"/>
      <c r="K2654" s="77"/>
    </row>
    <row r="2655" spans="1:11" x14ac:dyDescent="0.25">
      <c r="A2655" s="77"/>
      <c r="B2655" s="77"/>
      <c r="F2655" s="77"/>
      <c r="G2655" s="427"/>
      <c r="H2655" s="77"/>
      <c r="I2655" s="77"/>
      <c r="J2655" s="77"/>
      <c r="K2655" s="77"/>
    </row>
    <row r="2656" spans="1:11" x14ac:dyDescent="0.25">
      <c r="A2656" s="77"/>
      <c r="B2656" s="77"/>
      <c r="F2656" s="77"/>
      <c r="G2656" s="427"/>
      <c r="H2656" s="77"/>
      <c r="I2656" s="77"/>
      <c r="J2656" s="77"/>
      <c r="K2656" s="77"/>
    </row>
    <row r="2657" spans="1:11" x14ac:dyDescent="0.25">
      <c r="A2657" s="77"/>
      <c r="B2657" s="77"/>
      <c r="F2657" s="77"/>
      <c r="G2657" s="427"/>
      <c r="H2657" s="77"/>
      <c r="I2657" s="77"/>
      <c r="J2657" s="77"/>
      <c r="K2657" s="77"/>
    </row>
    <row r="2658" spans="1:11" x14ac:dyDescent="0.25">
      <c r="A2658" s="77"/>
      <c r="B2658" s="77"/>
      <c r="F2658" s="77"/>
      <c r="G2658" s="427"/>
      <c r="H2658" s="77"/>
      <c r="I2658" s="77"/>
      <c r="J2658" s="77"/>
      <c r="K2658" s="77"/>
    </row>
    <row r="2659" spans="1:11" x14ac:dyDescent="0.25">
      <c r="A2659" s="77"/>
      <c r="B2659" s="77"/>
      <c r="F2659" s="77"/>
      <c r="G2659" s="427"/>
      <c r="H2659" s="77"/>
      <c r="I2659" s="77"/>
      <c r="J2659" s="77"/>
      <c r="K2659" s="77"/>
    </row>
    <row r="2660" spans="1:11" x14ac:dyDescent="0.25">
      <c r="A2660" s="77"/>
      <c r="B2660" s="77"/>
      <c r="F2660" s="77"/>
      <c r="G2660" s="427"/>
      <c r="H2660" s="77"/>
      <c r="I2660" s="77"/>
      <c r="J2660" s="77"/>
      <c r="K2660" s="77"/>
    </row>
    <row r="2661" spans="1:11" x14ac:dyDescent="0.25">
      <c r="A2661" s="77"/>
      <c r="B2661" s="77"/>
      <c r="F2661" s="77"/>
      <c r="G2661" s="427"/>
      <c r="H2661" s="77"/>
      <c r="I2661" s="77"/>
      <c r="J2661" s="77"/>
      <c r="K2661" s="77"/>
    </row>
    <row r="2662" spans="1:11" x14ac:dyDescent="0.25">
      <c r="A2662" s="77"/>
      <c r="B2662" s="77"/>
      <c r="F2662" s="77"/>
      <c r="G2662" s="427"/>
      <c r="H2662" s="77"/>
      <c r="I2662" s="77"/>
      <c r="J2662" s="77"/>
      <c r="K2662" s="77"/>
    </row>
    <row r="2663" spans="1:11" x14ac:dyDescent="0.25">
      <c r="A2663" s="77"/>
      <c r="B2663" s="77"/>
      <c r="F2663" s="77"/>
      <c r="G2663" s="427"/>
      <c r="H2663" s="77"/>
      <c r="I2663" s="77"/>
      <c r="J2663" s="77"/>
      <c r="K2663" s="77"/>
    </row>
    <row r="2664" spans="1:11" x14ac:dyDescent="0.25">
      <c r="A2664" s="77"/>
      <c r="B2664" s="77"/>
      <c r="F2664" s="77"/>
      <c r="G2664" s="427"/>
      <c r="H2664" s="77"/>
      <c r="I2664" s="77"/>
      <c r="J2664" s="77"/>
      <c r="K2664" s="77"/>
    </row>
    <row r="2665" spans="1:11" x14ac:dyDescent="0.25">
      <c r="A2665" s="77"/>
      <c r="B2665" s="77"/>
      <c r="F2665" s="77"/>
      <c r="G2665" s="427"/>
      <c r="H2665" s="77"/>
      <c r="I2665" s="77"/>
      <c r="J2665" s="77"/>
      <c r="K2665" s="77"/>
    </row>
    <row r="2666" spans="1:11" x14ac:dyDescent="0.25">
      <c r="A2666" s="77"/>
      <c r="B2666" s="77"/>
      <c r="F2666" s="77"/>
      <c r="G2666" s="427"/>
      <c r="H2666" s="77"/>
      <c r="I2666" s="77"/>
      <c r="J2666" s="77"/>
      <c r="K2666" s="77"/>
    </row>
    <row r="2667" spans="1:11" x14ac:dyDescent="0.25">
      <c r="A2667" s="77"/>
      <c r="B2667" s="77"/>
      <c r="F2667" s="77"/>
      <c r="G2667" s="427"/>
      <c r="H2667" s="77"/>
      <c r="I2667" s="77"/>
      <c r="J2667" s="77"/>
      <c r="K2667" s="77"/>
    </row>
    <row r="2668" spans="1:11" x14ac:dyDescent="0.25">
      <c r="A2668" s="77"/>
      <c r="B2668" s="77"/>
      <c r="F2668" s="77"/>
      <c r="G2668" s="427"/>
      <c r="H2668" s="77"/>
      <c r="I2668" s="77"/>
      <c r="J2668" s="77"/>
      <c r="K2668" s="77"/>
    </row>
    <row r="2669" spans="1:11" x14ac:dyDescent="0.25">
      <c r="A2669" s="77"/>
      <c r="B2669" s="77"/>
      <c r="F2669" s="77"/>
      <c r="G2669" s="427"/>
      <c r="H2669" s="77"/>
      <c r="I2669" s="77"/>
      <c r="J2669" s="77"/>
      <c r="K2669" s="77"/>
    </row>
  </sheetData>
  <sortState ref="C2192:C2370">
    <sortCondition ref="C2370"/>
  </sortState>
  <pageMargins left="1.1023622047244095" right="0.70866141732283472" top="0.27559055118110237" bottom="0.27559055118110237" header="0.31496062992125984" footer="0.31496062992125984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7"/>
  <sheetViews>
    <sheetView topLeftCell="A2339" zoomScaleNormal="100" workbookViewId="0">
      <selection activeCell="N2352" sqref="N2352"/>
    </sheetView>
  </sheetViews>
  <sheetFormatPr defaultRowHeight="15" x14ac:dyDescent="0.25"/>
  <cols>
    <col min="1" max="1" width="3.85546875" customWidth="1"/>
    <col min="2" max="2" width="5.42578125" customWidth="1"/>
    <col min="3" max="3" width="2.140625" customWidth="1"/>
    <col min="4" max="4" width="2.42578125" customWidth="1"/>
    <col min="5" max="5" width="43.5703125" customWidth="1"/>
    <col min="6" max="6" width="4.85546875" style="737" customWidth="1"/>
    <col min="7" max="7" width="10.5703125" style="2" bestFit="1" customWidth="1"/>
    <col min="8" max="8" width="18.7109375" customWidth="1"/>
    <col min="9" max="9" width="3.85546875" customWidth="1"/>
    <col min="10" max="10" width="7.7109375" customWidth="1"/>
    <col min="11" max="11" width="3.85546875" customWidth="1"/>
    <col min="12" max="12" width="7.7109375" customWidth="1"/>
    <col min="14" max="14" width="5.42578125" customWidth="1"/>
  </cols>
  <sheetData>
    <row r="1" spans="1:11" x14ac:dyDescent="0.25">
      <c r="A1" s="73"/>
      <c r="B1" s="73"/>
      <c r="C1" s="73"/>
      <c r="D1" s="73"/>
      <c r="E1" s="73"/>
      <c r="F1" s="73"/>
      <c r="G1" s="73"/>
      <c r="H1" s="538" t="s">
        <v>4977</v>
      </c>
    </row>
    <row r="2" spans="1:11" x14ac:dyDescent="0.25">
      <c r="A2" s="73"/>
      <c r="B2" s="106"/>
      <c r="C2" s="78" t="s">
        <v>4973</v>
      </c>
      <c r="D2" s="73"/>
      <c r="E2" s="73"/>
      <c r="F2" s="74"/>
      <c r="G2" s="153"/>
      <c r="H2" s="538"/>
      <c r="J2" s="13"/>
      <c r="K2" s="525"/>
    </row>
    <row r="3" spans="1:11" x14ac:dyDescent="0.25">
      <c r="A3" s="73"/>
      <c r="B3" s="106"/>
      <c r="C3" s="100" t="s">
        <v>140</v>
      </c>
      <c r="D3" s="73"/>
      <c r="E3" s="73"/>
      <c r="F3" s="74" t="s">
        <v>3</v>
      </c>
      <c r="G3" s="153">
        <f>0.008*3.14*2*0.08*1.2</f>
        <v>4.8230399999999998E-3</v>
      </c>
      <c r="H3" s="538"/>
      <c r="J3" s="13"/>
      <c r="K3" s="524"/>
    </row>
    <row r="4" spans="1:11" ht="17.25" x14ac:dyDescent="0.25">
      <c r="A4" s="73"/>
      <c r="B4" s="106"/>
      <c r="C4" s="100" t="s">
        <v>23</v>
      </c>
      <c r="D4" s="73"/>
      <c r="E4" s="73"/>
      <c r="F4" s="74" t="s">
        <v>596</v>
      </c>
      <c r="G4" s="153">
        <f>G3*2</f>
        <v>9.6460799999999996E-3</v>
      </c>
      <c r="H4" s="538"/>
      <c r="J4" s="13"/>
      <c r="K4" s="526"/>
    </row>
    <row r="5" spans="1:11" x14ac:dyDescent="0.25">
      <c r="A5" s="73"/>
      <c r="B5" s="106"/>
      <c r="C5" s="100" t="s">
        <v>142</v>
      </c>
      <c r="D5" s="73"/>
      <c r="E5" s="73"/>
      <c r="F5" s="74" t="s">
        <v>3</v>
      </c>
      <c r="G5" s="153">
        <f>G3/4</f>
        <v>1.2057599999999999E-3</v>
      </c>
      <c r="H5" s="538"/>
      <c r="J5" s="13"/>
      <c r="K5" s="526"/>
    </row>
    <row r="6" spans="1:11" x14ac:dyDescent="0.25">
      <c r="A6" s="73"/>
      <c r="B6" s="106"/>
      <c r="C6" s="186" t="s">
        <v>143</v>
      </c>
      <c r="D6" s="73"/>
      <c r="E6" s="73"/>
      <c r="F6" s="74" t="s">
        <v>3</v>
      </c>
      <c r="G6" s="153">
        <f>G7</f>
        <v>6.0720000000000001E-3</v>
      </c>
      <c r="H6" s="538"/>
      <c r="J6" s="13"/>
      <c r="K6" s="526"/>
    </row>
    <row r="7" spans="1:11" x14ac:dyDescent="0.25">
      <c r="A7" s="73"/>
      <c r="B7" s="106"/>
      <c r="C7" s="186" t="s">
        <v>4872</v>
      </c>
      <c r="D7" s="73"/>
      <c r="E7" s="73"/>
      <c r="F7" s="74" t="s">
        <v>3</v>
      </c>
      <c r="G7" s="153">
        <f>G8*0.6</f>
        <v>6.0720000000000001E-3</v>
      </c>
      <c r="H7" s="538"/>
      <c r="J7" s="13"/>
      <c r="K7" s="524"/>
    </row>
    <row r="8" spans="1:11" x14ac:dyDescent="0.25">
      <c r="A8" s="73"/>
      <c r="B8" s="106"/>
      <c r="C8" s="186" t="s">
        <v>152</v>
      </c>
      <c r="D8" s="73"/>
      <c r="E8" s="73"/>
      <c r="F8" s="74" t="s">
        <v>3</v>
      </c>
      <c r="G8" s="153">
        <f>0.4*0.011*2*1.15</f>
        <v>1.0120000000000001E-2</v>
      </c>
      <c r="H8" s="538"/>
      <c r="J8" s="13"/>
      <c r="K8" s="121"/>
    </row>
    <row r="9" spans="1:11" x14ac:dyDescent="0.25">
      <c r="A9" s="73"/>
      <c r="B9" s="106"/>
      <c r="C9" s="186" t="s">
        <v>12</v>
      </c>
      <c r="D9" s="73"/>
      <c r="E9" s="73"/>
      <c r="F9" s="74" t="s">
        <v>3</v>
      </c>
      <c r="G9" s="153">
        <f>0.3*(G8+G7+G6)</f>
        <v>6.6792000000000006E-3</v>
      </c>
      <c r="H9" s="538"/>
      <c r="J9" s="13"/>
      <c r="K9" s="526"/>
    </row>
    <row r="10" spans="1:11" x14ac:dyDescent="0.25">
      <c r="A10" s="73"/>
      <c r="B10" s="106"/>
      <c r="C10" s="186"/>
      <c r="D10" s="75" t="s">
        <v>4974</v>
      </c>
      <c r="E10" s="73"/>
      <c r="F10" s="74"/>
      <c r="G10" s="153"/>
      <c r="H10" s="538"/>
      <c r="J10" s="13"/>
      <c r="K10" s="526"/>
    </row>
    <row r="11" spans="1:11" x14ac:dyDescent="0.25">
      <c r="A11" s="73"/>
      <c r="B11" s="106"/>
      <c r="C11" s="186"/>
      <c r="D11" s="100" t="s">
        <v>4975</v>
      </c>
      <c r="E11" s="73"/>
      <c r="F11" s="74" t="s">
        <v>3</v>
      </c>
      <c r="G11" s="153">
        <f>((0.1*3.14/2)+(0.145-0.025)+(0.145-0.02-0.025)+0.043)*0.173+0.002</f>
        <v>7.465999999999999E-2</v>
      </c>
      <c r="H11" s="538"/>
      <c r="I11" t="s">
        <v>4976</v>
      </c>
      <c r="J11" s="13"/>
      <c r="K11" s="526"/>
    </row>
    <row r="12" spans="1:11" x14ac:dyDescent="0.25">
      <c r="A12" s="539"/>
      <c r="B12" s="539"/>
      <c r="C12" s="539"/>
      <c r="D12" s="539"/>
      <c r="E12" s="539"/>
      <c r="F12" s="539"/>
      <c r="G12" s="539"/>
      <c r="H12" s="540"/>
    </row>
    <row r="13" spans="1:11" x14ac:dyDescent="0.25">
      <c r="A13" s="73"/>
      <c r="B13" s="106"/>
      <c r="C13" s="73"/>
      <c r="D13" s="73"/>
      <c r="E13" s="73"/>
      <c r="F13" s="74"/>
      <c r="G13" s="153"/>
      <c r="H13" s="631" t="s">
        <v>5108</v>
      </c>
      <c r="J13" s="13"/>
      <c r="K13" s="121"/>
    </row>
    <row r="14" spans="1:11" ht="18.75" x14ac:dyDescent="0.3">
      <c r="A14" s="73"/>
      <c r="B14" s="106"/>
      <c r="C14" s="401"/>
      <c r="D14" s="73"/>
      <c r="E14" s="188" t="s">
        <v>4978</v>
      </c>
      <c r="F14" s="74"/>
      <c r="G14" s="153"/>
      <c r="H14" s="538"/>
      <c r="I14" t="s">
        <v>10000</v>
      </c>
      <c r="J14" s="13"/>
      <c r="K14" s="121"/>
    </row>
    <row r="15" spans="1:11" x14ac:dyDescent="0.25">
      <c r="A15" s="73"/>
      <c r="B15" s="106"/>
      <c r="C15" s="73"/>
      <c r="D15" s="73"/>
      <c r="E15" s="73"/>
      <c r="F15" s="74"/>
      <c r="G15" s="153"/>
      <c r="H15" s="538"/>
      <c r="J15" s="13"/>
      <c r="K15" s="121"/>
    </row>
    <row r="16" spans="1:11" x14ac:dyDescent="0.25">
      <c r="A16" s="73"/>
      <c r="B16" s="106"/>
      <c r="C16" s="75" t="s">
        <v>4979</v>
      </c>
      <c r="D16" s="73"/>
      <c r="E16" s="73"/>
      <c r="F16" s="74"/>
      <c r="G16" s="153"/>
      <c r="H16" s="538"/>
      <c r="J16" s="13"/>
      <c r="K16" s="121"/>
    </row>
    <row r="17" spans="1:11" x14ac:dyDescent="0.25">
      <c r="A17" s="73"/>
      <c r="B17" s="106"/>
      <c r="C17" s="100" t="s">
        <v>1194</v>
      </c>
      <c r="D17" s="73"/>
      <c r="E17" s="73"/>
      <c r="F17" s="74" t="s">
        <v>3</v>
      </c>
      <c r="G17" s="153">
        <v>6.0000000000000001E-3</v>
      </c>
      <c r="H17" s="538"/>
      <c r="J17" s="13"/>
      <c r="K17" s="121"/>
    </row>
    <row r="18" spans="1:11" x14ac:dyDescent="0.25">
      <c r="A18" s="73"/>
      <c r="B18" s="106"/>
      <c r="C18" s="73"/>
      <c r="D18" s="75" t="s">
        <v>4980</v>
      </c>
      <c r="E18" s="73"/>
      <c r="F18" s="74"/>
      <c r="G18" s="153"/>
      <c r="H18" s="538"/>
      <c r="J18" s="13"/>
      <c r="K18" s="121"/>
    </row>
    <row r="19" spans="1:11" x14ac:dyDescent="0.25">
      <c r="A19" s="73"/>
      <c r="B19" s="106"/>
      <c r="C19" s="73"/>
      <c r="D19" s="73" t="s">
        <v>4981</v>
      </c>
      <c r="E19" s="73"/>
      <c r="F19" s="74" t="s">
        <v>195</v>
      </c>
      <c r="G19" s="153">
        <v>0.3</v>
      </c>
      <c r="H19" s="538"/>
      <c r="I19" t="s">
        <v>2631</v>
      </c>
      <c r="J19" s="13"/>
      <c r="K19" s="121"/>
    </row>
    <row r="20" spans="1:11" x14ac:dyDescent="0.25">
      <c r="A20" s="73"/>
      <c r="B20" s="106"/>
      <c r="C20" s="73"/>
      <c r="D20" s="73"/>
      <c r="E20" s="73"/>
      <c r="F20" s="74"/>
      <c r="G20" s="153"/>
      <c r="H20" s="538"/>
      <c r="J20" s="13"/>
      <c r="K20" s="121"/>
    </row>
    <row r="21" spans="1:11" x14ac:dyDescent="0.25">
      <c r="A21" s="73"/>
      <c r="B21" s="106"/>
      <c r="C21" s="75" t="s">
        <v>4982</v>
      </c>
      <c r="D21" s="73"/>
      <c r="E21" s="73"/>
      <c r="F21" s="74"/>
      <c r="G21" s="153"/>
      <c r="H21" s="538"/>
      <c r="J21" s="13"/>
      <c r="K21" s="121"/>
    </row>
    <row r="22" spans="1:11" x14ac:dyDescent="0.25">
      <c r="A22" s="73"/>
      <c r="B22" s="106"/>
      <c r="C22" s="73" t="s">
        <v>4983</v>
      </c>
      <c r="D22" s="73"/>
      <c r="E22" s="73"/>
      <c r="F22" s="74" t="s">
        <v>195</v>
      </c>
      <c r="G22" s="153">
        <v>0.5</v>
      </c>
      <c r="H22" s="538"/>
      <c r="J22" s="13"/>
      <c r="K22" s="121"/>
    </row>
    <row r="23" spans="1:11" x14ac:dyDescent="0.25">
      <c r="A23" s="73"/>
      <c r="B23" s="106"/>
      <c r="C23" s="532" t="s">
        <v>4984</v>
      </c>
      <c r="D23" s="73"/>
      <c r="E23" s="73"/>
      <c r="F23" s="74" t="s">
        <v>195</v>
      </c>
      <c r="G23" s="153">
        <v>5.4</v>
      </c>
      <c r="H23" s="538"/>
      <c r="J23" s="13"/>
      <c r="K23" s="121"/>
    </row>
    <row r="24" spans="1:11" x14ac:dyDescent="0.25">
      <c r="A24" s="73"/>
      <c r="B24" s="106"/>
      <c r="C24" s="100" t="s">
        <v>140</v>
      </c>
      <c r="D24" s="73"/>
      <c r="E24" s="73"/>
      <c r="F24" s="74" t="s">
        <v>3</v>
      </c>
      <c r="G24" s="153">
        <f>0.01*3.14*2*0.08*1.2</f>
        <v>6.0288000000000008E-3</v>
      </c>
      <c r="H24" s="538"/>
      <c r="J24" s="13"/>
      <c r="K24" s="121"/>
    </row>
    <row r="25" spans="1:11" ht="17.25" x14ac:dyDescent="0.25">
      <c r="A25" s="73"/>
      <c r="B25" s="106"/>
      <c r="C25" s="100" t="s">
        <v>23</v>
      </c>
      <c r="D25" s="73"/>
      <c r="E25" s="73"/>
      <c r="F25" s="74" t="s">
        <v>596</v>
      </c>
      <c r="G25" s="153">
        <f>G24*2</f>
        <v>1.2057600000000002E-2</v>
      </c>
      <c r="H25" s="538"/>
      <c r="J25" s="13"/>
      <c r="K25" s="121"/>
    </row>
    <row r="26" spans="1:11" x14ac:dyDescent="0.25">
      <c r="A26" s="73"/>
      <c r="B26" s="106"/>
      <c r="C26" s="100" t="s">
        <v>142</v>
      </c>
      <c r="D26" s="73"/>
      <c r="E26" s="73"/>
      <c r="F26" s="74" t="s">
        <v>3</v>
      </c>
      <c r="G26" s="153">
        <f>G24/4</f>
        <v>1.5072000000000002E-3</v>
      </c>
      <c r="H26" s="538"/>
      <c r="J26" s="13"/>
      <c r="K26" s="121"/>
    </row>
    <row r="27" spans="1:11" x14ac:dyDescent="0.25">
      <c r="A27" s="73"/>
      <c r="B27" s="106"/>
      <c r="C27" s="186" t="s">
        <v>1021</v>
      </c>
      <c r="D27" s="73"/>
      <c r="E27" s="73"/>
      <c r="F27" s="74" t="s">
        <v>3</v>
      </c>
      <c r="G27" s="153">
        <f>1.7*0.011*2*1.065*2</f>
        <v>7.9661999999999983E-2</v>
      </c>
      <c r="H27" s="538"/>
      <c r="J27" s="13"/>
      <c r="K27" s="121"/>
    </row>
    <row r="28" spans="1:11" x14ac:dyDescent="0.25">
      <c r="A28" s="73"/>
      <c r="B28" s="106"/>
      <c r="C28" s="186" t="s">
        <v>661</v>
      </c>
      <c r="D28" s="73"/>
      <c r="E28" s="73"/>
      <c r="F28" s="74" t="s">
        <v>3</v>
      </c>
      <c r="G28" s="153">
        <f>G27*0.3*0.66</f>
        <v>1.5773075999999997E-2</v>
      </c>
      <c r="H28" s="538"/>
      <c r="J28" s="13"/>
      <c r="K28" s="121"/>
    </row>
    <row r="29" spans="1:11" x14ac:dyDescent="0.25">
      <c r="A29" s="73"/>
      <c r="B29" s="106"/>
      <c r="C29" s="186" t="s">
        <v>1993</v>
      </c>
      <c r="D29" s="73"/>
      <c r="E29" s="73"/>
      <c r="F29" s="74" t="s">
        <v>3</v>
      </c>
      <c r="G29" s="153">
        <f>G27*0.3*0.33</f>
        <v>7.8865379999999985E-3</v>
      </c>
      <c r="H29" s="538"/>
      <c r="J29" s="13"/>
      <c r="K29" s="121"/>
    </row>
    <row r="30" spans="1:11" x14ac:dyDescent="0.25">
      <c r="A30" s="73"/>
      <c r="B30" s="106"/>
      <c r="C30" s="73"/>
      <c r="D30" s="75" t="s">
        <v>4985</v>
      </c>
      <c r="E30" s="73"/>
      <c r="F30" s="74"/>
      <c r="G30" s="153"/>
      <c r="H30" s="538"/>
      <c r="J30" s="13"/>
      <c r="K30" s="121"/>
    </row>
    <row r="31" spans="1:11" x14ac:dyDescent="0.25">
      <c r="A31" s="73"/>
      <c r="B31" s="106"/>
      <c r="C31" s="73"/>
      <c r="D31" s="73" t="s">
        <v>4986</v>
      </c>
      <c r="E31" s="73"/>
      <c r="F31" s="74" t="s">
        <v>3</v>
      </c>
      <c r="G31" s="153">
        <f>0.222*1.72</f>
        <v>0.38184000000000001</v>
      </c>
      <c r="H31" s="538"/>
      <c r="I31" t="s">
        <v>4987</v>
      </c>
      <c r="J31" s="13"/>
      <c r="K31" s="121"/>
    </row>
    <row r="32" spans="1:11" x14ac:dyDescent="0.25">
      <c r="A32" s="73"/>
      <c r="B32" s="106"/>
      <c r="C32" s="73"/>
      <c r="D32" s="73"/>
      <c r="E32" s="73"/>
      <c r="F32" s="74"/>
      <c r="G32" s="153"/>
      <c r="H32" s="538"/>
      <c r="J32" s="13"/>
      <c r="K32" s="121"/>
    </row>
    <row r="33" spans="1:11" x14ac:dyDescent="0.25">
      <c r="A33" s="73"/>
      <c r="B33" s="106"/>
      <c r="C33" s="75" t="s">
        <v>4988</v>
      </c>
      <c r="D33" s="73"/>
      <c r="E33" s="73"/>
      <c r="F33" s="74"/>
      <c r="G33" s="153"/>
      <c r="H33" s="538"/>
      <c r="J33" s="13"/>
      <c r="K33" s="121"/>
    </row>
    <row r="34" spans="1:11" x14ac:dyDescent="0.25">
      <c r="A34" s="73"/>
      <c r="B34" s="106"/>
      <c r="C34" s="100" t="s">
        <v>1194</v>
      </c>
      <c r="D34" s="73"/>
      <c r="E34" s="73"/>
      <c r="F34" s="74" t="s">
        <v>3</v>
      </c>
      <c r="G34" s="153">
        <v>6.0000000000000001E-3</v>
      </c>
      <c r="H34" s="538"/>
      <c r="J34" s="13"/>
      <c r="K34" s="121"/>
    </row>
    <row r="35" spans="1:11" x14ac:dyDescent="0.25">
      <c r="A35" s="73"/>
      <c r="B35" s="106"/>
      <c r="C35" s="73"/>
      <c r="D35" s="75" t="s">
        <v>4989</v>
      </c>
      <c r="E35" s="73"/>
      <c r="F35" s="74"/>
      <c r="G35" s="153"/>
      <c r="H35" s="538"/>
      <c r="J35" s="13"/>
      <c r="K35" s="121"/>
    </row>
    <row r="36" spans="1:11" x14ac:dyDescent="0.25">
      <c r="A36" s="73"/>
      <c r="B36" s="106"/>
      <c r="C36" s="73"/>
      <c r="D36" s="73" t="s">
        <v>4981</v>
      </c>
      <c r="E36" s="73"/>
      <c r="F36" s="74" t="s">
        <v>3</v>
      </c>
      <c r="G36" s="153">
        <v>0.32</v>
      </c>
      <c r="H36" s="538"/>
      <c r="I36" t="s">
        <v>4990</v>
      </c>
      <c r="J36" s="13"/>
      <c r="K36" s="121"/>
    </row>
    <row r="37" spans="1:11" x14ac:dyDescent="0.25">
      <c r="A37" s="73"/>
      <c r="B37" s="106"/>
      <c r="C37" s="73"/>
      <c r="D37" s="75" t="s">
        <v>4991</v>
      </c>
      <c r="E37" s="73"/>
      <c r="F37" s="74"/>
      <c r="G37" s="153"/>
      <c r="H37" s="538"/>
      <c r="J37" s="13"/>
      <c r="K37" s="121"/>
    </row>
    <row r="38" spans="1:11" x14ac:dyDescent="0.25">
      <c r="A38" s="73"/>
      <c r="B38" s="106"/>
      <c r="C38" s="73"/>
      <c r="D38" s="100" t="s">
        <v>140</v>
      </c>
      <c r="E38" s="73"/>
      <c r="F38" s="74" t="s">
        <v>3</v>
      </c>
      <c r="G38" s="153">
        <f>0.025*3.14*4*0.08*1.2</f>
        <v>3.0144000000000004E-2</v>
      </c>
      <c r="H38" s="538"/>
      <c r="J38" s="13"/>
      <c r="K38" s="121"/>
    </row>
    <row r="39" spans="1:11" ht="17.25" x14ac:dyDescent="0.25">
      <c r="A39" s="73"/>
      <c r="B39" s="106"/>
      <c r="C39" s="73"/>
      <c r="D39" s="100" t="s">
        <v>23</v>
      </c>
      <c r="E39" s="73"/>
      <c r="F39" s="74" t="s">
        <v>596</v>
      </c>
      <c r="G39" s="153">
        <f>G38*2</f>
        <v>6.0288000000000008E-2</v>
      </c>
      <c r="H39" s="538"/>
      <c r="J39" s="13"/>
      <c r="K39" s="121"/>
    </row>
    <row r="40" spans="1:11" x14ac:dyDescent="0.25">
      <c r="A40" s="73"/>
      <c r="B40" s="106"/>
      <c r="C40" s="73"/>
      <c r="D40" s="100" t="s">
        <v>142</v>
      </c>
      <c r="E40" s="73"/>
      <c r="F40" s="74" t="s">
        <v>3</v>
      </c>
      <c r="G40" s="153">
        <f>G38/4</f>
        <v>7.536000000000001E-3</v>
      </c>
      <c r="H40" s="538"/>
      <c r="J40" s="13"/>
      <c r="K40" s="121"/>
    </row>
    <row r="41" spans="1:11" x14ac:dyDescent="0.25">
      <c r="A41" s="73"/>
      <c r="B41" s="106"/>
      <c r="C41" s="73"/>
      <c r="D41" s="186" t="s">
        <v>5107</v>
      </c>
      <c r="E41" s="73"/>
      <c r="F41" s="74" t="s">
        <v>3</v>
      </c>
      <c r="G41" s="153">
        <f>G44</f>
        <v>1.001E-2</v>
      </c>
      <c r="H41" s="538"/>
      <c r="J41" s="13"/>
      <c r="K41" s="528"/>
    </row>
    <row r="42" spans="1:11" x14ac:dyDescent="0.25">
      <c r="A42" s="73"/>
      <c r="B42" s="106"/>
      <c r="C42" s="73"/>
      <c r="D42" s="186" t="s">
        <v>661</v>
      </c>
      <c r="E42" s="73"/>
      <c r="F42" s="74" t="s">
        <v>3</v>
      </c>
      <c r="G42" s="153">
        <f>G41*0.3*0.66</f>
        <v>1.9819799999999999E-3</v>
      </c>
      <c r="H42" s="538"/>
      <c r="J42" s="13"/>
      <c r="K42" s="528"/>
    </row>
    <row r="43" spans="1:11" x14ac:dyDescent="0.25">
      <c r="A43" s="73"/>
      <c r="B43" s="106"/>
      <c r="C43" s="73"/>
      <c r="D43" s="186" t="s">
        <v>1993</v>
      </c>
      <c r="E43" s="73"/>
      <c r="F43" s="74" t="s">
        <v>3</v>
      </c>
      <c r="G43" s="153">
        <f>G42/2</f>
        <v>9.9098999999999997E-4</v>
      </c>
      <c r="H43" s="538"/>
      <c r="J43" s="13"/>
      <c r="K43" s="528"/>
    </row>
    <row r="44" spans="1:11" x14ac:dyDescent="0.25">
      <c r="A44" s="73"/>
      <c r="B44" s="106"/>
      <c r="C44" s="73"/>
      <c r="D44" s="186" t="s">
        <v>500</v>
      </c>
      <c r="E44" s="73"/>
      <c r="F44" s="74" t="s">
        <v>3</v>
      </c>
      <c r="G44" s="153">
        <f>0.35*0.011*2*1.3</f>
        <v>1.001E-2</v>
      </c>
      <c r="H44" s="538"/>
      <c r="J44" s="13"/>
      <c r="K44" s="528"/>
    </row>
    <row r="45" spans="1:11" x14ac:dyDescent="0.25">
      <c r="A45" s="73"/>
      <c r="B45" s="106"/>
      <c r="C45" s="73"/>
      <c r="D45" s="186" t="s">
        <v>12</v>
      </c>
      <c r="E45" s="73"/>
      <c r="F45" s="74" t="s">
        <v>3</v>
      </c>
      <c r="G45" s="153">
        <f>0.3*G44</f>
        <v>3.003E-3</v>
      </c>
      <c r="H45" s="538"/>
      <c r="J45" s="13"/>
      <c r="K45" s="121"/>
    </row>
    <row r="46" spans="1:11" x14ac:dyDescent="0.25">
      <c r="A46" s="73"/>
      <c r="B46" s="106"/>
      <c r="C46" s="73"/>
      <c r="D46" s="73"/>
      <c r="E46" s="75" t="s">
        <v>4992</v>
      </c>
      <c r="F46" s="74"/>
      <c r="G46" s="153"/>
      <c r="H46" s="538"/>
      <c r="J46" s="13"/>
      <c r="K46" s="121"/>
    </row>
    <row r="47" spans="1:11" x14ac:dyDescent="0.25">
      <c r="A47" s="73"/>
      <c r="B47" s="106"/>
      <c r="C47" s="73"/>
      <c r="D47" s="73"/>
      <c r="E47" s="100" t="s">
        <v>4993</v>
      </c>
      <c r="F47" s="74" t="s">
        <v>3</v>
      </c>
      <c r="G47" s="153">
        <f>0.925*0.35+0.001</f>
        <v>0.32474999999999998</v>
      </c>
      <c r="H47" s="538"/>
      <c r="I47" t="s">
        <v>2003</v>
      </c>
      <c r="J47" s="13"/>
      <c r="K47" s="121"/>
    </row>
    <row r="48" spans="1:11" x14ac:dyDescent="0.25">
      <c r="A48" s="73"/>
      <c r="B48" s="106"/>
      <c r="C48" s="73"/>
      <c r="D48" s="73"/>
      <c r="E48" s="73"/>
      <c r="F48" s="74"/>
      <c r="G48" s="153"/>
      <c r="H48" s="538"/>
      <c r="J48" s="13"/>
      <c r="K48" s="121"/>
    </row>
    <row r="49" spans="1:13" x14ac:dyDescent="0.25">
      <c r="A49" s="73"/>
      <c r="B49" s="106"/>
      <c r="C49" s="75" t="s">
        <v>4994</v>
      </c>
      <c r="D49" s="73"/>
      <c r="E49" s="73"/>
      <c r="F49" s="74"/>
      <c r="G49" s="153"/>
      <c r="H49" s="538"/>
      <c r="J49" s="13"/>
      <c r="K49" s="121"/>
    </row>
    <row r="50" spans="1:13" x14ac:dyDescent="0.25">
      <c r="A50" s="73"/>
      <c r="B50" s="106"/>
      <c r="C50" s="100" t="s">
        <v>1194</v>
      </c>
      <c r="D50" s="73"/>
      <c r="E50" s="73"/>
      <c r="F50" s="74" t="s">
        <v>3</v>
      </c>
      <c r="G50" s="153">
        <v>6.0000000000000001E-3</v>
      </c>
      <c r="H50" s="538"/>
      <c r="J50" s="13"/>
      <c r="K50" s="121"/>
    </row>
    <row r="51" spans="1:13" x14ac:dyDescent="0.25">
      <c r="A51" s="73"/>
      <c r="B51" s="106"/>
      <c r="C51" s="73"/>
      <c r="D51" s="75" t="s">
        <v>4996</v>
      </c>
      <c r="E51" s="73"/>
      <c r="F51" s="74"/>
      <c r="G51" s="153"/>
      <c r="H51" s="538"/>
      <c r="J51" s="13"/>
      <c r="K51" s="121"/>
    </row>
    <row r="52" spans="1:13" x14ac:dyDescent="0.25">
      <c r="A52" s="73"/>
      <c r="B52" s="106"/>
      <c r="C52" s="73"/>
      <c r="D52" s="73" t="s">
        <v>4997</v>
      </c>
      <c r="E52" s="73"/>
      <c r="F52" s="74" t="s">
        <v>195</v>
      </c>
      <c r="G52" s="153">
        <v>0.22</v>
      </c>
      <c r="H52" s="538"/>
      <c r="I52" t="s">
        <v>2005</v>
      </c>
      <c r="J52" s="13"/>
      <c r="K52" s="121"/>
    </row>
    <row r="53" spans="1:13" x14ac:dyDescent="0.25">
      <c r="A53" s="73"/>
      <c r="B53" s="106"/>
      <c r="C53" s="73"/>
      <c r="D53" s="73" t="s">
        <v>4995</v>
      </c>
      <c r="E53" s="73"/>
      <c r="F53" s="74"/>
      <c r="G53" s="153"/>
      <c r="H53" s="538"/>
      <c r="J53" s="13"/>
      <c r="K53" s="121"/>
    </row>
    <row r="54" spans="1:13" x14ac:dyDescent="0.25">
      <c r="A54" s="73"/>
      <c r="B54" s="106"/>
      <c r="C54" s="73"/>
      <c r="D54" s="100" t="s">
        <v>140</v>
      </c>
      <c r="E54" s="73"/>
      <c r="F54" s="74" t="s">
        <v>3</v>
      </c>
      <c r="G54" s="153">
        <f>0.012*3.14*2*0.08*1.2</f>
        <v>7.234560000000001E-3</v>
      </c>
      <c r="H54" s="538"/>
      <c r="J54" s="13"/>
      <c r="K54" s="121"/>
    </row>
    <row r="55" spans="1:13" ht="17.25" x14ac:dyDescent="0.25">
      <c r="A55" s="73"/>
      <c r="B55" s="106"/>
      <c r="C55" s="73"/>
      <c r="D55" s="100" t="s">
        <v>23</v>
      </c>
      <c r="E55" s="73"/>
      <c r="F55" s="74" t="s">
        <v>596</v>
      </c>
      <c r="G55" s="153">
        <f>G54*2</f>
        <v>1.4469120000000002E-2</v>
      </c>
      <c r="H55" s="538"/>
      <c r="J55" s="13"/>
      <c r="K55" s="121"/>
    </row>
    <row r="56" spans="1:13" x14ac:dyDescent="0.25">
      <c r="A56" s="73"/>
      <c r="B56" s="106"/>
      <c r="C56" s="73"/>
      <c r="D56" s="100" t="s">
        <v>142</v>
      </c>
      <c r="E56" s="73"/>
      <c r="F56" s="74" t="s">
        <v>3</v>
      </c>
      <c r="G56" s="153">
        <f>G54/4</f>
        <v>1.8086400000000002E-3</v>
      </c>
      <c r="H56" s="538"/>
      <c r="J56" s="13"/>
      <c r="K56" s="121"/>
    </row>
    <row r="57" spans="1:13" x14ac:dyDescent="0.25">
      <c r="A57" s="73"/>
      <c r="B57" s="106"/>
      <c r="C57" s="73"/>
      <c r="D57" s="186" t="s">
        <v>1021</v>
      </c>
      <c r="E57" s="73"/>
      <c r="F57" s="74" t="s">
        <v>3</v>
      </c>
      <c r="G57" s="153">
        <f>0.12*0.011*2*1.2*2</f>
        <v>6.3359999999999988E-3</v>
      </c>
      <c r="H57" s="538"/>
      <c r="J57" s="13"/>
      <c r="K57" s="121"/>
    </row>
    <row r="58" spans="1:13" x14ac:dyDescent="0.25">
      <c r="A58" s="73"/>
      <c r="B58" s="106"/>
      <c r="C58" s="73"/>
      <c r="D58" s="186" t="s">
        <v>661</v>
      </c>
      <c r="E58" s="73"/>
      <c r="F58" s="74" t="s">
        <v>3</v>
      </c>
      <c r="G58" s="153">
        <f>G57*0.3*0.66</f>
        <v>1.2545279999999998E-3</v>
      </c>
      <c r="H58" s="538"/>
      <c r="J58" s="13"/>
      <c r="K58" s="121"/>
    </row>
    <row r="59" spans="1:13" x14ac:dyDescent="0.25">
      <c r="A59" s="73"/>
      <c r="B59" s="106"/>
      <c r="C59" s="73"/>
      <c r="D59" s="186" t="s">
        <v>1993</v>
      </c>
      <c r="E59" s="73"/>
      <c r="F59" s="74" t="s">
        <v>3</v>
      </c>
      <c r="G59" s="153">
        <f>G57*0.3*0.33+0.001</f>
        <v>1.6272639999999998E-3</v>
      </c>
      <c r="H59" s="538"/>
      <c r="J59" s="13"/>
      <c r="K59" s="121"/>
    </row>
    <row r="60" spans="1:13" x14ac:dyDescent="0.25">
      <c r="A60" s="73"/>
      <c r="B60" s="106"/>
      <c r="C60" s="73"/>
      <c r="D60" s="186"/>
      <c r="E60" s="75" t="s">
        <v>5001</v>
      </c>
      <c r="F60" s="74"/>
      <c r="G60" s="153"/>
      <c r="H60" s="538"/>
      <c r="J60" s="13"/>
      <c r="K60" s="527"/>
    </row>
    <row r="61" spans="1:13" x14ac:dyDescent="0.25">
      <c r="A61" s="73"/>
      <c r="B61" s="106"/>
      <c r="C61" s="73"/>
      <c r="D61" s="186"/>
      <c r="E61" s="73" t="s">
        <v>5002</v>
      </c>
      <c r="F61" s="74" t="s">
        <v>3</v>
      </c>
      <c r="G61" s="153">
        <f>0.222*0.07</f>
        <v>1.5540000000000002E-2</v>
      </c>
      <c r="H61" s="538"/>
      <c r="I61" t="s">
        <v>5003</v>
      </c>
      <c r="J61" s="13"/>
      <c r="K61" s="527"/>
    </row>
    <row r="62" spans="1:13" x14ac:dyDescent="0.25">
      <c r="A62" s="73"/>
      <c r="B62" s="106"/>
      <c r="C62" s="73"/>
      <c r="D62" s="73"/>
      <c r="E62" s="73"/>
      <c r="F62" s="74"/>
      <c r="G62" s="153"/>
      <c r="H62" s="538"/>
      <c r="J62" s="13"/>
      <c r="K62" s="121"/>
    </row>
    <row r="63" spans="1:13" x14ac:dyDescent="0.25">
      <c r="A63" s="73"/>
      <c r="B63" s="106"/>
      <c r="C63" s="75" t="s">
        <v>4998</v>
      </c>
      <c r="D63" s="73"/>
      <c r="E63" s="73"/>
      <c r="F63" s="74"/>
      <c r="G63" s="153"/>
      <c r="H63" s="538"/>
      <c r="J63" s="13"/>
      <c r="K63" s="121"/>
    </row>
    <row r="64" spans="1:13" x14ac:dyDescent="0.25">
      <c r="A64" s="73"/>
      <c r="B64" s="106"/>
      <c r="C64" s="100" t="s">
        <v>1194</v>
      </c>
      <c r="D64" s="73"/>
      <c r="E64" s="73"/>
      <c r="F64" s="74" t="s">
        <v>3</v>
      </c>
      <c r="G64" s="153">
        <v>6.0000000000000001E-3</v>
      </c>
      <c r="H64" s="538"/>
      <c r="I64" s="274"/>
      <c r="J64" s="530" t="s">
        <v>4999</v>
      </c>
      <c r="K64" s="274"/>
      <c r="L64" s="529"/>
      <c r="M64" s="531" t="s">
        <v>2968</v>
      </c>
    </row>
    <row r="65" spans="1:11" x14ac:dyDescent="0.25">
      <c r="A65" s="73"/>
      <c r="B65" s="106"/>
      <c r="C65" s="532" t="s">
        <v>4984</v>
      </c>
      <c r="D65" s="73"/>
      <c r="E65" s="73"/>
      <c r="F65" s="74" t="s">
        <v>195</v>
      </c>
      <c r="G65" s="153">
        <v>1.85</v>
      </c>
      <c r="H65" s="538"/>
      <c r="J65" s="13"/>
      <c r="K65" s="121"/>
    </row>
    <row r="66" spans="1:11" x14ac:dyDescent="0.25">
      <c r="A66" s="73"/>
      <c r="B66" s="106"/>
      <c r="C66" s="73"/>
      <c r="D66" s="75" t="s">
        <v>5000</v>
      </c>
      <c r="E66" s="73"/>
      <c r="F66" s="74"/>
      <c r="G66" s="153"/>
      <c r="H66" s="538"/>
      <c r="J66" s="13"/>
      <c r="K66" s="121"/>
    </row>
    <row r="67" spans="1:11" x14ac:dyDescent="0.25">
      <c r="A67" s="73"/>
      <c r="B67" s="106"/>
      <c r="C67" s="73"/>
      <c r="D67" s="100" t="s">
        <v>140</v>
      </c>
      <c r="E67" s="73"/>
      <c r="F67" s="74" t="s">
        <v>3</v>
      </c>
      <c r="G67" s="153">
        <f>0.01*3.14*2*0.08*1.2</f>
        <v>6.0288000000000008E-3</v>
      </c>
      <c r="H67" s="538"/>
      <c r="J67" s="13"/>
      <c r="K67" s="121"/>
    </row>
    <row r="68" spans="1:11" ht="17.25" x14ac:dyDescent="0.25">
      <c r="A68" s="73"/>
      <c r="B68" s="106"/>
      <c r="C68" s="73"/>
      <c r="D68" s="100" t="s">
        <v>23</v>
      </c>
      <c r="E68" s="73"/>
      <c r="F68" s="74" t="s">
        <v>596</v>
      </c>
      <c r="G68" s="153">
        <f>G67*2</f>
        <v>1.2057600000000002E-2</v>
      </c>
      <c r="H68" s="538"/>
      <c r="J68" s="13"/>
      <c r="K68" s="121"/>
    </row>
    <row r="69" spans="1:11" x14ac:dyDescent="0.25">
      <c r="A69" s="73"/>
      <c r="B69" s="106"/>
      <c r="C69" s="73"/>
      <c r="D69" s="100" t="s">
        <v>142</v>
      </c>
      <c r="E69" s="73"/>
      <c r="F69" s="74" t="s">
        <v>3</v>
      </c>
      <c r="G69" s="153">
        <f>G67/4</f>
        <v>1.5072000000000002E-3</v>
      </c>
      <c r="H69" s="538"/>
      <c r="J69" s="13"/>
      <c r="K69" s="121"/>
    </row>
    <row r="70" spans="1:11" x14ac:dyDescent="0.25">
      <c r="A70" s="73"/>
      <c r="B70" s="106"/>
      <c r="C70" s="73"/>
      <c r="D70" s="186" t="s">
        <v>5107</v>
      </c>
      <c r="E70" s="73"/>
      <c r="F70" s="74" t="s">
        <v>3</v>
      </c>
      <c r="G70" s="153">
        <f>0.2*0.011*2*1.3</f>
        <v>5.7200000000000003E-3</v>
      </c>
      <c r="H70" s="538"/>
      <c r="J70" s="13"/>
      <c r="K70" s="528"/>
    </row>
    <row r="71" spans="1:11" x14ac:dyDescent="0.25">
      <c r="A71" s="73"/>
      <c r="B71" s="106"/>
      <c r="C71" s="73"/>
      <c r="D71" s="186" t="s">
        <v>661</v>
      </c>
      <c r="E71" s="73"/>
      <c r="F71" s="74" t="s">
        <v>3</v>
      </c>
      <c r="G71" s="153">
        <f>G70*0.3*0.66</f>
        <v>1.1325600000000001E-3</v>
      </c>
      <c r="H71" s="538"/>
      <c r="J71" s="13"/>
      <c r="K71" s="528"/>
    </row>
    <row r="72" spans="1:11" x14ac:dyDescent="0.25">
      <c r="A72" s="73"/>
      <c r="B72" s="106"/>
      <c r="C72" s="73"/>
      <c r="D72" s="186" t="s">
        <v>1993</v>
      </c>
      <c r="E72" s="73"/>
      <c r="F72" s="74" t="s">
        <v>3</v>
      </c>
      <c r="G72" s="153">
        <f>G71/2</f>
        <v>5.6628000000000006E-4</v>
      </c>
      <c r="H72" s="538"/>
      <c r="J72" s="13"/>
      <c r="K72" s="528"/>
    </row>
    <row r="73" spans="1:11" x14ac:dyDescent="0.25">
      <c r="A73" s="73"/>
      <c r="B73" s="106"/>
      <c r="C73" s="73"/>
      <c r="D73" s="186" t="s">
        <v>500</v>
      </c>
      <c r="E73" s="73"/>
      <c r="F73" s="74" t="s">
        <v>3</v>
      </c>
      <c r="G73" s="153">
        <f>0.2*0.011*2*1.3</f>
        <v>5.7200000000000003E-3</v>
      </c>
      <c r="H73" s="538"/>
      <c r="J73" s="13"/>
      <c r="K73" s="121"/>
    </row>
    <row r="74" spans="1:11" x14ac:dyDescent="0.25">
      <c r="A74" s="73"/>
      <c r="B74" s="106"/>
      <c r="C74" s="73"/>
      <c r="D74" s="186" t="s">
        <v>12</v>
      </c>
      <c r="E74" s="73"/>
      <c r="F74" s="74" t="s">
        <v>3</v>
      </c>
      <c r="G74" s="153">
        <f>0.3*G73</f>
        <v>1.7160000000000001E-3</v>
      </c>
      <c r="H74" s="538"/>
      <c r="J74" s="13"/>
      <c r="K74" s="528"/>
    </row>
    <row r="75" spans="1:11" x14ac:dyDescent="0.25">
      <c r="A75" s="73"/>
      <c r="B75" s="106"/>
      <c r="C75" s="73"/>
      <c r="D75" s="73"/>
      <c r="E75" s="75" t="s">
        <v>5004</v>
      </c>
      <c r="F75" s="74"/>
      <c r="G75" s="153"/>
      <c r="H75" s="538"/>
      <c r="J75" s="13"/>
      <c r="K75" s="121"/>
    </row>
    <row r="76" spans="1:11" x14ac:dyDescent="0.25">
      <c r="A76" s="73"/>
      <c r="B76" s="106"/>
      <c r="C76" s="73"/>
      <c r="D76" s="73"/>
      <c r="E76" s="73" t="s">
        <v>5002</v>
      </c>
      <c r="F76" s="74" t="s">
        <v>3</v>
      </c>
      <c r="G76" s="153">
        <f>0.222*0.2</f>
        <v>4.4400000000000002E-2</v>
      </c>
      <c r="H76" s="538"/>
      <c r="I76" t="s">
        <v>1223</v>
      </c>
      <c r="J76" s="13"/>
      <c r="K76" s="121"/>
    </row>
    <row r="77" spans="1:11" x14ac:dyDescent="0.25">
      <c r="A77" s="73"/>
      <c r="B77" s="106"/>
      <c r="C77" s="73"/>
      <c r="D77" s="73"/>
      <c r="E77" s="73"/>
      <c r="F77" s="74"/>
      <c r="G77" s="153"/>
      <c r="H77" s="538"/>
      <c r="J77" s="13"/>
      <c r="K77" s="121"/>
    </row>
    <row r="78" spans="1:11" x14ac:dyDescent="0.25">
      <c r="A78" s="73"/>
      <c r="B78" s="106"/>
      <c r="C78" s="75" t="s">
        <v>5005</v>
      </c>
      <c r="D78" s="73"/>
      <c r="E78" s="73"/>
      <c r="F78" s="74"/>
      <c r="G78" s="153"/>
      <c r="H78" s="538"/>
      <c r="J78" s="13"/>
      <c r="K78" s="121"/>
    </row>
    <row r="79" spans="1:11" x14ac:dyDescent="0.25">
      <c r="A79" s="73"/>
      <c r="B79" s="106"/>
      <c r="C79" s="100" t="s">
        <v>140</v>
      </c>
      <c r="D79" s="73"/>
      <c r="E79" s="73"/>
      <c r="F79" s="74" t="s">
        <v>3</v>
      </c>
      <c r="G79" s="153">
        <f>0.008*3.14*2*0.08*1.2</f>
        <v>4.8230399999999998E-3</v>
      </c>
      <c r="H79" s="538"/>
      <c r="J79" s="13"/>
      <c r="K79" s="121"/>
    </row>
    <row r="80" spans="1:11" ht="17.25" x14ac:dyDescent="0.25">
      <c r="A80" s="73"/>
      <c r="B80" s="106"/>
      <c r="C80" s="100" t="s">
        <v>23</v>
      </c>
      <c r="D80" s="73"/>
      <c r="E80" s="73"/>
      <c r="F80" s="74" t="s">
        <v>596</v>
      </c>
      <c r="G80" s="153">
        <f>G79*2</f>
        <v>9.6460799999999996E-3</v>
      </c>
      <c r="H80" s="538"/>
      <c r="J80" s="13"/>
      <c r="K80" s="121"/>
    </row>
    <row r="81" spans="1:11" x14ac:dyDescent="0.25">
      <c r="A81" s="73"/>
      <c r="B81" s="106"/>
      <c r="C81" s="100" t="s">
        <v>142</v>
      </c>
      <c r="D81" s="73"/>
      <c r="E81" s="73"/>
      <c r="F81" s="74" t="s">
        <v>3</v>
      </c>
      <c r="G81" s="153">
        <f>G79/4</f>
        <v>1.2057599999999999E-3</v>
      </c>
      <c r="H81" s="538"/>
      <c r="J81" s="13"/>
      <c r="K81" s="121"/>
    </row>
    <row r="82" spans="1:11" x14ac:dyDescent="0.25">
      <c r="A82" s="73"/>
      <c r="B82" s="106"/>
      <c r="C82" s="186" t="s">
        <v>500</v>
      </c>
      <c r="D82" s="73"/>
      <c r="E82" s="73"/>
      <c r="F82" s="74" t="s">
        <v>3</v>
      </c>
      <c r="G82" s="153">
        <f>0.2*0.011*2*1.3</f>
        <v>5.7200000000000003E-3</v>
      </c>
      <c r="H82" s="538"/>
      <c r="J82" s="13"/>
      <c r="K82" s="528"/>
    </row>
    <row r="83" spans="1:11" x14ac:dyDescent="0.25">
      <c r="A83" s="73"/>
      <c r="B83" s="106"/>
      <c r="C83" s="186" t="s">
        <v>12</v>
      </c>
      <c r="D83" s="73"/>
      <c r="E83" s="73"/>
      <c r="F83" s="74" t="s">
        <v>3</v>
      </c>
      <c r="G83" s="153">
        <f>0.3*G82</f>
        <v>1.7160000000000001E-3</v>
      </c>
      <c r="H83" s="538"/>
      <c r="J83" s="13"/>
      <c r="K83" s="528"/>
    </row>
    <row r="84" spans="1:11" x14ac:dyDescent="0.25">
      <c r="A84" s="73"/>
      <c r="B84" s="106"/>
      <c r="C84" s="73"/>
      <c r="D84" s="75" t="s">
        <v>5006</v>
      </c>
      <c r="E84" s="73"/>
      <c r="F84" s="74"/>
      <c r="G84" s="153"/>
      <c r="H84" s="538"/>
      <c r="J84" s="13"/>
      <c r="K84" s="121"/>
    </row>
    <row r="85" spans="1:11" x14ac:dyDescent="0.25">
      <c r="A85" s="73"/>
      <c r="B85" s="106"/>
      <c r="C85" s="73"/>
      <c r="D85" s="73" t="s">
        <v>5007</v>
      </c>
      <c r="E85" s="73"/>
      <c r="F85" s="74" t="s">
        <v>3</v>
      </c>
      <c r="G85" s="153">
        <f>0.196*0.205</f>
        <v>4.018E-2</v>
      </c>
      <c r="H85" s="538"/>
      <c r="I85" t="s">
        <v>5008</v>
      </c>
      <c r="J85" s="13"/>
      <c r="K85" s="121"/>
    </row>
    <row r="86" spans="1:11" x14ac:dyDescent="0.25">
      <c r="A86" s="73"/>
      <c r="B86" s="106"/>
      <c r="C86" s="73"/>
      <c r="D86" s="73"/>
      <c r="E86" s="73"/>
      <c r="F86" s="74"/>
      <c r="G86" s="153"/>
      <c r="H86" s="538"/>
      <c r="J86" s="13"/>
      <c r="K86" s="121"/>
    </row>
    <row r="87" spans="1:11" x14ac:dyDescent="0.25">
      <c r="A87" s="73"/>
      <c r="B87" s="106"/>
      <c r="C87" s="75" t="s">
        <v>5009</v>
      </c>
      <c r="D87" s="73"/>
      <c r="E87" s="73"/>
      <c r="F87" s="74"/>
      <c r="G87" s="153"/>
      <c r="H87" s="538"/>
      <c r="J87" s="13"/>
      <c r="K87" s="121"/>
    </row>
    <row r="88" spans="1:11" x14ac:dyDescent="0.25">
      <c r="A88" s="73"/>
      <c r="B88" s="106"/>
      <c r="C88" s="100" t="s">
        <v>1194</v>
      </c>
      <c r="D88" s="73"/>
      <c r="E88" s="73"/>
      <c r="F88" s="74" t="s">
        <v>3</v>
      </c>
      <c r="G88" s="153">
        <v>6.0000000000000001E-3</v>
      </c>
      <c r="H88" s="538"/>
      <c r="J88" s="13"/>
      <c r="K88" s="121"/>
    </row>
    <row r="89" spans="1:11" x14ac:dyDescent="0.25">
      <c r="A89" s="73"/>
      <c r="B89" s="106"/>
      <c r="C89" s="73"/>
      <c r="D89" s="75" t="s">
        <v>5010</v>
      </c>
      <c r="E89" s="73"/>
      <c r="F89" s="74"/>
      <c r="G89" s="153"/>
      <c r="H89" s="538"/>
      <c r="J89" s="13"/>
      <c r="K89" s="121"/>
    </row>
    <row r="90" spans="1:11" x14ac:dyDescent="0.25">
      <c r="A90" s="73"/>
      <c r="B90" s="106"/>
      <c r="C90" s="73"/>
      <c r="D90" s="73" t="s">
        <v>5011</v>
      </c>
      <c r="E90" s="73"/>
      <c r="F90" s="74" t="s">
        <v>195</v>
      </c>
      <c r="G90" s="153">
        <v>0.36499999999999999</v>
      </c>
      <c r="H90" s="538"/>
      <c r="I90" t="s">
        <v>5012</v>
      </c>
      <c r="J90" s="13"/>
      <c r="K90" s="121"/>
    </row>
    <row r="91" spans="1:11" x14ac:dyDescent="0.25">
      <c r="A91" s="73"/>
      <c r="B91" s="106"/>
      <c r="C91" s="73"/>
      <c r="D91" s="75" t="s">
        <v>5013</v>
      </c>
      <c r="E91" s="73"/>
      <c r="F91" s="74"/>
      <c r="G91" s="153"/>
      <c r="H91" s="538"/>
      <c r="J91" s="13"/>
      <c r="K91" s="121"/>
    </row>
    <row r="92" spans="1:11" x14ac:dyDescent="0.25">
      <c r="A92" s="73"/>
      <c r="B92" s="106"/>
      <c r="C92" s="73"/>
      <c r="D92" s="100" t="s">
        <v>140</v>
      </c>
      <c r="E92" s="73"/>
      <c r="F92" s="74" t="s">
        <v>3</v>
      </c>
      <c r="G92" s="153">
        <f>0.01*3.14*2*0.08*1.2</f>
        <v>6.0288000000000008E-3</v>
      </c>
      <c r="H92" s="538"/>
      <c r="J92" s="13"/>
      <c r="K92" s="121"/>
    </row>
    <row r="93" spans="1:11" ht="17.25" x14ac:dyDescent="0.25">
      <c r="A93" s="73"/>
      <c r="B93" s="106"/>
      <c r="C93" s="73"/>
      <c r="D93" s="100" t="s">
        <v>23</v>
      </c>
      <c r="E93" s="73"/>
      <c r="F93" s="74" t="s">
        <v>596</v>
      </c>
      <c r="G93" s="153">
        <f>G92*2</f>
        <v>1.2057600000000002E-2</v>
      </c>
      <c r="H93" s="538"/>
      <c r="J93" s="13"/>
      <c r="K93" s="121"/>
    </row>
    <row r="94" spans="1:11" x14ac:dyDescent="0.25">
      <c r="A94" s="73"/>
      <c r="B94" s="106"/>
      <c r="C94" s="73"/>
      <c r="D94" s="100" t="s">
        <v>142</v>
      </c>
      <c r="E94" s="73"/>
      <c r="F94" s="74" t="s">
        <v>3</v>
      </c>
      <c r="G94" s="153">
        <f>G92/4</f>
        <v>1.5072000000000002E-3</v>
      </c>
      <c r="H94" s="538"/>
      <c r="J94" s="13"/>
      <c r="K94" s="121"/>
    </row>
    <row r="95" spans="1:11" x14ac:dyDescent="0.25">
      <c r="A95" s="73"/>
      <c r="B95" s="106"/>
      <c r="C95" s="73"/>
      <c r="D95" s="186" t="s">
        <v>1021</v>
      </c>
      <c r="E95" s="73"/>
      <c r="F95" s="74" t="s">
        <v>3</v>
      </c>
      <c r="G95" s="153">
        <f>0.41*0.011*2*1.2</f>
        <v>1.0823999999999999E-2</v>
      </c>
      <c r="H95" s="538"/>
      <c r="J95" s="13"/>
      <c r="K95" s="121"/>
    </row>
    <row r="96" spans="1:11" x14ac:dyDescent="0.25">
      <c r="A96" s="73"/>
      <c r="B96" s="106"/>
      <c r="C96" s="73"/>
      <c r="D96" s="186" t="s">
        <v>661</v>
      </c>
      <c r="E96" s="73"/>
      <c r="F96" s="74" t="s">
        <v>3</v>
      </c>
      <c r="G96" s="153">
        <f>G95*0.3*0.66</f>
        <v>2.1431519999999997E-3</v>
      </c>
      <c r="H96" s="538"/>
      <c r="J96" s="13"/>
      <c r="K96" s="121"/>
    </row>
    <row r="97" spans="1:11" x14ac:dyDescent="0.25">
      <c r="A97" s="73"/>
      <c r="B97" s="106"/>
      <c r="C97" s="73"/>
      <c r="D97" s="186" t="s">
        <v>1993</v>
      </c>
      <c r="E97" s="73"/>
      <c r="F97" s="74" t="s">
        <v>3</v>
      </c>
      <c r="G97" s="153">
        <f>G95*0.3*0.33+0.001</f>
        <v>2.0715759999999999E-3</v>
      </c>
      <c r="H97" s="538"/>
      <c r="J97" s="13"/>
      <c r="K97" s="121"/>
    </row>
    <row r="98" spans="1:11" x14ac:dyDescent="0.25">
      <c r="A98" s="73"/>
      <c r="B98" s="106"/>
      <c r="C98" s="73"/>
      <c r="D98" s="186" t="s">
        <v>500</v>
      </c>
      <c r="E98" s="73"/>
      <c r="F98" s="74" t="s">
        <v>3</v>
      </c>
      <c r="G98" s="153">
        <f>0.42*0.011*2*1.3</f>
        <v>1.2012E-2</v>
      </c>
      <c r="H98" s="538"/>
      <c r="J98" s="13"/>
      <c r="K98" s="528"/>
    </row>
    <row r="99" spans="1:11" x14ac:dyDescent="0.25">
      <c r="A99" s="73"/>
      <c r="B99" s="106"/>
      <c r="C99" s="73"/>
      <c r="D99" s="186" t="s">
        <v>12</v>
      </c>
      <c r="E99" s="73"/>
      <c r="F99" s="74" t="s">
        <v>3</v>
      </c>
      <c r="G99" s="153">
        <f>0.3*G98</f>
        <v>3.6035999999999998E-3</v>
      </c>
      <c r="H99" s="538"/>
      <c r="J99" s="13"/>
      <c r="K99" s="121"/>
    </row>
    <row r="100" spans="1:11" x14ac:dyDescent="0.25">
      <c r="A100" s="73"/>
      <c r="B100" s="106"/>
      <c r="C100" s="73"/>
      <c r="D100" s="73"/>
      <c r="E100" s="75" t="s">
        <v>5014</v>
      </c>
      <c r="F100" s="74"/>
      <c r="G100" s="153"/>
      <c r="H100" s="538"/>
      <c r="J100" s="13"/>
      <c r="K100" s="121"/>
    </row>
    <row r="101" spans="1:11" x14ac:dyDescent="0.25">
      <c r="A101" s="73"/>
      <c r="B101" s="106"/>
      <c r="C101" s="73"/>
      <c r="D101" s="73"/>
      <c r="E101" s="73" t="s">
        <v>5002</v>
      </c>
      <c r="F101" s="74" t="s">
        <v>3</v>
      </c>
      <c r="G101" s="153">
        <f>0.222*0.42</f>
        <v>9.3240000000000003E-2</v>
      </c>
      <c r="H101" s="538"/>
      <c r="I101" t="s">
        <v>5015</v>
      </c>
      <c r="J101" s="13"/>
      <c r="K101" s="121"/>
    </row>
    <row r="102" spans="1:11" x14ac:dyDescent="0.25">
      <c r="A102" s="73"/>
      <c r="B102" s="106"/>
      <c r="C102" s="73"/>
      <c r="D102" s="73"/>
      <c r="E102" s="73"/>
      <c r="F102" s="74"/>
      <c r="G102" s="153"/>
      <c r="H102" s="538"/>
      <c r="J102" s="13"/>
      <c r="K102" s="121"/>
    </row>
    <row r="103" spans="1:11" x14ac:dyDescent="0.25">
      <c r="A103" s="73"/>
      <c r="B103" s="106"/>
      <c r="C103" s="75" t="s">
        <v>5016</v>
      </c>
      <c r="D103" s="73"/>
      <c r="E103" s="73"/>
      <c r="F103" s="74"/>
      <c r="G103" s="153"/>
      <c r="H103" s="538"/>
      <c r="J103" s="13"/>
      <c r="K103" s="121"/>
    </row>
    <row r="104" spans="1:11" x14ac:dyDescent="0.25">
      <c r="A104" s="73"/>
      <c r="B104" s="106"/>
      <c r="C104" s="100" t="s">
        <v>140</v>
      </c>
      <c r="D104" s="73"/>
      <c r="E104" s="73"/>
      <c r="F104" s="74" t="s">
        <v>3</v>
      </c>
      <c r="G104" s="153">
        <f>0.01*3.14*2*0.08*1.2</f>
        <v>6.0288000000000008E-3</v>
      </c>
      <c r="H104" s="538"/>
      <c r="J104" s="13"/>
      <c r="K104" s="121"/>
    </row>
    <row r="105" spans="1:11" ht="17.25" x14ac:dyDescent="0.25">
      <c r="A105" s="73"/>
      <c r="B105" s="106"/>
      <c r="C105" s="100" t="s">
        <v>23</v>
      </c>
      <c r="D105" s="73"/>
      <c r="E105" s="73"/>
      <c r="F105" s="74" t="s">
        <v>596</v>
      </c>
      <c r="G105" s="153">
        <f>G104*2</f>
        <v>1.2057600000000002E-2</v>
      </c>
      <c r="H105" s="538"/>
      <c r="J105" s="13"/>
      <c r="K105" s="121"/>
    </row>
    <row r="106" spans="1:11" x14ac:dyDescent="0.25">
      <c r="A106" s="73"/>
      <c r="B106" s="106"/>
      <c r="C106" s="100" t="s">
        <v>142</v>
      </c>
      <c r="D106" s="73"/>
      <c r="E106" s="73"/>
      <c r="F106" s="74" t="s">
        <v>3</v>
      </c>
      <c r="G106" s="153">
        <f>G104/4</f>
        <v>1.5072000000000002E-3</v>
      </c>
      <c r="H106" s="538"/>
      <c r="J106" s="13"/>
      <c r="K106" s="121"/>
    </row>
    <row r="107" spans="1:11" x14ac:dyDescent="0.25">
      <c r="A107" s="73"/>
      <c r="B107" s="106"/>
      <c r="C107" s="186" t="s">
        <v>1021</v>
      </c>
      <c r="D107" s="73"/>
      <c r="E107" s="73"/>
      <c r="F107" s="74" t="s">
        <v>3</v>
      </c>
      <c r="G107" s="153">
        <f>1.06*0.011*2*1.2</f>
        <v>2.7983999999999998E-2</v>
      </c>
      <c r="H107" s="538"/>
      <c r="J107" s="13"/>
      <c r="K107" s="121"/>
    </row>
    <row r="108" spans="1:11" x14ac:dyDescent="0.25">
      <c r="A108" s="73"/>
      <c r="B108" s="106"/>
      <c r="C108" s="186" t="s">
        <v>661</v>
      </c>
      <c r="D108" s="73"/>
      <c r="E108" s="73"/>
      <c r="F108" s="74" t="s">
        <v>3</v>
      </c>
      <c r="G108" s="153">
        <f>G107*0.3*0.66</f>
        <v>5.540831999999999E-3</v>
      </c>
      <c r="H108" s="538"/>
      <c r="J108" s="13"/>
      <c r="K108" s="121"/>
    </row>
    <row r="109" spans="1:11" x14ac:dyDescent="0.25">
      <c r="A109" s="73"/>
      <c r="B109" s="106"/>
      <c r="C109" s="186" t="s">
        <v>1993</v>
      </c>
      <c r="D109" s="73"/>
      <c r="E109" s="73"/>
      <c r="F109" s="74" t="s">
        <v>3</v>
      </c>
      <c r="G109" s="153">
        <f>G107*0.3*0.33+0.001</f>
        <v>3.7704159999999995E-3</v>
      </c>
      <c r="H109" s="538"/>
      <c r="J109" s="13"/>
      <c r="K109" s="121"/>
    </row>
    <row r="110" spans="1:11" x14ac:dyDescent="0.25">
      <c r="A110" s="73"/>
      <c r="B110" s="106"/>
      <c r="C110" s="186" t="s">
        <v>500</v>
      </c>
      <c r="D110" s="73"/>
      <c r="E110" s="73"/>
      <c r="F110" s="74" t="s">
        <v>3</v>
      </c>
      <c r="G110" s="153">
        <f>1.1*0.011*2*1.3</f>
        <v>3.1460000000000002E-2</v>
      </c>
      <c r="H110" s="538"/>
      <c r="J110" s="13"/>
      <c r="K110" s="528"/>
    </row>
    <row r="111" spans="1:11" x14ac:dyDescent="0.25">
      <c r="A111" s="73"/>
      <c r="B111" s="106"/>
      <c r="C111" s="186" t="s">
        <v>12</v>
      </c>
      <c r="D111" s="73"/>
      <c r="E111" s="73"/>
      <c r="F111" s="74" t="s">
        <v>3</v>
      </c>
      <c r="G111" s="153">
        <f>0.3*G110</f>
        <v>9.4380000000000002E-3</v>
      </c>
      <c r="H111" s="538"/>
      <c r="J111" s="13"/>
      <c r="K111" s="121"/>
    </row>
    <row r="112" spans="1:11" x14ac:dyDescent="0.25">
      <c r="A112" s="73"/>
      <c r="B112" s="106"/>
      <c r="C112" s="73"/>
      <c r="D112" s="75" t="s">
        <v>5017</v>
      </c>
      <c r="E112" s="73"/>
      <c r="F112" s="74"/>
      <c r="G112" s="153"/>
      <c r="H112" s="538"/>
      <c r="J112" s="13"/>
      <c r="K112" s="121"/>
    </row>
    <row r="113" spans="1:11" x14ac:dyDescent="0.25">
      <c r="A113" s="73"/>
      <c r="B113" s="106"/>
      <c r="C113" s="73"/>
      <c r="D113" s="73" t="s">
        <v>5002</v>
      </c>
      <c r="E113" s="73"/>
      <c r="F113" s="74" t="s">
        <v>3</v>
      </c>
      <c r="G113" s="153">
        <f>0.222*1.105</f>
        <v>0.24531</v>
      </c>
      <c r="H113" s="538"/>
      <c r="I113" t="s">
        <v>5018</v>
      </c>
      <c r="J113" s="13"/>
      <c r="K113" s="121"/>
    </row>
    <row r="114" spans="1:11" x14ac:dyDescent="0.25">
      <c r="A114" s="73"/>
      <c r="B114" s="106"/>
      <c r="C114" s="73"/>
      <c r="D114" s="73"/>
      <c r="E114" s="73"/>
      <c r="F114" s="74"/>
      <c r="G114" s="153"/>
      <c r="H114" s="538"/>
      <c r="J114" s="13"/>
      <c r="K114" s="121"/>
    </row>
    <row r="115" spans="1:11" x14ac:dyDescent="0.25">
      <c r="A115" s="73"/>
      <c r="B115" s="106"/>
      <c r="C115" s="75" t="s">
        <v>5019</v>
      </c>
      <c r="D115" s="73"/>
      <c r="E115" s="73"/>
      <c r="F115" s="74"/>
      <c r="G115" s="153"/>
      <c r="H115" s="538"/>
      <c r="J115" s="13"/>
      <c r="K115" s="121"/>
    </row>
    <row r="116" spans="1:11" x14ac:dyDescent="0.25">
      <c r="A116" s="73"/>
      <c r="B116" s="106"/>
      <c r="C116" s="100" t="s">
        <v>140</v>
      </c>
      <c r="D116" s="73"/>
      <c r="E116" s="73"/>
      <c r="F116" s="74" t="s">
        <v>3</v>
      </c>
      <c r="G116" s="153">
        <f>0.012*3.14*0.08*1.2</f>
        <v>3.6172800000000005E-3</v>
      </c>
      <c r="H116" s="538"/>
      <c r="J116" s="13"/>
      <c r="K116" s="121"/>
    </row>
    <row r="117" spans="1:11" ht="17.25" x14ac:dyDescent="0.25">
      <c r="A117" s="73"/>
      <c r="B117" s="106"/>
      <c r="C117" s="100" t="s">
        <v>23</v>
      </c>
      <c r="D117" s="73"/>
      <c r="E117" s="73"/>
      <c r="F117" s="74" t="s">
        <v>596</v>
      </c>
      <c r="G117" s="153">
        <f>G116*2</f>
        <v>7.234560000000001E-3</v>
      </c>
      <c r="H117" s="538"/>
      <c r="J117" s="13"/>
      <c r="K117" s="121"/>
    </row>
    <row r="118" spans="1:11" x14ac:dyDescent="0.25">
      <c r="A118" s="73"/>
      <c r="B118" s="106"/>
      <c r="C118" s="100" t="s">
        <v>142</v>
      </c>
      <c r="D118" s="73"/>
      <c r="E118" s="73"/>
      <c r="F118" s="74" t="s">
        <v>3</v>
      </c>
      <c r="G118" s="153">
        <f>G116/4</f>
        <v>9.0432000000000012E-4</v>
      </c>
      <c r="H118" s="538"/>
      <c r="J118" s="13"/>
      <c r="K118" s="121"/>
    </row>
    <row r="119" spans="1:11" x14ac:dyDescent="0.25">
      <c r="A119" s="73"/>
      <c r="B119" s="106"/>
      <c r="C119" s="186" t="s">
        <v>143</v>
      </c>
      <c r="D119" s="73"/>
      <c r="E119" s="73"/>
      <c r="F119" s="74" t="s">
        <v>3</v>
      </c>
      <c r="G119" s="153">
        <f>0.2*0.011*2*1.12</f>
        <v>4.928000000000001E-3</v>
      </c>
      <c r="H119" s="538"/>
      <c r="J119" s="13"/>
      <c r="K119" s="121"/>
    </row>
    <row r="120" spans="1:11" x14ac:dyDescent="0.25">
      <c r="A120" s="73"/>
      <c r="B120" s="106"/>
      <c r="C120" s="186" t="s">
        <v>12</v>
      </c>
      <c r="D120" s="73"/>
      <c r="E120" s="73"/>
      <c r="F120" s="74" t="s">
        <v>3</v>
      </c>
      <c r="G120" s="153">
        <f>0.3*G119</f>
        <v>1.4784000000000002E-3</v>
      </c>
      <c r="H120" s="538"/>
      <c r="J120" s="13"/>
      <c r="K120" s="121"/>
    </row>
    <row r="121" spans="1:11" x14ac:dyDescent="0.25">
      <c r="A121" s="73"/>
      <c r="B121" s="106"/>
      <c r="C121" s="186" t="s">
        <v>325</v>
      </c>
      <c r="D121" s="73"/>
      <c r="E121" s="73"/>
      <c r="F121" s="74" t="s">
        <v>3</v>
      </c>
      <c r="G121" s="153">
        <f>0.25*0.011*1.5</f>
        <v>4.1250000000000002E-3</v>
      </c>
      <c r="H121" s="538"/>
      <c r="J121" s="13"/>
      <c r="K121" s="528"/>
    </row>
    <row r="122" spans="1:11" x14ac:dyDescent="0.25">
      <c r="A122" s="73"/>
      <c r="B122" s="106"/>
      <c r="C122" s="186" t="s">
        <v>12</v>
      </c>
      <c r="D122" s="73"/>
      <c r="E122" s="73"/>
      <c r="F122" s="74" t="s">
        <v>3</v>
      </c>
      <c r="G122" s="153">
        <f>0.3*G121</f>
        <v>1.2375000000000001E-3</v>
      </c>
      <c r="H122" s="538"/>
      <c r="J122" s="13"/>
      <c r="K122" s="121"/>
    </row>
    <row r="123" spans="1:11" x14ac:dyDescent="0.25">
      <c r="A123" s="73"/>
      <c r="B123" s="106"/>
      <c r="C123" s="73"/>
      <c r="D123" s="75" t="s">
        <v>5020</v>
      </c>
      <c r="E123" s="73"/>
      <c r="F123" s="74"/>
      <c r="G123" s="153"/>
      <c r="H123" s="538"/>
      <c r="J123" s="13"/>
      <c r="K123" s="121"/>
    </row>
    <row r="124" spans="1:11" x14ac:dyDescent="0.25">
      <c r="A124" s="73"/>
      <c r="B124" s="106"/>
      <c r="C124" s="73"/>
      <c r="D124" s="73" t="s">
        <v>5021</v>
      </c>
      <c r="E124" s="73"/>
      <c r="F124" s="74" t="s">
        <v>3</v>
      </c>
      <c r="G124" s="153">
        <f>0.271*0.24</f>
        <v>6.5040000000000001E-2</v>
      </c>
      <c r="H124" s="538"/>
      <c r="I124" t="s">
        <v>5022</v>
      </c>
      <c r="J124" s="13"/>
      <c r="K124" s="121"/>
    </row>
    <row r="125" spans="1:11" x14ac:dyDescent="0.25">
      <c r="A125" s="73"/>
      <c r="B125" s="106"/>
      <c r="C125" s="73"/>
      <c r="D125" s="73"/>
      <c r="E125" s="73"/>
      <c r="F125" s="74"/>
      <c r="G125" s="153"/>
      <c r="H125" s="538"/>
      <c r="J125" s="13"/>
      <c r="K125" s="121"/>
    </row>
    <row r="126" spans="1:11" x14ac:dyDescent="0.25">
      <c r="A126" s="73"/>
      <c r="B126" s="106"/>
      <c r="C126" s="75" t="s">
        <v>5023</v>
      </c>
      <c r="D126" s="73"/>
      <c r="E126" s="73"/>
      <c r="F126" s="74"/>
      <c r="G126" s="153"/>
      <c r="H126" s="538"/>
      <c r="J126" s="13"/>
      <c r="K126" s="121"/>
    </row>
    <row r="127" spans="1:11" x14ac:dyDescent="0.25">
      <c r="A127" s="73"/>
      <c r="B127" s="106"/>
      <c r="C127" s="100" t="s">
        <v>1194</v>
      </c>
      <c r="D127" s="73"/>
      <c r="E127" s="73"/>
      <c r="F127" s="74" t="s">
        <v>3</v>
      </c>
      <c r="G127" s="153">
        <v>8.0000000000000002E-3</v>
      </c>
      <c r="H127" s="538"/>
      <c r="J127" s="13"/>
      <c r="K127" s="121"/>
    </row>
    <row r="128" spans="1:11" x14ac:dyDescent="0.25">
      <c r="A128" s="73"/>
      <c r="B128" s="106"/>
      <c r="C128" s="73"/>
      <c r="D128" s="75" t="s">
        <v>5024</v>
      </c>
      <c r="E128" s="73"/>
      <c r="F128" s="74"/>
      <c r="G128" s="153"/>
      <c r="H128" s="538"/>
      <c r="J128" s="13"/>
      <c r="K128" s="121"/>
    </row>
    <row r="129" spans="1:11" x14ac:dyDescent="0.25">
      <c r="A129" s="73"/>
      <c r="B129" s="106"/>
      <c r="C129" s="73"/>
      <c r="D129" s="73" t="s">
        <v>4981</v>
      </c>
      <c r="E129" s="73"/>
      <c r="F129" s="74" t="s">
        <v>195</v>
      </c>
      <c r="G129" s="153">
        <v>0.62</v>
      </c>
      <c r="H129" s="538"/>
      <c r="I129" t="s">
        <v>5025</v>
      </c>
      <c r="J129" s="13"/>
      <c r="K129" s="121"/>
    </row>
    <row r="130" spans="1:11" x14ac:dyDescent="0.25">
      <c r="A130" s="73"/>
      <c r="B130" s="106"/>
      <c r="C130" s="73"/>
      <c r="D130" s="75" t="s">
        <v>5026</v>
      </c>
      <c r="E130" s="73"/>
      <c r="F130" s="74"/>
      <c r="G130" s="153"/>
      <c r="H130" s="538"/>
      <c r="J130" s="13"/>
      <c r="K130" s="121"/>
    </row>
    <row r="131" spans="1:11" x14ac:dyDescent="0.25">
      <c r="A131" s="73"/>
      <c r="B131" s="106"/>
      <c r="C131" s="73"/>
      <c r="D131" s="186" t="s">
        <v>143</v>
      </c>
      <c r="E131" s="73"/>
      <c r="F131" s="74" t="s">
        <v>3</v>
      </c>
      <c r="G131" s="153">
        <f>0.01</f>
        <v>0.01</v>
      </c>
      <c r="H131" s="538"/>
      <c r="J131" s="13"/>
      <c r="K131" s="121"/>
    </row>
    <row r="132" spans="1:11" x14ac:dyDescent="0.25">
      <c r="A132" s="73"/>
      <c r="B132" s="106"/>
      <c r="C132" s="73"/>
      <c r="D132" s="186" t="s">
        <v>12</v>
      </c>
      <c r="E132" s="73"/>
      <c r="F132" s="74" t="s">
        <v>3</v>
      </c>
      <c r="G132" s="153">
        <f>0.3*G131</f>
        <v>3.0000000000000001E-3</v>
      </c>
      <c r="H132" s="538"/>
      <c r="J132" s="13"/>
      <c r="K132" s="121"/>
    </row>
    <row r="133" spans="1:11" x14ac:dyDescent="0.25">
      <c r="A133" s="73"/>
      <c r="B133" s="106"/>
      <c r="C133" s="73"/>
      <c r="D133" s="77" t="s">
        <v>39</v>
      </c>
      <c r="E133" s="73"/>
      <c r="F133" s="74" t="s">
        <v>3</v>
      </c>
      <c r="G133" s="427">
        <f>(0.1+0.03*3.14*2)*0.08*1.2</f>
        <v>2.7686399999999996E-2</v>
      </c>
      <c r="H133" s="538"/>
      <c r="J133" s="13"/>
      <c r="K133" s="121"/>
    </row>
    <row r="134" spans="1:11" ht="17.25" x14ac:dyDescent="0.25">
      <c r="A134" s="73"/>
      <c r="B134" s="106"/>
      <c r="C134" s="73"/>
      <c r="D134" s="77" t="s">
        <v>1055</v>
      </c>
      <c r="E134" s="73"/>
      <c r="F134" s="74" t="s">
        <v>596</v>
      </c>
      <c r="G134" s="153">
        <f>1.5*G133</f>
        <v>4.1529599999999993E-2</v>
      </c>
      <c r="H134" s="538"/>
      <c r="J134" s="13"/>
      <c r="K134" s="528"/>
    </row>
    <row r="135" spans="1:11" x14ac:dyDescent="0.25">
      <c r="A135" s="73"/>
      <c r="B135" s="106"/>
      <c r="C135" s="73"/>
      <c r="D135" s="73"/>
      <c r="E135" s="75" t="s">
        <v>5028</v>
      </c>
      <c r="F135" s="74"/>
      <c r="G135" s="153"/>
      <c r="H135" s="538"/>
      <c r="J135" s="13"/>
      <c r="K135" s="121"/>
    </row>
    <row r="136" spans="1:11" x14ac:dyDescent="0.25">
      <c r="A136" s="73"/>
      <c r="B136" s="106"/>
      <c r="C136" s="73"/>
      <c r="D136" s="73"/>
      <c r="E136" s="73" t="s">
        <v>5029</v>
      </c>
      <c r="F136" s="74" t="s">
        <v>3</v>
      </c>
      <c r="G136" s="153">
        <f>0.715*0.15</f>
        <v>0.10725</v>
      </c>
      <c r="H136" s="538"/>
      <c r="I136" t="s">
        <v>5030</v>
      </c>
      <c r="J136" s="13"/>
      <c r="K136" s="121"/>
    </row>
    <row r="137" spans="1:11" x14ac:dyDescent="0.25">
      <c r="A137" s="73"/>
      <c r="B137" s="106"/>
      <c r="C137" s="73"/>
      <c r="D137" s="73"/>
      <c r="E137" s="75" t="s">
        <v>5031</v>
      </c>
      <c r="F137" s="74"/>
      <c r="G137" s="153"/>
      <c r="H137" s="538"/>
      <c r="J137" s="13"/>
      <c r="K137" s="528"/>
    </row>
    <row r="138" spans="1:11" x14ac:dyDescent="0.25">
      <c r="A138" s="73"/>
      <c r="B138" s="106"/>
      <c r="C138" s="73"/>
      <c r="D138" s="73"/>
      <c r="E138" s="73" t="s">
        <v>5033</v>
      </c>
      <c r="F138" s="74" t="s">
        <v>3</v>
      </c>
      <c r="G138" s="153">
        <f>0.1*0.1*1.5*8</f>
        <v>0.12000000000000002</v>
      </c>
      <c r="H138" s="538"/>
      <c r="J138" s="13"/>
      <c r="K138" s="528"/>
    </row>
    <row r="139" spans="1:11" x14ac:dyDescent="0.25">
      <c r="A139" s="73"/>
      <c r="B139" s="106"/>
      <c r="C139" s="73"/>
      <c r="D139" s="73"/>
      <c r="E139" s="75" t="s">
        <v>5032</v>
      </c>
      <c r="F139" s="74"/>
      <c r="G139" s="153"/>
      <c r="H139" s="538"/>
      <c r="J139" s="13"/>
      <c r="K139" s="528"/>
    </row>
    <row r="140" spans="1:11" x14ac:dyDescent="0.25">
      <c r="A140" s="73"/>
      <c r="B140" s="106"/>
      <c r="C140" s="73"/>
      <c r="D140" s="73"/>
      <c r="E140" s="73" t="s">
        <v>5033</v>
      </c>
      <c r="F140" s="74" t="s">
        <v>3</v>
      </c>
      <c r="G140" s="153">
        <f>0.1*0.1*1.5*8</f>
        <v>0.12000000000000002</v>
      </c>
      <c r="H140" s="538"/>
      <c r="J140" s="13"/>
      <c r="K140" s="528"/>
    </row>
    <row r="141" spans="1:11" x14ac:dyDescent="0.25">
      <c r="A141" s="73"/>
      <c r="B141" s="106"/>
      <c r="C141" s="73"/>
      <c r="D141" s="75" t="s">
        <v>5027</v>
      </c>
      <c r="E141" s="73"/>
      <c r="F141" s="74"/>
      <c r="G141" s="153"/>
      <c r="H141" s="538"/>
      <c r="J141" s="13"/>
      <c r="K141" s="121"/>
    </row>
    <row r="142" spans="1:11" x14ac:dyDescent="0.25">
      <c r="A142" s="73"/>
      <c r="B142" s="106"/>
      <c r="C142" s="73"/>
      <c r="D142" s="186" t="s">
        <v>143</v>
      </c>
      <c r="E142" s="73"/>
      <c r="F142" s="74" t="s">
        <v>3</v>
      </c>
      <c r="G142" s="153">
        <f>0.01</f>
        <v>0.01</v>
      </c>
      <c r="H142" s="538"/>
      <c r="J142" s="13"/>
      <c r="K142" s="121"/>
    </row>
    <row r="143" spans="1:11" x14ac:dyDescent="0.25">
      <c r="A143" s="73"/>
      <c r="B143" s="106"/>
      <c r="C143" s="73"/>
      <c r="D143" s="186" t="s">
        <v>12</v>
      </c>
      <c r="E143" s="73"/>
      <c r="F143" s="74" t="s">
        <v>3</v>
      </c>
      <c r="G143" s="153">
        <f>0.3*G142</f>
        <v>3.0000000000000001E-3</v>
      </c>
      <c r="H143" s="538"/>
      <c r="J143" s="13"/>
      <c r="K143" s="121"/>
    </row>
    <row r="144" spans="1:11" x14ac:dyDescent="0.25">
      <c r="A144" s="73"/>
      <c r="B144" s="106"/>
      <c r="C144" s="73"/>
      <c r="D144" s="77" t="s">
        <v>39</v>
      </c>
      <c r="E144" s="73"/>
      <c r="F144" s="74" t="s">
        <v>3</v>
      </c>
      <c r="G144" s="427">
        <f>(0.03*3.14*2.5)*0.08*1.2</f>
        <v>2.2608000000000003E-2</v>
      </c>
      <c r="H144" s="538"/>
      <c r="J144" s="13"/>
      <c r="K144" s="121"/>
    </row>
    <row r="145" spans="1:11" ht="17.25" x14ac:dyDescent="0.25">
      <c r="A145" s="73"/>
      <c r="B145" s="106"/>
      <c r="C145" s="73"/>
      <c r="D145" s="77" t="s">
        <v>1055</v>
      </c>
      <c r="E145" s="73"/>
      <c r="F145" s="74" t="s">
        <v>596</v>
      </c>
      <c r="G145" s="153">
        <f>1.5*G144</f>
        <v>3.3912000000000005E-2</v>
      </c>
      <c r="H145" s="538"/>
      <c r="J145" s="13"/>
      <c r="K145" s="121"/>
    </row>
    <row r="146" spans="1:11" x14ac:dyDescent="0.25">
      <c r="A146" s="73"/>
      <c r="B146" s="106"/>
      <c r="C146" s="73"/>
      <c r="D146" s="73"/>
      <c r="E146" s="75" t="s">
        <v>5034</v>
      </c>
      <c r="F146" s="74"/>
      <c r="G146" s="153"/>
      <c r="H146" s="538"/>
      <c r="J146" s="13"/>
      <c r="K146" s="121"/>
    </row>
    <row r="147" spans="1:11" x14ac:dyDescent="0.25">
      <c r="A147" s="73"/>
      <c r="B147" s="106"/>
      <c r="C147" s="73"/>
      <c r="D147" s="73"/>
      <c r="E147" s="73" t="s">
        <v>5029</v>
      </c>
      <c r="F147" s="74" t="s">
        <v>3</v>
      </c>
      <c r="G147" s="153">
        <f>0.715*0.15</f>
        <v>0.10725</v>
      </c>
      <c r="H147" s="538"/>
      <c r="I147" t="s">
        <v>5035</v>
      </c>
      <c r="J147" s="13"/>
      <c r="K147" s="121"/>
    </row>
    <row r="148" spans="1:11" x14ac:dyDescent="0.25">
      <c r="A148" s="73"/>
      <c r="B148" s="106"/>
      <c r="C148" s="73"/>
      <c r="D148" s="73"/>
      <c r="E148" s="75" t="s">
        <v>5036</v>
      </c>
      <c r="F148" s="74"/>
      <c r="G148" s="153"/>
      <c r="H148" s="538"/>
      <c r="J148" s="13"/>
      <c r="K148" s="121"/>
    </row>
    <row r="149" spans="1:11" x14ac:dyDescent="0.25">
      <c r="A149" s="73"/>
      <c r="B149" s="106"/>
      <c r="C149" s="73"/>
      <c r="D149" s="73"/>
      <c r="E149" s="73" t="s">
        <v>5037</v>
      </c>
      <c r="F149" s="74" t="s">
        <v>3</v>
      </c>
      <c r="G149" s="153">
        <f>0.1*0.1*5*8</f>
        <v>0.40000000000000008</v>
      </c>
      <c r="H149" s="538"/>
      <c r="J149" s="13"/>
      <c r="K149" s="121"/>
    </row>
    <row r="150" spans="1:11" x14ac:dyDescent="0.25">
      <c r="A150" s="73"/>
      <c r="B150" s="106"/>
      <c r="C150" s="73"/>
      <c r="D150" s="73"/>
      <c r="E150" s="73"/>
      <c r="F150" s="74"/>
      <c r="G150" s="153"/>
      <c r="H150" s="538"/>
      <c r="J150" s="13"/>
      <c r="K150" s="121"/>
    </row>
    <row r="151" spans="1:11" x14ac:dyDescent="0.25">
      <c r="A151" s="73"/>
      <c r="B151" s="106"/>
      <c r="C151" s="75" t="s">
        <v>5038</v>
      </c>
      <c r="D151" s="73"/>
      <c r="E151" s="73"/>
      <c r="F151" s="74"/>
      <c r="G151" s="153"/>
      <c r="H151" s="538"/>
      <c r="J151" s="13"/>
      <c r="K151" s="121"/>
    </row>
    <row r="152" spans="1:11" x14ac:dyDescent="0.25">
      <c r="A152" s="73"/>
      <c r="B152" s="106"/>
      <c r="C152" s="100" t="s">
        <v>140</v>
      </c>
      <c r="D152" s="73"/>
      <c r="E152" s="73"/>
      <c r="F152" s="74" t="s">
        <v>3</v>
      </c>
      <c r="G152" s="153">
        <f>0.012*3.14*2*0.08*1.2</f>
        <v>7.234560000000001E-3</v>
      </c>
      <c r="H152" s="538"/>
      <c r="J152" s="13"/>
      <c r="K152" s="121"/>
    </row>
    <row r="153" spans="1:11" ht="17.25" x14ac:dyDescent="0.25">
      <c r="A153" s="73"/>
      <c r="B153" s="106"/>
      <c r="C153" s="100" t="s">
        <v>23</v>
      </c>
      <c r="D153" s="73"/>
      <c r="E153" s="73"/>
      <c r="F153" s="74" t="s">
        <v>596</v>
      </c>
      <c r="G153" s="153">
        <f>G152*2</f>
        <v>1.4469120000000002E-2</v>
      </c>
      <c r="H153" s="538"/>
      <c r="J153" s="13"/>
      <c r="K153" s="121"/>
    </row>
    <row r="154" spans="1:11" x14ac:dyDescent="0.25">
      <c r="A154" s="73"/>
      <c r="B154" s="106"/>
      <c r="C154" s="100" t="s">
        <v>142</v>
      </c>
      <c r="D154" s="73"/>
      <c r="E154" s="73"/>
      <c r="F154" s="74" t="s">
        <v>3</v>
      </c>
      <c r="G154" s="153">
        <f>G152/4</f>
        <v>1.8086400000000002E-3</v>
      </c>
      <c r="H154" s="538"/>
      <c r="J154" s="13"/>
      <c r="K154" s="121"/>
    </row>
    <row r="155" spans="1:11" x14ac:dyDescent="0.25">
      <c r="A155" s="73"/>
      <c r="B155" s="106"/>
      <c r="C155" s="186" t="s">
        <v>143</v>
      </c>
      <c r="D155" s="73"/>
      <c r="E155" s="73"/>
      <c r="F155" s="74" t="s">
        <v>3</v>
      </c>
      <c r="G155" s="153">
        <f>0.3*0.011*2*1.15</f>
        <v>7.5899999999999987E-3</v>
      </c>
      <c r="H155" s="538"/>
      <c r="J155" s="13"/>
      <c r="K155" s="121"/>
    </row>
    <row r="156" spans="1:11" x14ac:dyDescent="0.25">
      <c r="A156" s="73"/>
      <c r="B156" s="106"/>
      <c r="C156" s="186" t="s">
        <v>12</v>
      </c>
      <c r="D156" s="73"/>
      <c r="E156" s="73"/>
      <c r="F156" s="74" t="s">
        <v>3</v>
      </c>
      <c r="G156" s="153">
        <f>0.3*G155</f>
        <v>2.2769999999999995E-3</v>
      </c>
      <c r="H156" s="538"/>
      <c r="J156" s="13"/>
      <c r="K156" s="121"/>
    </row>
    <row r="157" spans="1:11" x14ac:dyDescent="0.25">
      <c r="A157" s="73"/>
      <c r="B157" s="106"/>
      <c r="C157" s="186" t="s">
        <v>325</v>
      </c>
      <c r="D157" s="73"/>
      <c r="E157" s="73"/>
      <c r="F157" s="74" t="s">
        <v>3</v>
      </c>
      <c r="G157" s="153">
        <f>0.35*0.011*1.5</f>
        <v>5.7749999999999998E-3</v>
      </c>
      <c r="H157" s="538"/>
      <c r="J157" s="13"/>
      <c r="K157" s="528"/>
    </row>
    <row r="158" spans="1:11" x14ac:dyDescent="0.25">
      <c r="A158" s="73"/>
      <c r="B158" s="106"/>
      <c r="C158" s="186" t="s">
        <v>12</v>
      </c>
      <c r="D158" s="73"/>
      <c r="E158" s="73"/>
      <c r="F158" s="74" t="s">
        <v>3</v>
      </c>
      <c r="G158" s="153">
        <f>0.3*G157</f>
        <v>1.7324999999999999E-3</v>
      </c>
      <c r="H158" s="538"/>
      <c r="J158" s="13"/>
      <c r="K158" s="528"/>
    </row>
    <row r="159" spans="1:11" x14ac:dyDescent="0.25">
      <c r="A159" s="73"/>
      <c r="B159" s="106"/>
      <c r="C159" s="73"/>
      <c r="D159" s="75" t="s">
        <v>5039</v>
      </c>
      <c r="E159" s="73"/>
      <c r="F159" s="74"/>
      <c r="G159" s="153"/>
      <c r="H159" s="538"/>
      <c r="J159" s="13"/>
      <c r="K159" s="121"/>
    </row>
    <row r="160" spans="1:11" x14ac:dyDescent="0.25">
      <c r="A160" s="73"/>
      <c r="B160" s="106"/>
      <c r="C160" s="73"/>
      <c r="D160" s="73" t="s">
        <v>5021</v>
      </c>
      <c r="E160" s="73"/>
      <c r="F160" s="74" t="s">
        <v>3</v>
      </c>
      <c r="G160" s="153">
        <f>0.271*0.15</f>
        <v>4.0649999999999999E-2</v>
      </c>
      <c r="H160" s="538"/>
      <c r="I160" t="s">
        <v>1173</v>
      </c>
      <c r="J160" s="13"/>
      <c r="K160" s="121"/>
    </row>
    <row r="161" spans="1:11" x14ac:dyDescent="0.25">
      <c r="A161" s="73"/>
      <c r="B161" s="106"/>
      <c r="C161" s="73"/>
      <c r="D161" s="75" t="s">
        <v>5040</v>
      </c>
      <c r="E161" s="73"/>
      <c r="F161" s="74"/>
      <c r="G161" s="153"/>
      <c r="H161" s="538"/>
      <c r="J161" s="13"/>
      <c r="K161" s="121"/>
    </row>
    <row r="162" spans="1:11" x14ac:dyDescent="0.25">
      <c r="A162" s="73"/>
      <c r="B162" s="106"/>
      <c r="C162" s="73"/>
      <c r="D162" s="73" t="s">
        <v>5021</v>
      </c>
      <c r="E162" s="73"/>
      <c r="F162" s="74" t="s">
        <v>3</v>
      </c>
      <c r="G162" s="153">
        <f>0.271*0.185</f>
        <v>5.0135000000000006E-2</v>
      </c>
      <c r="H162" s="538"/>
      <c r="I162" t="s">
        <v>5041</v>
      </c>
      <c r="J162" s="13"/>
      <c r="K162" s="121"/>
    </row>
    <row r="163" spans="1:11" x14ac:dyDescent="0.25">
      <c r="A163" s="73"/>
      <c r="B163" s="106"/>
      <c r="C163" s="73"/>
      <c r="D163" s="73"/>
      <c r="E163" s="73"/>
      <c r="F163" s="74"/>
      <c r="G163" s="153"/>
      <c r="H163" s="538"/>
      <c r="J163" s="13"/>
      <c r="K163" s="121"/>
    </row>
    <row r="164" spans="1:11" x14ac:dyDescent="0.25">
      <c r="A164" s="73"/>
      <c r="B164" s="106"/>
      <c r="C164" s="75" t="s">
        <v>5042</v>
      </c>
      <c r="D164" s="73"/>
      <c r="E164" s="73"/>
      <c r="F164" s="74"/>
      <c r="G164" s="153"/>
      <c r="H164" s="538"/>
      <c r="J164" s="13"/>
      <c r="K164" s="121"/>
    </row>
    <row r="165" spans="1:11" x14ac:dyDescent="0.25">
      <c r="A165" s="73"/>
      <c r="B165" s="106"/>
      <c r="C165" s="100" t="s">
        <v>140</v>
      </c>
      <c r="D165" s="73"/>
      <c r="E165" s="73"/>
      <c r="F165" s="74" t="s">
        <v>3</v>
      </c>
      <c r="G165" s="153">
        <f>0.02*3.14*0.08*1.2</f>
        <v>6.0288000000000008E-3</v>
      </c>
      <c r="H165" s="538"/>
      <c r="J165" s="13"/>
      <c r="K165" s="121"/>
    </row>
    <row r="166" spans="1:11" ht="17.25" x14ac:dyDescent="0.25">
      <c r="A166" s="73"/>
      <c r="B166" s="106"/>
      <c r="C166" s="100" t="s">
        <v>23</v>
      </c>
      <c r="D166" s="73"/>
      <c r="E166" s="73"/>
      <c r="F166" s="74" t="s">
        <v>596</v>
      </c>
      <c r="G166" s="153">
        <f>G165*2</f>
        <v>1.2057600000000002E-2</v>
      </c>
      <c r="H166" s="538"/>
      <c r="J166" s="13"/>
      <c r="K166" s="121"/>
    </row>
    <row r="167" spans="1:11" x14ac:dyDescent="0.25">
      <c r="A167" s="73"/>
      <c r="B167" s="106"/>
      <c r="C167" s="100" t="s">
        <v>142</v>
      </c>
      <c r="D167" s="73"/>
      <c r="E167" s="73"/>
      <c r="F167" s="74" t="s">
        <v>3</v>
      </c>
      <c r="G167" s="153">
        <f>G165/4</f>
        <v>1.5072000000000002E-3</v>
      </c>
      <c r="H167" s="538"/>
      <c r="J167" s="13"/>
      <c r="K167" s="121"/>
    </row>
    <row r="168" spans="1:11" x14ac:dyDescent="0.25">
      <c r="A168" s="73"/>
      <c r="B168" s="106"/>
      <c r="C168" s="186" t="s">
        <v>143</v>
      </c>
      <c r="D168" s="73"/>
      <c r="E168" s="73"/>
      <c r="F168" s="74" t="s">
        <v>3</v>
      </c>
      <c r="G168" s="153">
        <f>0.1*0.011*2*1.25</f>
        <v>2.7500000000000003E-3</v>
      </c>
      <c r="H168" s="538"/>
      <c r="J168" s="13"/>
      <c r="K168" s="121"/>
    </row>
    <row r="169" spans="1:11" x14ac:dyDescent="0.25">
      <c r="A169" s="73"/>
      <c r="B169" s="106"/>
      <c r="C169" s="186" t="s">
        <v>12</v>
      </c>
      <c r="D169" s="73"/>
      <c r="E169" s="73"/>
      <c r="F169" s="74" t="s">
        <v>3</v>
      </c>
      <c r="G169" s="153">
        <f>0.3*G168</f>
        <v>8.250000000000001E-4</v>
      </c>
      <c r="H169" s="538"/>
      <c r="J169" s="13"/>
      <c r="K169" s="121"/>
    </row>
    <row r="170" spans="1:11" x14ac:dyDescent="0.25">
      <c r="A170" s="73"/>
      <c r="B170" s="106"/>
      <c r="C170" s="186" t="s">
        <v>325</v>
      </c>
      <c r="D170" s="73"/>
      <c r="E170" s="73"/>
      <c r="F170" s="74" t="s">
        <v>3</v>
      </c>
      <c r="G170" s="153">
        <f>0.1*0.011*1.59</f>
        <v>1.7490000000000001E-3</v>
      </c>
      <c r="H170" s="538"/>
      <c r="J170" s="13"/>
      <c r="K170" s="528"/>
    </row>
    <row r="171" spans="1:11" x14ac:dyDescent="0.25">
      <c r="A171" s="73"/>
      <c r="B171" s="106"/>
      <c r="C171" s="186" t="s">
        <v>12</v>
      </c>
      <c r="D171" s="73"/>
      <c r="E171" s="73"/>
      <c r="F171" s="74" t="s">
        <v>3</v>
      </c>
      <c r="G171" s="153">
        <f>0.3*G170</f>
        <v>5.2470000000000001E-4</v>
      </c>
      <c r="H171" s="538"/>
      <c r="J171" s="13"/>
      <c r="K171" s="121"/>
    </row>
    <row r="172" spans="1:11" x14ac:dyDescent="0.25">
      <c r="A172" s="73"/>
      <c r="B172" s="106"/>
      <c r="C172" s="73"/>
      <c r="D172" s="75" t="s">
        <v>5043</v>
      </c>
      <c r="E172" s="73"/>
      <c r="F172" s="74"/>
      <c r="G172" s="153"/>
      <c r="H172" s="538"/>
      <c r="J172" s="13"/>
      <c r="K172" s="121"/>
    </row>
    <row r="173" spans="1:11" x14ac:dyDescent="0.25">
      <c r="A173" s="73"/>
      <c r="B173" s="106"/>
      <c r="C173" s="73"/>
      <c r="D173" s="73" t="s">
        <v>5044</v>
      </c>
      <c r="E173" s="73"/>
      <c r="F173" s="74" t="s">
        <v>3</v>
      </c>
      <c r="G173" s="153">
        <f>0.469*0.1*1</f>
        <v>4.6899999999999997E-2</v>
      </c>
      <c r="H173" s="538"/>
      <c r="I173" t="s">
        <v>5045</v>
      </c>
      <c r="J173" s="13"/>
      <c r="K173" s="121"/>
    </row>
    <row r="174" spans="1:11" x14ac:dyDescent="0.25">
      <c r="A174" s="73"/>
      <c r="B174" s="106"/>
      <c r="C174" s="73"/>
      <c r="D174" s="73"/>
      <c r="E174" s="73"/>
      <c r="F174" s="74"/>
      <c r="G174" s="153"/>
      <c r="H174" s="538"/>
      <c r="J174" s="13"/>
      <c r="K174" s="121"/>
    </row>
    <row r="175" spans="1:11" x14ac:dyDescent="0.25">
      <c r="A175" s="73"/>
      <c r="B175" s="106"/>
      <c r="C175" s="75" t="s">
        <v>5047</v>
      </c>
      <c r="D175" s="73"/>
      <c r="E175" s="73"/>
      <c r="F175" s="74"/>
      <c r="G175" s="153"/>
      <c r="H175" s="538"/>
      <c r="J175" s="13"/>
      <c r="K175" s="121"/>
    </row>
    <row r="176" spans="1:11" x14ac:dyDescent="0.25">
      <c r="A176" s="73"/>
      <c r="B176" s="106"/>
      <c r="C176" s="100" t="s">
        <v>140</v>
      </c>
      <c r="D176" s="73"/>
      <c r="E176" s="73"/>
      <c r="F176" s="74" t="s">
        <v>3</v>
      </c>
      <c r="G176" s="153">
        <f>0.016*3.14*0.08*1.2</f>
        <v>4.8230399999999998E-3</v>
      </c>
      <c r="H176" s="538"/>
      <c r="J176" s="13"/>
      <c r="K176" s="121"/>
    </row>
    <row r="177" spans="1:11" ht="17.25" x14ac:dyDescent="0.25">
      <c r="A177" s="73"/>
      <c r="B177" s="106"/>
      <c r="C177" s="100" t="s">
        <v>23</v>
      </c>
      <c r="D177" s="73"/>
      <c r="E177" s="73"/>
      <c r="F177" s="74" t="s">
        <v>596</v>
      </c>
      <c r="G177" s="153">
        <f>G176*2</f>
        <v>9.6460799999999996E-3</v>
      </c>
      <c r="H177" s="538"/>
      <c r="J177" s="13"/>
      <c r="K177" s="121"/>
    </row>
    <row r="178" spans="1:11" x14ac:dyDescent="0.25">
      <c r="A178" s="73"/>
      <c r="B178" s="106"/>
      <c r="C178" s="100" t="s">
        <v>142</v>
      </c>
      <c r="D178" s="73"/>
      <c r="E178" s="73"/>
      <c r="F178" s="74" t="s">
        <v>3</v>
      </c>
      <c r="G178" s="153">
        <f>G176/4</f>
        <v>1.2057599999999999E-3</v>
      </c>
      <c r="H178" s="538"/>
      <c r="J178" s="13"/>
      <c r="K178" s="121"/>
    </row>
    <row r="179" spans="1:11" x14ac:dyDescent="0.25">
      <c r="A179" s="73"/>
      <c r="B179" s="106"/>
      <c r="C179" s="186" t="s">
        <v>143</v>
      </c>
      <c r="D179" s="73"/>
      <c r="E179" s="73"/>
      <c r="F179" s="74" t="s">
        <v>3</v>
      </c>
      <c r="G179" s="153">
        <f>0.1*0.011*2*1.25</f>
        <v>2.7500000000000003E-3</v>
      </c>
      <c r="H179" s="538"/>
      <c r="J179" s="13"/>
      <c r="K179" s="121"/>
    </row>
    <row r="180" spans="1:11" x14ac:dyDescent="0.25">
      <c r="A180" s="73"/>
      <c r="B180" s="106"/>
      <c r="C180" s="186" t="s">
        <v>12</v>
      </c>
      <c r="D180" s="73"/>
      <c r="E180" s="73"/>
      <c r="F180" s="74" t="s">
        <v>3</v>
      </c>
      <c r="G180" s="153">
        <f>0.3*G179</f>
        <v>8.250000000000001E-4</v>
      </c>
      <c r="H180" s="538"/>
      <c r="J180" s="13"/>
      <c r="K180" s="121"/>
    </row>
    <row r="181" spans="1:11" x14ac:dyDescent="0.25">
      <c r="A181" s="73"/>
      <c r="B181" s="106"/>
      <c r="C181" s="186" t="s">
        <v>325</v>
      </c>
      <c r="D181" s="73"/>
      <c r="E181" s="73"/>
      <c r="F181" s="74" t="s">
        <v>3</v>
      </c>
      <c r="G181" s="153">
        <f>0.065*0.011*2.5</f>
        <v>1.7875E-3</v>
      </c>
      <c r="H181" s="538"/>
      <c r="J181" s="13"/>
      <c r="K181" s="528"/>
    </row>
    <row r="182" spans="1:11" x14ac:dyDescent="0.25">
      <c r="A182" s="73"/>
      <c r="B182" s="106"/>
      <c r="C182" s="186" t="s">
        <v>12</v>
      </c>
      <c r="D182" s="73"/>
      <c r="E182" s="73"/>
      <c r="F182" s="74" t="s">
        <v>3</v>
      </c>
      <c r="G182" s="153">
        <f>0.3*G181</f>
        <v>5.3624999999999994E-4</v>
      </c>
      <c r="H182" s="538"/>
      <c r="J182" s="13"/>
      <c r="K182" s="121"/>
    </row>
    <row r="183" spans="1:11" x14ac:dyDescent="0.25">
      <c r="A183" s="73"/>
      <c r="B183" s="106"/>
      <c r="C183" s="73"/>
      <c r="D183" s="75" t="s">
        <v>5046</v>
      </c>
      <c r="E183" s="73"/>
      <c r="F183" s="74"/>
      <c r="G183" s="153"/>
      <c r="H183" s="538"/>
      <c r="J183" s="13"/>
      <c r="K183" s="121"/>
    </row>
    <row r="184" spans="1:11" x14ac:dyDescent="0.25">
      <c r="A184" s="73"/>
      <c r="B184" s="106"/>
      <c r="C184" s="73"/>
      <c r="D184" s="73" t="s">
        <v>5048</v>
      </c>
      <c r="E184" s="73"/>
      <c r="F184" s="74" t="s">
        <v>3</v>
      </c>
      <c r="G184" s="153">
        <f>0.37*0.065</f>
        <v>2.4050000000000002E-2</v>
      </c>
      <c r="H184" s="538"/>
      <c r="I184" t="s">
        <v>5049</v>
      </c>
      <c r="J184" s="13"/>
      <c r="K184" s="121"/>
    </row>
    <row r="185" spans="1:11" x14ac:dyDescent="0.25">
      <c r="A185" s="73"/>
      <c r="B185" s="106"/>
      <c r="C185" s="73"/>
      <c r="D185" s="73"/>
      <c r="E185" s="73"/>
      <c r="F185" s="74"/>
      <c r="G185" s="153"/>
      <c r="H185" s="538"/>
      <c r="J185" s="13"/>
      <c r="K185" s="121"/>
    </row>
    <row r="186" spans="1:11" x14ac:dyDescent="0.25">
      <c r="A186" s="73"/>
      <c r="B186" s="106"/>
      <c r="C186" s="75" t="s">
        <v>5050</v>
      </c>
      <c r="D186" s="73"/>
      <c r="E186" s="73"/>
      <c r="F186" s="74"/>
      <c r="G186" s="153"/>
      <c r="H186" s="538"/>
      <c r="J186" s="13"/>
      <c r="K186" s="121"/>
    </row>
    <row r="187" spans="1:11" x14ac:dyDescent="0.25">
      <c r="A187" s="73"/>
      <c r="B187" s="106"/>
      <c r="C187" s="73" t="s">
        <v>4815</v>
      </c>
      <c r="D187" s="73"/>
      <c r="E187" s="73"/>
      <c r="F187" s="74" t="s">
        <v>3</v>
      </c>
      <c r="G187" s="153">
        <v>5.0000000000000001E-3</v>
      </c>
      <c r="H187" s="538"/>
      <c r="J187" s="13"/>
      <c r="K187" s="121"/>
    </row>
    <row r="188" spans="1:11" x14ac:dyDescent="0.25">
      <c r="A188" s="73"/>
      <c r="B188" s="106"/>
      <c r="C188" s="73"/>
      <c r="D188" s="75" t="s">
        <v>5051</v>
      </c>
      <c r="E188" s="73"/>
      <c r="F188" s="74"/>
      <c r="G188" s="153"/>
      <c r="H188" s="538"/>
      <c r="J188" s="13"/>
      <c r="K188" s="121"/>
    </row>
    <row r="189" spans="1:11" x14ac:dyDescent="0.25">
      <c r="A189" s="73"/>
      <c r="B189" s="106"/>
      <c r="C189" s="73"/>
      <c r="D189" s="77" t="s">
        <v>39</v>
      </c>
      <c r="E189" s="73"/>
      <c r="F189" s="74" t="s">
        <v>3</v>
      </c>
      <c r="G189" s="427">
        <f>(0.032*3.14*2)*0.08*1.2</f>
        <v>1.9292159999999999E-2</v>
      </c>
      <c r="H189" s="538"/>
      <c r="J189" s="13"/>
      <c r="K189" s="121"/>
    </row>
    <row r="190" spans="1:11" ht="17.25" x14ac:dyDescent="0.25">
      <c r="A190" s="73"/>
      <c r="B190" s="106"/>
      <c r="C190" s="73"/>
      <c r="D190" s="77" t="s">
        <v>1055</v>
      </c>
      <c r="E190" s="73"/>
      <c r="F190" s="74" t="s">
        <v>596</v>
      </c>
      <c r="G190" s="153">
        <f>1.5*G189</f>
        <v>2.8938239999999997E-2</v>
      </c>
      <c r="H190" s="538"/>
      <c r="J190" s="13"/>
      <c r="K190" s="121"/>
    </row>
    <row r="191" spans="1:11" x14ac:dyDescent="0.25">
      <c r="A191" s="73"/>
      <c r="B191" s="106"/>
      <c r="C191" s="73"/>
      <c r="D191" s="186" t="s">
        <v>143</v>
      </c>
      <c r="E191" s="73"/>
      <c r="F191" s="74" t="s">
        <v>3</v>
      </c>
      <c r="G191" s="153">
        <f>0.13*0.02*2*1.25</f>
        <v>6.5000000000000006E-3</v>
      </c>
      <c r="H191" s="538"/>
      <c r="J191" s="13"/>
      <c r="K191" s="528"/>
    </row>
    <row r="192" spans="1:11" x14ac:dyDescent="0.25">
      <c r="A192" s="73"/>
      <c r="B192" s="106"/>
      <c r="C192" s="73"/>
      <c r="D192" s="186" t="s">
        <v>12</v>
      </c>
      <c r="E192" s="73"/>
      <c r="F192" s="74" t="s">
        <v>3</v>
      </c>
      <c r="G192" s="153">
        <f>0.3*G191</f>
        <v>1.9500000000000001E-3</v>
      </c>
      <c r="H192" s="538"/>
      <c r="J192" s="13"/>
      <c r="K192" s="528"/>
    </row>
    <row r="193" spans="1:11" x14ac:dyDescent="0.25">
      <c r="A193" s="73"/>
      <c r="B193" s="106"/>
      <c r="C193" s="73"/>
      <c r="D193" s="73"/>
      <c r="E193" s="75" t="s">
        <v>5054</v>
      </c>
      <c r="F193" s="74"/>
      <c r="G193" s="153"/>
      <c r="H193" s="538"/>
      <c r="J193" s="13"/>
      <c r="K193" s="121"/>
    </row>
    <row r="194" spans="1:11" x14ac:dyDescent="0.25">
      <c r="A194" s="73"/>
      <c r="B194" s="106"/>
      <c r="C194" s="73"/>
      <c r="D194" s="73"/>
      <c r="E194" s="73" t="s">
        <v>5037</v>
      </c>
      <c r="F194" s="74" t="s">
        <v>3</v>
      </c>
      <c r="G194" s="153">
        <f>0.1*0.1*5*8</f>
        <v>0.40000000000000008</v>
      </c>
      <c r="H194" s="538"/>
      <c r="J194" s="13"/>
      <c r="K194" s="121"/>
    </row>
    <row r="195" spans="1:11" x14ac:dyDescent="0.25">
      <c r="A195" s="73"/>
      <c r="B195" s="106"/>
      <c r="C195" s="73"/>
      <c r="D195" s="73"/>
      <c r="E195" s="75" t="s">
        <v>5055</v>
      </c>
      <c r="F195" s="74"/>
      <c r="G195" s="153"/>
      <c r="H195" s="538"/>
      <c r="J195" s="13"/>
      <c r="K195" s="121"/>
    </row>
    <row r="196" spans="1:11" x14ac:dyDescent="0.25">
      <c r="A196" s="73"/>
      <c r="B196" s="106"/>
      <c r="C196" s="73"/>
      <c r="D196" s="73"/>
      <c r="E196" s="73" t="s">
        <v>5056</v>
      </c>
      <c r="F196" s="74" t="s">
        <v>3</v>
      </c>
      <c r="G196" s="153">
        <f>1.76*0.122</f>
        <v>0.21471999999999999</v>
      </c>
      <c r="H196" s="538"/>
      <c r="I196" t="s">
        <v>5057</v>
      </c>
      <c r="J196" s="13"/>
      <c r="K196" s="121"/>
    </row>
    <row r="197" spans="1:11" x14ac:dyDescent="0.25">
      <c r="A197" s="73"/>
      <c r="B197" s="106"/>
      <c r="C197" s="73"/>
      <c r="D197" s="75" t="s">
        <v>5052</v>
      </c>
      <c r="E197" s="73"/>
      <c r="F197" s="74"/>
      <c r="G197" s="153"/>
      <c r="H197" s="538"/>
      <c r="J197" s="13"/>
      <c r="K197" s="121"/>
    </row>
    <row r="198" spans="1:11" x14ac:dyDescent="0.25">
      <c r="A198" s="73"/>
      <c r="B198" s="106"/>
      <c r="C198" s="73"/>
      <c r="D198" s="77" t="s">
        <v>39</v>
      </c>
      <c r="E198" s="73"/>
      <c r="F198" s="74" t="s">
        <v>3</v>
      </c>
      <c r="G198" s="427">
        <f>(0.032*3.14*2)*0.08*1.22</f>
        <v>1.9613695999999996E-2</v>
      </c>
      <c r="H198" s="538"/>
      <c r="J198" s="13"/>
      <c r="K198" s="121"/>
    </row>
    <row r="199" spans="1:11" ht="17.25" x14ac:dyDescent="0.25">
      <c r="A199" s="73"/>
      <c r="B199" s="106"/>
      <c r="C199" s="73"/>
      <c r="D199" s="77" t="s">
        <v>1055</v>
      </c>
      <c r="E199" s="73"/>
      <c r="F199" s="74" t="s">
        <v>596</v>
      </c>
      <c r="G199" s="153">
        <f>1.5*G198</f>
        <v>2.9420543999999993E-2</v>
      </c>
      <c r="H199" s="538"/>
      <c r="J199" s="13"/>
      <c r="K199" s="528"/>
    </row>
    <row r="200" spans="1:11" x14ac:dyDescent="0.25">
      <c r="A200" s="73"/>
      <c r="B200" s="106"/>
      <c r="C200" s="73"/>
      <c r="D200" s="186" t="s">
        <v>143</v>
      </c>
      <c r="E200" s="73"/>
      <c r="F200" s="74" t="s">
        <v>3</v>
      </c>
      <c r="G200" s="153">
        <f>0.13*0.02*2*1.25</f>
        <v>6.5000000000000006E-3</v>
      </c>
      <c r="H200" s="538"/>
      <c r="J200" s="13"/>
      <c r="K200" s="528"/>
    </row>
    <row r="201" spans="1:11" x14ac:dyDescent="0.25">
      <c r="A201" s="73"/>
      <c r="B201" s="106"/>
      <c r="C201" s="73"/>
      <c r="D201" s="186" t="s">
        <v>12</v>
      </c>
      <c r="E201" s="73"/>
      <c r="F201" s="74" t="s">
        <v>3</v>
      </c>
      <c r="G201" s="153">
        <f>0.3*G200</f>
        <v>1.9500000000000001E-3</v>
      </c>
      <c r="H201" s="538"/>
      <c r="J201" s="13"/>
      <c r="K201" s="121"/>
    </row>
    <row r="202" spans="1:11" x14ac:dyDescent="0.25">
      <c r="A202" s="73"/>
      <c r="B202" s="106"/>
      <c r="C202" s="73"/>
      <c r="D202" s="186"/>
      <c r="E202" s="75" t="s">
        <v>5058</v>
      </c>
      <c r="F202" s="74"/>
      <c r="G202" s="153"/>
      <c r="H202" s="538"/>
      <c r="J202" s="13"/>
      <c r="K202" s="528"/>
    </row>
    <row r="203" spans="1:11" x14ac:dyDescent="0.25">
      <c r="A203" s="73"/>
      <c r="B203" s="106"/>
      <c r="C203" s="73"/>
      <c r="D203" s="186"/>
      <c r="E203" s="73" t="s">
        <v>5056</v>
      </c>
      <c r="F203" s="74" t="s">
        <v>3</v>
      </c>
      <c r="G203" s="153">
        <f>1.76*0.171</f>
        <v>0.30096000000000001</v>
      </c>
      <c r="H203" s="538"/>
      <c r="I203" t="s">
        <v>5059</v>
      </c>
      <c r="J203" s="13"/>
      <c r="K203" s="528"/>
    </row>
    <row r="204" spans="1:11" x14ac:dyDescent="0.25">
      <c r="A204" s="73"/>
      <c r="B204" s="106"/>
      <c r="C204" s="73"/>
      <c r="D204" s="75" t="s">
        <v>5053</v>
      </c>
      <c r="E204" s="73"/>
      <c r="F204" s="74"/>
      <c r="G204" s="153"/>
      <c r="H204" s="538"/>
      <c r="J204" s="13"/>
      <c r="K204" s="121"/>
    </row>
    <row r="205" spans="1:11" x14ac:dyDescent="0.25">
      <c r="A205" s="73"/>
      <c r="B205" s="106"/>
      <c r="C205" s="73"/>
      <c r="D205" s="73" t="s">
        <v>4981</v>
      </c>
      <c r="E205" s="73"/>
      <c r="F205" s="74" t="s">
        <v>195</v>
      </c>
      <c r="G205" s="153">
        <v>0.66</v>
      </c>
      <c r="H205" s="538"/>
      <c r="I205" t="s">
        <v>2422</v>
      </c>
      <c r="J205" s="13"/>
      <c r="K205" s="121"/>
    </row>
    <row r="206" spans="1:11" x14ac:dyDescent="0.25">
      <c r="A206" s="73"/>
      <c r="B206" s="106"/>
      <c r="C206" s="73"/>
      <c r="D206" s="73"/>
      <c r="E206" s="73"/>
      <c r="F206" s="74"/>
      <c r="G206" s="153"/>
      <c r="H206" s="538"/>
      <c r="J206" s="13"/>
      <c r="K206" s="121"/>
    </row>
    <row r="207" spans="1:11" x14ac:dyDescent="0.25">
      <c r="A207" s="73"/>
      <c r="B207" s="106"/>
      <c r="C207" s="75" t="s">
        <v>5060</v>
      </c>
      <c r="D207" s="73"/>
      <c r="E207" s="73"/>
      <c r="F207" s="74"/>
      <c r="G207" s="153"/>
      <c r="H207" s="538"/>
      <c r="J207" s="13"/>
      <c r="K207" s="121"/>
    </row>
    <row r="208" spans="1:11" x14ac:dyDescent="0.25">
      <c r="A208" s="73"/>
      <c r="B208" s="106"/>
      <c r="C208" s="73" t="s">
        <v>4815</v>
      </c>
      <c r="D208" s="73"/>
      <c r="E208" s="73"/>
      <c r="F208" s="74" t="s">
        <v>3</v>
      </c>
      <c r="G208" s="153">
        <v>5.0000000000000001E-3</v>
      </c>
      <c r="H208" s="538"/>
      <c r="J208" s="13"/>
      <c r="K208" s="121"/>
    </row>
    <row r="209" spans="1:11" x14ac:dyDescent="0.25">
      <c r="A209" s="73"/>
      <c r="B209" s="106"/>
      <c r="C209" s="73"/>
      <c r="D209" s="75" t="s">
        <v>5062</v>
      </c>
      <c r="E209" s="73"/>
      <c r="F209" s="74"/>
      <c r="G209" s="153"/>
      <c r="H209" s="538"/>
      <c r="J209" s="13"/>
      <c r="K209" s="121"/>
    </row>
    <row r="210" spans="1:11" x14ac:dyDescent="0.25">
      <c r="A210" s="73"/>
      <c r="B210" s="106"/>
      <c r="C210" s="73"/>
      <c r="D210" s="77" t="s">
        <v>39</v>
      </c>
      <c r="E210" s="73"/>
      <c r="F210" s="74" t="s">
        <v>3</v>
      </c>
      <c r="G210" s="427">
        <f>(0.032*3.14*2)*0.08*1.22</f>
        <v>1.9613695999999996E-2</v>
      </c>
      <c r="H210" s="538"/>
      <c r="J210" s="13"/>
      <c r="K210" s="121"/>
    </row>
    <row r="211" spans="1:11" ht="17.25" x14ac:dyDescent="0.25">
      <c r="A211" s="73"/>
      <c r="B211" s="106"/>
      <c r="C211" s="73"/>
      <c r="D211" s="77" t="s">
        <v>1055</v>
      </c>
      <c r="E211" s="73"/>
      <c r="F211" s="74" t="s">
        <v>596</v>
      </c>
      <c r="G211" s="153">
        <f>1.5*G210</f>
        <v>2.9420543999999993E-2</v>
      </c>
      <c r="H211" s="538"/>
      <c r="J211" s="13"/>
      <c r="K211" s="121"/>
    </row>
    <row r="212" spans="1:11" x14ac:dyDescent="0.25">
      <c r="A212" s="73"/>
      <c r="B212" s="106"/>
      <c r="C212" s="73"/>
      <c r="D212" s="186" t="s">
        <v>143</v>
      </c>
      <c r="E212" s="73"/>
      <c r="F212" s="74" t="s">
        <v>3</v>
      </c>
      <c r="G212" s="153">
        <f>0.13*0.02*2*1.25</f>
        <v>6.5000000000000006E-3</v>
      </c>
      <c r="H212" s="538"/>
      <c r="J212" s="13"/>
      <c r="K212" s="121"/>
    </row>
    <row r="213" spans="1:11" x14ac:dyDescent="0.25">
      <c r="A213" s="73"/>
      <c r="B213" s="106"/>
      <c r="C213" s="73"/>
      <c r="D213" s="186" t="s">
        <v>12</v>
      </c>
      <c r="E213" s="73"/>
      <c r="F213" s="74" t="s">
        <v>3</v>
      </c>
      <c r="G213" s="153">
        <f>0.3*G212</f>
        <v>1.9500000000000001E-3</v>
      </c>
      <c r="H213" s="538"/>
      <c r="J213" s="13"/>
      <c r="K213" s="121"/>
    </row>
    <row r="214" spans="1:11" x14ac:dyDescent="0.25">
      <c r="A214" s="73"/>
      <c r="B214" s="106"/>
      <c r="C214" s="73"/>
      <c r="D214" s="75"/>
      <c r="E214" s="75" t="s">
        <v>5064</v>
      </c>
      <c r="F214" s="74"/>
      <c r="G214" s="153"/>
      <c r="H214" s="538"/>
      <c r="J214" s="13"/>
      <c r="K214" s="121"/>
    </row>
    <row r="215" spans="1:11" x14ac:dyDescent="0.25">
      <c r="A215" s="73"/>
      <c r="B215" s="106"/>
      <c r="C215" s="73"/>
      <c r="D215" s="73"/>
      <c r="E215" s="73" t="s">
        <v>5056</v>
      </c>
      <c r="F215" s="74" t="s">
        <v>3</v>
      </c>
      <c r="G215" s="153">
        <f>1.76*0.2045</f>
        <v>0.35991999999999996</v>
      </c>
      <c r="H215" s="538"/>
      <c r="I215" t="s">
        <v>5065</v>
      </c>
      <c r="J215" s="13"/>
      <c r="K215" s="121"/>
    </row>
    <row r="216" spans="1:11" x14ac:dyDescent="0.25">
      <c r="A216" s="73"/>
      <c r="B216" s="106"/>
      <c r="C216" s="73"/>
      <c r="D216" s="75" t="s">
        <v>5063</v>
      </c>
      <c r="E216" s="73"/>
      <c r="F216" s="74"/>
      <c r="G216" s="153"/>
      <c r="H216" s="538"/>
      <c r="J216" s="13"/>
      <c r="K216" s="121"/>
    </row>
    <row r="217" spans="1:11" x14ac:dyDescent="0.25">
      <c r="A217" s="73"/>
      <c r="B217" s="106"/>
      <c r="C217" s="73"/>
      <c r="D217" s="100" t="s">
        <v>140</v>
      </c>
      <c r="E217" s="73"/>
      <c r="F217" s="74" t="s">
        <v>3</v>
      </c>
      <c r="G217" s="153">
        <f>0.025*3.14*2*0.08*1.2</f>
        <v>1.5072000000000002E-2</v>
      </c>
      <c r="H217" s="538"/>
      <c r="J217" s="13"/>
      <c r="K217" s="121"/>
    </row>
    <row r="218" spans="1:11" ht="17.25" x14ac:dyDescent="0.25">
      <c r="A218" s="73"/>
      <c r="B218" s="106"/>
      <c r="C218" s="73"/>
      <c r="D218" s="100" t="s">
        <v>23</v>
      </c>
      <c r="E218" s="73"/>
      <c r="F218" s="74" t="s">
        <v>596</v>
      </c>
      <c r="G218" s="153">
        <f>G217*2</f>
        <v>3.0144000000000004E-2</v>
      </c>
      <c r="H218" s="538"/>
      <c r="J218" s="13"/>
      <c r="K218" s="121"/>
    </row>
    <row r="219" spans="1:11" x14ac:dyDescent="0.25">
      <c r="A219" s="73"/>
      <c r="B219" s="106"/>
      <c r="C219" s="73"/>
      <c r="D219" s="100" t="s">
        <v>142</v>
      </c>
      <c r="E219" s="73"/>
      <c r="F219" s="74" t="s">
        <v>3</v>
      </c>
      <c r="G219" s="153">
        <f>G217/4</f>
        <v>3.7680000000000005E-3</v>
      </c>
      <c r="H219" s="538"/>
      <c r="J219" s="13"/>
      <c r="K219" s="121"/>
    </row>
    <row r="220" spans="1:11" x14ac:dyDescent="0.25">
      <c r="A220" s="73"/>
      <c r="B220" s="106"/>
      <c r="C220" s="73"/>
      <c r="D220" s="186" t="s">
        <v>143</v>
      </c>
      <c r="E220" s="73"/>
      <c r="F220" s="74" t="s">
        <v>3</v>
      </c>
      <c r="G220" s="153">
        <f>0.28*0.02*1.35</f>
        <v>7.5600000000000016E-3</v>
      </c>
      <c r="H220" s="538"/>
      <c r="J220" s="13"/>
      <c r="K220" s="121"/>
    </row>
    <row r="221" spans="1:11" x14ac:dyDescent="0.25">
      <c r="A221" s="73"/>
      <c r="B221" s="106"/>
      <c r="C221" s="73"/>
      <c r="D221" s="186" t="s">
        <v>12</v>
      </c>
      <c r="E221" s="73"/>
      <c r="F221" s="74" t="s">
        <v>3</v>
      </c>
      <c r="G221" s="153">
        <f>0.3*G220</f>
        <v>2.2680000000000005E-3</v>
      </c>
      <c r="H221" s="538"/>
      <c r="J221" s="13"/>
      <c r="K221" s="121"/>
    </row>
    <row r="222" spans="1:11" x14ac:dyDescent="0.25">
      <c r="A222" s="73"/>
      <c r="B222" s="106"/>
      <c r="C222" s="73"/>
      <c r="D222" s="73"/>
      <c r="E222" s="75" t="s">
        <v>5066</v>
      </c>
      <c r="F222" s="74"/>
      <c r="G222" s="153"/>
      <c r="H222" s="538"/>
      <c r="J222" s="13"/>
      <c r="K222" s="121"/>
    </row>
    <row r="223" spans="1:11" x14ac:dyDescent="0.25">
      <c r="A223" s="73"/>
      <c r="B223" s="106"/>
      <c r="C223" s="73"/>
      <c r="D223" s="73"/>
      <c r="E223" s="100" t="s">
        <v>5067</v>
      </c>
      <c r="F223" s="74" t="s">
        <v>3</v>
      </c>
      <c r="G223" s="153">
        <f>0.592*0.254</f>
        <v>0.150368</v>
      </c>
      <c r="H223" s="538"/>
      <c r="I223" t="s">
        <v>5068</v>
      </c>
      <c r="J223" s="13"/>
      <c r="K223" s="528"/>
    </row>
    <row r="224" spans="1:11" x14ac:dyDescent="0.25">
      <c r="A224" s="73"/>
      <c r="B224" s="106"/>
      <c r="C224" s="73"/>
      <c r="D224" s="75" t="s">
        <v>5061</v>
      </c>
      <c r="E224" s="73"/>
      <c r="F224" s="74"/>
      <c r="G224" s="153"/>
      <c r="H224" s="538"/>
      <c r="J224" s="13"/>
      <c r="K224" s="121"/>
    </row>
    <row r="225" spans="1:11" x14ac:dyDescent="0.25">
      <c r="A225" s="73"/>
      <c r="B225" s="106"/>
      <c r="C225" s="73"/>
      <c r="D225" s="73" t="s">
        <v>4981</v>
      </c>
      <c r="E225" s="73"/>
      <c r="F225" s="74" t="s">
        <v>195</v>
      </c>
      <c r="G225" s="153">
        <v>0.6</v>
      </c>
      <c r="H225" s="538"/>
      <c r="I225" t="s">
        <v>1296</v>
      </c>
      <c r="J225" s="13"/>
      <c r="K225" s="121"/>
    </row>
    <row r="226" spans="1:11" x14ac:dyDescent="0.25">
      <c r="A226" s="73"/>
      <c r="B226" s="106"/>
      <c r="C226" s="73"/>
      <c r="D226" s="73"/>
      <c r="E226" s="73"/>
      <c r="F226" s="74"/>
      <c r="G226" s="153"/>
      <c r="H226" s="538"/>
      <c r="J226" s="13"/>
      <c r="K226" s="121"/>
    </row>
    <row r="227" spans="1:11" x14ac:dyDescent="0.25">
      <c r="A227" s="73"/>
      <c r="B227" s="106"/>
      <c r="C227" s="75" t="s">
        <v>5069</v>
      </c>
      <c r="D227" s="73"/>
      <c r="E227" s="73"/>
      <c r="F227" s="74"/>
      <c r="G227" s="153"/>
      <c r="H227" s="538"/>
      <c r="J227" s="13"/>
      <c r="K227" s="121"/>
    </row>
    <row r="228" spans="1:11" x14ac:dyDescent="0.25">
      <c r="A228" s="73"/>
      <c r="B228" s="106"/>
      <c r="C228" s="100" t="s">
        <v>140</v>
      </c>
      <c r="D228" s="73"/>
      <c r="E228" s="73"/>
      <c r="F228" s="74" t="s">
        <v>3</v>
      </c>
      <c r="G228" s="153">
        <f>0.016*3.14*0.08*1.2</f>
        <v>4.8230399999999998E-3</v>
      </c>
      <c r="H228" s="538"/>
      <c r="J228" s="13"/>
      <c r="K228" s="121"/>
    </row>
    <row r="229" spans="1:11" ht="17.25" x14ac:dyDescent="0.25">
      <c r="A229" s="73"/>
      <c r="B229" s="106"/>
      <c r="C229" s="100" t="s">
        <v>23</v>
      </c>
      <c r="D229" s="73"/>
      <c r="E229" s="73"/>
      <c r="F229" s="74" t="s">
        <v>596</v>
      </c>
      <c r="G229" s="153">
        <f>G228*2</f>
        <v>9.6460799999999996E-3</v>
      </c>
      <c r="H229" s="538"/>
      <c r="J229" s="13"/>
      <c r="K229" s="121"/>
    </row>
    <row r="230" spans="1:11" x14ac:dyDescent="0.25">
      <c r="A230" s="73"/>
      <c r="B230" s="106"/>
      <c r="C230" s="100" t="s">
        <v>142</v>
      </c>
      <c r="D230" s="73"/>
      <c r="E230" s="73"/>
      <c r="F230" s="74" t="s">
        <v>3</v>
      </c>
      <c r="G230" s="153">
        <f>G228/4</f>
        <v>1.2057599999999999E-3</v>
      </c>
      <c r="H230" s="538"/>
      <c r="J230" s="13"/>
      <c r="K230" s="121"/>
    </row>
    <row r="231" spans="1:11" x14ac:dyDescent="0.25">
      <c r="A231" s="73"/>
      <c r="B231" s="106"/>
      <c r="C231" s="186" t="s">
        <v>143</v>
      </c>
      <c r="D231" s="73"/>
      <c r="E231" s="73"/>
      <c r="F231" s="74" t="s">
        <v>3</v>
      </c>
      <c r="G231" s="153">
        <f>0.25*0.015*2*1.25</f>
        <v>9.3749999999999997E-3</v>
      </c>
      <c r="H231" s="538"/>
      <c r="J231" s="13"/>
      <c r="K231" s="121"/>
    </row>
    <row r="232" spans="1:11" x14ac:dyDescent="0.25">
      <c r="A232" s="73"/>
      <c r="B232" s="106"/>
      <c r="C232" s="186" t="s">
        <v>12</v>
      </c>
      <c r="D232" s="73"/>
      <c r="E232" s="73"/>
      <c r="F232" s="74" t="s">
        <v>3</v>
      </c>
      <c r="G232" s="153">
        <f>0.3*G231</f>
        <v>2.8124999999999999E-3</v>
      </c>
      <c r="H232" s="538"/>
      <c r="J232" s="13"/>
      <c r="K232" s="121"/>
    </row>
    <row r="233" spans="1:11" x14ac:dyDescent="0.25">
      <c r="A233" s="73"/>
      <c r="B233" s="106"/>
      <c r="C233" s="186" t="s">
        <v>325</v>
      </c>
      <c r="D233" s="73"/>
      <c r="E233" s="73"/>
      <c r="F233" s="74" t="s">
        <v>3</v>
      </c>
      <c r="G233" s="153">
        <f>0.3*0.011*2.5</f>
        <v>8.2499999999999987E-3</v>
      </c>
      <c r="H233" s="538"/>
      <c r="J233" s="13"/>
      <c r="K233" s="528"/>
    </row>
    <row r="234" spans="1:11" x14ac:dyDescent="0.25">
      <c r="A234" s="73"/>
      <c r="B234" s="106"/>
      <c r="C234" s="186" t="s">
        <v>12</v>
      </c>
      <c r="D234" s="73"/>
      <c r="E234" s="73"/>
      <c r="F234" s="74" t="s">
        <v>3</v>
      </c>
      <c r="G234" s="153">
        <f>0.3*G233</f>
        <v>2.4749999999999993E-3</v>
      </c>
      <c r="H234" s="538"/>
      <c r="J234" s="13"/>
      <c r="K234" s="121"/>
    </row>
    <row r="235" spans="1:11" x14ac:dyDescent="0.25">
      <c r="A235" s="73"/>
      <c r="B235" s="106"/>
      <c r="C235" s="73"/>
      <c r="D235" s="75" t="s">
        <v>5070</v>
      </c>
      <c r="E235" s="73"/>
      <c r="F235" s="74"/>
      <c r="G235" s="153"/>
      <c r="H235" s="538"/>
      <c r="J235" s="13"/>
      <c r="K235" s="121"/>
    </row>
    <row r="236" spans="1:11" x14ac:dyDescent="0.25">
      <c r="A236" s="73"/>
      <c r="B236" s="106"/>
      <c r="C236" s="73"/>
      <c r="D236" s="73" t="s">
        <v>5071</v>
      </c>
      <c r="E236" s="73"/>
      <c r="F236" s="74" t="s">
        <v>3</v>
      </c>
      <c r="G236" s="153">
        <f>0.37*0.3</f>
        <v>0.111</v>
      </c>
      <c r="H236" s="538"/>
      <c r="I236" t="s">
        <v>5072</v>
      </c>
      <c r="J236" s="13"/>
      <c r="K236" s="121"/>
    </row>
    <row r="237" spans="1:11" x14ac:dyDescent="0.25">
      <c r="A237" s="73"/>
      <c r="B237" s="106"/>
      <c r="C237" s="73"/>
      <c r="D237" s="73"/>
      <c r="E237" s="73"/>
      <c r="F237" s="74"/>
      <c r="G237" s="153"/>
      <c r="H237" s="538"/>
      <c r="J237" s="13"/>
      <c r="K237" s="121"/>
    </row>
    <row r="238" spans="1:11" x14ac:dyDescent="0.25">
      <c r="A238" s="73"/>
      <c r="B238" s="106"/>
      <c r="C238" s="75" t="s">
        <v>5073</v>
      </c>
      <c r="D238" s="73"/>
      <c r="E238" s="73"/>
      <c r="F238" s="74"/>
      <c r="G238" s="153"/>
      <c r="H238" s="538"/>
      <c r="J238" s="13"/>
      <c r="K238" s="121"/>
    </row>
    <row r="239" spans="1:11" x14ac:dyDescent="0.25">
      <c r="A239" s="73"/>
      <c r="B239" s="106"/>
      <c r="C239" s="73" t="s">
        <v>5076</v>
      </c>
      <c r="D239" s="73"/>
      <c r="E239" s="73"/>
      <c r="F239" s="74" t="s">
        <v>3</v>
      </c>
      <c r="G239" s="153">
        <v>3.7999999999999999E-2</v>
      </c>
      <c r="H239" s="538"/>
      <c r="I239" t="s">
        <v>5074</v>
      </c>
      <c r="J239" s="13"/>
      <c r="K239" s="121"/>
    </row>
    <row r="240" spans="1:11" x14ac:dyDescent="0.25">
      <c r="A240" s="73"/>
      <c r="B240" s="106"/>
      <c r="C240" s="73"/>
      <c r="D240" s="73"/>
      <c r="E240" s="73"/>
      <c r="F240" s="74"/>
      <c r="G240" s="153"/>
      <c r="H240" s="538"/>
      <c r="J240" s="13"/>
      <c r="K240" s="121"/>
    </row>
    <row r="241" spans="1:11" x14ac:dyDescent="0.25">
      <c r="A241" s="73"/>
      <c r="B241" s="106"/>
      <c r="C241" s="75" t="s">
        <v>5075</v>
      </c>
      <c r="D241" s="73"/>
      <c r="E241" s="73"/>
      <c r="F241" s="74"/>
      <c r="G241" s="153"/>
      <c r="H241" s="538"/>
      <c r="J241" s="13"/>
      <c r="K241" s="121"/>
    </row>
    <row r="242" spans="1:11" x14ac:dyDescent="0.25">
      <c r="A242" s="73"/>
      <c r="B242" s="106"/>
      <c r="C242" s="73" t="s">
        <v>5076</v>
      </c>
      <c r="D242" s="73"/>
      <c r="E242" s="73"/>
      <c r="F242" s="74" t="s">
        <v>3</v>
      </c>
      <c r="G242" s="153">
        <v>0.19</v>
      </c>
      <c r="H242" s="538"/>
      <c r="I242" t="s">
        <v>5077</v>
      </c>
      <c r="J242" s="13"/>
      <c r="K242" s="121"/>
    </row>
    <row r="243" spans="1:11" x14ac:dyDescent="0.25">
      <c r="A243" s="73"/>
      <c r="B243" s="106"/>
      <c r="C243" s="73"/>
      <c r="D243" s="73"/>
      <c r="E243" s="73"/>
      <c r="F243" s="74"/>
      <c r="G243" s="153"/>
      <c r="H243" s="538"/>
      <c r="J243" s="13"/>
      <c r="K243" s="121"/>
    </row>
    <row r="244" spans="1:11" x14ac:dyDescent="0.25">
      <c r="A244" s="73"/>
      <c r="B244" s="106"/>
      <c r="C244" s="75" t="s">
        <v>5078</v>
      </c>
      <c r="D244" s="73"/>
      <c r="E244" s="73"/>
      <c r="F244" s="74"/>
      <c r="G244" s="153"/>
      <c r="H244" s="538"/>
      <c r="J244" s="13"/>
      <c r="K244" s="121"/>
    </row>
    <row r="245" spans="1:11" x14ac:dyDescent="0.25">
      <c r="A245" s="73"/>
      <c r="B245" s="106"/>
      <c r="C245" s="73" t="s">
        <v>5079</v>
      </c>
      <c r="D245" s="73"/>
      <c r="E245" s="73"/>
      <c r="F245" s="74" t="s">
        <v>3</v>
      </c>
      <c r="G245" s="153">
        <v>2.5000000000000001E-2</v>
      </c>
      <c r="H245" s="538"/>
      <c r="I245" t="s">
        <v>5080</v>
      </c>
      <c r="J245" s="13"/>
      <c r="K245" s="121"/>
    </row>
    <row r="246" spans="1:11" x14ac:dyDescent="0.25">
      <c r="A246" s="73"/>
      <c r="B246" s="106"/>
      <c r="C246" s="73"/>
      <c r="D246" s="73"/>
      <c r="E246" s="73"/>
      <c r="F246" s="74"/>
      <c r="G246" s="153"/>
      <c r="H246" s="538"/>
      <c r="J246" s="13"/>
      <c r="K246" s="121"/>
    </row>
    <row r="247" spans="1:11" x14ac:dyDescent="0.25">
      <c r="A247" s="73"/>
      <c r="B247" s="106"/>
      <c r="C247" s="75" t="s">
        <v>5081</v>
      </c>
      <c r="D247" s="73"/>
      <c r="E247" s="73"/>
      <c r="F247" s="74"/>
      <c r="G247" s="153"/>
      <c r="H247" s="538"/>
      <c r="J247" s="13"/>
      <c r="K247" s="121"/>
    </row>
    <row r="248" spans="1:11" x14ac:dyDescent="0.25">
      <c r="A248" s="73"/>
      <c r="B248" s="106"/>
      <c r="C248" s="77" t="s">
        <v>39</v>
      </c>
      <c r="D248" s="73"/>
      <c r="E248" s="73"/>
      <c r="F248" s="74" t="s">
        <v>3</v>
      </c>
      <c r="G248" s="427">
        <f>0.02*3.14*2*0.08*1.22</f>
        <v>1.2258560000000002E-2</v>
      </c>
      <c r="H248" s="538"/>
      <c r="J248" s="13"/>
      <c r="K248" s="121"/>
    </row>
    <row r="249" spans="1:11" ht="17.25" x14ac:dyDescent="0.25">
      <c r="A249" s="73"/>
      <c r="B249" s="106"/>
      <c r="C249" s="77" t="s">
        <v>1055</v>
      </c>
      <c r="D249" s="73"/>
      <c r="E249" s="73"/>
      <c r="F249" s="74" t="s">
        <v>596</v>
      </c>
      <c r="G249" s="153">
        <f>1.5*G248</f>
        <v>1.8387840000000003E-2</v>
      </c>
      <c r="H249" s="538"/>
      <c r="J249" s="13"/>
      <c r="K249" s="121"/>
    </row>
    <row r="250" spans="1:11" x14ac:dyDescent="0.25">
      <c r="A250" s="73"/>
      <c r="B250" s="106"/>
      <c r="C250" s="186" t="s">
        <v>325</v>
      </c>
      <c r="D250" s="73"/>
      <c r="E250" s="73"/>
      <c r="F250" s="74" t="s">
        <v>3</v>
      </c>
      <c r="G250" s="153">
        <f>1*0.011*2.5</f>
        <v>2.7499999999999997E-2</v>
      </c>
      <c r="H250" s="538"/>
      <c r="J250" s="13"/>
      <c r="K250" s="528"/>
    </row>
    <row r="251" spans="1:11" x14ac:dyDescent="0.25">
      <c r="A251" s="73"/>
      <c r="B251" s="106"/>
      <c r="C251" s="186" t="s">
        <v>12</v>
      </c>
      <c r="D251" s="73"/>
      <c r="E251" s="73"/>
      <c r="F251" s="74" t="s">
        <v>3</v>
      </c>
      <c r="G251" s="153">
        <f>0.3*G250</f>
        <v>8.2499999999999987E-3</v>
      </c>
      <c r="H251" s="538"/>
      <c r="J251" s="13"/>
      <c r="K251" s="121"/>
    </row>
    <row r="252" spans="1:11" x14ac:dyDescent="0.25">
      <c r="A252" s="73"/>
      <c r="B252" s="106"/>
      <c r="C252" s="73"/>
      <c r="D252" s="75" t="s">
        <v>5082</v>
      </c>
      <c r="E252" s="73"/>
      <c r="F252" s="74"/>
      <c r="G252" s="153"/>
      <c r="H252" s="538"/>
      <c r="J252" s="13"/>
      <c r="K252" s="121"/>
    </row>
    <row r="253" spans="1:11" x14ac:dyDescent="0.25">
      <c r="A253" s="73"/>
      <c r="B253" s="106"/>
      <c r="C253" s="73"/>
      <c r="D253" s="73" t="s">
        <v>5044</v>
      </c>
      <c r="E253" s="73"/>
      <c r="F253" s="74" t="s">
        <v>3</v>
      </c>
      <c r="G253" s="153">
        <f>0.469*1.024</f>
        <v>0.48025599999999996</v>
      </c>
      <c r="H253" s="538"/>
      <c r="I253" t="s">
        <v>5083</v>
      </c>
      <c r="J253" s="13"/>
      <c r="K253" s="121"/>
    </row>
    <row r="254" spans="1:11" x14ac:dyDescent="0.25">
      <c r="A254" s="73"/>
      <c r="B254" s="106"/>
      <c r="C254" s="73"/>
      <c r="D254" s="73"/>
      <c r="E254" s="73"/>
      <c r="F254" s="74"/>
      <c r="G254" s="153"/>
      <c r="H254" s="538"/>
      <c r="J254" s="13"/>
      <c r="K254" s="121"/>
    </row>
    <row r="255" spans="1:11" x14ac:dyDescent="0.25">
      <c r="A255" s="73"/>
      <c r="B255" s="106"/>
      <c r="C255" s="75" t="s">
        <v>5084</v>
      </c>
      <c r="D255" s="73"/>
      <c r="E255" s="73"/>
      <c r="F255" s="74"/>
      <c r="G255" s="153"/>
      <c r="H255" s="538"/>
      <c r="J255" s="13"/>
      <c r="K255" s="121"/>
    </row>
    <row r="256" spans="1:11" x14ac:dyDescent="0.25">
      <c r="A256" s="73"/>
      <c r="B256" s="106"/>
      <c r="C256" s="100" t="s">
        <v>140</v>
      </c>
      <c r="D256" s="73"/>
      <c r="E256" s="73"/>
      <c r="F256" s="74" t="s">
        <v>3</v>
      </c>
      <c r="G256" s="153">
        <f>0.02*3.14*2*0.08*1.2</f>
        <v>1.2057600000000002E-2</v>
      </c>
      <c r="H256" s="538"/>
      <c r="J256" s="13"/>
      <c r="K256" s="121"/>
    </row>
    <row r="257" spans="1:11" ht="17.25" x14ac:dyDescent="0.25">
      <c r="A257" s="73"/>
      <c r="B257" s="106"/>
      <c r="C257" s="100" t="s">
        <v>23</v>
      </c>
      <c r="D257" s="73"/>
      <c r="E257" s="73"/>
      <c r="F257" s="74" t="s">
        <v>596</v>
      </c>
      <c r="G257" s="153">
        <f>G256*2</f>
        <v>2.4115200000000003E-2</v>
      </c>
      <c r="H257" s="538"/>
      <c r="J257" s="13"/>
      <c r="K257" s="121"/>
    </row>
    <row r="258" spans="1:11" x14ac:dyDescent="0.25">
      <c r="A258" s="73"/>
      <c r="B258" s="106"/>
      <c r="C258" s="100" t="s">
        <v>142</v>
      </c>
      <c r="D258" s="73"/>
      <c r="E258" s="73"/>
      <c r="F258" s="74" t="s">
        <v>3</v>
      </c>
      <c r="G258" s="153">
        <f>G256/4</f>
        <v>3.0144000000000004E-3</v>
      </c>
      <c r="H258" s="538"/>
      <c r="J258" s="13"/>
      <c r="K258" s="121"/>
    </row>
    <row r="259" spans="1:11" x14ac:dyDescent="0.25">
      <c r="A259" s="73"/>
      <c r="B259" s="106"/>
      <c r="C259" s="186" t="s">
        <v>325</v>
      </c>
      <c r="D259" s="73"/>
      <c r="E259" s="73"/>
      <c r="F259" s="74" t="s">
        <v>3</v>
      </c>
      <c r="G259" s="153">
        <f>0.15*0.011*2.5</f>
        <v>4.1249999999999993E-3</v>
      </c>
      <c r="H259" s="538"/>
      <c r="J259" s="13"/>
      <c r="K259" s="528"/>
    </row>
    <row r="260" spans="1:11" x14ac:dyDescent="0.25">
      <c r="A260" s="73"/>
      <c r="B260" s="106"/>
      <c r="C260" s="186" t="s">
        <v>12</v>
      </c>
      <c r="D260" s="73"/>
      <c r="E260" s="73"/>
      <c r="F260" s="74" t="s">
        <v>3</v>
      </c>
      <c r="G260" s="153">
        <f>0.3*G259</f>
        <v>1.2374999999999997E-3</v>
      </c>
      <c r="H260" s="538"/>
      <c r="J260" s="13"/>
      <c r="K260" s="121"/>
    </row>
    <row r="261" spans="1:11" x14ac:dyDescent="0.25">
      <c r="A261" s="73"/>
      <c r="B261" s="106"/>
      <c r="C261" s="73"/>
      <c r="D261" s="75" t="s">
        <v>5085</v>
      </c>
      <c r="E261" s="73"/>
      <c r="F261" s="74"/>
      <c r="G261" s="153"/>
      <c r="H261" s="538"/>
      <c r="J261" s="13"/>
      <c r="K261" s="121"/>
    </row>
    <row r="262" spans="1:11" x14ac:dyDescent="0.25">
      <c r="A262" s="73"/>
      <c r="B262" s="106"/>
      <c r="C262" s="73"/>
      <c r="D262" s="73" t="s">
        <v>5044</v>
      </c>
      <c r="E262" s="73"/>
      <c r="F262" s="74" t="s">
        <v>3</v>
      </c>
      <c r="G262" s="153">
        <f>0.469*0.203</f>
        <v>9.5207E-2</v>
      </c>
      <c r="H262" s="538"/>
      <c r="I262" t="s">
        <v>5086</v>
      </c>
      <c r="J262" s="13"/>
      <c r="K262" s="121"/>
    </row>
    <row r="263" spans="1:11" x14ac:dyDescent="0.25">
      <c r="A263" s="73"/>
      <c r="B263" s="106"/>
      <c r="C263" s="73"/>
      <c r="D263" s="73"/>
      <c r="E263" s="73"/>
      <c r="F263" s="74"/>
      <c r="G263" s="153"/>
      <c r="H263" s="538"/>
      <c r="J263" s="13"/>
      <c r="K263" s="121"/>
    </row>
    <row r="264" spans="1:11" x14ac:dyDescent="0.25">
      <c r="A264" s="73"/>
      <c r="B264" s="106"/>
      <c r="C264" s="75" t="s">
        <v>5087</v>
      </c>
      <c r="D264" s="73"/>
      <c r="E264" s="73"/>
      <c r="F264" s="74"/>
      <c r="G264" s="153"/>
      <c r="H264" s="538"/>
      <c r="J264" s="13"/>
      <c r="K264" s="121"/>
    </row>
    <row r="265" spans="1:11" x14ac:dyDescent="0.25">
      <c r="A265" s="73"/>
      <c r="B265" s="106"/>
      <c r="C265" s="73" t="s">
        <v>4815</v>
      </c>
      <c r="D265" s="73"/>
      <c r="E265" s="73"/>
      <c r="F265" s="74" t="s">
        <v>3</v>
      </c>
      <c r="G265" s="153">
        <v>3.0000000000000001E-3</v>
      </c>
      <c r="H265" s="538"/>
      <c r="J265" s="13"/>
      <c r="K265" s="528"/>
    </row>
    <row r="266" spans="1:11" x14ac:dyDescent="0.25">
      <c r="A266" s="73"/>
      <c r="B266" s="106"/>
      <c r="C266" s="100" t="s">
        <v>140</v>
      </c>
      <c r="D266" s="73"/>
      <c r="E266" s="73"/>
      <c r="F266" s="74" t="s">
        <v>3</v>
      </c>
      <c r="G266" s="153">
        <f>0.025*3.14*0.08*1.2</f>
        <v>7.536000000000001E-3</v>
      </c>
      <c r="H266" s="538"/>
      <c r="J266" s="13"/>
      <c r="K266" s="121"/>
    </row>
    <row r="267" spans="1:11" ht="17.25" x14ac:dyDescent="0.25">
      <c r="A267" s="73"/>
      <c r="B267" s="106"/>
      <c r="C267" s="100" t="s">
        <v>23</v>
      </c>
      <c r="D267" s="73"/>
      <c r="E267" s="73"/>
      <c r="F267" s="74" t="s">
        <v>596</v>
      </c>
      <c r="G267" s="153">
        <f>G266*2</f>
        <v>1.5072000000000002E-2</v>
      </c>
      <c r="H267" s="538"/>
      <c r="J267" s="13"/>
      <c r="K267" s="121"/>
    </row>
    <row r="268" spans="1:11" x14ac:dyDescent="0.25">
      <c r="A268" s="73"/>
      <c r="B268" s="106"/>
      <c r="C268" s="100" t="s">
        <v>142</v>
      </c>
      <c r="D268" s="73"/>
      <c r="E268" s="73"/>
      <c r="F268" s="74" t="s">
        <v>3</v>
      </c>
      <c r="G268" s="153">
        <f>G266/4</f>
        <v>1.8840000000000003E-3</v>
      </c>
      <c r="H268" s="538"/>
      <c r="J268" s="13"/>
      <c r="K268" s="121"/>
    </row>
    <row r="269" spans="1:11" x14ac:dyDescent="0.25">
      <c r="A269" s="73"/>
      <c r="B269" s="106"/>
      <c r="C269" s="186" t="s">
        <v>325</v>
      </c>
      <c r="D269" s="73"/>
      <c r="E269" s="73"/>
      <c r="F269" s="74" t="s">
        <v>3</v>
      </c>
      <c r="G269" s="153">
        <f>1.4*0.011*1.5</f>
        <v>2.3099999999999999E-2</v>
      </c>
      <c r="H269" s="538"/>
      <c r="J269" s="13"/>
      <c r="K269" s="528"/>
    </row>
    <row r="270" spans="1:11" x14ac:dyDescent="0.25">
      <c r="A270" s="73"/>
      <c r="B270" s="106"/>
      <c r="C270" s="186" t="s">
        <v>12</v>
      </c>
      <c r="D270" s="73"/>
      <c r="E270" s="73"/>
      <c r="F270" s="74" t="s">
        <v>3</v>
      </c>
      <c r="G270" s="153">
        <f>0.3*G269</f>
        <v>6.9299999999999995E-3</v>
      </c>
      <c r="H270" s="538"/>
      <c r="J270" s="13"/>
      <c r="K270" s="121"/>
    </row>
    <row r="271" spans="1:11" x14ac:dyDescent="0.25">
      <c r="A271" s="73"/>
      <c r="B271" s="106"/>
      <c r="C271" s="73"/>
      <c r="D271" s="75" t="s">
        <v>5088</v>
      </c>
      <c r="E271" s="73"/>
      <c r="F271" s="74"/>
      <c r="G271" s="153"/>
      <c r="H271" s="538"/>
      <c r="J271" s="13"/>
      <c r="K271" s="121"/>
    </row>
    <row r="272" spans="1:11" x14ac:dyDescent="0.25">
      <c r="A272" s="73"/>
      <c r="B272" s="106"/>
      <c r="C272" s="73"/>
      <c r="D272" s="73" t="s">
        <v>5067</v>
      </c>
      <c r="E272" s="73"/>
      <c r="F272" s="74" t="s">
        <v>3</v>
      </c>
      <c r="G272" s="153">
        <f>0.592*1.5</f>
        <v>0.8879999999999999</v>
      </c>
      <c r="H272" s="538"/>
      <c r="I272" t="s">
        <v>5089</v>
      </c>
      <c r="J272" s="13"/>
      <c r="K272" s="121"/>
    </row>
    <row r="273" spans="1:11" x14ac:dyDescent="0.25">
      <c r="A273" s="73"/>
      <c r="B273" s="106"/>
      <c r="C273" s="73"/>
      <c r="D273" s="73"/>
      <c r="E273" s="73"/>
      <c r="F273" s="74"/>
      <c r="G273" s="153"/>
      <c r="H273" s="538"/>
      <c r="J273" s="13"/>
      <c r="K273" s="121"/>
    </row>
    <row r="274" spans="1:11" x14ac:dyDescent="0.25">
      <c r="A274" s="73"/>
      <c r="B274" s="106"/>
      <c r="C274" s="75" t="s">
        <v>5090</v>
      </c>
      <c r="D274" s="73"/>
      <c r="E274" s="73"/>
      <c r="F274" s="74"/>
      <c r="G274" s="153"/>
      <c r="H274" s="538"/>
      <c r="J274" s="13"/>
      <c r="K274" s="121"/>
    </row>
    <row r="275" spans="1:11" x14ac:dyDescent="0.25">
      <c r="A275" s="73"/>
      <c r="B275" s="106"/>
      <c r="C275" s="73" t="s">
        <v>4815</v>
      </c>
      <c r="D275" s="73"/>
      <c r="E275" s="73"/>
      <c r="F275" s="74" t="s">
        <v>3</v>
      </c>
      <c r="G275" s="153">
        <v>3.0000000000000001E-3</v>
      </c>
      <c r="H275" s="538"/>
      <c r="J275" s="13"/>
      <c r="K275" s="528"/>
    </row>
    <row r="276" spans="1:11" x14ac:dyDescent="0.25">
      <c r="A276" s="73"/>
      <c r="B276" s="106"/>
      <c r="C276" s="100" t="s">
        <v>140</v>
      </c>
      <c r="D276" s="73"/>
      <c r="E276" s="73"/>
      <c r="F276" s="74" t="s">
        <v>3</v>
      </c>
      <c r="G276" s="153">
        <f>0.025*3.14*2*0.08*1.2</f>
        <v>1.5072000000000002E-2</v>
      </c>
      <c r="H276" s="538"/>
      <c r="J276" s="13"/>
      <c r="K276" s="121"/>
    </row>
    <row r="277" spans="1:11" ht="17.25" x14ac:dyDescent="0.25">
      <c r="A277" s="73"/>
      <c r="B277" s="106"/>
      <c r="C277" s="100" t="s">
        <v>23</v>
      </c>
      <c r="D277" s="73"/>
      <c r="E277" s="73"/>
      <c r="F277" s="74" t="s">
        <v>596</v>
      </c>
      <c r="G277" s="153">
        <f>G276*2</f>
        <v>3.0144000000000004E-2</v>
      </c>
      <c r="H277" s="538"/>
      <c r="J277" s="13"/>
      <c r="K277" s="121"/>
    </row>
    <row r="278" spans="1:11" x14ac:dyDescent="0.25">
      <c r="A278" s="73"/>
      <c r="B278" s="106"/>
      <c r="C278" s="100" t="s">
        <v>142</v>
      </c>
      <c r="D278" s="73"/>
      <c r="E278" s="73"/>
      <c r="F278" s="74" t="s">
        <v>3</v>
      </c>
      <c r="G278" s="153">
        <f>G276/4</f>
        <v>3.7680000000000005E-3</v>
      </c>
      <c r="H278" s="538"/>
      <c r="J278" s="13"/>
      <c r="K278" s="121"/>
    </row>
    <row r="279" spans="1:11" x14ac:dyDescent="0.25">
      <c r="A279" s="73"/>
      <c r="B279" s="106"/>
      <c r="C279" s="186" t="s">
        <v>143</v>
      </c>
      <c r="D279" s="73"/>
      <c r="E279" s="73"/>
      <c r="F279" s="74" t="s">
        <v>3</v>
      </c>
      <c r="G279" s="153">
        <f>0.18*0.02*2*1.25</f>
        <v>8.9999999999999993E-3</v>
      </c>
      <c r="H279" s="538"/>
      <c r="J279" s="13"/>
      <c r="K279" s="121"/>
    </row>
    <row r="280" spans="1:11" x14ac:dyDescent="0.25">
      <c r="A280" s="73"/>
      <c r="B280" s="106"/>
      <c r="C280" s="186" t="s">
        <v>12</v>
      </c>
      <c r="D280" s="73"/>
      <c r="E280" s="73"/>
      <c r="F280" s="74" t="s">
        <v>3</v>
      </c>
      <c r="G280" s="153">
        <f>0.3*G279</f>
        <v>2.6999999999999997E-3</v>
      </c>
      <c r="H280" s="538"/>
      <c r="J280" s="13"/>
      <c r="K280" s="121"/>
    </row>
    <row r="281" spans="1:11" x14ac:dyDescent="0.25">
      <c r="A281" s="73"/>
      <c r="B281" s="106"/>
      <c r="C281" s="186" t="s">
        <v>325</v>
      </c>
      <c r="D281" s="73"/>
      <c r="E281" s="73"/>
      <c r="F281" s="74" t="s">
        <v>3</v>
      </c>
      <c r="G281" s="153">
        <f>0.18*0.011*2.5</f>
        <v>4.9499999999999995E-3</v>
      </c>
      <c r="H281" s="538"/>
      <c r="J281" s="13"/>
      <c r="K281" s="528"/>
    </row>
    <row r="282" spans="1:11" x14ac:dyDescent="0.25">
      <c r="A282" s="73"/>
      <c r="B282" s="106"/>
      <c r="C282" s="186" t="s">
        <v>12</v>
      </c>
      <c r="D282" s="73"/>
      <c r="E282" s="73"/>
      <c r="F282" s="74" t="s">
        <v>3</v>
      </c>
      <c r="G282" s="153">
        <f>0.3*G281</f>
        <v>1.4849999999999998E-3</v>
      </c>
      <c r="H282" s="538"/>
      <c r="J282" s="13"/>
      <c r="K282" s="528"/>
    </row>
    <row r="283" spans="1:11" x14ac:dyDescent="0.25">
      <c r="A283" s="73"/>
      <c r="B283" s="106"/>
      <c r="C283" s="73"/>
      <c r="D283" s="75" t="s">
        <v>5091</v>
      </c>
      <c r="E283" s="73"/>
      <c r="F283" s="74"/>
      <c r="G283" s="153"/>
      <c r="H283" s="538"/>
      <c r="J283" s="13"/>
      <c r="K283" s="121"/>
    </row>
    <row r="284" spans="1:11" x14ac:dyDescent="0.25">
      <c r="A284" s="73"/>
      <c r="B284" s="106"/>
      <c r="C284" s="73"/>
      <c r="D284" s="73" t="s">
        <v>5067</v>
      </c>
      <c r="E284" s="73"/>
      <c r="F284" s="74" t="s">
        <v>3</v>
      </c>
      <c r="G284" s="153">
        <f>0.15</f>
        <v>0.15</v>
      </c>
      <c r="H284" s="538"/>
      <c r="I284" t="s">
        <v>5092</v>
      </c>
      <c r="J284" s="13"/>
      <c r="K284" s="121"/>
    </row>
    <row r="285" spans="1:11" x14ac:dyDescent="0.25">
      <c r="A285" s="73"/>
      <c r="B285" s="106"/>
      <c r="C285" s="73"/>
      <c r="D285" s="73"/>
      <c r="E285" s="73"/>
      <c r="F285" s="74"/>
      <c r="G285" s="153"/>
      <c r="H285" s="538"/>
      <c r="J285" s="13"/>
      <c r="K285" s="121"/>
    </row>
    <row r="286" spans="1:11" x14ac:dyDescent="0.25">
      <c r="A286" s="73"/>
      <c r="B286" s="106"/>
      <c r="C286" s="75" t="s">
        <v>5093</v>
      </c>
      <c r="D286" s="73"/>
      <c r="E286" s="73"/>
      <c r="F286" s="74"/>
      <c r="G286" s="153"/>
      <c r="H286" s="538"/>
      <c r="J286" s="13"/>
      <c r="K286" s="121"/>
    </row>
    <row r="287" spans="1:11" x14ac:dyDescent="0.25">
      <c r="A287" s="73"/>
      <c r="B287" s="106"/>
      <c r="C287" s="73" t="s">
        <v>4815</v>
      </c>
      <c r="D287" s="73"/>
      <c r="E287" s="73"/>
      <c r="F287" s="74" t="s">
        <v>3</v>
      </c>
      <c r="G287" s="153">
        <v>3.0000000000000001E-3</v>
      </c>
      <c r="H287" s="538"/>
      <c r="J287" s="13"/>
      <c r="K287" s="528"/>
    </row>
    <row r="288" spans="1:11" x14ac:dyDescent="0.25">
      <c r="A288" s="73"/>
      <c r="B288" s="106"/>
      <c r="C288" s="100" t="s">
        <v>140</v>
      </c>
      <c r="D288" s="73"/>
      <c r="E288" s="73"/>
      <c r="F288" s="74" t="s">
        <v>3</v>
      </c>
      <c r="G288" s="153">
        <f>0.025*3.14*0.08*1.2</f>
        <v>7.536000000000001E-3</v>
      </c>
      <c r="H288" s="538"/>
      <c r="J288" s="13"/>
      <c r="K288" s="121"/>
    </row>
    <row r="289" spans="1:11" ht="17.25" x14ac:dyDescent="0.25">
      <c r="A289" s="73"/>
      <c r="B289" s="106"/>
      <c r="C289" s="100" t="s">
        <v>23</v>
      </c>
      <c r="D289" s="73"/>
      <c r="E289" s="73"/>
      <c r="F289" s="74" t="s">
        <v>596</v>
      </c>
      <c r="G289" s="153">
        <f>G288*2</f>
        <v>1.5072000000000002E-2</v>
      </c>
      <c r="H289" s="538"/>
      <c r="J289" s="13"/>
      <c r="K289" s="121"/>
    </row>
    <row r="290" spans="1:11" x14ac:dyDescent="0.25">
      <c r="A290" s="73"/>
      <c r="B290" s="106"/>
      <c r="C290" s="100" t="s">
        <v>142</v>
      </c>
      <c r="D290" s="73"/>
      <c r="E290" s="73"/>
      <c r="F290" s="74" t="s">
        <v>3</v>
      </c>
      <c r="G290" s="153">
        <f>G288/4</f>
        <v>1.8840000000000003E-3</v>
      </c>
      <c r="H290" s="538"/>
      <c r="J290" s="13"/>
      <c r="K290" s="121"/>
    </row>
    <row r="291" spans="1:11" x14ac:dyDescent="0.25">
      <c r="A291" s="73"/>
      <c r="B291" s="106"/>
      <c r="C291" s="186" t="s">
        <v>143</v>
      </c>
      <c r="D291" s="73"/>
      <c r="E291" s="73"/>
      <c r="F291" s="74" t="s">
        <v>3</v>
      </c>
      <c r="G291" s="153">
        <f>1.2*0.02*2*1.25</f>
        <v>0.06</v>
      </c>
      <c r="H291" s="538"/>
      <c r="J291" s="13"/>
      <c r="K291" s="121"/>
    </row>
    <row r="292" spans="1:11" x14ac:dyDescent="0.25">
      <c r="A292" s="73"/>
      <c r="B292" s="106"/>
      <c r="C292" s="186" t="s">
        <v>12</v>
      </c>
      <c r="D292" s="73"/>
      <c r="E292" s="73"/>
      <c r="F292" s="74" t="s">
        <v>3</v>
      </c>
      <c r="G292" s="153">
        <f>0.3*G291</f>
        <v>1.7999999999999999E-2</v>
      </c>
      <c r="H292" s="538"/>
      <c r="J292" s="13"/>
      <c r="K292" s="121"/>
    </row>
    <row r="293" spans="1:11" x14ac:dyDescent="0.25">
      <c r="A293" s="73"/>
      <c r="B293" s="106"/>
      <c r="C293" s="186" t="s">
        <v>325</v>
      </c>
      <c r="D293" s="73"/>
      <c r="E293" s="73"/>
      <c r="F293" s="74" t="s">
        <v>3</v>
      </c>
      <c r="G293" s="153">
        <f>1.2*0.011*1.5</f>
        <v>1.9799999999999998E-2</v>
      </c>
      <c r="H293" s="538"/>
      <c r="J293" s="13"/>
      <c r="K293" s="528"/>
    </row>
    <row r="294" spans="1:11" x14ac:dyDescent="0.25">
      <c r="A294" s="73"/>
      <c r="B294" s="106"/>
      <c r="C294" s="186" t="s">
        <v>12</v>
      </c>
      <c r="D294" s="73"/>
      <c r="E294" s="73"/>
      <c r="F294" s="74" t="s">
        <v>3</v>
      </c>
      <c r="G294" s="153">
        <f>0.3*G293</f>
        <v>5.9399999999999991E-3</v>
      </c>
      <c r="H294" s="538"/>
      <c r="J294" s="13"/>
      <c r="K294" s="121"/>
    </row>
    <row r="295" spans="1:11" x14ac:dyDescent="0.25">
      <c r="A295" s="73"/>
      <c r="B295" s="106"/>
      <c r="C295" s="73"/>
      <c r="D295" s="75" t="s">
        <v>5094</v>
      </c>
      <c r="E295" s="73"/>
      <c r="F295" s="74"/>
      <c r="G295" s="153"/>
      <c r="H295" s="538"/>
      <c r="J295" s="13"/>
      <c r="K295" s="121"/>
    </row>
    <row r="296" spans="1:11" x14ac:dyDescent="0.25">
      <c r="A296" s="73"/>
      <c r="B296" s="106"/>
      <c r="C296" s="73"/>
      <c r="D296" s="73" t="s">
        <v>5067</v>
      </c>
      <c r="E296" s="73"/>
      <c r="F296" s="74" t="s">
        <v>3</v>
      </c>
      <c r="G296" s="153">
        <f>0.592*1.352</f>
        <v>0.80038399999999998</v>
      </c>
      <c r="H296" s="538"/>
      <c r="I296" t="s">
        <v>5095</v>
      </c>
      <c r="J296" s="13"/>
      <c r="K296" s="121"/>
    </row>
    <row r="297" spans="1:11" x14ac:dyDescent="0.25">
      <c r="A297" s="73"/>
      <c r="B297" s="106"/>
      <c r="C297" s="73"/>
      <c r="D297" s="73"/>
      <c r="E297" s="73"/>
      <c r="F297" s="74"/>
      <c r="G297" s="153"/>
      <c r="H297" s="538"/>
      <c r="J297" s="13"/>
      <c r="K297" s="121"/>
    </row>
    <row r="298" spans="1:11" x14ac:dyDescent="0.25">
      <c r="A298" s="73"/>
      <c r="B298" s="106"/>
      <c r="C298" s="75" t="s">
        <v>5096</v>
      </c>
      <c r="D298" s="73"/>
      <c r="E298" s="73"/>
      <c r="F298" s="74"/>
      <c r="G298" s="153"/>
      <c r="H298" s="538"/>
      <c r="J298" s="13"/>
      <c r="K298" s="121"/>
    </row>
    <row r="299" spans="1:11" x14ac:dyDescent="0.25">
      <c r="A299" s="73"/>
      <c r="B299" s="106"/>
      <c r="C299" s="77" t="s">
        <v>39</v>
      </c>
      <c r="D299" s="73"/>
      <c r="E299" s="73"/>
      <c r="F299" s="74" t="s">
        <v>3</v>
      </c>
      <c r="G299" s="427">
        <f>0.018*3.14*3*0.08*1.2</f>
        <v>1.6277759999999999E-2</v>
      </c>
      <c r="H299" s="538"/>
      <c r="J299" s="13"/>
      <c r="K299" s="121"/>
    </row>
    <row r="300" spans="1:11" ht="17.25" x14ac:dyDescent="0.25">
      <c r="A300" s="73"/>
      <c r="B300" s="106"/>
      <c r="C300" s="77" t="s">
        <v>1055</v>
      </c>
      <c r="D300" s="73"/>
      <c r="E300" s="73"/>
      <c r="F300" s="74" t="s">
        <v>596</v>
      </c>
      <c r="G300" s="153">
        <f>1.5*G299</f>
        <v>2.4416639999999996E-2</v>
      </c>
      <c r="H300" s="538"/>
      <c r="J300" s="13"/>
      <c r="K300" s="121"/>
    </row>
    <row r="301" spans="1:11" x14ac:dyDescent="0.25">
      <c r="A301" s="73"/>
      <c r="B301" s="106"/>
      <c r="C301" s="186" t="s">
        <v>1021</v>
      </c>
      <c r="D301" s="73"/>
      <c r="E301" s="73"/>
      <c r="F301" s="74" t="s">
        <v>3</v>
      </c>
      <c r="G301" s="153">
        <f>G304</f>
        <v>4.0159800000000009E-2</v>
      </c>
      <c r="H301" s="538"/>
      <c r="J301" s="13"/>
      <c r="K301" s="121"/>
    </row>
    <row r="302" spans="1:11" x14ac:dyDescent="0.25">
      <c r="A302" s="73"/>
      <c r="B302" s="106"/>
      <c r="C302" s="186" t="s">
        <v>661</v>
      </c>
      <c r="D302" s="73"/>
      <c r="E302" s="73"/>
      <c r="F302" s="74" t="s">
        <v>3</v>
      </c>
      <c r="G302" s="153">
        <f>0.3*G301</f>
        <v>1.2047940000000002E-2</v>
      </c>
      <c r="H302" s="538"/>
      <c r="J302" s="13"/>
      <c r="K302" s="528"/>
    </row>
    <row r="303" spans="1:11" x14ac:dyDescent="0.25">
      <c r="A303" s="73"/>
      <c r="B303" s="106"/>
      <c r="C303" s="186" t="s">
        <v>1993</v>
      </c>
      <c r="D303" s="73"/>
      <c r="E303" s="73"/>
      <c r="F303" s="74" t="s">
        <v>3</v>
      </c>
      <c r="G303" s="153">
        <f>G302*0.5</f>
        <v>6.0239700000000009E-3</v>
      </c>
      <c r="H303" s="538"/>
      <c r="J303" s="13"/>
      <c r="K303" s="528"/>
    </row>
    <row r="304" spans="1:11" x14ac:dyDescent="0.25">
      <c r="A304" s="73"/>
      <c r="B304" s="106"/>
      <c r="C304" s="73" t="s">
        <v>8</v>
      </c>
      <c r="D304" s="73"/>
      <c r="E304" s="73"/>
      <c r="F304" s="74" t="s">
        <v>3</v>
      </c>
      <c r="G304" s="153">
        <f>G305*0.67</f>
        <v>4.0159800000000009E-2</v>
      </c>
      <c r="H304" s="538"/>
      <c r="J304" s="13"/>
      <c r="K304" s="121"/>
    </row>
    <row r="305" spans="1:11" x14ac:dyDescent="0.25">
      <c r="A305" s="73"/>
      <c r="B305" s="106"/>
      <c r="C305" s="73" t="s">
        <v>5097</v>
      </c>
      <c r="D305" s="73"/>
      <c r="E305" s="73"/>
      <c r="F305" s="74" t="s">
        <v>3</v>
      </c>
      <c r="G305" s="153">
        <f>1.8*0.015*2*1.11</f>
        <v>5.9940000000000007E-2</v>
      </c>
      <c r="H305" s="538"/>
      <c r="J305" s="13"/>
      <c r="K305" s="121"/>
    </row>
    <row r="306" spans="1:11" x14ac:dyDescent="0.25">
      <c r="A306" s="73"/>
      <c r="B306" s="106"/>
      <c r="C306" s="186" t="s">
        <v>12</v>
      </c>
      <c r="D306" s="73"/>
      <c r="E306" s="73"/>
      <c r="F306" s="74" t="s">
        <v>3</v>
      </c>
      <c r="G306" s="153">
        <f>0.3*(G304+G305)</f>
        <v>3.0029940000000005E-2</v>
      </c>
      <c r="H306" s="538"/>
      <c r="J306" s="13"/>
      <c r="K306" s="121"/>
    </row>
    <row r="307" spans="1:11" x14ac:dyDescent="0.25">
      <c r="A307" s="73"/>
      <c r="B307" s="106"/>
      <c r="C307" s="73"/>
      <c r="D307" s="75" t="s">
        <v>5098</v>
      </c>
      <c r="E307" s="73"/>
      <c r="F307" s="74"/>
      <c r="G307" s="153"/>
      <c r="H307" s="538"/>
      <c r="J307" s="13"/>
      <c r="K307" s="121"/>
    </row>
    <row r="308" spans="1:11" x14ac:dyDescent="0.25">
      <c r="A308" s="73"/>
      <c r="B308" s="106"/>
      <c r="C308" s="73"/>
      <c r="D308" s="73" t="s">
        <v>5101</v>
      </c>
      <c r="E308" s="73"/>
      <c r="F308" s="74" t="s">
        <v>3</v>
      </c>
      <c r="G308" s="153">
        <f>0.592*0.152</f>
        <v>8.9983999999999995E-2</v>
      </c>
      <c r="H308" s="538"/>
      <c r="I308" t="s">
        <v>3635</v>
      </c>
      <c r="J308" s="13"/>
      <c r="K308" s="121"/>
    </row>
    <row r="309" spans="1:11" x14ac:dyDescent="0.25">
      <c r="A309" s="73"/>
      <c r="B309" s="106"/>
      <c r="C309" s="73"/>
      <c r="D309" s="75" t="s">
        <v>5099</v>
      </c>
      <c r="E309" s="73"/>
      <c r="F309" s="74"/>
      <c r="G309" s="153"/>
      <c r="H309" s="538"/>
      <c r="J309" s="13"/>
      <c r="K309" s="121"/>
    </row>
    <row r="310" spans="1:11" x14ac:dyDescent="0.25">
      <c r="A310" s="73"/>
      <c r="B310" s="106"/>
      <c r="C310" s="73"/>
      <c r="D310" s="73" t="s">
        <v>5102</v>
      </c>
      <c r="E310" s="73"/>
      <c r="F310" s="74" t="s">
        <v>3</v>
      </c>
      <c r="G310" s="153">
        <f>0.419*0.083</f>
        <v>3.4777000000000002E-2</v>
      </c>
      <c r="H310" s="538"/>
      <c r="I310" t="s">
        <v>1224</v>
      </c>
      <c r="J310" s="13"/>
      <c r="K310" s="121"/>
    </row>
    <row r="311" spans="1:11" x14ac:dyDescent="0.25">
      <c r="A311" s="73"/>
      <c r="B311" s="106"/>
      <c r="C311" s="73"/>
      <c r="D311" s="75" t="s">
        <v>5100</v>
      </c>
      <c r="E311" s="73"/>
      <c r="F311" s="74"/>
      <c r="G311" s="153"/>
      <c r="H311" s="538"/>
      <c r="J311" s="13"/>
      <c r="K311" s="121"/>
    </row>
    <row r="312" spans="1:11" x14ac:dyDescent="0.25">
      <c r="A312" s="73"/>
      <c r="B312" s="106"/>
      <c r="C312" s="73"/>
      <c r="D312" s="73" t="s">
        <v>5102</v>
      </c>
      <c r="E312" s="73"/>
      <c r="F312" s="74" t="s">
        <v>3</v>
      </c>
      <c r="G312" s="153">
        <f>0.419*1.7</f>
        <v>0.71229999999999993</v>
      </c>
      <c r="H312" s="538"/>
      <c r="I312" t="s">
        <v>5103</v>
      </c>
      <c r="J312" s="13"/>
      <c r="K312" s="121"/>
    </row>
    <row r="313" spans="1:11" x14ac:dyDescent="0.25">
      <c r="A313" s="73"/>
      <c r="B313" s="106"/>
      <c r="C313" s="73"/>
      <c r="D313" s="73"/>
      <c r="E313" s="73"/>
      <c r="F313" s="74"/>
      <c r="G313" s="153"/>
      <c r="H313" s="538"/>
      <c r="J313" s="13"/>
      <c r="K313" s="121"/>
    </row>
    <row r="314" spans="1:11" x14ac:dyDescent="0.25">
      <c r="A314" s="73"/>
      <c r="B314" s="106"/>
      <c r="C314" s="75" t="s">
        <v>5104</v>
      </c>
      <c r="D314" s="73"/>
      <c r="E314" s="73"/>
      <c r="F314" s="74"/>
      <c r="G314" s="153"/>
      <c r="H314" s="538"/>
      <c r="J314" s="13"/>
      <c r="K314" s="121"/>
    </row>
    <row r="315" spans="1:11" x14ac:dyDescent="0.25">
      <c r="A315" s="73"/>
      <c r="B315" s="106"/>
      <c r="C315" s="186" t="s">
        <v>1021</v>
      </c>
      <c r="D315" s="73"/>
      <c r="E315" s="73"/>
      <c r="F315" s="74" t="s">
        <v>3</v>
      </c>
      <c r="G315" s="153">
        <f>G318</f>
        <v>2.4542100000000004E-2</v>
      </c>
      <c r="H315" s="538"/>
      <c r="J315" s="13"/>
      <c r="K315" s="121"/>
    </row>
    <row r="316" spans="1:11" x14ac:dyDescent="0.25">
      <c r="A316" s="73"/>
      <c r="B316" s="106"/>
      <c r="C316" s="186" t="s">
        <v>661</v>
      </c>
      <c r="D316" s="73"/>
      <c r="E316" s="73"/>
      <c r="F316" s="74" t="s">
        <v>3</v>
      </c>
      <c r="G316" s="153">
        <f>0.3*G315</f>
        <v>7.3626300000000011E-3</v>
      </c>
      <c r="H316" s="538"/>
      <c r="J316" s="13"/>
      <c r="K316" s="121"/>
    </row>
    <row r="317" spans="1:11" x14ac:dyDescent="0.25">
      <c r="A317" s="73"/>
      <c r="B317" s="106"/>
      <c r="C317" s="186" t="s">
        <v>1993</v>
      </c>
      <c r="D317" s="73"/>
      <c r="E317" s="73"/>
      <c r="F317" s="74" t="s">
        <v>3</v>
      </c>
      <c r="G317" s="153">
        <f>G316*0.5</f>
        <v>3.6813150000000005E-3</v>
      </c>
      <c r="H317" s="538"/>
      <c r="J317" s="13"/>
      <c r="K317" s="121"/>
    </row>
    <row r="318" spans="1:11" x14ac:dyDescent="0.25">
      <c r="A318" s="73"/>
      <c r="B318" s="106"/>
      <c r="C318" s="73" t="s">
        <v>8</v>
      </c>
      <c r="D318" s="73"/>
      <c r="E318" s="73"/>
      <c r="F318" s="74" t="s">
        <v>3</v>
      </c>
      <c r="G318" s="153">
        <f>G319*0.67</f>
        <v>2.4542100000000004E-2</v>
      </c>
      <c r="H318" s="538"/>
      <c r="J318" s="13"/>
      <c r="K318" s="121"/>
    </row>
    <row r="319" spans="1:11" x14ac:dyDescent="0.25">
      <c r="A319" s="73"/>
      <c r="B319" s="106"/>
      <c r="C319" s="73" t="s">
        <v>5097</v>
      </c>
      <c r="D319" s="73"/>
      <c r="E319" s="73"/>
      <c r="F319" s="74" t="s">
        <v>3</v>
      </c>
      <c r="G319" s="153">
        <f>1.1*0.015*2*1.11</f>
        <v>3.6630000000000003E-2</v>
      </c>
      <c r="H319" s="538"/>
      <c r="J319" s="13"/>
      <c r="K319" s="121"/>
    </row>
    <row r="320" spans="1:11" x14ac:dyDescent="0.25">
      <c r="A320" s="73"/>
      <c r="B320" s="106"/>
      <c r="C320" s="186" t="s">
        <v>12</v>
      </c>
      <c r="D320" s="73"/>
      <c r="E320" s="73"/>
      <c r="F320" s="74" t="s">
        <v>3</v>
      </c>
      <c r="G320" s="153">
        <f>0.3*(G318+G319)</f>
        <v>1.8351630000000001E-2</v>
      </c>
      <c r="H320" s="538"/>
      <c r="J320" s="13"/>
      <c r="K320" s="121"/>
    </row>
    <row r="321" spans="1:11" x14ac:dyDescent="0.25">
      <c r="A321" s="73"/>
      <c r="B321" s="106"/>
      <c r="C321" s="73"/>
      <c r="D321" s="75" t="s">
        <v>5105</v>
      </c>
      <c r="E321" s="73"/>
      <c r="F321" s="74"/>
      <c r="G321" s="153"/>
      <c r="H321" s="538"/>
      <c r="J321" s="13"/>
      <c r="K321" s="121"/>
    </row>
    <row r="322" spans="1:11" x14ac:dyDescent="0.25">
      <c r="A322" s="73"/>
      <c r="B322" s="106"/>
      <c r="C322" s="73"/>
      <c r="D322" s="73" t="s">
        <v>5102</v>
      </c>
      <c r="E322" s="73"/>
      <c r="F322" s="74" t="s">
        <v>3</v>
      </c>
      <c r="G322" s="153">
        <f>0.419*1.15</f>
        <v>0.48184999999999995</v>
      </c>
      <c r="H322" s="538"/>
      <c r="I322" t="s">
        <v>5106</v>
      </c>
      <c r="J322" s="13"/>
      <c r="K322" s="121"/>
    </row>
    <row r="323" spans="1:11" x14ac:dyDescent="0.25">
      <c r="A323" s="539"/>
      <c r="B323" s="539"/>
      <c r="C323" s="539"/>
      <c r="D323" s="539"/>
      <c r="E323" s="539"/>
      <c r="F323" s="539"/>
      <c r="G323" s="539"/>
      <c r="H323" s="540"/>
    </row>
    <row r="324" spans="1:11" x14ac:dyDescent="0.25">
      <c r="F324"/>
      <c r="G324"/>
      <c r="H324" s="631" t="s">
        <v>9601</v>
      </c>
    </row>
    <row r="325" spans="1:11" x14ac:dyDescent="0.25">
      <c r="G325" s="10"/>
      <c r="H325" s="538"/>
    </row>
    <row r="326" spans="1:11" ht="18.75" x14ac:dyDescent="0.3">
      <c r="C326" s="46" t="s">
        <v>9599</v>
      </c>
      <c r="D326" s="120"/>
      <c r="E326" s="120"/>
      <c r="G326" s="10"/>
      <c r="H326" s="538"/>
      <c r="I326" t="s">
        <v>9578</v>
      </c>
    </row>
    <row r="327" spans="1:11" ht="18.75" x14ac:dyDescent="0.3">
      <c r="C327" s="120"/>
      <c r="D327" s="120"/>
      <c r="E327" s="743" t="s">
        <v>9600</v>
      </c>
      <c r="G327" s="10"/>
      <c r="H327" s="538"/>
      <c r="I327" t="s">
        <v>9579</v>
      </c>
    </row>
    <row r="328" spans="1:11" ht="18.75" x14ac:dyDescent="0.3">
      <c r="C328" s="120"/>
      <c r="D328" s="120"/>
      <c r="E328" s="743"/>
      <c r="G328" s="10"/>
      <c r="H328" s="538"/>
    </row>
    <row r="329" spans="1:11" x14ac:dyDescent="0.25">
      <c r="G329" s="10"/>
      <c r="H329" s="538"/>
    </row>
    <row r="330" spans="1:11" x14ac:dyDescent="0.25">
      <c r="C330" s="3" t="s">
        <v>9580</v>
      </c>
      <c r="G330" s="10"/>
      <c r="H330" s="538"/>
    </row>
    <row r="331" spans="1:11" x14ac:dyDescent="0.25">
      <c r="C331" t="s">
        <v>9594</v>
      </c>
      <c r="F331" s="737" t="s">
        <v>3</v>
      </c>
      <c r="G331" s="10">
        <f>0.065*0.04*2*8*1.12</f>
        <v>4.6592000000000008E-2</v>
      </c>
      <c r="H331" s="538"/>
    </row>
    <row r="332" spans="1:11" x14ac:dyDescent="0.25">
      <c r="G332" s="10"/>
      <c r="H332" s="538"/>
    </row>
    <row r="333" spans="1:11" x14ac:dyDescent="0.25">
      <c r="C333" s="3" t="s">
        <v>9590</v>
      </c>
      <c r="G333"/>
      <c r="H333" s="538"/>
    </row>
    <row r="334" spans="1:11" x14ac:dyDescent="0.25">
      <c r="C334" s="77" t="s">
        <v>39</v>
      </c>
      <c r="D334" s="73"/>
      <c r="E334" s="73"/>
      <c r="F334" s="74" t="s">
        <v>3</v>
      </c>
      <c r="G334" s="427">
        <f>0.012*3.14*6*0.08*1.2</f>
        <v>2.1703680000000003E-2</v>
      </c>
      <c r="H334" s="538"/>
    </row>
    <row r="335" spans="1:11" ht="17.25" x14ac:dyDescent="0.25">
      <c r="C335" s="77" t="s">
        <v>1055</v>
      </c>
      <c r="D335" s="73"/>
      <c r="E335" s="73"/>
      <c r="F335" s="74" t="s">
        <v>596</v>
      </c>
      <c r="G335" s="153">
        <f>1.5*G334</f>
        <v>3.2555520000000004E-2</v>
      </c>
      <c r="H335" s="538"/>
    </row>
    <row r="336" spans="1:11" x14ac:dyDescent="0.25">
      <c r="C336" s="77" t="s">
        <v>420</v>
      </c>
      <c r="F336" s="74" t="s">
        <v>3</v>
      </c>
      <c r="G336" s="10">
        <f>0.13*0.07*2*0.15*2*1.3</f>
        <v>7.098000000000001E-3</v>
      </c>
      <c r="H336" s="538"/>
    </row>
    <row r="337" spans="3:8" x14ac:dyDescent="0.25">
      <c r="C337" s="77" t="s">
        <v>8</v>
      </c>
      <c r="F337" s="74" t="s">
        <v>3</v>
      </c>
      <c r="G337" s="10">
        <f>G336*0.75</f>
        <v>5.323500000000001E-3</v>
      </c>
      <c r="H337" s="538"/>
    </row>
    <row r="338" spans="3:8" x14ac:dyDescent="0.25">
      <c r="C338" s="77" t="s">
        <v>12</v>
      </c>
      <c r="F338" s="74" t="s">
        <v>3</v>
      </c>
      <c r="G338" s="10">
        <f>0.3*(G337+G336)</f>
        <v>3.7264500000000005E-3</v>
      </c>
      <c r="H338" s="538"/>
    </row>
    <row r="339" spans="3:8" x14ac:dyDescent="0.25">
      <c r="C339" s="77"/>
      <c r="G339" s="10"/>
      <c r="H339" s="538"/>
    </row>
    <row r="340" spans="3:8" x14ac:dyDescent="0.25">
      <c r="C340" s="3" t="s">
        <v>9581</v>
      </c>
      <c r="G340" s="10"/>
      <c r="H340" s="538"/>
    </row>
    <row r="341" spans="3:8" x14ac:dyDescent="0.25">
      <c r="C341" t="s">
        <v>9596</v>
      </c>
      <c r="F341" s="737" t="s">
        <v>3</v>
      </c>
      <c r="G341" s="10">
        <f>0.13*0.07*1.5*8*1.125</f>
        <v>0.12285</v>
      </c>
      <c r="H341" s="538"/>
    </row>
    <row r="342" spans="3:8" x14ac:dyDescent="0.25">
      <c r="G342" s="10"/>
      <c r="H342" s="538"/>
    </row>
    <row r="343" spans="3:8" x14ac:dyDescent="0.25">
      <c r="C343" s="3" t="s">
        <v>9582</v>
      </c>
      <c r="G343" s="10"/>
      <c r="H343" s="538"/>
    </row>
    <row r="344" spans="3:8" x14ac:dyDescent="0.25">
      <c r="C344" t="s">
        <v>9595</v>
      </c>
      <c r="F344" s="737" t="s">
        <v>3</v>
      </c>
      <c r="G344" s="10">
        <f>0.275*0.08*2*2.7*1.14</f>
        <v>0.135432</v>
      </c>
      <c r="H344" s="538"/>
    </row>
    <row r="345" spans="3:8" x14ac:dyDescent="0.25">
      <c r="G345" s="10"/>
      <c r="H345" s="538"/>
    </row>
    <row r="346" spans="3:8" x14ac:dyDescent="0.25">
      <c r="C346" s="3" t="s">
        <v>9583</v>
      </c>
      <c r="G346" s="10"/>
      <c r="H346" s="538"/>
    </row>
    <row r="347" spans="3:8" x14ac:dyDescent="0.25">
      <c r="C347" t="s">
        <v>9595</v>
      </c>
      <c r="F347" s="737" t="s">
        <v>3</v>
      </c>
      <c r="G347" s="10">
        <f>0.275*0.08*2*2.7*1.14</f>
        <v>0.135432</v>
      </c>
      <c r="H347" s="538"/>
    </row>
    <row r="348" spans="3:8" x14ac:dyDescent="0.25">
      <c r="G348" s="10"/>
      <c r="H348" s="538"/>
    </row>
    <row r="349" spans="3:8" x14ac:dyDescent="0.25">
      <c r="C349" s="3" t="s">
        <v>9584</v>
      </c>
      <c r="G349" s="534" t="s">
        <v>9598</v>
      </c>
      <c r="H349" s="538"/>
    </row>
    <row r="350" spans="3:8" x14ac:dyDescent="0.25">
      <c r="C350" t="s">
        <v>9597</v>
      </c>
      <c r="F350" s="737" t="s">
        <v>3</v>
      </c>
      <c r="G350" s="606">
        <f>0.11*0.45*1.5*1.5</f>
        <v>0.11137500000000002</v>
      </c>
      <c r="H350" s="538"/>
    </row>
    <row r="351" spans="3:8" x14ac:dyDescent="0.25">
      <c r="G351" s="10"/>
      <c r="H351" s="538"/>
    </row>
    <row r="352" spans="3:8" x14ac:dyDescent="0.25">
      <c r="C352" s="3" t="s">
        <v>9585</v>
      </c>
      <c r="G352" s="10"/>
      <c r="H352" s="538"/>
    </row>
    <row r="353" spans="1:8" x14ac:dyDescent="0.25">
      <c r="C353" t="s">
        <v>9595</v>
      </c>
      <c r="F353" s="737" t="s">
        <v>3</v>
      </c>
      <c r="G353" s="10">
        <f>0.2*0.145*2*2.7*1.15</f>
        <v>0.18008999999999997</v>
      </c>
      <c r="H353" s="538"/>
    </row>
    <row r="354" spans="1:8" x14ac:dyDescent="0.25">
      <c r="G354" s="10"/>
      <c r="H354" s="538"/>
    </row>
    <row r="355" spans="1:8" x14ac:dyDescent="0.25">
      <c r="C355" s="3" t="s">
        <v>9589</v>
      </c>
      <c r="G355" s="10"/>
      <c r="H355" s="538"/>
    </row>
    <row r="356" spans="1:8" x14ac:dyDescent="0.25">
      <c r="C356" t="s">
        <v>9591</v>
      </c>
      <c r="F356" s="737" t="s">
        <v>3</v>
      </c>
      <c r="G356" s="10">
        <f>0.07*0.03*1*9*1.12</f>
        <v>2.1168000000000006E-2</v>
      </c>
      <c r="H356" s="538"/>
    </row>
    <row r="357" spans="1:8" x14ac:dyDescent="0.25">
      <c r="G357" s="10"/>
      <c r="H357" s="538"/>
    </row>
    <row r="358" spans="1:8" x14ac:dyDescent="0.25">
      <c r="C358" s="3" t="s">
        <v>9586</v>
      </c>
      <c r="G358" s="10"/>
      <c r="H358" s="538"/>
    </row>
    <row r="359" spans="1:8" x14ac:dyDescent="0.25">
      <c r="C359" t="s">
        <v>9592</v>
      </c>
      <c r="F359" s="737" t="s">
        <v>3</v>
      </c>
      <c r="G359" s="10">
        <f>0.065*0.075*3*8*1.2</f>
        <v>0.1404</v>
      </c>
      <c r="H359" s="538"/>
    </row>
    <row r="360" spans="1:8" x14ac:dyDescent="0.25">
      <c r="G360" s="10"/>
      <c r="H360" s="538"/>
    </row>
    <row r="361" spans="1:8" x14ac:dyDescent="0.25">
      <c r="C361" s="3" t="s">
        <v>9587</v>
      </c>
      <c r="G361" s="10"/>
      <c r="H361" s="538"/>
    </row>
    <row r="362" spans="1:8" x14ac:dyDescent="0.25">
      <c r="C362" t="s">
        <v>9593</v>
      </c>
      <c r="F362" s="737" t="s">
        <v>3</v>
      </c>
      <c r="G362" s="10">
        <f>0.016*0.07*1*8*1.12</f>
        <v>1.0035200000000003E-2</v>
      </c>
      <c r="H362" s="538"/>
    </row>
    <row r="363" spans="1:8" x14ac:dyDescent="0.25">
      <c r="G363" s="10"/>
      <c r="H363" s="538"/>
    </row>
    <row r="364" spans="1:8" x14ac:dyDescent="0.25">
      <c r="C364" s="3" t="s">
        <v>9588</v>
      </c>
      <c r="G364" s="10"/>
      <c r="H364" s="538"/>
    </row>
    <row r="365" spans="1:8" x14ac:dyDescent="0.25">
      <c r="C365" t="s">
        <v>9592</v>
      </c>
      <c r="F365" s="737" t="s">
        <v>3</v>
      </c>
      <c r="G365" s="10">
        <f>0.05*0.01*3*8*1.15</f>
        <v>1.38E-2</v>
      </c>
      <c r="H365" s="538"/>
    </row>
    <row r="366" spans="1:8" x14ac:dyDescent="0.25">
      <c r="G366" s="10"/>
      <c r="H366" s="538"/>
    </row>
    <row r="367" spans="1:8" x14ac:dyDescent="0.25">
      <c r="A367" s="539"/>
      <c r="B367" s="539"/>
      <c r="C367" s="539"/>
      <c r="D367" s="539"/>
      <c r="E367" s="539"/>
      <c r="F367" s="599"/>
      <c r="G367" s="600"/>
      <c r="H367" s="540"/>
    </row>
    <row r="368" spans="1:8" x14ac:dyDescent="0.25">
      <c r="G368" s="10"/>
      <c r="H368" s="631" t="s">
        <v>9908</v>
      </c>
    </row>
    <row r="369" spans="3:8" x14ac:dyDescent="0.25">
      <c r="G369" s="10"/>
      <c r="H369" s="538"/>
    </row>
    <row r="370" spans="3:8" ht="18.75" x14ac:dyDescent="0.3">
      <c r="C370" s="46" t="s">
        <v>9892</v>
      </c>
      <c r="D370" s="120"/>
      <c r="E370" s="120"/>
      <c r="G370" s="10"/>
      <c r="H370" s="538"/>
    </row>
    <row r="371" spans="3:8" ht="18.75" x14ac:dyDescent="0.3">
      <c r="C371" s="120"/>
      <c r="D371" s="120"/>
      <c r="E371" s="743" t="s">
        <v>9896</v>
      </c>
      <c r="G371" s="10"/>
      <c r="H371" s="538"/>
    </row>
    <row r="372" spans="3:8" x14ac:dyDescent="0.25">
      <c r="G372" s="10"/>
      <c r="H372" s="538"/>
    </row>
    <row r="373" spans="3:8" x14ac:dyDescent="0.25">
      <c r="G373" s="10"/>
      <c r="H373" s="538"/>
    </row>
    <row r="374" spans="3:8" x14ac:dyDescent="0.25">
      <c r="C374" s="3" t="s">
        <v>9905</v>
      </c>
      <c r="G374" s="10"/>
      <c r="H374" s="538"/>
    </row>
    <row r="375" spans="3:8" x14ac:dyDescent="0.25">
      <c r="C375" s="77" t="s">
        <v>39</v>
      </c>
      <c r="D375" s="73"/>
      <c r="E375" s="73"/>
      <c r="F375" s="74" t="s">
        <v>3</v>
      </c>
      <c r="G375" s="427">
        <f>0.05*0.08*1.3</f>
        <v>5.2000000000000006E-3</v>
      </c>
      <c r="H375" s="538"/>
    </row>
    <row r="376" spans="3:8" ht="17.25" x14ac:dyDescent="0.25">
      <c r="C376" s="77" t="s">
        <v>1055</v>
      </c>
      <c r="D376" s="73"/>
      <c r="E376" s="73"/>
      <c r="F376" s="74" t="s">
        <v>596</v>
      </c>
      <c r="G376" s="153">
        <f>1.1*G375</f>
        <v>5.7200000000000011E-3</v>
      </c>
      <c r="H376" s="538"/>
    </row>
    <row r="377" spans="3:8" x14ac:dyDescent="0.25">
      <c r="C377" s="77" t="s">
        <v>36</v>
      </c>
      <c r="F377" s="754" t="s">
        <v>3</v>
      </c>
      <c r="G377" s="10">
        <f>0.25*0.2*0.15*2*1.2</f>
        <v>1.7999999999999999E-2</v>
      </c>
      <c r="H377" s="538"/>
    </row>
    <row r="378" spans="3:8" x14ac:dyDescent="0.25">
      <c r="C378" t="s">
        <v>8</v>
      </c>
      <c r="F378" s="754" t="s">
        <v>3</v>
      </c>
      <c r="G378" s="10">
        <f>G377*0.7</f>
        <v>1.2599999999999998E-2</v>
      </c>
      <c r="H378" s="538"/>
    </row>
    <row r="379" spans="3:8" x14ac:dyDescent="0.25">
      <c r="C379" t="s">
        <v>12</v>
      </c>
      <c r="F379" s="754" t="s">
        <v>3</v>
      </c>
      <c r="G379" s="10">
        <f>0.3*(G378+G5044)</f>
        <v>3.7799999999999995E-3</v>
      </c>
      <c r="H379" s="538"/>
    </row>
    <row r="380" spans="3:8" x14ac:dyDescent="0.25">
      <c r="C380" s="77" t="s">
        <v>9898</v>
      </c>
      <c r="F380" s="754" t="s">
        <v>3</v>
      </c>
      <c r="G380" s="10">
        <f>G377</f>
        <v>1.7999999999999999E-2</v>
      </c>
      <c r="H380" s="538"/>
    </row>
    <row r="381" spans="3:8" x14ac:dyDescent="0.25">
      <c r="C381" s="77" t="s">
        <v>313</v>
      </c>
      <c r="F381" s="754" t="s">
        <v>3</v>
      </c>
      <c r="G381" s="10">
        <f>0.3*G380</f>
        <v>5.3999999999999994E-3</v>
      </c>
      <c r="H381" s="538"/>
    </row>
    <row r="382" spans="3:8" x14ac:dyDescent="0.25">
      <c r="C382" s="77"/>
      <c r="F382" s="754"/>
      <c r="G382" s="10"/>
      <c r="H382" s="538"/>
    </row>
    <row r="383" spans="3:8" x14ac:dyDescent="0.25">
      <c r="C383" s="3" t="s">
        <v>9893</v>
      </c>
      <c r="G383" s="10"/>
      <c r="H383" s="538"/>
    </row>
    <row r="384" spans="3:8" x14ac:dyDescent="0.25">
      <c r="C384" t="s">
        <v>9904</v>
      </c>
      <c r="F384" s="737" t="s">
        <v>3</v>
      </c>
      <c r="G384" s="10">
        <f>0.25*0.2*1*8*1.125</f>
        <v>0.45</v>
      </c>
      <c r="H384" s="538"/>
    </row>
    <row r="385" spans="3:9" x14ac:dyDescent="0.25">
      <c r="C385" s="77" t="s">
        <v>39</v>
      </c>
      <c r="D385" s="73"/>
      <c r="E385" s="73"/>
      <c r="F385" s="74" t="s">
        <v>3</v>
      </c>
      <c r="G385" s="427">
        <f>0.2*0.08*1.3</f>
        <v>2.0800000000000003E-2</v>
      </c>
      <c r="H385" s="538"/>
    </row>
    <row r="386" spans="3:9" ht="17.25" x14ac:dyDescent="0.25">
      <c r="C386" s="77" t="s">
        <v>1055</v>
      </c>
      <c r="D386" s="73"/>
      <c r="E386" s="73"/>
      <c r="F386" s="74" t="s">
        <v>596</v>
      </c>
      <c r="G386" s="153">
        <f>1.1*G385</f>
        <v>2.2880000000000005E-2</v>
      </c>
      <c r="H386" s="538"/>
    </row>
    <row r="387" spans="3:9" x14ac:dyDescent="0.25">
      <c r="G387" s="10"/>
      <c r="H387" s="538"/>
    </row>
    <row r="388" spans="3:9" x14ac:dyDescent="0.25">
      <c r="C388" s="3" t="s">
        <v>9894</v>
      </c>
      <c r="G388" s="10"/>
      <c r="H388" s="538"/>
    </row>
    <row r="389" spans="3:9" x14ac:dyDescent="0.25">
      <c r="C389" t="s">
        <v>9904</v>
      </c>
      <c r="F389" s="737" t="s">
        <v>3</v>
      </c>
      <c r="G389" s="10">
        <f>0.15*0.1*1*8*1.12+0.001</f>
        <v>0.13540000000000002</v>
      </c>
      <c r="H389" s="538"/>
    </row>
    <row r="390" spans="3:9" x14ac:dyDescent="0.25">
      <c r="C390" s="77" t="s">
        <v>36</v>
      </c>
      <c r="F390" s="754" t="s">
        <v>3</v>
      </c>
      <c r="G390" s="10">
        <f>0.15*0.1*0.15*2*1.5</f>
        <v>6.7499999999999991E-3</v>
      </c>
      <c r="H390" s="538"/>
    </row>
    <row r="391" spans="3:9" x14ac:dyDescent="0.25">
      <c r="C391" t="s">
        <v>8</v>
      </c>
      <c r="F391" s="754" t="s">
        <v>3</v>
      </c>
      <c r="G391" s="10">
        <f>G390*0.7</f>
        <v>4.7249999999999992E-3</v>
      </c>
      <c r="H391" s="538"/>
    </row>
    <row r="392" spans="3:9" x14ac:dyDescent="0.25">
      <c r="C392" t="s">
        <v>12</v>
      </c>
      <c r="F392" s="754" t="s">
        <v>3</v>
      </c>
      <c r="G392" s="10">
        <f>0.3*(G391+G5052)</f>
        <v>1.4174999999999997E-3</v>
      </c>
      <c r="H392" s="538"/>
    </row>
    <row r="393" spans="3:9" x14ac:dyDescent="0.25">
      <c r="C393" s="77" t="s">
        <v>9898</v>
      </c>
      <c r="F393" s="754" t="s">
        <v>3</v>
      </c>
      <c r="G393" s="10">
        <f>G390</f>
        <v>6.7499999999999991E-3</v>
      </c>
      <c r="H393" s="538"/>
    </row>
    <row r="394" spans="3:9" x14ac:dyDescent="0.25">
      <c r="C394" s="77" t="s">
        <v>313</v>
      </c>
      <c r="F394" s="754" t="s">
        <v>3</v>
      </c>
      <c r="G394" s="10">
        <f>0.3*G393</f>
        <v>2.0249999999999995E-3</v>
      </c>
      <c r="H394" s="538"/>
    </row>
    <row r="395" spans="3:9" x14ac:dyDescent="0.25">
      <c r="G395" s="10"/>
      <c r="H395" s="538"/>
    </row>
    <row r="396" spans="3:9" x14ac:dyDescent="0.25">
      <c r="C396" s="3" t="s">
        <v>9895</v>
      </c>
      <c r="G396" s="10"/>
      <c r="H396" s="538"/>
    </row>
    <row r="397" spans="3:9" x14ac:dyDescent="0.25">
      <c r="C397" t="s">
        <v>9618</v>
      </c>
      <c r="F397" s="737" t="s">
        <v>3</v>
      </c>
      <c r="G397" s="10">
        <f>(0.035*0.1*2*8*1.125+0.002)</f>
        <v>6.5000000000000016E-2</v>
      </c>
      <c r="H397" s="538" t="s">
        <v>549</v>
      </c>
      <c r="I397" t="s">
        <v>9909</v>
      </c>
    </row>
    <row r="398" spans="3:9" x14ac:dyDescent="0.25">
      <c r="F398" s="754"/>
      <c r="G398" s="10">
        <f>G397*2</f>
        <v>0.13000000000000003</v>
      </c>
      <c r="H398" s="538" t="s">
        <v>9910</v>
      </c>
    </row>
    <row r="399" spans="3:9" ht="15.75" x14ac:dyDescent="0.25">
      <c r="E399" s="757" t="s">
        <v>9906</v>
      </c>
      <c r="F399" s="754"/>
      <c r="G399" s="10"/>
      <c r="H399" s="538"/>
    </row>
    <row r="400" spans="3:9" x14ac:dyDescent="0.25">
      <c r="F400" s="754"/>
      <c r="G400" s="10"/>
      <c r="H400" s="538"/>
    </row>
    <row r="401" spans="3:8" x14ac:dyDescent="0.25">
      <c r="C401" s="13" t="s">
        <v>8</v>
      </c>
      <c r="F401" s="754" t="s">
        <v>3</v>
      </c>
      <c r="G401" s="10">
        <v>1.7324999999999997E-2</v>
      </c>
      <c r="H401" s="538"/>
    </row>
    <row r="402" spans="3:8" x14ac:dyDescent="0.25">
      <c r="C402" s="13" t="s">
        <v>39</v>
      </c>
      <c r="F402" s="754" t="s">
        <v>3</v>
      </c>
      <c r="G402" s="10">
        <v>2.6000000000000002E-2</v>
      </c>
      <c r="H402" s="538"/>
    </row>
    <row r="403" spans="3:8" x14ac:dyDescent="0.25">
      <c r="C403" s="13" t="s">
        <v>9898</v>
      </c>
      <c r="F403" s="737" t="s">
        <v>3</v>
      </c>
      <c r="G403" s="10">
        <v>2.4749999999999998E-2</v>
      </c>
      <c r="H403" s="538"/>
    </row>
    <row r="404" spans="3:8" x14ac:dyDescent="0.25">
      <c r="C404" s="13" t="s">
        <v>36</v>
      </c>
      <c r="F404" s="737" t="s">
        <v>3</v>
      </c>
      <c r="G404" s="10">
        <v>2.4749999999999998E-2</v>
      </c>
      <c r="H404" s="538"/>
    </row>
    <row r="405" spans="3:8" x14ac:dyDescent="0.25">
      <c r="C405" s="13" t="s">
        <v>313</v>
      </c>
      <c r="F405" s="737" t="s">
        <v>3</v>
      </c>
      <c r="G405" s="10">
        <v>7.4249999999999993E-3</v>
      </c>
      <c r="H405" s="538"/>
    </row>
    <row r="406" spans="3:8" x14ac:dyDescent="0.25">
      <c r="C406" s="13" t="s">
        <v>9904</v>
      </c>
      <c r="F406" s="737" t="s">
        <v>3</v>
      </c>
      <c r="G406" s="10">
        <v>0.58540000000000003</v>
      </c>
      <c r="H406" s="538"/>
    </row>
    <row r="407" spans="3:8" x14ac:dyDescent="0.25">
      <c r="C407" s="13" t="s">
        <v>9618</v>
      </c>
      <c r="F407" s="737" t="s">
        <v>3</v>
      </c>
      <c r="G407" s="10">
        <v>0.13000000000000003</v>
      </c>
      <c r="H407" s="538"/>
    </row>
    <row r="408" spans="3:8" x14ac:dyDescent="0.25">
      <c r="C408" s="13" t="s">
        <v>12</v>
      </c>
      <c r="F408" s="737" t="s">
        <v>3</v>
      </c>
      <c r="G408" s="10">
        <v>5.197499999999999E-3</v>
      </c>
      <c r="H408" s="538"/>
    </row>
    <row r="409" spans="3:8" x14ac:dyDescent="0.25">
      <c r="C409" s="13" t="s">
        <v>1055</v>
      </c>
      <c r="F409" s="737" t="s">
        <v>3</v>
      </c>
      <c r="G409" s="10">
        <v>2.8600000000000007E-2</v>
      </c>
      <c r="H409" s="538"/>
    </row>
    <row r="410" spans="3:8" x14ac:dyDescent="0.25">
      <c r="G410" s="10"/>
      <c r="H410" s="538"/>
    </row>
    <row r="411" spans="3:8" x14ac:dyDescent="0.25">
      <c r="G411" s="10"/>
      <c r="H411" s="538"/>
    </row>
    <row r="412" spans="3:8" ht="18.75" x14ac:dyDescent="0.3">
      <c r="C412" s="46" t="s">
        <v>9892</v>
      </c>
      <c r="D412" s="120"/>
      <c r="E412" s="120"/>
      <c r="G412" s="10"/>
      <c r="H412" s="538"/>
    </row>
    <row r="413" spans="3:8" ht="18.75" x14ac:dyDescent="0.3">
      <c r="C413" s="120"/>
      <c r="D413" s="120"/>
      <c r="E413" s="743" t="s">
        <v>9897</v>
      </c>
      <c r="G413" s="10"/>
      <c r="H413" s="538"/>
    </row>
    <row r="414" spans="3:8" x14ac:dyDescent="0.25">
      <c r="G414" s="10"/>
      <c r="H414" s="538"/>
    </row>
    <row r="415" spans="3:8" x14ac:dyDescent="0.25">
      <c r="G415" s="10"/>
      <c r="H415" s="538"/>
    </row>
    <row r="416" spans="3:8" x14ac:dyDescent="0.25">
      <c r="C416" s="3" t="s">
        <v>9899</v>
      </c>
      <c r="G416" s="10"/>
      <c r="H416" s="538"/>
    </row>
    <row r="417" spans="3:8" x14ac:dyDescent="0.25">
      <c r="C417" s="77" t="s">
        <v>39</v>
      </c>
      <c r="D417" s="73"/>
      <c r="E417" s="73"/>
      <c r="F417" s="74" t="s">
        <v>3</v>
      </c>
      <c r="G417" s="427">
        <f>0.1*0.08*1.3</f>
        <v>1.0400000000000001E-2</v>
      </c>
      <c r="H417" s="538"/>
    </row>
    <row r="418" spans="3:8" ht="17.25" x14ac:dyDescent="0.25">
      <c r="C418" s="77" t="s">
        <v>1055</v>
      </c>
      <c r="D418" s="73"/>
      <c r="E418" s="73"/>
      <c r="F418" s="74" t="s">
        <v>596</v>
      </c>
      <c r="G418" s="153">
        <f>1.1*G417</f>
        <v>1.1440000000000002E-2</v>
      </c>
      <c r="H418" s="538"/>
    </row>
    <row r="419" spans="3:8" x14ac:dyDescent="0.25">
      <c r="C419" s="77" t="s">
        <v>36</v>
      </c>
      <c r="F419" s="754" t="s">
        <v>3</v>
      </c>
      <c r="G419" s="10">
        <f>0.55*0.08*0.15*2*1.39</f>
        <v>1.8348E-2</v>
      </c>
      <c r="H419" s="538"/>
    </row>
    <row r="420" spans="3:8" x14ac:dyDescent="0.25">
      <c r="C420" t="s">
        <v>8</v>
      </c>
      <c r="F420" s="754" t="s">
        <v>3</v>
      </c>
      <c r="G420" s="10">
        <f>G419*0.7</f>
        <v>1.2843599999999998E-2</v>
      </c>
      <c r="H420" s="538"/>
    </row>
    <row r="421" spans="3:8" x14ac:dyDescent="0.25">
      <c r="C421" t="s">
        <v>12</v>
      </c>
      <c r="F421" s="754" t="s">
        <v>3</v>
      </c>
      <c r="G421" s="10">
        <f>0.3*(G420+G5065)</f>
        <v>3.8530799999999992E-3</v>
      </c>
      <c r="H421" s="538"/>
    </row>
    <row r="422" spans="3:8" x14ac:dyDescent="0.25">
      <c r="C422" s="77" t="s">
        <v>9898</v>
      </c>
      <c r="F422" s="754" t="s">
        <v>3</v>
      </c>
      <c r="G422" s="10">
        <f>G419</f>
        <v>1.8348E-2</v>
      </c>
      <c r="H422" s="538"/>
    </row>
    <row r="423" spans="3:8" x14ac:dyDescent="0.25">
      <c r="C423" s="77" t="s">
        <v>313</v>
      </c>
      <c r="F423" s="737" t="s">
        <v>3</v>
      </c>
      <c r="G423" s="10">
        <f>0.3*G422</f>
        <v>5.5043999999999996E-3</v>
      </c>
      <c r="H423" s="538"/>
    </row>
    <row r="424" spans="3:8" x14ac:dyDescent="0.25">
      <c r="G424" s="10"/>
      <c r="H424" s="538"/>
    </row>
    <row r="425" spans="3:8" x14ac:dyDescent="0.25">
      <c r="C425" s="3" t="s">
        <v>9900</v>
      </c>
      <c r="G425" s="10"/>
      <c r="H425" s="538"/>
    </row>
    <row r="426" spans="3:8" x14ac:dyDescent="0.25">
      <c r="C426" t="s">
        <v>9902</v>
      </c>
      <c r="F426" s="737" t="s">
        <v>3</v>
      </c>
      <c r="G426" s="10">
        <f>0.17*0.1*1.5*8*1.125</f>
        <v>0.22950000000000001</v>
      </c>
      <c r="H426" s="538"/>
    </row>
    <row r="427" spans="3:8" x14ac:dyDescent="0.25">
      <c r="C427" s="77" t="s">
        <v>36</v>
      </c>
      <c r="F427" s="754" t="s">
        <v>3</v>
      </c>
      <c r="G427" s="10">
        <f>0.17*0.1*0.15*2*1.5</f>
        <v>7.6500000000000005E-3</v>
      </c>
      <c r="H427" s="538"/>
    </row>
    <row r="428" spans="3:8" x14ac:dyDescent="0.25">
      <c r="C428" t="s">
        <v>8</v>
      </c>
      <c r="F428" s="754" t="s">
        <v>3</v>
      </c>
      <c r="G428" s="10">
        <f>G427*0.7</f>
        <v>5.3550000000000004E-3</v>
      </c>
      <c r="H428" s="538"/>
    </row>
    <row r="429" spans="3:8" x14ac:dyDescent="0.25">
      <c r="C429" t="s">
        <v>12</v>
      </c>
      <c r="F429" s="754" t="s">
        <v>3</v>
      </c>
      <c r="G429" s="10">
        <f>0.3*(G428+G5073)</f>
        <v>1.6065000000000001E-3</v>
      </c>
      <c r="H429" s="538"/>
    </row>
    <row r="430" spans="3:8" x14ac:dyDescent="0.25">
      <c r="C430" s="77" t="s">
        <v>9898</v>
      </c>
      <c r="F430" s="754" t="s">
        <v>3</v>
      </c>
      <c r="G430" s="10">
        <f>G427</f>
        <v>7.6500000000000005E-3</v>
      </c>
      <c r="H430" s="538"/>
    </row>
    <row r="431" spans="3:8" x14ac:dyDescent="0.25">
      <c r="C431" s="77" t="s">
        <v>313</v>
      </c>
      <c r="F431" s="754" t="s">
        <v>3</v>
      </c>
      <c r="G431" s="10">
        <f>0.3*G430</f>
        <v>2.2950000000000002E-3</v>
      </c>
      <c r="H431" s="538"/>
    </row>
    <row r="432" spans="3:8" x14ac:dyDescent="0.25">
      <c r="F432" s="754"/>
      <c r="G432" s="10"/>
      <c r="H432" s="538"/>
    </row>
    <row r="433" spans="3:8" x14ac:dyDescent="0.25">
      <c r="C433" s="3" t="s">
        <v>9901</v>
      </c>
      <c r="G433" s="10"/>
      <c r="H433" s="538"/>
    </row>
    <row r="434" spans="3:8" x14ac:dyDescent="0.25">
      <c r="C434" t="s">
        <v>9902</v>
      </c>
      <c r="F434" s="754" t="s">
        <v>3</v>
      </c>
      <c r="G434" s="10">
        <f>0.17*0.1*1.5*8*1.125</f>
        <v>0.22950000000000001</v>
      </c>
      <c r="H434" s="538"/>
    </row>
    <row r="435" spans="3:8" x14ac:dyDescent="0.25">
      <c r="C435" s="77" t="s">
        <v>36</v>
      </c>
      <c r="F435" s="754" t="s">
        <v>3</v>
      </c>
      <c r="G435" s="10">
        <f>0.17*0.1*0.15*2*1.5</f>
        <v>7.6500000000000005E-3</v>
      </c>
      <c r="H435" s="538"/>
    </row>
    <row r="436" spans="3:8" x14ac:dyDescent="0.25">
      <c r="C436" t="s">
        <v>8</v>
      </c>
      <c r="F436" s="754" t="s">
        <v>3</v>
      </c>
      <c r="G436" s="10">
        <f>G435*0.7</f>
        <v>5.3550000000000004E-3</v>
      </c>
      <c r="H436" s="538"/>
    </row>
    <row r="437" spans="3:8" x14ac:dyDescent="0.25">
      <c r="C437" t="s">
        <v>12</v>
      </c>
      <c r="F437" s="754" t="s">
        <v>3</v>
      </c>
      <c r="G437" s="10">
        <f>0.3*(G436+G5086)</f>
        <v>1.6065000000000001E-3</v>
      </c>
      <c r="H437" s="538"/>
    </row>
    <row r="438" spans="3:8" x14ac:dyDescent="0.25">
      <c r="C438" s="77" t="s">
        <v>9898</v>
      </c>
      <c r="F438" s="754" t="s">
        <v>3</v>
      </c>
      <c r="G438" s="10">
        <f>G435</f>
        <v>7.6500000000000005E-3</v>
      </c>
      <c r="H438" s="538"/>
    </row>
    <row r="439" spans="3:8" x14ac:dyDescent="0.25">
      <c r="C439" s="77" t="s">
        <v>313</v>
      </c>
      <c r="F439" s="754" t="s">
        <v>3</v>
      </c>
      <c r="G439" s="10">
        <f>0.3*G438</f>
        <v>2.2950000000000002E-3</v>
      </c>
      <c r="H439" s="538"/>
    </row>
    <row r="440" spans="3:8" x14ac:dyDescent="0.25">
      <c r="G440" s="10"/>
      <c r="H440" s="538"/>
    </row>
    <row r="441" spans="3:8" x14ac:dyDescent="0.25">
      <c r="C441" s="3" t="s">
        <v>9903</v>
      </c>
      <c r="G441" s="10"/>
      <c r="H441" s="538"/>
    </row>
    <row r="442" spans="3:8" x14ac:dyDescent="0.25">
      <c r="C442" t="s">
        <v>9902</v>
      </c>
      <c r="F442" s="737" t="s">
        <v>3</v>
      </c>
      <c r="G442" s="10">
        <f>0.55*0.08*1.5*8*1.137</f>
        <v>0.60033599999999998</v>
      </c>
      <c r="H442" s="538"/>
    </row>
    <row r="443" spans="3:8" x14ac:dyDescent="0.25">
      <c r="C443" s="77" t="s">
        <v>39</v>
      </c>
      <c r="D443" s="73"/>
      <c r="E443" s="73"/>
      <c r="F443" s="74" t="s">
        <v>3</v>
      </c>
      <c r="G443" s="427">
        <f>0.1*0.08*1.3</f>
        <v>1.0400000000000001E-2</v>
      </c>
      <c r="H443" s="538"/>
    </row>
    <row r="444" spans="3:8" ht="17.25" x14ac:dyDescent="0.25">
      <c r="C444" s="77" t="s">
        <v>1055</v>
      </c>
      <c r="D444" s="73"/>
      <c r="E444" s="73"/>
      <c r="F444" s="74" t="s">
        <v>596</v>
      </c>
      <c r="G444" s="153">
        <f>1.1*G443</f>
        <v>1.1440000000000002E-2</v>
      </c>
      <c r="H444" s="538"/>
    </row>
    <row r="445" spans="3:8" x14ac:dyDescent="0.25">
      <c r="G445" s="10"/>
      <c r="H445" s="538"/>
    </row>
    <row r="446" spans="3:8" ht="15.75" x14ac:dyDescent="0.25">
      <c r="E446" s="757" t="s">
        <v>9907</v>
      </c>
      <c r="F446" s="570"/>
      <c r="G446" s="10"/>
      <c r="H446" s="538"/>
    </row>
    <row r="447" spans="3:8" ht="18.75" x14ac:dyDescent="0.3">
      <c r="E447" s="743"/>
      <c r="F447" s="754"/>
      <c r="G447" s="10"/>
      <c r="H447" s="538"/>
    </row>
    <row r="448" spans="3:8" x14ac:dyDescent="0.25">
      <c r="C448" t="s">
        <v>8</v>
      </c>
      <c r="E448" s="77"/>
      <c r="F448" s="754" t="s">
        <v>3</v>
      </c>
      <c r="G448" s="10">
        <v>2.3553600000000001E-2</v>
      </c>
      <c r="H448" s="538"/>
    </row>
    <row r="449" spans="1:8" x14ac:dyDescent="0.25">
      <c r="C449" t="s">
        <v>39</v>
      </c>
      <c r="F449" s="754" t="s">
        <v>3</v>
      </c>
      <c r="G449" s="10">
        <v>2.0800000000000003E-2</v>
      </c>
      <c r="H449" s="538"/>
    </row>
    <row r="450" spans="1:8" x14ac:dyDescent="0.25">
      <c r="C450" t="s">
        <v>9898</v>
      </c>
      <c r="E450" s="77"/>
      <c r="F450" s="74" t="s">
        <v>3</v>
      </c>
      <c r="G450" s="10">
        <v>3.3647999999999997E-2</v>
      </c>
      <c r="H450" s="538"/>
    </row>
    <row r="451" spans="1:8" x14ac:dyDescent="0.25">
      <c r="C451" t="s">
        <v>36</v>
      </c>
      <c r="E451" s="25"/>
      <c r="F451" s="754" t="s">
        <v>3</v>
      </c>
      <c r="G451" s="10">
        <v>3.3647999999999997E-2</v>
      </c>
      <c r="H451" s="538"/>
    </row>
    <row r="452" spans="1:8" x14ac:dyDescent="0.25">
      <c r="C452" t="s">
        <v>313</v>
      </c>
      <c r="E452" s="25"/>
      <c r="F452" s="754" t="s">
        <v>3</v>
      </c>
      <c r="G452" s="10">
        <v>1.00944E-2</v>
      </c>
      <c r="H452" s="538"/>
    </row>
    <row r="453" spans="1:8" x14ac:dyDescent="0.25">
      <c r="C453" t="s">
        <v>9902</v>
      </c>
      <c r="E453" s="25"/>
      <c r="F453" s="754" t="s">
        <v>3</v>
      </c>
      <c r="G453" s="10">
        <v>1.0593360000000001</v>
      </c>
      <c r="H453" s="538"/>
    </row>
    <row r="454" spans="1:8" x14ac:dyDescent="0.25">
      <c r="C454" t="s">
        <v>12</v>
      </c>
      <c r="E454" s="25"/>
      <c r="F454" s="754" t="s">
        <v>3</v>
      </c>
      <c r="G454" s="10">
        <v>7.0660800000000006E-3</v>
      </c>
      <c r="H454" s="538"/>
    </row>
    <row r="455" spans="1:8" x14ac:dyDescent="0.25">
      <c r="C455" t="s">
        <v>1055</v>
      </c>
      <c r="E455" s="25"/>
      <c r="F455" s="756" t="s">
        <v>1752</v>
      </c>
      <c r="G455" s="10">
        <v>2.2880000000000005E-2</v>
      </c>
      <c r="H455" s="538"/>
    </row>
    <row r="456" spans="1:8" x14ac:dyDescent="0.25">
      <c r="A456" s="539"/>
      <c r="B456" s="539"/>
      <c r="C456" s="539"/>
      <c r="D456" s="539"/>
      <c r="E456" s="758"/>
      <c r="F456" s="599"/>
      <c r="G456" s="600"/>
      <c r="H456" s="540"/>
    </row>
    <row r="457" spans="1:8" x14ac:dyDescent="0.25">
      <c r="E457" s="25"/>
      <c r="F457" s="754"/>
      <c r="G457" s="10"/>
      <c r="H457" s="631" t="s">
        <v>9999</v>
      </c>
    </row>
    <row r="458" spans="1:8" s="767" customFormat="1" ht="18.75" x14ac:dyDescent="0.3">
      <c r="C458" s="643"/>
      <c r="E458" s="740" t="s">
        <v>9998</v>
      </c>
      <c r="F458" s="128"/>
      <c r="G458" s="10"/>
      <c r="H458" s="538"/>
    </row>
    <row r="459" spans="1:8" s="767" customFormat="1" x14ac:dyDescent="0.25">
      <c r="C459" s="643"/>
      <c r="E459" s="8"/>
      <c r="F459" s="128"/>
      <c r="G459" s="10"/>
      <c r="H459" s="538"/>
    </row>
    <row r="460" spans="1:8" s="767" customFormat="1" x14ac:dyDescent="0.25">
      <c r="C460" s="3" t="s">
        <v>9994</v>
      </c>
      <c r="E460" s="8"/>
      <c r="F460" s="128"/>
      <c r="G460" s="10"/>
      <c r="H460" s="538"/>
    </row>
    <row r="461" spans="1:8" s="767" customFormat="1" x14ac:dyDescent="0.25">
      <c r="C461" s="100" t="s">
        <v>140</v>
      </c>
      <c r="D461" s="73"/>
      <c r="E461" s="73"/>
      <c r="F461" s="74" t="s">
        <v>3</v>
      </c>
      <c r="G461" s="153">
        <f>0.018*3.14*2*0.08*1.2</f>
        <v>1.085184E-2</v>
      </c>
      <c r="H461" s="538"/>
    </row>
    <row r="462" spans="1:8" s="767" customFormat="1" ht="17.25" x14ac:dyDescent="0.25">
      <c r="C462" s="100" t="s">
        <v>23</v>
      </c>
      <c r="D462" s="73"/>
      <c r="E462" s="73"/>
      <c r="F462" s="74" t="s">
        <v>596</v>
      </c>
      <c r="G462" s="153">
        <f>G461*2</f>
        <v>2.170368E-2</v>
      </c>
      <c r="H462" s="538"/>
    </row>
    <row r="463" spans="1:8" s="767" customFormat="1" x14ac:dyDescent="0.25">
      <c r="C463" s="100" t="s">
        <v>142</v>
      </c>
      <c r="D463" s="73"/>
      <c r="E463" s="73"/>
      <c r="F463" s="74" t="s">
        <v>3</v>
      </c>
      <c r="G463" s="153">
        <f>G461/4</f>
        <v>2.7129599999999999E-3</v>
      </c>
      <c r="H463" s="538"/>
    </row>
    <row r="464" spans="1:8" s="767" customFormat="1" x14ac:dyDescent="0.25">
      <c r="C464" s="186" t="s">
        <v>143</v>
      </c>
      <c r="D464" s="73"/>
      <c r="E464" s="73"/>
      <c r="F464" s="74" t="s">
        <v>3</v>
      </c>
      <c r="G464" s="153">
        <f>G466</f>
        <v>5.7749999999999998E-3</v>
      </c>
      <c r="H464" s="538"/>
    </row>
    <row r="465" spans="3:9" s="767" customFormat="1" x14ac:dyDescent="0.25">
      <c r="C465" s="186" t="s">
        <v>12</v>
      </c>
      <c r="D465" s="73"/>
      <c r="E465" s="73"/>
      <c r="F465" s="74" t="s">
        <v>3</v>
      </c>
      <c r="G465" s="153">
        <f>0.3*G464</f>
        <v>1.7324999999999999E-3</v>
      </c>
      <c r="H465" s="538"/>
    </row>
    <row r="466" spans="3:9" s="767" customFormat="1" x14ac:dyDescent="0.25">
      <c r="C466" s="186" t="s">
        <v>325</v>
      </c>
      <c r="D466" s="73"/>
      <c r="E466" s="73"/>
      <c r="F466" s="74" t="s">
        <v>3</v>
      </c>
      <c r="G466" s="153">
        <f>0.35*0.011*1.5</f>
        <v>5.7749999999999998E-3</v>
      </c>
      <c r="H466" s="538"/>
    </row>
    <row r="467" spans="3:9" x14ac:dyDescent="0.25">
      <c r="C467" s="186" t="s">
        <v>12</v>
      </c>
      <c r="D467" s="73"/>
      <c r="E467" s="73"/>
      <c r="F467" s="74" t="s">
        <v>3</v>
      </c>
      <c r="G467" s="153">
        <f>0.3*G466</f>
        <v>1.7324999999999999E-3</v>
      </c>
      <c r="H467" s="538"/>
    </row>
    <row r="468" spans="3:9" s="767" customFormat="1" x14ac:dyDescent="0.25">
      <c r="C468" s="186"/>
      <c r="D468" s="75" t="s">
        <v>9995</v>
      </c>
      <c r="E468" s="73"/>
      <c r="F468" s="74"/>
      <c r="G468" s="153"/>
      <c r="H468" s="538"/>
    </row>
    <row r="469" spans="3:9" s="767" customFormat="1" x14ac:dyDescent="0.25">
      <c r="C469" s="186"/>
      <c r="D469" s="73" t="s">
        <v>9996</v>
      </c>
      <c r="E469" s="73"/>
      <c r="F469" s="74" t="s">
        <v>3</v>
      </c>
      <c r="G469" s="153">
        <f>0.419*0.35</f>
        <v>0.14664999999999997</v>
      </c>
      <c r="H469" s="538"/>
      <c r="I469" s="767" t="s">
        <v>9997</v>
      </c>
    </row>
    <row r="470" spans="3:9" s="767" customFormat="1" x14ac:dyDescent="0.25">
      <c r="C470" s="186"/>
      <c r="D470" s="73"/>
      <c r="E470" s="73"/>
      <c r="F470" s="74"/>
      <c r="G470" s="153"/>
      <c r="H470" s="538"/>
    </row>
    <row r="471" spans="3:9" x14ac:dyDescent="0.25">
      <c r="C471" s="75" t="s">
        <v>5093</v>
      </c>
      <c r="D471" s="73"/>
      <c r="E471" s="73"/>
      <c r="F471" s="74"/>
      <c r="G471" s="153"/>
      <c r="H471" s="538"/>
    </row>
    <row r="472" spans="3:9" x14ac:dyDescent="0.25">
      <c r="C472" s="73" t="s">
        <v>4815</v>
      </c>
      <c r="D472" s="73"/>
      <c r="E472" s="73"/>
      <c r="F472" s="74" t="s">
        <v>3</v>
      </c>
      <c r="G472" s="153">
        <v>3.0000000000000001E-3</v>
      </c>
      <c r="H472" s="538"/>
    </row>
    <row r="473" spans="3:9" x14ac:dyDescent="0.25">
      <c r="C473" s="100" t="s">
        <v>140</v>
      </c>
      <c r="D473" s="73"/>
      <c r="E473" s="73"/>
      <c r="F473" s="74" t="s">
        <v>3</v>
      </c>
      <c r="G473" s="153">
        <f>0.025*3.14*0.08*1.2</f>
        <v>7.536000000000001E-3</v>
      </c>
      <c r="H473" s="538"/>
    </row>
    <row r="474" spans="3:9" ht="17.25" x14ac:dyDescent="0.25">
      <c r="C474" s="100" t="s">
        <v>23</v>
      </c>
      <c r="D474" s="73"/>
      <c r="E474" s="73"/>
      <c r="F474" s="74" t="s">
        <v>596</v>
      </c>
      <c r="G474" s="153">
        <f>G473*2</f>
        <v>1.5072000000000002E-2</v>
      </c>
      <c r="H474" s="538"/>
    </row>
    <row r="475" spans="3:9" x14ac:dyDescent="0.25">
      <c r="C475" s="100" t="s">
        <v>142</v>
      </c>
      <c r="D475" s="73"/>
      <c r="E475" s="73"/>
      <c r="F475" s="74" t="s">
        <v>3</v>
      </c>
      <c r="G475" s="153">
        <f>G473/4</f>
        <v>1.8840000000000003E-3</v>
      </c>
      <c r="H475" s="538"/>
    </row>
    <row r="476" spans="3:9" x14ac:dyDescent="0.25">
      <c r="C476" s="186" t="s">
        <v>143</v>
      </c>
      <c r="D476" s="73"/>
      <c r="E476" s="73"/>
      <c r="F476" s="74" t="s">
        <v>3</v>
      </c>
      <c r="G476" s="153">
        <f>1.2*0.02*2*1.25</f>
        <v>0.06</v>
      </c>
      <c r="H476" s="538"/>
    </row>
    <row r="477" spans="3:9" x14ac:dyDescent="0.25">
      <c r="C477" s="186" t="s">
        <v>12</v>
      </c>
      <c r="D477" s="73"/>
      <c r="E477" s="73"/>
      <c r="F477" s="74" t="s">
        <v>3</v>
      </c>
      <c r="G477" s="153">
        <f>0.3*G476</f>
        <v>1.7999999999999999E-2</v>
      </c>
      <c r="H477" s="538"/>
    </row>
    <row r="478" spans="3:9" x14ac:dyDescent="0.25">
      <c r="C478" s="186" t="s">
        <v>325</v>
      </c>
      <c r="D478" s="73"/>
      <c r="E478" s="73"/>
      <c r="F478" s="74" t="s">
        <v>3</v>
      </c>
      <c r="G478" s="153">
        <f>1.2*0.011*1.5</f>
        <v>1.9799999999999998E-2</v>
      </c>
      <c r="H478" s="538"/>
    </row>
    <row r="479" spans="3:9" x14ac:dyDescent="0.25">
      <c r="C479" s="186" t="s">
        <v>12</v>
      </c>
      <c r="D479" s="73"/>
      <c r="E479" s="73"/>
      <c r="F479" s="74" t="s">
        <v>3</v>
      </c>
      <c r="G479" s="153">
        <f>0.3*G478</f>
        <v>5.9399999999999991E-3</v>
      </c>
      <c r="H479" s="538"/>
    </row>
    <row r="480" spans="3:9" x14ac:dyDescent="0.25">
      <c r="C480" s="73"/>
      <c r="D480" s="75" t="s">
        <v>5094</v>
      </c>
      <c r="E480" s="73"/>
      <c r="F480" s="74"/>
      <c r="G480" s="153"/>
      <c r="H480" s="538"/>
    </row>
    <row r="481" spans="3:8" x14ac:dyDescent="0.25">
      <c r="C481" s="73"/>
      <c r="D481" s="73" t="s">
        <v>5067</v>
      </c>
      <c r="E481" s="73"/>
      <c r="F481" s="74" t="s">
        <v>3</v>
      </c>
      <c r="G481" s="153">
        <f>0.592*1.352</f>
        <v>0.80038399999999998</v>
      </c>
      <c r="H481" s="538"/>
    </row>
    <row r="482" spans="3:8" x14ac:dyDescent="0.25">
      <c r="G482" s="10"/>
      <c r="H482" s="538"/>
    </row>
    <row r="483" spans="3:8" x14ac:dyDescent="0.25">
      <c r="C483" s="75" t="s">
        <v>5050</v>
      </c>
      <c r="D483" s="73"/>
      <c r="E483" s="73"/>
      <c r="F483" s="74"/>
      <c r="G483" s="153"/>
      <c r="H483" s="538"/>
    </row>
    <row r="484" spans="3:8" x14ac:dyDescent="0.25">
      <c r="C484" s="73" t="s">
        <v>4815</v>
      </c>
      <c r="D484" s="73"/>
      <c r="E484" s="73"/>
      <c r="F484" s="74" t="s">
        <v>3</v>
      </c>
      <c r="G484" s="153">
        <v>5.0000000000000001E-3</v>
      </c>
      <c r="H484" s="538"/>
    </row>
    <row r="485" spans="3:8" x14ac:dyDescent="0.25">
      <c r="C485" s="73"/>
      <c r="D485" s="75" t="s">
        <v>5051</v>
      </c>
      <c r="E485" s="73"/>
      <c r="F485" s="74"/>
      <c r="G485" s="153"/>
      <c r="H485" s="538"/>
    </row>
    <row r="486" spans="3:8" x14ac:dyDescent="0.25">
      <c r="C486" s="73"/>
      <c r="D486" s="77" t="s">
        <v>39</v>
      </c>
      <c r="E486" s="73"/>
      <c r="F486" s="74" t="s">
        <v>3</v>
      </c>
      <c r="G486" s="427">
        <f>(0.032*3.14*2)*0.08*1.2</f>
        <v>1.9292159999999999E-2</v>
      </c>
      <c r="H486" s="538"/>
    </row>
    <row r="487" spans="3:8" ht="17.25" x14ac:dyDescent="0.25">
      <c r="C487" s="73"/>
      <c r="D487" s="77" t="s">
        <v>1055</v>
      </c>
      <c r="E487" s="73"/>
      <c r="F487" s="74" t="s">
        <v>596</v>
      </c>
      <c r="G487" s="153">
        <f>1.5*G486</f>
        <v>2.8938239999999997E-2</v>
      </c>
      <c r="H487" s="538"/>
    </row>
    <row r="488" spans="3:8" x14ac:dyDescent="0.25">
      <c r="C488" s="73"/>
      <c r="D488" s="186" t="s">
        <v>143</v>
      </c>
      <c r="E488" s="73"/>
      <c r="F488" s="74" t="s">
        <v>3</v>
      </c>
      <c r="G488" s="153">
        <f>0.13*0.02*2*1.25</f>
        <v>6.5000000000000006E-3</v>
      </c>
      <c r="H488" s="538"/>
    </row>
    <row r="489" spans="3:8" x14ac:dyDescent="0.25">
      <c r="C489" s="73"/>
      <c r="D489" s="186" t="s">
        <v>12</v>
      </c>
      <c r="E489" s="73"/>
      <c r="F489" s="74" t="s">
        <v>3</v>
      </c>
      <c r="G489" s="153">
        <f>0.3*G488</f>
        <v>1.9500000000000001E-3</v>
      </c>
      <c r="H489" s="538"/>
    </row>
    <row r="490" spans="3:8" x14ac:dyDescent="0.25">
      <c r="C490" s="73"/>
      <c r="D490" s="73"/>
      <c r="E490" s="75" t="s">
        <v>5054</v>
      </c>
      <c r="F490" s="74"/>
      <c r="G490" s="153"/>
      <c r="H490" s="538"/>
    </row>
    <row r="491" spans="3:8" x14ac:dyDescent="0.25">
      <c r="C491" s="73"/>
      <c r="D491" s="73"/>
      <c r="E491" s="73" t="s">
        <v>5037</v>
      </c>
      <c r="F491" s="74" t="s">
        <v>3</v>
      </c>
      <c r="G491" s="153">
        <f>0.1*0.1*5*8</f>
        <v>0.40000000000000008</v>
      </c>
      <c r="H491" s="538"/>
    </row>
    <row r="492" spans="3:8" x14ac:dyDescent="0.25">
      <c r="C492" s="73"/>
      <c r="D492" s="73"/>
      <c r="E492" s="75" t="s">
        <v>5055</v>
      </c>
      <c r="F492" s="74"/>
      <c r="G492" s="153"/>
      <c r="H492" s="538"/>
    </row>
    <row r="493" spans="3:8" x14ac:dyDescent="0.25">
      <c r="C493" s="73"/>
      <c r="D493" s="73"/>
      <c r="E493" s="73" t="s">
        <v>5056</v>
      </c>
      <c r="F493" s="74" t="s">
        <v>3</v>
      </c>
      <c r="G493" s="153">
        <f>1.76*0.122</f>
        <v>0.21471999999999999</v>
      </c>
      <c r="H493" s="538"/>
    </row>
    <row r="494" spans="3:8" x14ac:dyDescent="0.25">
      <c r="C494" s="73"/>
      <c r="D494" s="75" t="s">
        <v>5052</v>
      </c>
      <c r="E494" s="73"/>
      <c r="F494" s="74"/>
      <c r="G494" s="153"/>
      <c r="H494" s="538"/>
    </row>
    <row r="495" spans="3:8" x14ac:dyDescent="0.25">
      <c r="C495" s="73"/>
      <c r="D495" s="77" t="s">
        <v>39</v>
      </c>
      <c r="E495" s="73"/>
      <c r="F495" s="74" t="s">
        <v>3</v>
      </c>
      <c r="G495" s="427">
        <f>(0.032*3.14*2)*0.08*1.22</f>
        <v>1.9613695999999996E-2</v>
      </c>
      <c r="H495" s="538"/>
    </row>
    <row r="496" spans="3:8" ht="17.25" x14ac:dyDescent="0.25">
      <c r="C496" s="73"/>
      <c r="D496" s="77" t="s">
        <v>1055</v>
      </c>
      <c r="E496" s="73"/>
      <c r="F496" s="74" t="s">
        <v>596</v>
      </c>
      <c r="G496" s="153">
        <f>1.5*G495</f>
        <v>2.9420543999999993E-2</v>
      </c>
      <c r="H496" s="538"/>
    </row>
    <row r="497" spans="3:8" x14ac:dyDescent="0.25">
      <c r="C497" s="73"/>
      <c r="D497" s="186" t="s">
        <v>143</v>
      </c>
      <c r="E497" s="73"/>
      <c r="F497" s="74" t="s">
        <v>3</v>
      </c>
      <c r="G497" s="153">
        <f>0.13*0.02*2*1.25</f>
        <v>6.5000000000000006E-3</v>
      </c>
      <c r="H497" s="538"/>
    </row>
    <row r="498" spans="3:8" x14ac:dyDescent="0.25">
      <c r="C498" s="73"/>
      <c r="D498" s="186" t="s">
        <v>12</v>
      </c>
      <c r="E498" s="73"/>
      <c r="F498" s="74" t="s">
        <v>3</v>
      </c>
      <c r="G498" s="153">
        <f>0.3*G497</f>
        <v>1.9500000000000001E-3</v>
      </c>
      <c r="H498" s="538"/>
    </row>
    <row r="499" spans="3:8" x14ac:dyDescent="0.25">
      <c r="C499" s="73"/>
      <c r="D499" s="186"/>
      <c r="E499" s="75" t="s">
        <v>5058</v>
      </c>
      <c r="F499" s="74"/>
      <c r="G499" s="153"/>
      <c r="H499" s="538"/>
    </row>
    <row r="500" spans="3:8" x14ac:dyDescent="0.25">
      <c r="C500" s="73"/>
      <c r="D500" s="186"/>
      <c r="E500" s="73" t="s">
        <v>5056</v>
      </c>
      <c r="F500" s="74" t="s">
        <v>3</v>
      </c>
      <c r="G500" s="153">
        <f>1.76*0.171</f>
        <v>0.30096000000000001</v>
      </c>
      <c r="H500" s="538"/>
    </row>
    <row r="501" spans="3:8" x14ac:dyDescent="0.25">
      <c r="C501" s="73"/>
      <c r="D501" s="75" t="s">
        <v>5053</v>
      </c>
      <c r="E501" s="73"/>
      <c r="F501" s="74"/>
      <c r="G501" s="153"/>
      <c r="H501" s="538"/>
    </row>
    <row r="502" spans="3:8" x14ac:dyDescent="0.25">
      <c r="C502" s="73"/>
      <c r="D502" s="73" t="s">
        <v>4981</v>
      </c>
      <c r="E502" s="73"/>
      <c r="F502" s="74" t="s">
        <v>195</v>
      </c>
      <c r="G502" s="153">
        <v>0.66</v>
      </c>
      <c r="H502" s="538"/>
    </row>
    <row r="503" spans="3:8" x14ac:dyDescent="0.25">
      <c r="G503" s="10"/>
      <c r="H503" s="538"/>
    </row>
    <row r="504" spans="3:8" x14ac:dyDescent="0.25">
      <c r="C504" s="75" t="s">
        <v>5060</v>
      </c>
      <c r="D504" s="73"/>
      <c r="E504" s="73"/>
      <c r="F504" s="74"/>
      <c r="G504" s="153"/>
      <c r="H504" s="538"/>
    </row>
    <row r="505" spans="3:8" x14ac:dyDescent="0.25">
      <c r="C505" s="73" t="s">
        <v>4815</v>
      </c>
      <c r="D505" s="73"/>
      <c r="E505" s="73"/>
      <c r="F505" s="74" t="s">
        <v>3</v>
      </c>
      <c r="G505" s="153">
        <v>5.0000000000000001E-3</v>
      </c>
      <c r="H505" s="538"/>
    </row>
    <row r="506" spans="3:8" x14ac:dyDescent="0.25">
      <c r="C506" s="73"/>
      <c r="D506" s="75" t="s">
        <v>5062</v>
      </c>
      <c r="E506" s="73"/>
      <c r="F506" s="74"/>
      <c r="G506" s="153"/>
      <c r="H506" s="538"/>
    </row>
    <row r="507" spans="3:8" x14ac:dyDescent="0.25">
      <c r="C507" s="73"/>
      <c r="D507" s="77" t="s">
        <v>39</v>
      </c>
      <c r="E507" s="73"/>
      <c r="F507" s="74" t="s">
        <v>3</v>
      </c>
      <c r="G507" s="427">
        <f>(0.032*3.14*2)*0.08*1.22</f>
        <v>1.9613695999999996E-2</v>
      </c>
      <c r="H507" s="538"/>
    </row>
    <row r="508" spans="3:8" ht="17.25" x14ac:dyDescent="0.25">
      <c r="C508" s="73"/>
      <c r="D508" s="77" t="s">
        <v>1055</v>
      </c>
      <c r="E508" s="73"/>
      <c r="F508" s="74" t="s">
        <v>596</v>
      </c>
      <c r="G508" s="153">
        <f>1.5*G507</f>
        <v>2.9420543999999993E-2</v>
      </c>
      <c r="H508" s="538"/>
    </row>
    <row r="509" spans="3:8" x14ac:dyDescent="0.25">
      <c r="C509" s="73"/>
      <c r="D509" s="186" t="s">
        <v>143</v>
      </c>
      <c r="E509" s="73"/>
      <c r="F509" s="74" t="s">
        <v>3</v>
      </c>
      <c r="G509" s="153">
        <f>0.13*0.02*2*1.25</f>
        <v>6.5000000000000006E-3</v>
      </c>
      <c r="H509" s="538"/>
    </row>
    <row r="510" spans="3:8" x14ac:dyDescent="0.25">
      <c r="C510" s="73"/>
      <c r="D510" s="186" t="s">
        <v>12</v>
      </c>
      <c r="E510" s="73"/>
      <c r="F510" s="74" t="s">
        <v>3</v>
      </c>
      <c r="G510" s="153">
        <f>0.3*G509</f>
        <v>1.9500000000000001E-3</v>
      </c>
      <c r="H510" s="538"/>
    </row>
    <row r="511" spans="3:8" x14ac:dyDescent="0.25">
      <c r="C511" s="73"/>
      <c r="D511" s="75"/>
      <c r="E511" s="75" t="s">
        <v>5064</v>
      </c>
      <c r="F511" s="74"/>
      <c r="G511" s="153"/>
      <c r="H511" s="538"/>
    </row>
    <row r="512" spans="3:8" x14ac:dyDescent="0.25">
      <c r="C512" s="73"/>
      <c r="D512" s="73"/>
      <c r="E512" s="73" t="s">
        <v>5056</v>
      </c>
      <c r="F512" s="74" t="s">
        <v>3</v>
      </c>
      <c r="G512" s="153">
        <f>1.76*0.2045</f>
        <v>0.35991999999999996</v>
      </c>
      <c r="H512" s="538"/>
    </row>
    <row r="513" spans="3:8" x14ac:dyDescent="0.25">
      <c r="C513" s="73"/>
      <c r="D513" s="75" t="s">
        <v>5063</v>
      </c>
      <c r="E513" s="73"/>
      <c r="F513" s="74"/>
      <c r="G513" s="153"/>
      <c r="H513" s="538"/>
    </row>
    <row r="514" spans="3:8" x14ac:dyDescent="0.25">
      <c r="C514" s="73"/>
      <c r="D514" s="100" t="s">
        <v>140</v>
      </c>
      <c r="E514" s="73"/>
      <c r="F514" s="74" t="s">
        <v>3</v>
      </c>
      <c r="G514" s="153">
        <f>0.025*3.14*2*0.08*1.2</f>
        <v>1.5072000000000002E-2</v>
      </c>
      <c r="H514" s="538"/>
    </row>
    <row r="515" spans="3:8" ht="17.25" x14ac:dyDescent="0.25">
      <c r="C515" s="73"/>
      <c r="D515" s="100" t="s">
        <v>23</v>
      </c>
      <c r="E515" s="73"/>
      <c r="F515" s="74" t="s">
        <v>596</v>
      </c>
      <c r="G515" s="153">
        <f>G514*2</f>
        <v>3.0144000000000004E-2</v>
      </c>
      <c r="H515" s="538"/>
    </row>
    <row r="516" spans="3:8" x14ac:dyDescent="0.25">
      <c r="C516" s="73"/>
      <c r="D516" s="100" t="s">
        <v>142</v>
      </c>
      <c r="E516" s="73"/>
      <c r="F516" s="74" t="s">
        <v>3</v>
      </c>
      <c r="G516" s="153">
        <f>G514/4</f>
        <v>3.7680000000000005E-3</v>
      </c>
      <c r="H516" s="538"/>
    </row>
    <row r="517" spans="3:8" x14ac:dyDescent="0.25">
      <c r="C517" s="73"/>
      <c r="D517" s="186" t="s">
        <v>143</v>
      </c>
      <c r="E517" s="73"/>
      <c r="F517" s="74" t="s">
        <v>3</v>
      </c>
      <c r="G517" s="153">
        <f>0.28*0.02*1.35</f>
        <v>7.5600000000000016E-3</v>
      </c>
      <c r="H517" s="538"/>
    </row>
    <row r="518" spans="3:8" x14ac:dyDescent="0.25">
      <c r="C518" s="73"/>
      <c r="D518" s="186" t="s">
        <v>12</v>
      </c>
      <c r="E518" s="73"/>
      <c r="F518" s="74" t="s">
        <v>3</v>
      </c>
      <c r="G518" s="153">
        <f>0.3*G517</f>
        <v>2.2680000000000005E-3</v>
      </c>
      <c r="H518" s="538"/>
    </row>
    <row r="519" spans="3:8" x14ac:dyDescent="0.25">
      <c r="C519" s="73"/>
      <c r="D519" s="73"/>
      <c r="E519" s="75" t="s">
        <v>5066</v>
      </c>
      <c r="F519" s="74"/>
      <c r="G519" s="153"/>
      <c r="H519" s="538"/>
    </row>
    <row r="520" spans="3:8" x14ac:dyDescent="0.25">
      <c r="C520" s="73"/>
      <c r="D520" s="73"/>
      <c r="E520" s="100" t="s">
        <v>5067</v>
      </c>
      <c r="F520" s="74" t="s">
        <v>3</v>
      </c>
      <c r="G520" s="153">
        <f>0.592*0.254</f>
        <v>0.150368</v>
      </c>
      <c r="H520" s="538"/>
    </row>
    <row r="521" spans="3:8" x14ac:dyDescent="0.25">
      <c r="C521" s="73"/>
      <c r="D521" s="75" t="s">
        <v>5061</v>
      </c>
      <c r="E521" s="73"/>
      <c r="F521" s="74"/>
      <c r="G521" s="153"/>
      <c r="H521" s="538"/>
    </row>
    <row r="522" spans="3:8" x14ac:dyDescent="0.25">
      <c r="C522" s="73"/>
      <c r="D522" s="73" t="s">
        <v>4981</v>
      </c>
      <c r="E522" s="73"/>
      <c r="F522" s="74" t="s">
        <v>195</v>
      </c>
      <c r="G522" s="153">
        <v>0.6</v>
      </c>
      <c r="H522" s="538"/>
    </row>
    <row r="523" spans="3:8" x14ac:dyDescent="0.25">
      <c r="G523" s="10"/>
      <c r="H523" s="538"/>
    </row>
    <row r="524" spans="3:8" x14ac:dyDescent="0.25">
      <c r="C524" s="75" t="s">
        <v>5081</v>
      </c>
      <c r="D524" s="73"/>
      <c r="E524" s="73"/>
      <c r="F524" s="74"/>
      <c r="G524" s="153"/>
      <c r="H524" s="538"/>
    </row>
    <row r="525" spans="3:8" x14ac:dyDescent="0.25">
      <c r="C525" s="77" t="s">
        <v>39</v>
      </c>
      <c r="D525" s="73"/>
      <c r="E525" s="73"/>
      <c r="F525" s="74" t="s">
        <v>3</v>
      </c>
      <c r="G525" s="427">
        <f>0.02*3.14*2*0.08*1.22</f>
        <v>1.2258560000000002E-2</v>
      </c>
      <c r="H525" s="538"/>
    </row>
    <row r="526" spans="3:8" ht="17.25" x14ac:dyDescent="0.25">
      <c r="C526" s="77" t="s">
        <v>1055</v>
      </c>
      <c r="D526" s="73"/>
      <c r="E526" s="73"/>
      <c r="F526" s="74" t="s">
        <v>596</v>
      </c>
      <c r="G526" s="153">
        <f>1.5*G525</f>
        <v>1.8387840000000003E-2</v>
      </c>
      <c r="H526" s="538"/>
    </row>
    <row r="527" spans="3:8" x14ac:dyDescent="0.25">
      <c r="C527" s="186" t="s">
        <v>325</v>
      </c>
      <c r="D527" s="73"/>
      <c r="E527" s="73"/>
      <c r="F527" s="74" t="s">
        <v>3</v>
      </c>
      <c r="G527" s="153">
        <f>1*0.011*2.5</f>
        <v>2.7499999999999997E-2</v>
      </c>
      <c r="H527" s="538"/>
    </row>
    <row r="528" spans="3:8" x14ac:dyDescent="0.25">
      <c r="C528" s="186" t="s">
        <v>12</v>
      </c>
      <c r="D528" s="73"/>
      <c r="E528" s="73"/>
      <c r="F528" s="74" t="s">
        <v>3</v>
      </c>
      <c r="G528" s="153">
        <f>0.3*G527</f>
        <v>8.2499999999999987E-3</v>
      </c>
      <c r="H528" s="538"/>
    </row>
    <row r="529" spans="3:8" x14ac:dyDescent="0.25">
      <c r="C529" s="73"/>
      <c r="D529" s="75" t="s">
        <v>5082</v>
      </c>
      <c r="E529" s="73"/>
      <c r="F529" s="74"/>
      <c r="G529" s="153"/>
      <c r="H529" s="538"/>
    </row>
    <row r="530" spans="3:8" x14ac:dyDescent="0.25">
      <c r="C530" s="73"/>
      <c r="D530" s="73" t="s">
        <v>5044</v>
      </c>
      <c r="E530" s="73"/>
      <c r="F530" s="74" t="s">
        <v>3</v>
      </c>
      <c r="G530" s="153">
        <f>0.469*1.024</f>
        <v>0.48025599999999996</v>
      </c>
      <c r="H530" s="538"/>
    </row>
    <row r="531" spans="3:8" s="767" customFormat="1" x14ac:dyDescent="0.25">
      <c r="C531" s="73"/>
      <c r="D531" s="73"/>
      <c r="E531" s="73"/>
      <c r="F531" s="74"/>
      <c r="G531" s="153"/>
      <c r="H531" s="538"/>
    </row>
    <row r="532" spans="3:8" x14ac:dyDescent="0.25">
      <c r="C532" s="75" t="s">
        <v>5019</v>
      </c>
      <c r="D532" s="73"/>
      <c r="E532" s="73"/>
      <c r="F532" s="74"/>
      <c r="G532" s="153"/>
      <c r="H532" s="538"/>
    </row>
    <row r="533" spans="3:8" x14ac:dyDescent="0.25">
      <c r="C533" s="100" t="s">
        <v>140</v>
      </c>
      <c r="D533" s="73"/>
      <c r="E533" s="73"/>
      <c r="F533" s="74" t="s">
        <v>3</v>
      </c>
      <c r="G533" s="153">
        <f>0.012*3.14*0.08*1.2</f>
        <v>3.6172800000000005E-3</v>
      </c>
      <c r="H533" s="538"/>
    </row>
    <row r="534" spans="3:8" ht="17.25" x14ac:dyDescent="0.25">
      <c r="C534" s="100" t="s">
        <v>23</v>
      </c>
      <c r="D534" s="73"/>
      <c r="E534" s="73"/>
      <c r="F534" s="74" t="s">
        <v>596</v>
      </c>
      <c r="G534" s="153">
        <f>G533*2</f>
        <v>7.234560000000001E-3</v>
      </c>
      <c r="H534" s="538"/>
    </row>
    <row r="535" spans="3:8" x14ac:dyDescent="0.25">
      <c r="C535" s="100" t="s">
        <v>142</v>
      </c>
      <c r="D535" s="73"/>
      <c r="E535" s="73"/>
      <c r="F535" s="74" t="s">
        <v>3</v>
      </c>
      <c r="G535" s="153">
        <f>G533/4</f>
        <v>9.0432000000000012E-4</v>
      </c>
      <c r="H535" s="538"/>
    </row>
    <row r="536" spans="3:8" x14ac:dyDescent="0.25">
      <c r="C536" s="186" t="s">
        <v>143</v>
      </c>
      <c r="D536" s="73"/>
      <c r="E536" s="73"/>
      <c r="F536" s="74" t="s">
        <v>3</v>
      </c>
      <c r="G536" s="153">
        <f>0.2*0.011*2*1.12</f>
        <v>4.928000000000001E-3</v>
      </c>
      <c r="H536" s="538"/>
    </row>
    <row r="537" spans="3:8" x14ac:dyDescent="0.25">
      <c r="C537" s="186" t="s">
        <v>12</v>
      </c>
      <c r="D537" s="73"/>
      <c r="E537" s="73"/>
      <c r="F537" s="74" t="s">
        <v>3</v>
      </c>
      <c r="G537" s="153">
        <f>0.3*G536</f>
        <v>1.4784000000000002E-3</v>
      </c>
      <c r="H537" s="538"/>
    </row>
    <row r="538" spans="3:8" x14ac:dyDescent="0.25">
      <c r="C538" s="186" t="s">
        <v>325</v>
      </c>
      <c r="D538" s="73"/>
      <c r="E538" s="73"/>
      <c r="F538" s="74" t="s">
        <v>3</v>
      </c>
      <c r="G538" s="153">
        <f>0.25*0.011*1.5</f>
        <v>4.1250000000000002E-3</v>
      </c>
      <c r="H538" s="538"/>
    </row>
    <row r="539" spans="3:8" x14ac:dyDescent="0.25">
      <c r="C539" s="186" t="s">
        <v>12</v>
      </c>
      <c r="D539" s="73"/>
      <c r="E539" s="73"/>
      <c r="F539" s="74" t="s">
        <v>3</v>
      </c>
      <c r="G539" s="153">
        <f>0.3*G538</f>
        <v>1.2375000000000001E-3</v>
      </c>
      <c r="H539" s="538"/>
    </row>
    <row r="540" spans="3:8" x14ac:dyDescent="0.25">
      <c r="C540" s="73"/>
      <c r="D540" s="75" t="s">
        <v>5020</v>
      </c>
      <c r="E540" s="73"/>
      <c r="F540" s="74"/>
      <c r="G540" s="153"/>
      <c r="H540" s="538"/>
    </row>
    <row r="541" spans="3:8" x14ac:dyDescent="0.25">
      <c r="C541" s="73"/>
      <c r="D541" s="73" t="s">
        <v>5021</v>
      </c>
      <c r="E541" s="73"/>
      <c r="F541" s="74" t="s">
        <v>3</v>
      </c>
      <c r="G541" s="153">
        <f>0.271*0.24</f>
        <v>6.5040000000000001E-2</v>
      </c>
      <c r="H541" s="538"/>
    </row>
    <row r="542" spans="3:8" x14ac:dyDescent="0.25">
      <c r="C542" s="73"/>
      <c r="D542" s="73"/>
      <c r="E542" s="73"/>
      <c r="F542" s="74"/>
      <c r="G542" s="153"/>
      <c r="H542" s="538"/>
    </row>
    <row r="543" spans="3:8" x14ac:dyDescent="0.25">
      <c r="C543" s="75" t="s">
        <v>5038</v>
      </c>
      <c r="D543" s="73"/>
      <c r="E543" s="73"/>
      <c r="F543" s="74"/>
      <c r="G543" s="153"/>
      <c r="H543" s="538"/>
    </row>
    <row r="544" spans="3:8" x14ac:dyDescent="0.25">
      <c r="C544" s="100" t="s">
        <v>140</v>
      </c>
      <c r="D544" s="73"/>
      <c r="E544" s="73"/>
      <c r="F544" s="74" t="s">
        <v>3</v>
      </c>
      <c r="G544" s="153">
        <f>0.012*3.14*2*0.08*1.2</f>
        <v>7.234560000000001E-3</v>
      </c>
      <c r="H544" s="538"/>
    </row>
    <row r="545" spans="3:8" ht="17.25" x14ac:dyDescent="0.25">
      <c r="C545" s="100" t="s">
        <v>23</v>
      </c>
      <c r="D545" s="73"/>
      <c r="E545" s="73"/>
      <c r="F545" s="74" t="s">
        <v>596</v>
      </c>
      <c r="G545" s="153">
        <f>G544*2</f>
        <v>1.4469120000000002E-2</v>
      </c>
      <c r="H545" s="538"/>
    </row>
    <row r="546" spans="3:8" x14ac:dyDescent="0.25">
      <c r="C546" s="100" t="s">
        <v>142</v>
      </c>
      <c r="D546" s="73"/>
      <c r="E546" s="73"/>
      <c r="F546" s="74" t="s">
        <v>3</v>
      </c>
      <c r="G546" s="153">
        <f>G544/4</f>
        <v>1.8086400000000002E-3</v>
      </c>
      <c r="H546" s="538"/>
    </row>
    <row r="547" spans="3:8" x14ac:dyDescent="0.25">
      <c r="C547" s="186" t="s">
        <v>143</v>
      </c>
      <c r="D547" s="73"/>
      <c r="E547" s="73"/>
      <c r="F547" s="74" t="s">
        <v>3</v>
      </c>
      <c r="G547" s="153">
        <f>0.3*0.011*2*1.15</f>
        <v>7.5899999999999987E-3</v>
      </c>
      <c r="H547" s="538"/>
    </row>
    <row r="548" spans="3:8" x14ac:dyDescent="0.25">
      <c r="C548" s="186" t="s">
        <v>12</v>
      </c>
      <c r="D548" s="73"/>
      <c r="E548" s="73"/>
      <c r="F548" s="74" t="s">
        <v>3</v>
      </c>
      <c r="G548" s="153">
        <f>0.3*G547</f>
        <v>2.2769999999999995E-3</v>
      </c>
      <c r="H548" s="538"/>
    </row>
    <row r="549" spans="3:8" x14ac:dyDescent="0.25">
      <c r="C549" s="186" t="s">
        <v>325</v>
      </c>
      <c r="D549" s="73"/>
      <c r="E549" s="73"/>
      <c r="F549" s="74" t="s">
        <v>3</v>
      </c>
      <c r="G549" s="153">
        <f>0.35*0.011*1.5</f>
        <v>5.7749999999999998E-3</v>
      </c>
      <c r="H549" s="538"/>
    </row>
    <row r="550" spans="3:8" x14ac:dyDescent="0.25">
      <c r="C550" s="186" t="s">
        <v>12</v>
      </c>
      <c r="D550" s="73"/>
      <c r="E550" s="73"/>
      <c r="F550" s="74" t="s">
        <v>3</v>
      </c>
      <c r="G550" s="153">
        <f>0.3*G549</f>
        <v>1.7324999999999999E-3</v>
      </c>
      <c r="H550" s="538"/>
    </row>
    <row r="551" spans="3:8" x14ac:dyDescent="0.25">
      <c r="C551" s="73"/>
      <c r="D551" s="75" t="s">
        <v>5039</v>
      </c>
      <c r="E551" s="73"/>
      <c r="F551" s="74"/>
      <c r="G551" s="153"/>
      <c r="H551" s="538"/>
    </row>
    <row r="552" spans="3:8" x14ac:dyDescent="0.25">
      <c r="C552" s="73"/>
      <c r="D552" s="73" t="s">
        <v>5021</v>
      </c>
      <c r="E552" s="73"/>
      <c r="F552" s="74" t="s">
        <v>3</v>
      </c>
      <c r="G552" s="153">
        <f>0.271*0.15</f>
        <v>4.0649999999999999E-2</v>
      </c>
      <c r="H552" s="538"/>
    </row>
    <row r="553" spans="3:8" x14ac:dyDescent="0.25">
      <c r="C553" s="73"/>
      <c r="D553" s="75" t="s">
        <v>5040</v>
      </c>
      <c r="E553" s="73"/>
      <c r="F553" s="74"/>
      <c r="G553" s="153"/>
      <c r="H553" s="538"/>
    </row>
    <row r="554" spans="3:8" x14ac:dyDescent="0.25">
      <c r="C554" s="73"/>
      <c r="D554" s="73" t="s">
        <v>5021</v>
      </c>
      <c r="E554" s="73"/>
      <c r="F554" s="74" t="s">
        <v>3</v>
      </c>
      <c r="G554" s="153">
        <f>0.271*0.185</f>
        <v>5.0135000000000006E-2</v>
      </c>
      <c r="H554" s="538"/>
    </row>
    <row r="555" spans="3:8" x14ac:dyDescent="0.25">
      <c r="C555" s="73"/>
      <c r="D555" s="73"/>
      <c r="E555" s="73"/>
      <c r="F555" s="74"/>
      <c r="G555" s="153"/>
      <c r="H555" s="538"/>
    </row>
    <row r="556" spans="3:8" x14ac:dyDescent="0.25">
      <c r="C556" s="75" t="s">
        <v>5042</v>
      </c>
      <c r="D556" s="73"/>
      <c r="E556" s="73"/>
      <c r="F556" s="74"/>
      <c r="G556" s="153"/>
      <c r="H556" s="538"/>
    </row>
    <row r="557" spans="3:8" x14ac:dyDescent="0.25">
      <c r="C557" s="100" t="s">
        <v>140</v>
      </c>
      <c r="D557" s="73"/>
      <c r="E557" s="73"/>
      <c r="F557" s="74" t="s">
        <v>3</v>
      </c>
      <c r="G557" s="153">
        <f>0.02*3.14*0.08*1.2</f>
        <v>6.0288000000000008E-3</v>
      </c>
      <c r="H557" s="538"/>
    </row>
    <row r="558" spans="3:8" ht="17.25" x14ac:dyDescent="0.25">
      <c r="C558" s="100" t="s">
        <v>23</v>
      </c>
      <c r="D558" s="73"/>
      <c r="E558" s="73"/>
      <c r="F558" s="74" t="s">
        <v>596</v>
      </c>
      <c r="G558" s="153">
        <f>G557*2</f>
        <v>1.2057600000000002E-2</v>
      </c>
      <c r="H558" s="538"/>
    </row>
    <row r="559" spans="3:8" x14ac:dyDescent="0.25">
      <c r="C559" s="100" t="s">
        <v>142</v>
      </c>
      <c r="D559" s="73"/>
      <c r="E559" s="73"/>
      <c r="F559" s="74" t="s">
        <v>3</v>
      </c>
      <c r="G559" s="153">
        <f>G557/4</f>
        <v>1.5072000000000002E-3</v>
      </c>
      <c r="H559" s="538"/>
    </row>
    <row r="560" spans="3:8" x14ac:dyDescent="0.25">
      <c r="C560" s="186" t="s">
        <v>143</v>
      </c>
      <c r="D560" s="73"/>
      <c r="E560" s="73"/>
      <c r="F560" s="74" t="s">
        <v>3</v>
      </c>
      <c r="G560" s="153">
        <f>0.1*0.011*2*1.25</f>
        <v>2.7500000000000003E-3</v>
      </c>
      <c r="H560" s="538"/>
    </row>
    <row r="561" spans="3:8" x14ac:dyDescent="0.25">
      <c r="C561" s="186" t="s">
        <v>12</v>
      </c>
      <c r="D561" s="73"/>
      <c r="E561" s="73"/>
      <c r="F561" s="74" t="s">
        <v>3</v>
      </c>
      <c r="G561" s="153">
        <f>0.3*G560</f>
        <v>8.250000000000001E-4</v>
      </c>
      <c r="H561" s="538"/>
    </row>
    <row r="562" spans="3:8" x14ac:dyDescent="0.25">
      <c r="C562" s="186" t="s">
        <v>325</v>
      </c>
      <c r="D562" s="73"/>
      <c r="E562" s="73"/>
      <c r="F562" s="74" t="s">
        <v>3</v>
      </c>
      <c r="G562" s="153">
        <f>0.1*0.011*1.59</f>
        <v>1.7490000000000001E-3</v>
      </c>
      <c r="H562" s="538"/>
    </row>
    <row r="563" spans="3:8" x14ac:dyDescent="0.25">
      <c r="C563" s="186" t="s">
        <v>12</v>
      </c>
      <c r="D563" s="73"/>
      <c r="E563" s="73"/>
      <c r="F563" s="74" t="s">
        <v>3</v>
      </c>
      <c r="G563" s="153">
        <f>0.3*G562</f>
        <v>5.2470000000000001E-4</v>
      </c>
      <c r="H563" s="538"/>
    </row>
    <row r="564" spans="3:8" x14ac:dyDescent="0.25">
      <c r="C564" s="73"/>
      <c r="D564" s="75" t="s">
        <v>5043</v>
      </c>
      <c r="E564" s="73"/>
      <c r="F564" s="74"/>
      <c r="G564" s="153"/>
      <c r="H564" s="538"/>
    </row>
    <row r="565" spans="3:8" x14ac:dyDescent="0.25">
      <c r="C565" s="73"/>
      <c r="D565" s="73" t="s">
        <v>5044</v>
      </c>
      <c r="E565" s="73"/>
      <c r="F565" s="74" t="s">
        <v>3</v>
      </c>
      <c r="G565" s="153">
        <f>0.469*0.1*1</f>
        <v>4.6899999999999997E-2</v>
      </c>
      <c r="H565" s="538"/>
    </row>
    <row r="566" spans="3:8" x14ac:dyDescent="0.25">
      <c r="C566" s="73"/>
      <c r="D566" s="73"/>
      <c r="E566" s="73"/>
      <c r="F566" s="74"/>
      <c r="G566" s="153"/>
      <c r="H566" s="538"/>
    </row>
    <row r="567" spans="3:8" x14ac:dyDescent="0.25">
      <c r="C567" s="75" t="s">
        <v>5047</v>
      </c>
      <c r="D567" s="73"/>
      <c r="E567" s="73"/>
      <c r="F567" s="74"/>
      <c r="G567" s="153"/>
      <c r="H567" s="538"/>
    </row>
    <row r="568" spans="3:8" x14ac:dyDescent="0.25">
      <c r="C568" s="100" t="s">
        <v>140</v>
      </c>
      <c r="D568" s="73"/>
      <c r="E568" s="73"/>
      <c r="F568" s="74" t="s">
        <v>3</v>
      </c>
      <c r="G568" s="153">
        <f>0.016*3.14*0.08*1.2</f>
        <v>4.8230399999999998E-3</v>
      </c>
      <c r="H568" s="538"/>
    </row>
    <row r="569" spans="3:8" ht="17.25" x14ac:dyDescent="0.25">
      <c r="C569" s="100" t="s">
        <v>23</v>
      </c>
      <c r="D569" s="73"/>
      <c r="E569" s="73"/>
      <c r="F569" s="74" t="s">
        <v>596</v>
      </c>
      <c r="G569" s="153">
        <f>G568*2</f>
        <v>9.6460799999999996E-3</v>
      </c>
      <c r="H569" s="538"/>
    </row>
    <row r="570" spans="3:8" x14ac:dyDescent="0.25">
      <c r="C570" s="100" t="s">
        <v>142</v>
      </c>
      <c r="D570" s="73"/>
      <c r="E570" s="73"/>
      <c r="F570" s="74" t="s">
        <v>3</v>
      </c>
      <c r="G570" s="153">
        <f>G568/4</f>
        <v>1.2057599999999999E-3</v>
      </c>
      <c r="H570" s="538"/>
    </row>
    <row r="571" spans="3:8" x14ac:dyDescent="0.25">
      <c r="C571" s="186" t="s">
        <v>143</v>
      </c>
      <c r="D571" s="73"/>
      <c r="E571" s="73"/>
      <c r="F571" s="74" t="s">
        <v>3</v>
      </c>
      <c r="G571" s="153">
        <f>0.1*0.011*2*1.25</f>
        <v>2.7500000000000003E-3</v>
      </c>
      <c r="H571" s="538"/>
    </row>
    <row r="572" spans="3:8" x14ac:dyDescent="0.25">
      <c r="C572" s="186" t="s">
        <v>12</v>
      </c>
      <c r="D572" s="73"/>
      <c r="E572" s="73"/>
      <c r="F572" s="74" t="s">
        <v>3</v>
      </c>
      <c r="G572" s="153">
        <f>0.3*G571</f>
        <v>8.250000000000001E-4</v>
      </c>
      <c r="H572" s="538"/>
    </row>
    <row r="573" spans="3:8" x14ac:dyDescent="0.25">
      <c r="C573" s="186" t="s">
        <v>325</v>
      </c>
      <c r="D573" s="73"/>
      <c r="E573" s="73"/>
      <c r="F573" s="74" t="s">
        <v>3</v>
      </c>
      <c r="G573" s="153">
        <f>0.065*0.011*2.5</f>
        <v>1.7875E-3</v>
      </c>
      <c r="H573" s="538"/>
    </row>
    <row r="574" spans="3:8" x14ac:dyDescent="0.25">
      <c r="C574" s="186" t="s">
        <v>12</v>
      </c>
      <c r="D574" s="73"/>
      <c r="E574" s="73"/>
      <c r="F574" s="74" t="s">
        <v>3</v>
      </c>
      <c r="G574" s="153">
        <f>0.3*G573</f>
        <v>5.3624999999999994E-4</v>
      </c>
      <c r="H574" s="538"/>
    </row>
    <row r="575" spans="3:8" x14ac:dyDescent="0.25">
      <c r="C575" s="73"/>
      <c r="D575" s="75" t="s">
        <v>5046</v>
      </c>
      <c r="E575" s="73"/>
      <c r="F575" s="74"/>
      <c r="G575" s="153"/>
      <c r="H575" s="538"/>
    </row>
    <row r="576" spans="3:8" x14ac:dyDescent="0.25">
      <c r="C576" s="73"/>
      <c r="D576" s="73" t="s">
        <v>5048</v>
      </c>
      <c r="E576" s="73"/>
      <c r="F576" s="74" t="s">
        <v>3</v>
      </c>
      <c r="G576" s="153">
        <f>0.37*0.065</f>
        <v>2.4050000000000002E-2</v>
      </c>
      <c r="H576" s="538"/>
    </row>
    <row r="577" spans="1:8" x14ac:dyDescent="0.25">
      <c r="A577" s="539"/>
      <c r="B577" s="539"/>
      <c r="C577" s="539"/>
      <c r="D577" s="539"/>
      <c r="E577" s="539"/>
      <c r="F577" s="599"/>
      <c r="G577" s="600"/>
      <c r="H577" s="540"/>
    </row>
    <row r="578" spans="1:8" x14ac:dyDescent="0.25">
      <c r="G578" s="10"/>
      <c r="H578" s="631" t="s">
        <v>10273</v>
      </c>
    </row>
    <row r="579" spans="1:8" ht="18.75" x14ac:dyDescent="0.3">
      <c r="E579" s="110" t="s">
        <v>10259</v>
      </c>
      <c r="G579" s="10"/>
      <c r="H579" s="538"/>
    </row>
    <row r="580" spans="1:8" x14ac:dyDescent="0.25">
      <c r="G580" s="10"/>
      <c r="H580" s="538"/>
    </row>
    <row r="581" spans="1:8" x14ac:dyDescent="0.25">
      <c r="C581" s="3" t="s">
        <v>10260</v>
      </c>
      <c r="G581" s="10"/>
      <c r="H581" s="538"/>
    </row>
    <row r="582" spans="1:8" x14ac:dyDescent="0.25">
      <c r="C582" t="s">
        <v>10261</v>
      </c>
      <c r="F582" s="737" t="s">
        <v>3</v>
      </c>
      <c r="G582" s="15">
        <f>0.065*0.01*0.2*9*1.14</f>
        <v>1.3338E-3</v>
      </c>
      <c r="H582" s="538"/>
    </row>
    <row r="583" spans="1:8" x14ac:dyDescent="0.25">
      <c r="G583" s="10"/>
      <c r="H583" s="538"/>
    </row>
    <row r="584" spans="1:8" x14ac:dyDescent="0.25">
      <c r="C584" s="3" t="s">
        <v>10262</v>
      </c>
      <c r="G584" s="10"/>
      <c r="H584" s="538"/>
    </row>
    <row r="585" spans="1:8" x14ac:dyDescent="0.25">
      <c r="C585" t="s">
        <v>3724</v>
      </c>
      <c r="F585" s="737" t="s">
        <v>3</v>
      </c>
      <c r="G585" s="10">
        <v>2E-3</v>
      </c>
      <c r="H585" s="538"/>
    </row>
    <row r="586" spans="1:8" x14ac:dyDescent="0.25">
      <c r="D586" s="3" t="s">
        <v>10263</v>
      </c>
      <c r="G586" s="10"/>
      <c r="H586" s="538"/>
    </row>
    <row r="587" spans="1:8" s="767" customFormat="1" x14ac:dyDescent="0.25">
      <c r="D587" s="77" t="s">
        <v>39</v>
      </c>
      <c r="E587" s="73"/>
      <c r="F587" s="74" t="s">
        <v>3</v>
      </c>
      <c r="G587" s="427">
        <f>(0.18)*0.08*1.2</f>
        <v>1.728E-2</v>
      </c>
      <c r="H587" s="538"/>
    </row>
    <row r="588" spans="1:8" ht="17.25" x14ac:dyDescent="0.25">
      <c r="D588" s="77" t="s">
        <v>1055</v>
      </c>
      <c r="E588" s="73"/>
      <c r="F588" s="74" t="s">
        <v>596</v>
      </c>
      <c r="G588" s="153">
        <f>1.1*G587</f>
        <v>1.9008000000000001E-2</v>
      </c>
      <c r="H588" s="538"/>
    </row>
    <row r="589" spans="1:8" x14ac:dyDescent="0.25">
      <c r="E589" s="3" t="s">
        <v>10264</v>
      </c>
      <c r="G589" s="10"/>
      <c r="H589" s="538"/>
    </row>
    <row r="590" spans="1:8" x14ac:dyDescent="0.25">
      <c r="E590" s="767" t="s">
        <v>4910</v>
      </c>
      <c r="F590" s="737" t="s">
        <v>3</v>
      </c>
      <c r="G590" s="10">
        <f>(0.25*0.045+0.075*0.05)*1*8*1.15</f>
        <v>0.13799999999999998</v>
      </c>
      <c r="H590" s="538"/>
    </row>
    <row r="591" spans="1:8" s="767" customFormat="1" x14ac:dyDescent="0.25">
      <c r="E591" s="77" t="s">
        <v>39</v>
      </c>
      <c r="F591" s="74" t="s">
        <v>3</v>
      </c>
      <c r="G591" s="427">
        <f>(0.25)*0.08*1.2</f>
        <v>2.4E-2</v>
      </c>
      <c r="H591" s="538"/>
    </row>
    <row r="592" spans="1:8" s="767" customFormat="1" ht="17.25" x14ac:dyDescent="0.25">
      <c r="E592" s="77" t="s">
        <v>1055</v>
      </c>
      <c r="F592" s="74" t="s">
        <v>596</v>
      </c>
      <c r="G592" s="153">
        <f>1.1*G591</f>
        <v>2.6400000000000003E-2</v>
      </c>
      <c r="H592" s="538"/>
    </row>
    <row r="593" spans="1:9" x14ac:dyDescent="0.25">
      <c r="E593" s="3" t="s">
        <v>10265</v>
      </c>
      <c r="G593" s="570"/>
      <c r="H593" s="538"/>
    </row>
    <row r="594" spans="1:9" x14ac:dyDescent="0.25">
      <c r="E594" s="77" t="s">
        <v>10267</v>
      </c>
      <c r="F594" s="737" t="s">
        <v>3</v>
      </c>
      <c r="G594" s="10">
        <v>8.3000000000000004E-2</v>
      </c>
      <c r="H594" s="648"/>
      <c r="I594" t="s">
        <v>99</v>
      </c>
    </row>
    <row r="595" spans="1:9" x14ac:dyDescent="0.25">
      <c r="E595" s="3" t="s">
        <v>10266</v>
      </c>
      <c r="G595" s="10"/>
      <c r="H595" s="538"/>
    </row>
    <row r="596" spans="1:9" x14ac:dyDescent="0.25">
      <c r="E596" s="767" t="s">
        <v>9932</v>
      </c>
      <c r="F596" s="737" t="s">
        <v>3</v>
      </c>
      <c r="G596" s="10">
        <f>0.01*0.01*2*8*1.12</f>
        <v>1.7920000000000002E-3</v>
      </c>
      <c r="H596" s="538"/>
    </row>
    <row r="597" spans="1:9" x14ac:dyDescent="0.25">
      <c r="D597" s="77"/>
      <c r="E597" s="73"/>
      <c r="F597" s="74"/>
      <c r="G597" s="427"/>
      <c r="H597" s="538"/>
    </row>
    <row r="598" spans="1:9" x14ac:dyDescent="0.25">
      <c r="C598" s="3" t="s">
        <v>10269</v>
      </c>
      <c r="D598" s="77"/>
      <c r="E598" s="73"/>
      <c r="F598" s="74"/>
      <c r="G598" s="153"/>
      <c r="H598" s="538"/>
    </row>
    <row r="599" spans="1:9" s="767" customFormat="1" x14ac:dyDescent="0.25">
      <c r="C599" s="77" t="s">
        <v>39</v>
      </c>
      <c r="D599" s="73"/>
      <c r="F599" s="74" t="s">
        <v>3</v>
      </c>
      <c r="G599" s="427">
        <f>(0.07)*0.08*1.2</f>
        <v>6.7200000000000011E-3</v>
      </c>
      <c r="H599" s="538"/>
    </row>
    <row r="600" spans="1:9" ht="17.25" x14ac:dyDescent="0.25">
      <c r="C600" s="77" t="s">
        <v>1055</v>
      </c>
      <c r="D600" s="73"/>
      <c r="F600" s="74" t="s">
        <v>596</v>
      </c>
      <c r="G600" s="153">
        <f>1.1*G599</f>
        <v>7.3920000000000019E-3</v>
      </c>
      <c r="H600" s="538"/>
    </row>
    <row r="601" spans="1:9" x14ac:dyDescent="0.25">
      <c r="D601" s="3" t="s">
        <v>10268</v>
      </c>
      <c r="G601" s="10"/>
      <c r="H601" s="538"/>
    </row>
    <row r="602" spans="1:9" x14ac:dyDescent="0.25">
      <c r="D602" t="s">
        <v>10272</v>
      </c>
      <c r="F602" s="737" t="s">
        <v>3</v>
      </c>
      <c r="G602" s="10">
        <f>0.08*0.08*1.5*8*1.12</f>
        <v>8.6016000000000023E-2</v>
      </c>
      <c r="H602" s="538"/>
    </row>
    <row r="603" spans="1:9" x14ac:dyDescent="0.25">
      <c r="D603" s="3" t="s">
        <v>10270</v>
      </c>
      <c r="G603" s="10"/>
      <c r="H603" s="538"/>
    </row>
    <row r="604" spans="1:9" x14ac:dyDescent="0.25">
      <c r="D604" t="s">
        <v>10271</v>
      </c>
      <c r="F604" s="737" t="s">
        <v>3</v>
      </c>
      <c r="G604" s="10">
        <f>0.78*0.037</f>
        <v>2.886E-2</v>
      </c>
      <c r="H604" s="648"/>
      <c r="I604" t="s">
        <v>99</v>
      </c>
    </row>
    <row r="605" spans="1:9" x14ac:dyDescent="0.25">
      <c r="A605" s="539"/>
      <c r="B605" s="539"/>
      <c r="C605" s="539"/>
      <c r="D605" s="539"/>
      <c r="E605" s="539"/>
      <c r="F605" s="599"/>
      <c r="G605" s="600"/>
      <c r="H605" s="540"/>
    </row>
    <row r="606" spans="1:9" x14ac:dyDescent="0.25">
      <c r="G606" s="10"/>
      <c r="H606" s="631" t="s">
        <v>10273</v>
      </c>
    </row>
    <row r="607" spans="1:9" s="767" customFormat="1" ht="18.75" x14ac:dyDescent="0.3">
      <c r="E607" s="594" t="s">
        <v>10359</v>
      </c>
      <c r="F607" s="803"/>
      <c r="G607" s="10"/>
      <c r="H607" s="538"/>
    </row>
    <row r="608" spans="1:9" s="767" customFormat="1" x14ac:dyDescent="0.25">
      <c r="E608" s="570"/>
      <c r="F608" s="803"/>
      <c r="G608" s="10"/>
      <c r="H608" s="538"/>
    </row>
    <row r="609" spans="3:17" x14ac:dyDescent="0.25">
      <c r="G609" s="10"/>
      <c r="H609" s="538"/>
    </row>
    <row r="610" spans="3:17" x14ac:dyDescent="0.25">
      <c r="C610" s="3" t="s">
        <v>10197</v>
      </c>
      <c r="G610" s="10"/>
      <c r="H610" s="538"/>
    </row>
    <row r="611" spans="3:17" x14ac:dyDescent="0.25">
      <c r="C611" t="s">
        <v>10201</v>
      </c>
      <c r="F611" s="737" t="s">
        <v>195</v>
      </c>
      <c r="G611" s="10">
        <v>1</v>
      </c>
      <c r="H611" s="538"/>
      <c r="I611" s="789" t="s">
        <v>10149</v>
      </c>
      <c r="J611" s="790">
        <v>0.94</v>
      </c>
      <c r="K611" s="789" t="s">
        <v>10150</v>
      </c>
      <c r="L611" s="791">
        <v>1</v>
      </c>
    </row>
    <row r="612" spans="3:17" x14ac:dyDescent="0.25">
      <c r="C612" t="s">
        <v>10202</v>
      </c>
      <c r="F612" s="737" t="s">
        <v>3</v>
      </c>
      <c r="G612" s="10">
        <f>0.0062* 1</f>
        <v>6.1999999999999998E-3</v>
      </c>
      <c r="H612" s="538"/>
      <c r="O612" t="s">
        <v>2897</v>
      </c>
    </row>
    <row r="613" spans="3:17" s="767" customFormat="1" x14ac:dyDescent="0.25">
      <c r="C613" s="73" t="s">
        <v>595</v>
      </c>
      <c r="D613" s="100"/>
      <c r="F613" s="74" t="s">
        <v>3</v>
      </c>
      <c r="G613" s="427">
        <f>(0.06+0.02*6)*0.04*1.2</f>
        <v>8.6400000000000001E-3</v>
      </c>
      <c r="H613" s="538"/>
      <c r="N613" s="767" t="s">
        <v>10360</v>
      </c>
      <c r="O613" s="767">
        <f>5.3*0.6</f>
        <v>3.1799999999999997</v>
      </c>
      <c r="P613" s="767">
        <f>O613*32</f>
        <v>101.75999999999999</v>
      </c>
    </row>
    <row r="614" spans="3:17" ht="17.25" x14ac:dyDescent="0.25">
      <c r="C614" s="73" t="s">
        <v>168</v>
      </c>
      <c r="D614" s="100"/>
      <c r="E614" s="767"/>
      <c r="F614" s="74" t="s">
        <v>596</v>
      </c>
      <c r="G614" s="153">
        <f>1.08*G613</f>
        <v>9.3312000000000013E-3</v>
      </c>
      <c r="H614" s="538"/>
    </row>
    <row r="615" spans="3:17" s="767" customFormat="1" x14ac:dyDescent="0.25">
      <c r="C615" s="77" t="s">
        <v>10207</v>
      </c>
      <c r="D615" s="100"/>
      <c r="F615" s="74" t="s">
        <v>3</v>
      </c>
      <c r="G615" s="153">
        <v>5.0000000000000001E-3</v>
      </c>
      <c r="H615" s="538"/>
      <c r="N615" s="767" t="s">
        <v>10361</v>
      </c>
      <c r="O615" s="767">
        <f>1.5*0.6</f>
        <v>0.89999999999999991</v>
      </c>
      <c r="P615" s="767">
        <f>O615*32</f>
        <v>28.799999999999997</v>
      </c>
      <c r="Q615" s="767">
        <f>P615+30</f>
        <v>58.8</v>
      </c>
    </row>
    <row r="616" spans="3:17" s="767" customFormat="1" x14ac:dyDescent="0.25">
      <c r="C616" s="77" t="s">
        <v>672</v>
      </c>
      <c r="D616" s="100"/>
      <c r="F616" s="74" t="s">
        <v>3</v>
      </c>
      <c r="G616" s="153">
        <f>2*G615</f>
        <v>0.01</v>
      </c>
      <c r="H616" s="538"/>
    </row>
    <row r="617" spans="3:17" x14ac:dyDescent="0.25">
      <c r="D617" s="3" t="s">
        <v>10198</v>
      </c>
      <c r="E617" s="767"/>
      <c r="G617" s="10"/>
      <c r="H617" s="538"/>
    </row>
    <row r="618" spans="3:17" x14ac:dyDescent="0.25">
      <c r="D618" t="s">
        <v>10204</v>
      </c>
      <c r="E618" s="767"/>
      <c r="F618" s="737" t="s">
        <v>3</v>
      </c>
      <c r="G618" s="10">
        <f>0.29*0.125*3*2.7*1.125</f>
        <v>0.33032812499999997</v>
      </c>
      <c r="H618" s="538"/>
    </row>
    <row r="619" spans="3:17" x14ac:dyDescent="0.25">
      <c r="D619" s="3" t="s">
        <v>10199</v>
      </c>
      <c r="E619" s="767"/>
      <c r="G619" s="10"/>
      <c r="H619" s="538"/>
      <c r="P619">
        <f>6*2+5*2+15*2</f>
        <v>52</v>
      </c>
    </row>
    <row r="620" spans="3:17" x14ac:dyDescent="0.25">
      <c r="D620" s="767" t="s">
        <v>10204</v>
      </c>
      <c r="E620" s="767"/>
      <c r="F620" s="802" t="s">
        <v>3</v>
      </c>
      <c r="G620" s="10">
        <f>0.06*0.035*3*2.7*1.12</f>
        <v>1.9051200000000008E-2</v>
      </c>
      <c r="H620" s="538"/>
      <c r="I620" s="789" t="s">
        <v>10149</v>
      </c>
      <c r="J620" s="790">
        <v>0.01</v>
      </c>
      <c r="K620" s="789" t="s">
        <v>10150</v>
      </c>
      <c r="L620" s="791">
        <v>1.4999999999999999E-2</v>
      </c>
    </row>
    <row r="621" spans="3:17" x14ac:dyDescent="0.25">
      <c r="D621" s="3" t="s">
        <v>10200</v>
      </c>
      <c r="G621" s="10"/>
      <c r="H621" s="538"/>
    </row>
    <row r="622" spans="3:17" x14ac:dyDescent="0.25">
      <c r="D622" s="767" t="s">
        <v>10205</v>
      </c>
      <c r="F622" s="737" t="s">
        <v>3</v>
      </c>
      <c r="G622" s="10">
        <f>0.022*0.01*3*2.7*1.15</f>
        <v>2.0493E-3</v>
      </c>
      <c r="H622" s="538"/>
    </row>
    <row r="623" spans="3:17" x14ac:dyDescent="0.25">
      <c r="D623" s="3" t="s">
        <v>10206</v>
      </c>
      <c r="G623" s="10"/>
      <c r="H623" s="538"/>
    </row>
    <row r="624" spans="3:17" x14ac:dyDescent="0.25">
      <c r="D624" s="767" t="s">
        <v>10203</v>
      </c>
      <c r="E624" s="767"/>
      <c r="F624" s="802" t="s">
        <v>3</v>
      </c>
      <c r="G624" s="10">
        <f>0.14*L624</f>
        <v>0</v>
      </c>
      <c r="H624" s="538"/>
    </row>
    <row r="625" spans="3:8" x14ac:dyDescent="0.25">
      <c r="G625" s="10"/>
      <c r="H625" s="538"/>
    </row>
    <row r="626" spans="3:8" x14ac:dyDescent="0.25">
      <c r="C626" s="3" t="s">
        <v>10208</v>
      </c>
      <c r="G626" s="10"/>
      <c r="H626" s="538"/>
    </row>
    <row r="627" spans="3:8" x14ac:dyDescent="0.25">
      <c r="C627" t="s">
        <v>3724</v>
      </c>
      <c r="F627" s="737" t="s">
        <v>3</v>
      </c>
      <c r="G627" s="10">
        <f>0.2*0.1*0.2*2*1.15*2</f>
        <v>1.8400000000000003E-2</v>
      </c>
      <c r="H627" s="538"/>
    </row>
    <row r="628" spans="3:8" x14ac:dyDescent="0.25">
      <c r="C628" t="s">
        <v>8528</v>
      </c>
      <c r="F628" s="737" t="s">
        <v>3</v>
      </c>
      <c r="G628" s="10">
        <f>0.005</f>
        <v>5.0000000000000001E-3</v>
      </c>
      <c r="H628" s="538"/>
    </row>
    <row r="629" spans="3:8" x14ac:dyDescent="0.25">
      <c r="C629" t="s">
        <v>12</v>
      </c>
      <c r="F629" s="737" t="s">
        <v>3</v>
      </c>
      <c r="G629" s="10">
        <f>0.3*G628</f>
        <v>1.5E-3</v>
      </c>
      <c r="H629" s="538"/>
    </row>
    <row r="630" spans="3:8" x14ac:dyDescent="0.25">
      <c r="D630" s="3" t="s">
        <v>10209</v>
      </c>
      <c r="G630" s="10"/>
      <c r="H630" s="538"/>
    </row>
    <row r="631" spans="3:8" x14ac:dyDescent="0.25">
      <c r="D631" s="73" t="s">
        <v>595</v>
      </c>
      <c r="E631" s="100"/>
      <c r="F631" s="74" t="s">
        <v>3</v>
      </c>
      <c r="G631" s="427">
        <f>(0.9)*0.025*1.25</f>
        <v>2.8125000000000004E-2</v>
      </c>
      <c r="H631" s="538"/>
    </row>
    <row r="632" spans="3:8" ht="17.25" x14ac:dyDescent="0.25">
      <c r="D632" s="73" t="s">
        <v>168</v>
      </c>
      <c r="E632" s="100"/>
      <c r="F632" s="74" t="s">
        <v>596</v>
      </c>
      <c r="G632" s="153">
        <f>1.08*G631</f>
        <v>3.0375000000000006E-2</v>
      </c>
      <c r="H632" s="538"/>
    </row>
    <row r="633" spans="3:8" x14ac:dyDescent="0.25">
      <c r="E633" s="3" t="s">
        <v>10332</v>
      </c>
      <c r="F633" s="804" t="s">
        <v>2180</v>
      </c>
      <c r="G633" s="10"/>
      <c r="H633" s="538"/>
    </row>
    <row r="634" spans="3:8" s="767" customFormat="1" x14ac:dyDescent="0.25">
      <c r="E634" s="3" t="s">
        <v>10324</v>
      </c>
      <c r="F634" s="807"/>
      <c r="G634" s="10"/>
      <c r="H634" s="538"/>
    </row>
    <row r="635" spans="3:8" s="767" customFormat="1" x14ac:dyDescent="0.25">
      <c r="E635" s="767" t="s">
        <v>10220</v>
      </c>
      <c r="F635" s="807" t="s">
        <v>3</v>
      </c>
      <c r="G635" s="10">
        <f>0.14*0.025*1.5*2.7*1.12</f>
        <v>1.5876000000000005E-2</v>
      </c>
      <c r="H635" s="538"/>
    </row>
    <row r="636" spans="3:8" s="767" customFormat="1" x14ac:dyDescent="0.25">
      <c r="E636" s="3" t="s">
        <v>10325</v>
      </c>
      <c r="F636" s="807"/>
      <c r="G636" s="10"/>
      <c r="H636" s="538"/>
    </row>
    <row r="637" spans="3:8" s="767" customFormat="1" x14ac:dyDescent="0.25">
      <c r="E637" s="767" t="s">
        <v>10220</v>
      </c>
      <c r="F637" s="807" t="s">
        <v>3</v>
      </c>
      <c r="G637" s="10">
        <f>0.16*0.055*1.5*2.7*1.12</f>
        <v>3.9916800000000009E-2</v>
      </c>
      <c r="H637" s="538"/>
    </row>
    <row r="638" spans="3:8" s="767" customFormat="1" x14ac:dyDescent="0.25">
      <c r="E638" s="3" t="s">
        <v>10326</v>
      </c>
      <c r="F638" s="807"/>
      <c r="G638" s="10"/>
      <c r="H638" s="538"/>
    </row>
    <row r="639" spans="3:8" s="767" customFormat="1" x14ac:dyDescent="0.25">
      <c r="E639" s="767" t="s">
        <v>10317</v>
      </c>
      <c r="F639" s="807" t="s">
        <v>3</v>
      </c>
      <c r="G639" s="10">
        <f>0.35*0.362*1*2.7*1.12+0.002</f>
        <v>0.38514080000000001</v>
      </c>
      <c r="H639" s="538"/>
    </row>
    <row r="640" spans="3:8" s="767" customFormat="1" x14ac:dyDescent="0.25">
      <c r="E640" s="3" t="s">
        <v>10327</v>
      </c>
      <c r="F640" s="807"/>
      <c r="G640" s="10"/>
      <c r="H640" s="538"/>
    </row>
    <row r="641" spans="4:12" s="767" customFormat="1" x14ac:dyDescent="0.25">
      <c r="E641" s="767" t="s">
        <v>10317</v>
      </c>
      <c r="F641" s="807" t="s">
        <v>3</v>
      </c>
      <c r="G641" s="10">
        <f>0.23*0.1*1*2.7*1.12</f>
        <v>6.9552000000000017E-2</v>
      </c>
      <c r="H641" s="538"/>
    </row>
    <row r="642" spans="4:12" s="767" customFormat="1" x14ac:dyDescent="0.25">
      <c r="E642" s="3" t="s">
        <v>10328</v>
      </c>
      <c r="F642" s="807"/>
      <c r="G642" s="10"/>
      <c r="H642" s="538"/>
    </row>
    <row r="643" spans="4:12" s="767" customFormat="1" x14ac:dyDescent="0.25">
      <c r="E643" s="767" t="s">
        <v>10220</v>
      </c>
      <c r="F643" s="807" t="s">
        <v>3</v>
      </c>
      <c r="G643" s="10">
        <f>0.18*0.05*1.5*2.7*1.12</f>
        <v>4.0823999999999999E-2</v>
      </c>
      <c r="H643" s="538"/>
    </row>
    <row r="644" spans="4:12" s="767" customFormat="1" x14ac:dyDescent="0.25">
      <c r="E644" s="3" t="s">
        <v>10329</v>
      </c>
      <c r="F644" s="807"/>
      <c r="G644" s="10"/>
      <c r="H644" s="538"/>
    </row>
    <row r="645" spans="4:12" s="767" customFormat="1" x14ac:dyDescent="0.25">
      <c r="E645" s="767" t="s">
        <v>10220</v>
      </c>
      <c r="F645" s="807" t="s">
        <v>3</v>
      </c>
      <c r="G645" s="10">
        <f>0.23*0.05*1.5*2.7*1.12</f>
        <v>5.2164000000000009E-2</v>
      </c>
      <c r="H645" s="538"/>
    </row>
    <row r="646" spans="4:12" s="767" customFormat="1" x14ac:dyDescent="0.25">
      <c r="E646" s="3" t="s">
        <v>10330</v>
      </c>
      <c r="F646" s="807"/>
      <c r="G646" s="10"/>
      <c r="H646" s="538"/>
    </row>
    <row r="647" spans="4:12" s="767" customFormat="1" x14ac:dyDescent="0.25">
      <c r="E647" s="767" t="s">
        <v>10331</v>
      </c>
      <c r="F647" s="807" t="s">
        <v>3</v>
      </c>
      <c r="G647" s="10">
        <f>0.03*0.02*2*2.7*1.12</f>
        <v>3.6288000000000002E-3</v>
      </c>
      <c r="H647" s="538"/>
    </row>
    <row r="648" spans="4:12" x14ac:dyDescent="0.25">
      <c r="D648" s="3" t="s">
        <v>10210</v>
      </c>
      <c r="G648" s="10"/>
      <c r="H648" s="538"/>
    </row>
    <row r="649" spans="4:12" s="767" customFormat="1" x14ac:dyDescent="0.25">
      <c r="D649" s="767" t="s">
        <v>3724</v>
      </c>
      <c r="F649" s="802" t="s">
        <v>3</v>
      </c>
      <c r="G649" s="10">
        <f>0.2*0.17*0.2*2*1.2</f>
        <v>1.6320000000000001E-2</v>
      </c>
      <c r="H649" s="538"/>
    </row>
    <row r="650" spans="4:12" s="767" customFormat="1" x14ac:dyDescent="0.25">
      <c r="E650" s="3" t="s">
        <v>10218</v>
      </c>
      <c r="H650" s="538"/>
    </row>
    <row r="651" spans="4:12" x14ac:dyDescent="0.25">
      <c r="E651" s="767" t="s">
        <v>10211</v>
      </c>
      <c r="F651" s="802" t="s">
        <v>1516</v>
      </c>
      <c r="G651" s="10">
        <v>4</v>
      </c>
      <c r="H651" s="538"/>
    </row>
    <row r="652" spans="4:12" s="767" customFormat="1" x14ac:dyDescent="0.25">
      <c r="E652" s="73" t="s">
        <v>595</v>
      </c>
      <c r="F652" s="74" t="s">
        <v>3</v>
      </c>
      <c r="G652" s="427">
        <f>(0.025)*0.05*1.39</f>
        <v>1.7375000000000001E-3</v>
      </c>
      <c r="H652" s="538"/>
    </row>
    <row r="653" spans="4:12" ht="17.25" x14ac:dyDescent="0.25">
      <c r="E653" s="73" t="s">
        <v>168</v>
      </c>
      <c r="F653" s="74" t="s">
        <v>596</v>
      </c>
      <c r="G653" s="153">
        <f>1.08*G652</f>
        <v>1.8765000000000003E-3</v>
      </c>
      <c r="H653" s="538"/>
    </row>
    <row r="654" spans="4:12" x14ac:dyDescent="0.25">
      <c r="E654" s="33" t="s">
        <v>10212</v>
      </c>
      <c r="F654" s="802"/>
      <c r="G654" s="10"/>
      <c r="H654" s="538"/>
      <c r="I654" s="767"/>
      <c r="J654" s="767"/>
      <c r="K654" s="767"/>
      <c r="L654" s="767"/>
    </row>
    <row r="655" spans="4:12" x14ac:dyDescent="0.25">
      <c r="E655" s="769" t="s">
        <v>39</v>
      </c>
      <c r="F655" s="74" t="s">
        <v>3</v>
      </c>
      <c r="G655" s="427">
        <f>0.005</f>
        <v>5.0000000000000001E-3</v>
      </c>
      <c r="H655" s="538"/>
    </row>
    <row r="656" spans="4:12" ht="17.25" x14ac:dyDescent="0.25">
      <c r="E656" s="769" t="s">
        <v>1055</v>
      </c>
      <c r="F656" s="74" t="s">
        <v>596</v>
      </c>
      <c r="G656" s="153">
        <f>1.1*G655</f>
        <v>5.5000000000000005E-3</v>
      </c>
      <c r="H656" s="538"/>
    </row>
    <row r="657" spans="3:12" x14ac:dyDescent="0.25">
      <c r="E657" s="805" t="s">
        <v>10213</v>
      </c>
      <c r="G657" s="10"/>
      <c r="H657" s="538"/>
    </row>
    <row r="658" spans="3:12" x14ac:dyDescent="0.25">
      <c r="E658" s="806" t="s">
        <v>4910</v>
      </c>
      <c r="F658" s="737" t="s">
        <v>3</v>
      </c>
      <c r="G658" s="10">
        <f>0.085*0.045*1*8*1.15</f>
        <v>3.5189999999999999E-2</v>
      </c>
      <c r="H658" s="538"/>
    </row>
    <row r="659" spans="3:12" x14ac:dyDescent="0.25">
      <c r="E659" s="805" t="s">
        <v>10214</v>
      </c>
      <c r="G659" s="10"/>
      <c r="H659" s="538"/>
    </row>
    <row r="660" spans="3:12" x14ac:dyDescent="0.25">
      <c r="E660" s="806" t="s">
        <v>10215</v>
      </c>
      <c r="F660" s="737" t="s">
        <v>3</v>
      </c>
      <c r="G660" s="10">
        <f>0.05*0.05*1*2.7*1</f>
        <v>6.7500000000000017E-3</v>
      </c>
      <c r="H660" s="538"/>
    </row>
    <row r="661" spans="3:12" x14ac:dyDescent="0.25">
      <c r="E661" s="805" t="s">
        <v>10216</v>
      </c>
      <c r="G661" s="10"/>
      <c r="H661" s="538"/>
    </row>
    <row r="662" spans="3:12" x14ac:dyDescent="0.25">
      <c r="E662" s="806" t="s">
        <v>10217</v>
      </c>
      <c r="F662" s="737" t="s">
        <v>3</v>
      </c>
      <c r="G662" s="10">
        <f>0.0555*0.05</f>
        <v>2.7750000000000001E-3</v>
      </c>
      <c r="H662" s="538"/>
      <c r="I662" s="789" t="s">
        <v>10149</v>
      </c>
      <c r="J662" s="790">
        <v>4.5999999999999999E-2</v>
      </c>
      <c r="K662" s="789" t="s">
        <v>10150</v>
      </c>
      <c r="L662" s="791">
        <v>0.05</v>
      </c>
    </row>
    <row r="663" spans="3:12" x14ac:dyDescent="0.25">
      <c r="E663" s="33" t="s">
        <v>10219</v>
      </c>
      <c r="G663" s="10"/>
      <c r="H663" s="538"/>
    </row>
    <row r="664" spans="3:12" x14ac:dyDescent="0.25">
      <c r="E664" s="769" t="s">
        <v>10220</v>
      </c>
      <c r="F664" s="737" t="s">
        <v>3</v>
      </c>
      <c r="G664" s="10">
        <f>0.41*0.24*1.5*2.7*1.12</f>
        <v>0.44634240000000003</v>
      </c>
      <c r="H664" s="538"/>
    </row>
    <row r="665" spans="3:12" x14ac:dyDescent="0.25">
      <c r="E665" s="334"/>
      <c r="G665" s="10"/>
      <c r="H665" s="538"/>
      <c r="I665" t="s">
        <v>10299</v>
      </c>
    </row>
    <row r="666" spans="3:12" x14ac:dyDescent="0.25">
      <c r="C666" s="3" t="s">
        <v>10221</v>
      </c>
      <c r="G666" s="10"/>
      <c r="H666" s="538"/>
    </row>
    <row r="667" spans="3:12" x14ac:dyDescent="0.25">
      <c r="C667" t="s">
        <v>10222</v>
      </c>
      <c r="F667" s="737" t="s">
        <v>3</v>
      </c>
      <c r="G667" s="10">
        <v>1E-3</v>
      </c>
      <c r="H667" s="538"/>
      <c r="I667" s="789" t="s">
        <v>10149</v>
      </c>
      <c r="J667" s="790">
        <v>8.0000000000000002E-3</v>
      </c>
      <c r="K667" s="789" t="s">
        <v>10150</v>
      </c>
      <c r="L667" s="791">
        <v>0.01</v>
      </c>
    </row>
    <row r="668" spans="3:12" x14ac:dyDescent="0.25">
      <c r="G668" s="10"/>
      <c r="H668" s="538"/>
    </row>
    <row r="669" spans="3:12" x14ac:dyDescent="0.25">
      <c r="C669" s="3" t="s">
        <v>10223</v>
      </c>
      <c r="G669" s="10"/>
      <c r="H669" s="538"/>
    </row>
    <row r="670" spans="3:12" x14ac:dyDescent="0.25">
      <c r="C670" t="s">
        <v>10224</v>
      </c>
      <c r="F670" s="737" t="s">
        <v>3</v>
      </c>
      <c r="G670" s="10">
        <f>0.015*0.015*2*2.7*1.1</f>
        <v>1.3365000000000002E-3</v>
      </c>
      <c r="H670" s="538"/>
    </row>
    <row r="671" spans="3:12" x14ac:dyDescent="0.25">
      <c r="G671" s="10"/>
      <c r="H671" s="538"/>
    </row>
    <row r="672" spans="3:12" x14ac:dyDescent="0.25">
      <c r="C672" s="3" t="s">
        <v>10225</v>
      </c>
      <c r="G672" s="10"/>
      <c r="H672" s="538"/>
    </row>
    <row r="673" spans="3:8" x14ac:dyDescent="0.25">
      <c r="C673" s="767" t="s">
        <v>10224</v>
      </c>
      <c r="D673" s="767"/>
      <c r="E673" s="767"/>
      <c r="F673" s="802" t="s">
        <v>3</v>
      </c>
      <c r="G673" s="10">
        <f>0.02*0.02*2*2.7*1.1</f>
        <v>2.3760000000000005E-3</v>
      </c>
      <c r="H673" s="538"/>
    </row>
    <row r="674" spans="3:8" x14ac:dyDescent="0.25">
      <c r="G674" s="10"/>
      <c r="H674" s="538"/>
    </row>
    <row r="675" spans="3:8" x14ac:dyDescent="0.25">
      <c r="C675" s="3" t="s">
        <v>10226</v>
      </c>
      <c r="G675" s="10"/>
      <c r="H675" s="538"/>
    </row>
    <row r="676" spans="3:8" x14ac:dyDescent="0.25">
      <c r="C676" s="73" t="s">
        <v>595</v>
      </c>
      <c r="F676" s="74" t="s">
        <v>3</v>
      </c>
      <c r="G676" s="427">
        <f>0.08*0.05*1.2</f>
        <v>4.7999999999999996E-3</v>
      </c>
      <c r="H676" s="538"/>
    </row>
    <row r="677" spans="3:8" ht="17.25" x14ac:dyDescent="0.25">
      <c r="C677" s="73" t="s">
        <v>168</v>
      </c>
      <c r="F677" s="74" t="s">
        <v>596</v>
      </c>
      <c r="G677" s="153">
        <f>1.08*G676</f>
        <v>5.1840000000000002E-3</v>
      </c>
      <c r="H677" s="538"/>
    </row>
    <row r="678" spans="3:8" x14ac:dyDescent="0.25">
      <c r="C678" s="77" t="s">
        <v>163</v>
      </c>
      <c r="D678" s="8"/>
      <c r="E678" s="8"/>
      <c r="F678" s="737" t="s">
        <v>3</v>
      </c>
      <c r="G678" s="10">
        <f>G680*0.65</f>
        <v>1.6250000000000001E-2</v>
      </c>
      <c r="H678" s="538"/>
    </row>
    <row r="679" spans="3:8" s="767" customFormat="1" x14ac:dyDescent="0.25">
      <c r="C679" s="77" t="s">
        <v>164</v>
      </c>
      <c r="D679" s="8"/>
      <c r="E679" s="8"/>
      <c r="F679" s="803" t="s">
        <v>3</v>
      </c>
      <c r="G679" s="10">
        <f>0.3*G678</f>
        <v>4.875E-3</v>
      </c>
      <c r="H679" s="538"/>
    </row>
    <row r="680" spans="3:8" s="767" customFormat="1" x14ac:dyDescent="0.25">
      <c r="C680" s="77" t="s">
        <v>10300</v>
      </c>
      <c r="D680" s="8"/>
      <c r="E680" s="8"/>
      <c r="F680" s="803" t="s">
        <v>3</v>
      </c>
      <c r="G680" s="10">
        <v>2.5000000000000001E-2</v>
      </c>
      <c r="H680" s="538"/>
    </row>
    <row r="681" spans="3:8" s="767" customFormat="1" x14ac:dyDescent="0.25">
      <c r="C681" s="77" t="s">
        <v>11</v>
      </c>
      <c r="D681" s="8"/>
      <c r="E681" s="8"/>
      <c r="F681" s="803" t="s">
        <v>3</v>
      </c>
      <c r="G681" s="10">
        <f>0.3*G680</f>
        <v>7.4999999999999997E-3</v>
      </c>
      <c r="H681" s="538"/>
    </row>
    <row r="682" spans="3:8" x14ac:dyDescent="0.25">
      <c r="D682" s="3" t="s">
        <v>10227</v>
      </c>
      <c r="G682" s="10"/>
      <c r="H682" s="538"/>
    </row>
    <row r="683" spans="3:8" x14ac:dyDescent="0.25">
      <c r="D683" t="s">
        <v>10228</v>
      </c>
      <c r="F683" s="737" t="s">
        <v>3</v>
      </c>
      <c r="G683" s="10">
        <f>0.17*0.03*4*2.7*1.12</f>
        <v>6.1689600000000018E-2</v>
      </c>
      <c r="H683" s="538"/>
    </row>
    <row r="684" spans="3:8" x14ac:dyDescent="0.25">
      <c r="D684" s="3" t="s">
        <v>10229</v>
      </c>
      <c r="G684" s="10"/>
      <c r="H684" s="538"/>
    </row>
    <row r="685" spans="3:8" x14ac:dyDescent="0.25">
      <c r="D685" s="767" t="s">
        <v>10228</v>
      </c>
      <c r="F685" s="737" t="s">
        <v>3</v>
      </c>
      <c r="G685" s="10">
        <f>(0.198*3.14+0.04)*0.03*4*2.7*1.12</f>
        <v>0.24012495360000005</v>
      </c>
      <c r="H685" s="538"/>
    </row>
    <row r="686" spans="3:8" x14ac:dyDescent="0.25">
      <c r="G686" s="10"/>
      <c r="H686" s="538"/>
    </row>
    <row r="687" spans="3:8" x14ac:dyDescent="0.25">
      <c r="C687" s="3" t="s">
        <v>10230</v>
      </c>
      <c r="G687" s="10"/>
      <c r="H687" s="538"/>
    </row>
    <row r="688" spans="3:8" x14ac:dyDescent="0.25">
      <c r="C688" t="s">
        <v>10231</v>
      </c>
      <c r="F688" s="737" t="s">
        <v>3</v>
      </c>
      <c r="G688" s="10">
        <f>0.655*0.015*1.5*8*1.15</f>
        <v>0.13558499999999998</v>
      </c>
      <c r="H688" s="538"/>
    </row>
    <row r="689" spans="3:8" x14ac:dyDescent="0.25">
      <c r="G689" s="10"/>
      <c r="H689" s="538"/>
    </row>
    <row r="690" spans="3:8" x14ac:dyDescent="0.25">
      <c r="C690" s="3" t="s">
        <v>10232</v>
      </c>
      <c r="G690" s="10"/>
      <c r="H690" s="538"/>
    </row>
    <row r="691" spans="3:8" x14ac:dyDescent="0.25">
      <c r="C691" s="767" t="s">
        <v>3724</v>
      </c>
      <c r="D691" s="767"/>
      <c r="F691" s="802" t="s">
        <v>3</v>
      </c>
      <c r="G691" s="10">
        <f>0.2*0.17*0.2*2*1.2</f>
        <v>1.6320000000000001E-2</v>
      </c>
      <c r="H691" s="538"/>
    </row>
    <row r="692" spans="3:8" x14ac:dyDescent="0.25">
      <c r="C692" s="77" t="s">
        <v>39</v>
      </c>
      <c r="D692" s="73"/>
      <c r="F692" s="74" t="s">
        <v>3</v>
      </c>
      <c r="G692" s="427">
        <f>0.05*0.08*1.22</f>
        <v>4.8799999999999998E-3</v>
      </c>
      <c r="H692" s="538"/>
    </row>
    <row r="693" spans="3:8" ht="17.25" x14ac:dyDescent="0.25">
      <c r="C693" s="77" t="s">
        <v>1055</v>
      </c>
      <c r="D693" s="73"/>
      <c r="F693" s="74" t="s">
        <v>596</v>
      </c>
      <c r="G693" s="153">
        <f>1.1*G692</f>
        <v>5.3680000000000004E-3</v>
      </c>
      <c r="H693" s="538"/>
    </row>
    <row r="694" spans="3:8" x14ac:dyDescent="0.25">
      <c r="D694" s="75" t="s">
        <v>10233</v>
      </c>
      <c r="G694" s="10"/>
      <c r="H694" s="538"/>
    </row>
    <row r="695" spans="3:8" x14ac:dyDescent="0.25">
      <c r="D695" t="s">
        <v>10235</v>
      </c>
      <c r="F695" s="737" t="s">
        <v>3</v>
      </c>
      <c r="G695" s="10">
        <f>0.25*0.012*3*8*1.12</f>
        <v>8.0640000000000017E-2</v>
      </c>
      <c r="H695" s="538"/>
    </row>
    <row r="696" spans="3:8" x14ac:dyDescent="0.25">
      <c r="D696" s="75" t="s">
        <v>10236</v>
      </c>
      <c r="G696" s="10"/>
      <c r="H696" s="538"/>
    </row>
    <row r="697" spans="3:8" x14ac:dyDescent="0.25">
      <c r="D697" s="767" t="s">
        <v>10235</v>
      </c>
      <c r="F697" s="737" t="s">
        <v>3</v>
      </c>
      <c r="G697" s="10">
        <f>0.04*0.065*3*8*1.12</f>
        <v>6.988800000000002E-2</v>
      </c>
      <c r="H697" s="538"/>
    </row>
    <row r="698" spans="3:8" x14ac:dyDescent="0.25">
      <c r="D698" s="75" t="s">
        <v>10234</v>
      </c>
      <c r="G698" s="10"/>
      <c r="H698" s="538"/>
    </row>
    <row r="699" spans="3:8" x14ac:dyDescent="0.25">
      <c r="D699" t="s">
        <v>10237</v>
      </c>
      <c r="F699" s="737" t="s">
        <v>3</v>
      </c>
      <c r="G699" s="10">
        <f>0.07*0.07*1.5*8*1.1</f>
        <v>6.4680000000000015E-2</v>
      </c>
      <c r="H699" s="538"/>
    </row>
    <row r="700" spans="3:8" x14ac:dyDescent="0.25">
      <c r="G700" s="10"/>
      <c r="H700" s="538"/>
    </row>
    <row r="701" spans="3:8" x14ac:dyDescent="0.25">
      <c r="C701" s="3" t="s">
        <v>10238</v>
      </c>
      <c r="G701" s="10"/>
      <c r="H701" s="538"/>
    </row>
    <row r="702" spans="3:8" x14ac:dyDescent="0.25">
      <c r="C702" s="73" t="s">
        <v>1021</v>
      </c>
      <c r="D702" s="73"/>
      <c r="E702" s="73"/>
      <c r="F702" s="74" t="s">
        <v>3</v>
      </c>
      <c r="G702" s="153">
        <f>0.55*0.02*2*1.1</f>
        <v>2.4200000000000003E-2</v>
      </c>
      <c r="H702" s="538"/>
    </row>
    <row r="703" spans="3:8" x14ac:dyDescent="0.25">
      <c r="C703" s="73" t="s">
        <v>661</v>
      </c>
      <c r="D703" s="73"/>
      <c r="E703" s="73"/>
      <c r="F703" s="74" t="s">
        <v>3</v>
      </c>
      <c r="G703" s="153">
        <f>G702*0.3*0.66</f>
        <v>4.7916000000000009E-3</v>
      </c>
      <c r="H703" s="538"/>
    </row>
    <row r="704" spans="3:8" x14ac:dyDescent="0.25">
      <c r="C704" s="73" t="s">
        <v>1993</v>
      </c>
      <c r="D704" s="73"/>
      <c r="E704" s="73"/>
      <c r="F704" s="74" t="s">
        <v>3</v>
      </c>
      <c r="G704" s="153">
        <f>G703/2</f>
        <v>2.3958000000000004E-3</v>
      </c>
      <c r="H704" s="538"/>
    </row>
    <row r="705" spans="3:12" x14ac:dyDescent="0.25">
      <c r="C705" s="77" t="s">
        <v>39</v>
      </c>
      <c r="D705" s="73"/>
      <c r="E705" s="767"/>
      <c r="F705" s="74" t="s">
        <v>3</v>
      </c>
      <c r="G705" s="427">
        <f>(0.05+0.02*3.14)*0.08*1.22</f>
        <v>1.1009280000000001E-2</v>
      </c>
      <c r="H705" s="538"/>
    </row>
    <row r="706" spans="3:12" ht="17.25" x14ac:dyDescent="0.25">
      <c r="C706" s="77" t="s">
        <v>1055</v>
      </c>
      <c r="D706" s="73"/>
      <c r="E706" s="767"/>
      <c r="F706" s="74" t="s">
        <v>596</v>
      </c>
      <c r="G706" s="153">
        <f>1.1*G705</f>
        <v>1.2110208000000003E-2</v>
      </c>
      <c r="H706" s="538"/>
    </row>
    <row r="707" spans="3:12" x14ac:dyDescent="0.25">
      <c r="D707" s="3" t="s">
        <v>10239</v>
      </c>
      <c r="G707" s="10"/>
      <c r="H707" s="538"/>
    </row>
    <row r="708" spans="3:12" x14ac:dyDescent="0.25">
      <c r="D708" t="s">
        <v>10240</v>
      </c>
      <c r="F708" s="737" t="s">
        <v>3</v>
      </c>
      <c r="G708" s="10">
        <f>0.986* L708</f>
        <v>0.5521600000000001</v>
      </c>
      <c r="H708" s="538"/>
      <c r="I708" s="789" t="s">
        <v>10149</v>
      </c>
      <c r="J708" s="790">
        <v>0.47199999999999998</v>
      </c>
      <c r="K708" s="789" t="s">
        <v>10150</v>
      </c>
      <c r="L708" s="2">
        <v>0.56000000000000005</v>
      </c>
    </row>
    <row r="709" spans="3:12" x14ac:dyDescent="0.25">
      <c r="D709" s="3" t="s">
        <v>10241</v>
      </c>
      <c r="G709" s="10"/>
      <c r="H709" s="538"/>
    </row>
    <row r="710" spans="3:12" x14ac:dyDescent="0.25">
      <c r="D710" t="s">
        <v>10242</v>
      </c>
      <c r="F710" s="737" t="s">
        <v>3</v>
      </c>
      <c r="G710" s="10">
        <f>1.03*L710</f>
        <v>5.3559999999999997E-2</v>
      </c>
      <c r="H710" s="538"/>
      <c r="I710" s="789" t="s">
        <v>10149</v>
      </c>
      <c r="J710" s="790">
        <v>4.4999999999999998E-2</v>
      </c>
      <c r="K710" s="789" t="s">
        <v>10150</v>
      </c>
      <c r="L710" s="767">
        <v>5.1999999999999998E-2</v>
      </c>
    </row>
    <row r="711" spans="3:12" x14ac:dyDescent="0.25">
      <c r="G711" s="10"/>
      <c r="H711" s="538"/>
    </row>
    <row r="712" spans="3:12" x14ac:dyDescent="0.25">
      <c r="C712" s="3" t="s">
        <v>10243</v>
      </c>
      <c r="G712" s="10"/>
      <c r="H712" s="538"/>
    </row>
    <row r="713" spans="3:12" x14ac:dyDescent="0.25">
      <c r="C713" s="73" t="s">
        <v>595</v>
      </c>
      <c r="D713" s="767"/>
      <c r="E713" s="767"/>
      <c r="F713" s="74" t="s">
        <v>3</v>
      </c>
      <c r="G713" s="427">
        <f>0.04*0.05*1.2</f>
        <v>2.3999999999999998E-3</v>
      </c>
      <c r="H713" s="538"/>
    </row>
    <row r="714" spans="3:12" ht="17.25" x14ac:dyDescent="0.25">
      <c r="C714" s="73" t="s">
        <v>168</v>
      </c>
      <c r="D714" s="767"/>
      <c r="E714" s="767"/>
      <c r="F714" s="74" t="s">
        <v>596</v>
      </c>
      <c r="G714" s="153">
        <f>1.08*G713</f>
        <v>2.5920000000000001E-3</v>
      </c>
      <c r="H714" s="538"/>
    </row>
    <row r="715" spans="3:12" s="767" customFormat="1" x14ac:dyDescent="0.25">
      <c r="C715" s="77" t="s">
        <v>8</v>
      </c>
      <c r="F715" s="74" t="s">
        <v>3</v>
      </c>
      <c r="G715" s="153">
        <f>G717*0.65</f>
        <v>1.2675000000000001E-2</v>
      </c>
      <c r="H715" s="538"/>
    </row>
    <row r="716" spans="3:12" s="767" customFormat="1" x14ac:dyDescent="0.25">
      <c r="C716" s="77" t="s">
        <v>12</v>
      </c>
      <c r="F716" s="74" t="s">
        <v>3</v>
      </c>
      <c r="G716" s="153">
        <f>0.3*G715</f>
        <v>3.8024999999999999E-3</v>
      </c>
      <c r="H716" s="538"/>
    </row>
    <row r="717" spans="3:12" s="767" customFormat="1" x14ac:dyDescent="0.25">
      <c r="C717" s="77" t="s">
        <v>72</v>
      </c>
      <c r="F717" s="74" t="s">
        <v>3</v>
      </c>
      <c r="G717" s="153">
        <f>0.26*0.1*2*0.15*2*1.25</f>
        <v>1.95E-2</v>
      </c>
      <c r="H717" s="538"/>
    </row>
    <row r="718" spans="3:12" x14ac:dyDescent="0.25">
      <c r="C718" s="77" t="s">
        <v>11</v>
      </c>
      <c r="F718" s="737" t="s">
        <v>3</v>
      </c>
      <c r="G718" s="10">
        <f>0.3*G717</f>
        <v>5.8500000000000002E-3</v>
      </c>
      <c r="H718" s="538"/>
    </row>
    <row r="719" spans="3:12" x14ac:dyDescent="0.25">
      <c r="D719" s="3" t="s">
        <v>10244</v>
      </c>
      <c r="G719" s="10"/>
      <c r="H719" s="538"/>
    </row>
    <row r="720" spans="3:12" x14ac:dyDescent="0.25">
      <c r="D720" t="s">
        <v>10246</v>
      </c>
      <c r="F720" s="737" t="s">
        <v>3</v>
      </c>
      <c r="G720" s="10">
        <f>0.26*0.08*2.5*2.7*1.14</f>
        <v>0.160056</v>
      </c>
      <c r="H720" s="538"/>
    </row>
    <row r="721" spans="3:8" x14ac:dyDescent="0.25">
      <c r="D721" s="3" t="s">
        <v>10245</v>
      </c>
      <c r="G721" s="10"/>
      <c r="H721" s="538"/>
    </row>
    <row r="722" spans="3:8" x14ac:dyDescent="0.25">
      <c r="D722" s="767" t="s">
        <v>10204</v>
      </c>
      <c r="F722" s="737" t="s">
        <v>3</v>
      </c>
      <c r="G722" s="10">
        <f>0.04*0.01*3*2.7*1.12</f>
        <v>3.628800000000001E-3</v>
      </c>
      <c r="H722" s="538"/>
    </row>
    <row r="723" spans="3:8" x14ac:dyDescent="0.25">
      <c r="G723" s="10"/>
      <c r="H723" s="538"/>
    </row>
    <row r="724" spans="3:8" x14ac:dyDescent="0.25">
      <c r="C724" s="3" t="s">
        <v>10247</v>
      </c>
      <c r="G724" s="10"/>
      <c r="H724" s="538"/>
    </row>
    <row r="725" spans="3:8" x14ac:dyDescent="0.25">
      <c r="C725" t="s">
        <v>10248</v>
      </c>
      <c r="F725" s="737" t="s">
        <v>3</v>
      </c>
      <c r="G725" s="10">
        <f>0.02*0.014*4*8*1.129</f>
        <v>1.0115840000000001E-2</v>
      </c>
      <c r="H725" s="538"/>
    </row>
    <row r="726" spans="3:8" x14ac:dyDescent="0.25">
      <c r="G726" s="10"/>
      <c r="H726" s="538"/>
    </row>
    <row r="727" spans="3:8" x14ac:dyDescent="0.25">
      <c r="C727" s="54" t="s">
        <v>10313</v>
      </c>
      <c r="D727" s="8"/>
      <c r="E727" s="8"/>
      <c r="G727" s="10"/>
      <c r="H727" s="538"/>
    </row>
    <row r="728" spans="3:8" x14ac:dyDescent="0.25">
      <c r="C728" s="8" t="s">
        <v>8</v>
      </c>
      <c r="D728" s="8"/>
      <c r="E728" s="8"/>
      <c r="F728" s="737" t="s">
        <v>3</v>
      </c>
      <c r="G728" s="10">
        <f>G729*0.65+0.001</f>
        <v>2.0495124999999999E-2</v>
      </c>
      <c r="H728" s="538"/>
    </row>
    <row r="729" spans="3:8" s="767" customFormat="1" x14ac:dyDescent="0.25">
      <c r="C729" s="8" t="s">
        <v>36</v>
      </c>
      <c r="D729" s="8"/>
      <c r="E729" s="8"/>
      <c r="F729" s="803" t="s">
        <v>3</v>
      </c>
      <c r="G729" s="10">
        <f>(0.15*0.115*2+0.5*0.06)*0.15*2*1.55</f>
        <v>2.9992499999999998E-2</v>
      </c>
      <c r="H729" s="538"/>
    </row>
    <row r="730" spans="3:8" s="767" customFormat="1" x14ac:dyDescent="0.25">
      <c r="C730" s="8" t="s">
        <v>12</v>
      </c>
      <c r="D730" s="8"/>
      <c r="E730" s="8"/>
      <c r="F730" s="803" t="s">
        <v>3</v>
      </c>
      <c r="G730" s="10">
        <f>0.3*(G729+G728)</f>
        <v>1.5146287499999998E-2</v>
      </c>
      <c r="H730" s="538"/>
    </row>
    <row r="731" spans="3:8" s="767" customFormat="1" x14ac:dyDescent="0.25">
      <c r="C731" s="8"/>
      <c r="D731" s="54" t="s">
        <v>10314</v>
      </c>
      <c r="E731" s="8"/>
      <c r="F731" s="803"/>
      <c r="G731" s="10"/>
      <c r="H731" s="538"/>
    </row>
    <row r="732" spans="3:8" s="767" customFormat="1" x14ac:dyDescent="0.25">
      <c r="C732" s="8"/>
      <c r="D732" s="77" t="s">
        <v>39</v>
      </c>
      <c r="E732" s="73"/>
      <c r="F732" s="74" t="s">
        <v>3</v>
      </c>
      <c r="G732" s="427">
        <f>0.2*0.08*1.2</f>
        <v>1.9199999999999998E-2</v>
      </c>
      <c r="H732" s="538"/>
    </row>
    <row r="733" spans="3:8" s="767" customFormat="1" ht="17.25" x14ac:dyDescent="0.25">
      <c r="C733" s="8"/>
      <c r="D733" s="77" t="s">
        <v>1055</v>
      </c>
      <c r="E733" s="73"/>
      <c r="F733" s="74" t="s">
        <v>596</v>
      </c>
      <c r="G733" s="153">
        <f>1.1*G732</f>
        <v>2.112E-2</v>
      </c>
      <c r="H733" s="538"/>
    </row>
    <row r="734" spans="3:8" s="767" customFormat="1" x14ac:dyDescent="0.25">
      <c r="C734" s="8"/>
      <c r="D734" s="8"/>
      <c r="E734" s="54" t="s">
        <v>10315</v>
      </c>
      <c r="F734" s="8"/>
      <c r="G734" s="10"/>
      <c r="H734" s="538"/>
    </row>
    <row r="735" spans="3:8" s="767" customFormat="1" x14ac:dyDescent="0.25">
      <c r="C735" s="8"/>
      <c r="D735" s="8"/>
      <c r="E735" s="767" t="s">
        <v>10220</v>
      </c>
      <c r="F735" s="803" t="s">
        <v>3</v>
      </c>
      <c r="G735" s="10">
        <f>0.2*0.16*1.5*2.7*1.115</f>
        <v>0.14450400000000002</v>
      </c>
      <c r="H735" s="538"/>
    </row>
    <row r="736" spans="3:8" s="767" customFormat="1" x14ac:dyDescent="0.25">
      <c r="C736" s="8"/>
      <c r="D736" s="8"/>
      <c r="E736" s="54" t="s">
        <v>10316</v>
      </c>
      <c r="F736" s="8"/>
      <c r="G736" s="10"/>
      <c r="H736" s="538"/>
    </row>
    <row r="737" spans="3:12" s="767" customFormat="1" x14ac:dyDescent="0.25">
      <c r="C737" s="8"/>
      <c r="D737" s="8"/>
      <c r="E737" s="767" t="s">
        <v>10220</v>
      </c>
      <c r="F737" s="803" t="s">
        <v>3</v>
      </c>
      <c r="G737" s="10">
        <f>0.206*0.012*1.5*2.7*1.12</f>
        <v>1.1212992E-2</v>
      </c>
      <c r="H737" s="538"/>
    </row>
    <row r="738" spans="3:12" s="767" customFormat="1" x14ac:dyDescent="0.25">
      <c r="C738" s="8"/>
      <c r="D738" s="8"/>
      <c r="E738" s="54" t="s">
        <v>10214</v>
      </c>
      <c r="F738" s="803"/>
      <c r="G738" s="10"/>
      <c r="H738" s="538"/>
    </row>
    <row r="739" spans="3:12" s="767" customFormat="1" x14ac:dyDescent="0.25">
      <c r="C739" s="8"/>
      <c r="D739" s="8"/>
      <c r="E739" s="767" t="s">
        <v>10317</v>
      </c>
      <c r="F739" s="803" t="s">
        <v>3</v>
      </c>
      <c r="G739" s="10">
        <f>0.04*0.04*1*2.7*1.12</f>
        <v>4.8384000000000014E-3</v>
      </c>
      <c r="H739" s="538"/>
    </row>
    <row r="740" spans="3:12" s="767" customFormat="1" x14ac:dyDescent="0.25">
      <c r="C740" s="8"/>
      <c r="D740" s="54" t="s">
        <v>10318</v>
      </c>
      <c r="E740" s="8"/>
      <c r="F740" s="803"/>
      <c r="G740" s="10"/>
      <c r="H740" s="538"/>
    </row>
    <row r="741" spans="3:12" s="767" customFormat="1" x14ac:dyDescent="0.25">
      <c r="C741" s="8"/>
      <c r="D741" s="767" t="s">
        <v>10319</v>
      </c>
      <c r="E741" s="8"/>
      <c r="F741" s="803" t="s">
        <v>3</v>
      </c>
      <c r="G741" s="10">
        <f>0.05*0.02*1.5*8*1.12</f>
        <v>1.3440000000000002E-2</v>
      </c>
      <c r="H741" s="538"/>
    </row>
    <row r="742" spans="3:12" s="767" customFormat="1" x14ac:dyDescent="0.25">
      <c r="C742" s="8"/>
      <c r="D742" s="54" t="s">
        <v>10321</v>
      </c>
      <c r="E742" s="8"/>
      <c r="F742" s="803"/>
      <c r="G742" s="10"/>
      <c r="H742" s="538"/>
    </row>
    <row r="743" spans="3:12" s="767" customFormat="1" x14ac:dyDescent="0.25">
      <c r="C743" s="8"/>
      <c r="D743" s="8" t="s">
        <v>10320</v>
      </c>
      <c r="E743" s="8"/>
      <c r="F743" s="803" t="s">
        <v>3</v>
      </c>
      <c r="G743" s="10">
        <f>0.123*0.01</f>
        <v>1.23E-3</v>
      </c>
      <c r="H743" s="538"/>
      <c r="I743" s="789" t="s">
        <v>10149</v>
      </c>
      <c r="J743" s="790">
        <v>3.0000000000000001E-3</v>
      </c>
      <c r="K743" s="789" t="s">
        <v>10150</v>
      </c>
      <c r="L743" s="767">
        <v>0.01</v>
      </c>
    </row>
    <row r="744" spans="3:12" s="767" customFormat="1" x14ac:dyDescent="0.25">
      <c r="C744" s="8"/>
      <c r="D744" s="54" t="s">
        <v>10322</v>
      </c>
      <c r="E744" s="8"/>
      <c r="F744" s="803"/>
      <c r="G744" s="10"/>
      <c r="H744" s="538"/>
    </row>
    <row r="745" spans="3:12" s="767" customFormat="1" x14ac:dyDescent="0.25">
      <c r="C745" s="8"/>
      <c r="D745" s="8" t="s">
        <v>10323</v>
      </c>
      <c r="E745" s="8"/>
      <c r="F745" s="803" t="s">
        <v>3</v>
      </c>
      <c r="G745" s="10">
        <f>0.0555*L745</f>
        <v>3.6075E-3</v>
      </c>
      <c r="H745" s="538"/>
      <c r="I745" s="789" t="s">
        <v>10149</v>
      </c>
      <c r="J745" s="790">
        <v>5.5E-2</v>
      </c>
      <c r="K745" s="789" t="s">
        <v>10150</v>
      </c>
      <c r="L745" s="767">
        <v>6.5000000000000002E-2</v>
      </c>
    </row>
    <row r="746" spans="3:12" s="767" customFormat="1" x14ac:dyDescent="0.25">
      <c r="C746" s="8"/>
      <c r="D746" s="8"/>
      <c r="E746" s="8"/>
      <c r="F746" s="803"/>
      <c r="G746" s="10"/>
      <c r="H746" s="538"/>
    </row>
    <row r="747" spans="3:12" x14ac:dyDescent="0.25">
      <c r="C747" s="3" t="s">
        <v>10249</v>
      </c>
      <c r="G747" s="10"/>
      <c r="H747" s="538"/>
    </row>
    <row r="748" spans="3:12" x14ac:dyDescent="0.25">
      <c r="C748" t="s">
        <v>10250</v>
      </c>
      <c r="F748" s="737" t="s">
        <v>3</v>
      </c>
      <c r="G748" s="10">
        <f>0.09*0.02*2*2.7*1.139</f>
        <v>1.1071080000000002E-2</v>
      </c>
      <c r="H748" s="538"/>
    </row>
    <row r="749" spans="3:12" x14ac:dyDescent="0.25">
      <c r="G749" s="10"/>
      <c r="H749" s="538"/>
    </row>
    <row r="750" spans="3:12" x14ac:dyDescent="0.25">
      <c r="C750" s="3" t="s">
        <v>10251</v>
      </c>
      <c r="G750" s="10"/>
      <c r="H750" s="538"/>
    </row>
    <row r="751" spans="3:12" x14ac:dyDescent="0.25">
      <c r="C751" t="s">
        <v>10252</v>
      </c>
      <c r="F751" s="737" t="s">
        <v>3</v>
      </c>
      <c r="G751" s="10">
        <f>0.025*0.015*3*8*1.12</f>
        <v>1.0080000000000002E-2</v>
      </c>
      <c r="H751" s="538"/>
    </row>
    <row r="752" spans="3:12" x14ac:dyDescent="0.25">
      <c r="G752" s="10"/>
      <c r="H752" s="538"/>
    </row>
    <row r="753" spans="3:12" x14ac:dyDescent="0.25">
      <c r="C753" s="3" t="s">
        <v>10253</v>
      </c>
      <c r="G753" s="10"/>
      <c r="H753" s="538"/>
    </row>
    <row r="754" spans="3:12" x14ac:dyDescent="0.25">
      <c r="C754" s="767" t="s">
        <v>10254</v>
      </c>
      <c r="F754" s="737" t="s">
        <v>3</v>
      </c>
      <c r="G754" s="10">
        <f>0.09*0.07*2*8*1.12+0.002</f>
        <v>0.11489600000000001</v>
      </c>
      <c r="H754" s="538"/>
    </row>
    <row r="755" spans="3:12" x14ac:dyDescent="0.25">
      <c r="C755" s="8"/>
      <c r="D755" s="8"/>
      <c r="E755" s="8"/>
      <c r="F755" s="128"/>
      <c r="G755" s="10"/>
      <c r="H755" s="538"/>
    </row>
    <row r="756" spans="3:12" s="767" customFormat="1" x14ac:dyDescent="0.25">
      <c r="C756" s="54" t="s">
        <v>10306</v>
      </c>
      <c r="D756" s="8"/>
      <c r="E756" s="8"/>
      <c r="F756" s="128"/>
      <c r="G756" s="10"/>
      <c r="H756" s="538"/>
    </row>
    <row r="757" spans="3:12" s="767" customFormat="1" x14ac:dyDescent="0.25">
      <c r="C757" s="77" t="s">
        <v>39</v>
      </c>
      <c r="D757" s="73"/>
      <c r="F757" s="74" t="s">
        <v>3</v>
      </c>
      <c r="G757" s="427">
        <f>(0.05*3.14+0.12)*0.08*1.12</f>
        <v>2.4819200000000007E-2</v>
      </c>
      <c r="H757" s="538"/>
    </row>
    <row r="758" spans="3:12" s="767" customFormat="1" ht="17.25" x14ac:dyDescent="0.25">
      <c r="C758" s="77" t="s">
        <v>1055</v>
      </c>
      <c r="D758" s="73"/>
      <c r="F758" s="74" t="s">
        <v>596</v>
      </c>
      <c r="G758" s="153">
        <f>1.1*G757</f>
        <v>2.7301120000000009E-2</v>
      </c>
      <c r="H758" s="538"/>
    </row>
    <row r="759" spans="3:12" s="767" customFormat="1" x14ac:dyDescent="0.25">
      <c r="C759" s="8"/>
      <c r="D759" s="54" t="s">
        <v>10307</v>
      </c>
      <c r="E759" s="8"/>
      <c r="F759" s="128"/>
      <c r="G759" s="10"/>
      <c r="H759" s="538"/>
    </row>
    <row r="760" spans="3:12" s="767" customFormat="1" x14ac:dyDescent="0.25">
      <c r="C760" s="8"/>
      <c r="D760" s="767" t="s">
        <v>10272</v>
      </c>
      <c r="E760" s="8"/>
      <c r="F760" s="128" t="s">
        <v>3</v>
      </c>
      <c r="G760" s="10">
        <f>(0.05*3.14/2*0.07)*1.5*8*1.1</f>
        <v>7.2534000000000029E-2</v>
      </c>
      <c r="H760" s="538"/>
    </row>
    <row r="761" spans="3:12" s="767" customFormat="1" x14ac:dyDescent="0.25">
      <c r="C761" s="8"/>
      <c r="D761" s="8"/>
      <c r="E761" s="8"/>
      <c r="F761" s="128"/>
      <c r="G761" s="10"/>
      <c r="H761" s="538"/>
    </row>
    <row r="762" spans="3:12" s="767" customFormat="1" x14ac:dyDescent="0.25">
      <c r="C762" s="54" t="s">
        <v>10308</v>
      </c>
      <c r="D762" s="8"/>
      <c r="E762" s="8"/>
      <c r="F762" s="128"/>
      <c r="G762" s="10"/>
      <c r="H762" s="538"/>
    </row>
    <row r="763" spans="3:12" s="767" customFormat="1" x14ac:dyDescent="0.25">
      <c r="C763" s="767" t="s">
        <v>4910</v>
      </c>
      <c r="D763" s="8"/>
      <c r="E763" s="8"/>
      <c r="F763" s="128" t="s">
        <v>3</v>
      </c>
      <c r="G763" s="10">
        <f>0.022*0.022*1*8</f>
        <v>3.8719999999999996E-3</v>
      </c>
      <c r="H763" s="538"/>
    </row>
    <row r="764" spans="3:12" s="767" customFormat="1" x14ac:dyDescent="0.25">
      <c r="D764" s="8"/>
      <c r="E764" s="8"/>
      <c r="F764" s="128"/>
      <c r="G764" s="10"/>
      <c r="H764" s="538"/>
    </row>
    <row r="765" spans="3:12" s="767" customFormat="1" x14ac:dyDescent="0.25">
      <c r="C765" s="3" t="s">
        <v>10309</v>
      </c>
      <c r="D765" s="8"/>
      <c r="E765" s="8"/>
      <c r="F765" s="128"/>
      <c r="G765" s="10"/>
      <c r="H765" s="538"/>
    </row>
    <row r="766" spans="3:12" s="767" customFormat="1" x14ac:dyDescent="0.25">
      <c r="C766" s="767" t="s">
        <v>10310</v>
      </c>
      <c r="D766" s="8"/>
      <c r="E766" s="8"/>
      <c r="F766" s="128" t="s">
        <v>195</v>
      </c>
      <c r="G766" s="10">
        <v>1.4</v>
      </c>
      <c r="H766" s="538"/>
      <c r="I766" s="789" t="s">
        <v>10149</v>
      </c>
      <c r="J766" s="790">
        <v>1.3</v>
      </c>
      <c r="K766" s="789" t="s">
        <v>10150</v>
      </c>
      <c r="L766" s="767">
        <v>1.4</v>
      </c>
    </row>
    <row r="767" spans="3:12" s="767" customFormat="1" x14ac:dyDescent="0.25">
      <c r="D767" s="8"/>
      <c r="E767" s="8"/>
      <c r="F767" s="128"/>
      <c r="G767" s="10"/>
      <c r="H767" s="538"/>
      <c r="L767" s="767" t="s">
        <v>4298</v>
      </c>
    </row>
    <row r="768" spans="3:12" s="767" customFormat="1" x14ac:dyDescent="0.25">
      <c r="C768" s="3" t="s">
        <v>10311</v>
      </c>
      <c r="D768" s="8"/>
      <c r="E768" s="8"/>
      <c r="F768" s="128"/>
      <c r="G768" s="10"/>
      <c r="H768" s="538"/>
    </row>
    <row r="769" spans="3:12" s="767" customFormat="1" x14ac:dyDescent="0.25">
      <c r="C769" s="25" t="s">
        <v>10312</v>
      </c>
      <c r="D769" s="8"/>
      <c r="E769" s="8"/>
      <c r="F769" s="128" t="s">
        <v>3</v>
      </c>
      <c r="G769" s="10">
        <f>0.715*L769</f>
        <v>9.2950000000000005E-2</v>
      </c>
      <c r="H769" s="538"/>
      <c r="I769" s="789" t="s">
        <v>10149</v>
      </c>
      <c r="J769" s="790">
        <v>0.11</v>
      </c>
      <c r="K769" s="789" t="s">
        <v>10150</v>
      </c>
      <c r="L769" s="791">
        <v>0.13</v>
      </c>
    </row>
    <row r="770" spans="3:12" x14ac:dyDescent="0.25">
      <c r="G770" s="10"/>
      <c r="H770" s="538"/>
    </row>
    <row r="771" spans="3:12" x14ac:dyDescent="0.25">
      <c r="C771" s="54" t="s">
        <v>10255</v>
      </c>
      <c r="D771" s="8"/>
      <c r="E771" s="8"/>
      <c r="G771" s="10"/>
      <c r="H771" s="538"/>
    </row>
    <row r="772" spans="3:12" s="767" customFormat="1" x14ac:dyDescent="0.25">
      <c r="C772" s="8" t="s">
        <v>10258</v>
      </c>
      <c r="D772" s="8"/>
      <c r="E772" s="8"/>
      <c r="F772" s="802" t="s">
        <v>195</v>
      </c>
      <c r="G772" s="10">
        <f>L772</f>
        <v>3.1</v>
      </c>
      <c r="H772" s="538"/>
      <c r="I772" s="789" t="s">
        <v>10149</v>
      </c>
      <c r="J772" s="790">
        <v>3</v>
      </c>
      <c r="K772" s="789" t="s">
        <v>10150</v>
      </c>
      <c r="L772" s="791">
        <v>3.1</v>
      </c>
    </row>
    <row r="773" spans="3:12" s="767" customFormat="1" x14ac:dyDescent="0.25">
      <c r="C773" s="8"/>
      <c r="D773" s="8"/>
      <c r="E773" s="8"/>
      <c r="F773" s="802"/>
      <c r="G773" s="10"/>
      <c r="H773" s="538"/>
    </row>
    <row r="774" spans="3:12" x14ac:dyDescent="0.25">
      <c r="C774" s="3" t="s">
        <v>10256</v>
      </c>
      <c r="G774" s="10"/>
      <c r="H774" s="538"/>
    </row>
    <row r="775" spans="3:12" x14ac:dyDescent="0.25">
      <c r="C775" s="767" t="s">
        <v>10257</v>
      </c>
      <c r="F775" s="737" t="s">
        <v>3</v>
      </c>
      <c r="G775" s="10">
        <f>0.015*0.006*3.9*8*1.12</f>
        <v>3.14496E-3</v>
      </c>
      <c r="H775" s="538"/>
    </row>
    <row r="776" spans="3:12" x14ac:dyDescent="0.25">
      <c r="G776" s="10"/>
      <c r="H776" s="538"/>
    </row>
    <row r="777" spans="3:12" x14ac:dyDescent="0.25">
      <c r="C777" s="3" t="s">
        <v>10274</v>
      </c>
      <c r="G777" s="10"/>
      <c r="H777" s="538"/>
    </row>
    <row r="778" spans="3:12" s="8" customFormat="1" x14ac:dyDescent="0.25">
      <c r="C778" s="8" t="s">
        <v>8</v>
      </c>
      <c r="F778" s="128" t="s">
        <v>3</v>
      </c>
      <c r="G778" s="32">
        <f>0.41*0.07*0.15*2*1.2</f>
        <v>1.0331999999999999E-2</v>
      </c>
      <c r="H778" s="635"/>
    </row>
    <row r="779" spans="3:12" s="8" customFormat="1" x14ac:dyDescent="0.25">
      <c r="C779" s="8" t="s">
        <v>12</v>
      </c>
      <c r="F779" s="128" t="s">
        <v>3</v>
      </c>
      <c r="G779" s="32">
        <f>0.3*G778</f>
        <v>3.0995999999999997E-3</v>
      </c>
      <c r="H779" s="635"/>
    </row>
    <row r="780" spans="3:12" x14ac:dyDescent="0.25">
      <c r="D780" s="3" t="s">
        <v>10276</v>
      </c>
      <c r="G780" s="10"/>
      <c r="H780" s="538"/>
    </row>
    <row r="781" spans="3:12" x14ac:dyDescent="0.25">
      <c r="D781" t="s">
        <v>10275</v>
      </c>
      <c r="F781" s="737" t="s">
        <v>3</v>
      </c>
      <c r="G781" s="10">
        <f>0.41*0.04*2*8*1.143</f>
        <v>0.29992319999999995</v>
      </c>
      <c r="H781" s="538"/>
    </row>
    <row r="782" spans="3:12" x14ac:dyDescent="0.25">
      <c r="G782" s="10"/>
      <c r="H782" s="538"/>
    </row>
    <row r="783" spans="3:12" x14ac:dyDescent="0.25">
      <c r="C783" s="3" t="s">
        <v>10277</v>
      </c>
      <c r="G783" s="10"/>
      <c r="H783" s="538"/>
    </row>
    <row r="784" spans="3:12" x14ac:dyDescent="0.25">
      <c r="C784" s="73" t="s">
        <v>595</v>
      </c>
      <c r="D784" s="767"/>
      <c r="E784" s="767"/>
      <c r="F784" s="74" t="s">
        <v>3</v>
      </c>
      <c r="G784" s="427">
        <f>0.15*0.025*1.2</f>
        <v>4.4999999999999997E-3</v>
      </c>
      <c r="H784" s="538"/>
    </row>
    <row r="785" spans="3:8" ht="17.25" x14ac:dyDescent="0.25">
      <c r="C785" s="73" t="s">
        <v>168</v>
      </c>
      <c r="D785" s="767"/>
      <c r="E785" s="767"/>
      <c r="F785" s="74" t="s">
        <v>596</v>
      </c>
      <c r="G785" s="153">
        <f>1.08*G784</f>
        <v>4.8599999999999997E-3</v>
      </c>
      <c r="H785" s="538"/>
    </row>
    <row r="786" spans="3:8" s="767" customFormat="1" x14ac:dyDescent="0.25">
      <c r="C786" s="77" t="s">
        <v>10282</v>
      </c>
      <c r="F786" s="74" t="s">
        <v>3</v>
      </c>
      <c r="G786" s="153">
        <f>0.3*0.15*2*0.2</f>
        <v>1.7999999999999999E-2</v>
      </c>
      <c r="H786" s="538"/>
    </row>
    <row r="787" spans="3:8" x14ac:dyDescent="0.25">
      <c r="D787" s="3" t="s">
        <v>10278</v>
      </c>
      <c r="G787" s="10"/>
      <c r="H787" s="538"/>
    </row>
    <row r="788" spans="3:8" x14ac:dyDescent="0.25">
      <c r="D788" t="s">
        <v>10220</v>
      </c>
      <c r="F788" s="737" t="s">
        <v>3</v>
      </c>
      <c r="G788" s="10">
        <f>0.37*0.37*1.5*2.7*1.137</f>
        <v>0.63040396499999996</v>
      </c>
      <c r="H788" s="538"/>
    </row>
    <row r="789" spans="3:8" x14ac:dyDescent="0.25">
      <c r="D789" s="3" t="s">
        <v>10279</v>
      </c>
      <c r="E789" s="767"/>
      <c r="F789" s="803"/>
      <c r="G789" s="10"/>
      <c r="H789" s="538"/>
    </row>
    <row r="790" spans="3:8" x14ac:dyDescent="0.25">
      <c r="D790" s="767" t="s">
        <v>10280</v>
      </c>
      <c r="E790" s="767"/>
      <c r="F790" s="803" t="s">
        <v>3</v>
      </c>
      <c r="G790" s="10">
        <f>0.03*0.02*2*2.7*1.12</f>
        <v>3.6288000000000002E-3</v>
      </c>
      <c r="H790" s="538"/>
    </row>
    <row r="791" spans="3:8" x14ac:dyDescent="0.25">
      <c r="D791" s="3" t="s">
        <v>10281</v>
      </c>
      <c r="E791" s="767"/>
      <c r="F791" s="803"/>
      <c r="G791" s="10"/>
      <c r="H791" s="538"/>
    </row>
    <row r="792" spans="3:8" x14ac:dyDescent="0.25">
      <c r="D792" s="767" t="s">
        <v>10220</v>
      </c>
      <c r="E792" s="767"/>
      <c r="F792" s="803" t="s">
        <v>3</v>
      </c>
      <c r="G792" s="10">
        <f>0.4*0.4*1.5*2.7+0.002</f>
        <v>0.65000000000000013</v>
      </c>
      <c r="H792" s="538"/>
    </row>
    <row r="793" spans="3:8" x14ac:dyDescent="0.25">
      <c r="G793" s="10"/>
      <c r="H793" s="538"/>
    </row>
    <row r="794" spans="3:8" x14ac:dyDescent="0.25">
      <c r="C794" s="3" t="s">
        <v>10283</v>
      </c>
      <c r="G794" s="10"/>
      <c r="H794" s="538"/>
    </row>
    <row r="795" spans="3:8" x14ac:dyDescent="0.25">
      <c r="C795" t="s">
        <v>10284</v>
      </c>
      <c r="F795" s="737" t="s">
        <v>3</v>
      </c>
      <c r="G795" s="10">
        <f>0.052*0.012*2*8*1.15</f>
        <v>1.1481599999999998E-2</v>
      </c>
      <c r="H795" s="538"/>
    </row>
    <row r="796" spans="3:8" x14ac:dyDescent="0.25">
      <c r="G796" s="10"/>
      <c r="H796" s="538"/>
    </row>
    <row r="797" spans="3:8" x14ac:dyDescent="0.25">
      <c r="C797" s="3" t="s">
        <v>10285</v>
      </c>
      <c r="G797" s="10"/>
      <c r="H797" s="538"/>
    </row>
    <row r="798" spans="3:8" x14ac:dyDescent="0.25">
      <c r="C798" s="8" t="s">
        <v>8</v>
      </c>
      <c r="D798" s="8"/>
      <c r="E798" s="8"/>
      <c r="F798" s="128" t="s">
        <v>3</v>
      </c>
      <c r="G798" s="32">
        <f>0.2*0.2*2*0.15*2*1.1</f>
        <v>2.6400000000000007E-2</v>
      </c>
      <c r="H798" s="538"/>
    </row>
    <row r="799" spans="3:8" s="767" customFormat="1" x14ac:dyDescent="0.25">
      <c r="C799" s="8" t="s">
        <v>12</v>
      </c>
      <c r="D799" s="8"/>
      <c r="E799" s="8"/>
      <c r="F799" s="128" t="s">
        <v>3</v>
      </c>
      <c r="G799" s="32">
        <f>0.3*G798</f>
        <v>7.9200000000000017E-3</v>
      </c>
      <c r="H799" s="538"/>
    </row>
    <row r="800" spans="3:8" x14ac:dyDescent="0.25">
      <c r="C800" s="77" t="s">
        <v>39</v>
      </c>
      <c r="D800" s="73"/>
      <c r="E800" s="767"/>
      <c r="F800" s="74" t="s">
        <v>3</v>
      </c>
      <c r="G800" s="427">
        <f>0.12*0.08*1.2</f>
        <v>1.1519999999999999E-2</v>
      </c>
      <c r="H800" s="538"/>
    </row>
    <row r="801" spans="3:8" ht="17.25" x14ac:dyDescent="0.25">
      <c r="C801" s="77" t="s">
        <v>1055</v>
      </c>
      <c r="D801" s="73"/>
      <c r="E801" s="767"/>
      <c r="F801" s="74" t="s">
        <v>596</v>
      </c>
      <c r="G801" s="153">
        <f>1.1*G800</f>
        <v>1.2671999999999999E-2</v>
      </c>
      <c r="H801" s="538"/>
    </row>
    <row r="802" spans="3:8" x14ac:dyDescent="0.25">
      <c r="D802" s="3" t="s">
        <v>10286</v>
      </c>
      <c r="E802" s="767"/>
      <c r="F802" s="737" t="s">
        <v>2180</v>
      </c>
      <c r="G802" s="10"/>
      <c r="H802" s="538"/>
    </row>
    <row r="803" spans="3:8" x14ac:dyDescent="0.25">
      <c r="E803" s="3" t="s">
        <v>10287</v>
      </c>
      <c r="G803" s="10"/>
      <c r="H803" s="538"/>
    </row>
    <row r="804" spans="3:8" x14ac:dyDescent="0.25">
      <c r="E804" s="25" t="s">
        <v>10288</v>
      </c>
      <c r="F804" s="737" t="s">
        <v>3</v>
      </c>
      <c r="G804" s="10">
        <f>0.075*0.015*8*0.5*1.12</f>
        <v>5.0400000000000002E-3</v>
      </c>
      <c r="H804" s="538"/>
    </row>
    <row r="805" spans="3:8" x14ac:dyDescent="0.25">
      <c r="D805" s="3" t="s">
        <v>10289</v>
      </c>
      <c r="H805" s="538"/>
    </row>
    <row r="806" spans="3:8" x14ac:dyDescent="0.25">
      <c r="D806" s="767" t="s">
        <v>10292</v>
      </c>
      <c r="F806" s="737" t="s">
        <v>3</v>
      </c>
      <c r="G806" s="10">
        <f>0.02*0.09*1*8*1.12</f>
        <v>1.6128E-2</v>
      </c>
      <c r="H806" s="538"/>
    </row>
    <row r="807" spans="3:8" x14ac:dyDescent="0.25">
      <c r="D807" s="3" t="s">
        <v>10290</v>
      </c>
      <c r="G807" s="10"/>
      <c r="H807" s="538"/>
    </row>
    <row r="808" spans="3:8" x14ac:dyDescent="0.25">
      <c r="D808" s="767" t="s">
        <v>10292</v>
      </c>
      <c r="F808" s="737" t="s">
        <v>3</v>
      </c>
      <c r="G808" s="10">
        <f>0.025*0.09*1*8*1.12</f>
        <v>2.0160000000000001E-2</v>
      </c>
      <c r="H808" s="538"/>
    </row>
    <row r="809" spans="3:8" x14ac:dyDescent="0.25">
      <c r="D809" s="3" t="s">
        <v>10291</v>
      </c>
      <c r="G809" s="10"/>
      <c r="H809" s="538"/>
    </row>
    <row r="810" spans="3:8" x14ac:dyDescent="0.25">
      <c r="D810" s="767" t="s">
        <v>10293</v>
      </c>
      <c r="F810" s="737" t="s">
        <v>3</v>
      </c>
      <c r="G810" s="10">
        <f>0.045*0.016*2*8*1.2</f>
        <v>1.3823999999999998E-2</v>
      </c>
      <c r="H810" s="538"/>
    </row>
    <row r="811" spans="3:8" x14ac:dyDescent="0.25">
      <c r="D811" s="3" t="s">
        <v>10294</v>
      </c>
      <c r="G811" s="10"/>
      <c r="H811" s="538"/>
    </row>
    <row r="812" spans="3:8" x14ac:dyDescent="0.25">
      <c r="D812" s="767" t="s">
        <v>10293</v>
      </c>
      <c r="F812" s="737" t="s">
        <v>3</v>
      </c>
      <c r="G812" s="10">
        <f>0.18*0.18*2*8*1.138</f>
        <v>0.58993919999999989</v>
      </c>
      <c r="H812" s="538"/>
    </row>
    <row r="813" spans="3:8" x14ac:dyDescent="0.25">
      <c r="G813" s="10"/>
      <c r="H813" s="538"/>
    </row>
    <row r="814" spans="3:8" x14ac:dyDescent="0.25">
      <c r="C814" s="3" t="s">
        <v>10295</v>
      </c>
      <c r="G814" s="10"/>
      <c r="H814" s="538"/>
    </row>
    <row r="815" spans="3:8" x14ac:dyDescent="0.25">
      <c r="C815" t="s">
        <v>10296</v>
      </c>
      <c r="F815" s="737" t="s">
        <v>3</v>
      </c>
      <c r="G815" s="10">
        <f>0.33*0.2*3*2*1.137</f>
        <v>0.45025200000000004</v>
      </c>
      <c r="H815" s="538"/>
    </row>
    <row r="816" spans="3:8" x14ac:dyDescent="0.25">
      <c r="G816" s="10"/>
      <c r="H816" s="538"/>
    </row>
    <row r="817" spans="3:12" x14ac:dyDescent="0.25">
      <c r="C817" s="3" t="s">
        <v>10297</v>
      </c>
      <c r="G817" s="10"/>
      <c r="H817" s="538"/>
    </row>
    <row r="818" spans="3:12" x14ac:dyDescent="0.25">
      <c r="C818" t="s">
        <v>10298</v>
      </c>
      <c r="F818" s="737" t="s">
        <v>195</v>
      </c>
      <c r="G818" s="10">
        <f>L818</f>
        <v>1.25</v>
      </c>
      <c r="H818" s="538"/>
      <c r="I818" s="789" t="s">
        <v>10149</v>
      </c>
      <c r="J818" s="790">
        <v>1.2</v>
      </c>
      <c r="K818" s="789" t="s">
        <v>10150</v>
      </c>
      <c r="L818" s="791">
        <v>1.25</v>
      </c>
    </row>
    <row r="819" spans="3:12" x14ac:dyDescent="0.25">
      <c r="G819" s="10"/>
      <c r="H819" s="538"/>
    </row>
    <row r="820" spans="3:12" x14ac:dyDescent="0.25">
      <c r="C820" s="3" t="s">
        <v>10301</v>
      </c>
      <c r="F820" s="737" t="s">
        <v>2180</v>
      </c>
      <c r="G820" s="10"/>
      <c r="H820" s="538"/>
    </row>
    <row r="821" spans="3:12" x14ac:dyDescent="0.25">
      <c r="D821" s="3" t="s">
        <v>10302</v>
      </c>
      <c r="G821" s="10"/>
      <c r="H821" s="538"/>
    </row>
    <row r="822" spans="3:12" x14ac:dyDescent="0.25">
      <c r="D822" t="s">
        <v>10303</v>
      </c>
      <c r="F822" s="737" t="s">
        <v>3</v>
      </c>
      <c r="G822" s="10">
        <v>0.01</v>
      </c>
      <c r="H822" s="538"/>
    </row>
    <row r="823" spans="3:12" x14ac:dyDescent="0.25">
      <c r="D823" s="3" t="s">
        <v>10304</v>
      </c>
      <c r="E823" s="767"/>
      <c r="F823" s="803"/>
      <c r="G823" s="10"/>
      <c r="H823" s="538"/>
    </row>
    <row r="824" spans="3:12" x14ac:dyDescent="0.25">
      <c r="D824" s="767" t="s">
        <v>10305</v>
      </c>
      <c r="E824" s="767"/>
      <c r="F824" s="803" t="s">
        <v>3</v>
      </c>
      <c r="G824" s="10">
        <v>2.5000000000000001E-2</v>
      </c>
      <c r="H824" s="538"/>
    </row>
    <row r="825" spans="3:12" x14ac:dyDescent="0.25">
      <c r="G825" s="10"/>
      <c r="H825" s="538"/>
    </row>
    <row r="826" spans="3:12" x14ac:dyDescent="0.25">
      <c r="C826" s="3" t="s">
        <v>10333</v>
      </c>
      <c r="G826" s="10"/>
      <c r="H826" s="538"/>
    </row>
    <row r="827" spans="3:12" x14ac:dyDescent="0.25">
      <c r="C827" t="s">
        <v>10334</v>
      </c>
      <c r="F827" s="737" t="s">
        <v>3</v>
      </c>
      <c r="G827" s="10">
        <v>5.0000000000000001E-3</v>
      </c>
      <c r="H827" s="538"/>
    </row>
    <row r="828" spans="3:12" x14ac:dyDescent="0.25">
      <c r="D828" s="3" t="s">
        <v>10335</v>
      </c>
      <c r="G828" s="10"/>
      <c r="H828" s="538"/>
    </row>
    <row r="829" spans="3:12" x14ac:dyDescent="0.25">
      <c r="D829" t="s">
        <v>37</v>
      </c>
      <c r="F829" s="737" t="s">
        <v>3</v>
      </c>
      <c r="G829" s="10">
        <f>0.23*0.23*0.2*2*1.1</f>
        <v>2.3276000000000005E-2</v>
      </c>
      <c r="H829" s="538"/>
    </row>
    <row r="830" spans="3:12" x14ac:dyDescent="0.25">
      <c r="D830" s="73" t="s">
        <v>595</v>
      </c>
      <c r="E830" s="767"/>
      <c r="F830" s="74" t="s">
        <v>3</v>
      </c>
      <c r="G830" s="427">
        <f>0.25*0.05*1.2</f>
        <v>1.4999999999999999E-2</v>
      </c>
      <c r="H830" s="538"/>
    </row>
    <row r="831" spans="3:12" ht="17.25" x14ac:dyDescent="0.25">
      <c r="D831" s="73" t="s">
        <v>168</v>
      </c>
      <c r="E831" s="767"/>
      <c r="F831" s="74" t="s">
        <v>596</v>
      </c>
      <c r="G831" s="153">
        <f>1.08*G830</f>
        <v>1.6199999999999999E-2</v>
      </c>
      <c r="H831" s="538"/>
    </row>
    <row r="832" spans="3:12" s="767" customFormat="1" x14ac:dyDescent="0.25">
      <c r="D832" s="77" t="s">
        <v>163</v>
      </c>
      <c r="F832" s="74" t="s">
        <v>3</v>
      </c>
      <c r="G832" s="153">
        <f>G834*0.65+0.001</f>
        <v>1.5015624999999998E-2</v>
      </c>
      <c r="H832" s="538"/>
    </row>
    <row r="833" spans="4:8" s="767" customFormat="1" x14ac:dyDescent="0.25">
      <c r="D833" s="77" t="s">
        <v>164</v>
      </c>
      <c r="F833" s="74" t="s">
        <v>3</v>
      </c>
      <c r="G833" s="153">
        <f>0.3*G832</f>
        <v>4.5046874999999991E-3</v>
      </c>
      <c r="H833" s="538"/>
    </row>
    <row r="834" spans="4:8" s="767" customFormat="1" x14ac:dyDescent="0.25">
      <c r="D834" s="77" t="s">
        <v>72</v>
      </c>
      <c r="F834" s="74" t="s">
        <v>3</v>
      </c>
      <c r="G834" s="153">
        <f>0.25*0.25*0.15*2*1.15</f>
        <v>2.1562499999999998E-2</v>
      </c>
      <c r="H834" s="538"/>
    </row>
    <row r="835" spans="4:8" s="767" customFormat="1" x14ac:dyDescent="0.25">
      <c r="D835" s="77" t="s">
        <v>444</v>
      </c>
      <c r="F835" s="74" t="s">
        <v>3</v>
      </c>
      <c r="G835" s="153">
        <f>0.3*G834</f>
        <v>6.4687499999999997E-3</v>
      </c>
      <c r="H835" s="538"/>
    </row>
    <row r="836" spans="4:8" s="767" customFormat="1" x14ac:dyDescent="0.25">
      <c r="D836" s="77" t="s">
        <v>324</v>
      </c>
      <c r="F836" s="74" t="s">
        <v>3</v>
      </c>
      <c r="G836" s="153">
        <v>0.1</v>
      </c>
      <c r="H836" s="538"/>
    </row>
    <row r="837" spans="4:8" s="767" customFormat="1" x14ac:dyDescent="0.25">
      <c r="D837" s="77" t="s">
        <v>10339</v>
      </c>
      <c r="E837" s="8"/>
      <c r="F837" s="152" t="s">
        <v>3</v>
      </c>
      <c r="G837" s="427">
        <v>2E-3</v>
      </c>
      <c r="H837" s="538"/>
    </row>
    <row r="838" spans="4:8" s="767" customFormat="1" x14ac:dyDescent="0.25">
      <c r="D838" s="77" t="s">
        <v>6576</v>
      </c>
      <c r="E838" s="8"/>
      <c r="F838" s="152" t="s">
        <v>3</v>
      </c>
      <c r="G838" s="427">
        <v>0.05</v>
      </c>
      <c r="H838" s="538"/>
    </row>
    <row r="839" spans="4:8" x14ac:dyDescent="0.25">
      <c r="E839" s="3" t="s">
        <v>10337</v>
      </c>
      <c r="G839" s="10"/>
      <c r="H839" s="538"/>
    </row>
    <row r="840" spans="4:8" s="767" customFormat="1" x14ac:dyDescent="0.25">
      <c r="E840" s="767" t="s">
        <v>10340</v>
      </c>
      <c r="F840" s="807" t="s">
        <v>3</v>
      </c>
      <c r="G840" s="10">
        <f>0.3*0.3*2.5*2.7*1.07</f>
        <v>0.65002499999999996</v>
      </c>
      <c r="H840" s="538"/>
    </row>
    <row r="841" spans="4:8" s="767" customFormat="1" x14ac:dyDescent="0.25">
      <c r="E841" s="3" t="s">
        <v>10341</v>
      </c>
      <c r="F841" s="807"/>
      <c r="G841" s="10"/>
      <c r="H841" s="538"/>
    </row>
    <row r="842" spans="4:8" s="767" customFormat="1" x14ac:dyDescent="0.25">
      <c r="E842" s="767" t="s">
        <v>10204</v>
      </c>
      <c r="F842" s="807" t="s">
        <v>3</v>
      </c>
      <c r="G842" s="10">
        <f>0.05*0.05*3*2.7*1.1</f>
        <v>2.2275000000000007E-2</v>
      </c>
      <c r="H842" s="538"/>
    </row>
    <row r="843" spans="4:8" s="767" customFormat="1" x14ac:dyDescent="0.25">
      <c r="E843" s="3" t="s">
        <v>10338</v>
      </c>
      <c r="F843" s="807"/>
      <c r="G843" s="10"/>
      <c r="H843" s="538"/>
    </row>
    <row r="844" spans="4:8" s="767" customFormat="1" x14ac:dyDescent="0.25">
      <c r="E844" s="767" t="s">
        <v>10204</v>
      </c>
      <c r="F844" s="807" t="s">
        <v>3</v>
      </c>
      <c r="G844" s="10">
        <f>0.01*0.02*3*2.7*1.2</f>
        <v>1.9440000000000004E-3</v>
      </c>
      <c r="H844" s="538"/>
    </row>
    <row r="845" spans="4:8" x14ac:dyDescent="0.25">
      <c r="D845" s="3" t="s">
        <v>10336</v>
      </c>
      <c r="G845" s="10"/>
      <c r="H845" s="538"/>
    </row>
    <row r="846" spans="4:8" x14ac:dyDescent="0.25">
      <c r="D846" s="73" t="s">
        <v>595</v>
      </c>
      <c r="E846" s="767"/>
      <c r="F846" s="74" t="s">
        <v>3</v>
      </c>
      <c r="G846" s="427">
        <f>(0.22*3.14*4+0.4)*0.05*1.1+0.001</f>
        <v>0.17497600000000005</v>
      </c>
      <c r="H846" s="538"/>
    </row>
    <row r="847" spans="4:8" ht="17.25" x14ac:dyDescent="0.25">
      <c r="D847" s="73" t="s">
        <v>168</v>
      </c>
      <c r="E847" s="767"/>
      <c r="F847" s="74" t="s">
        <v>596</v>
      </c>
      <c r="G847" s="153">
        <f>1.08*G846+0.001</f>
        <v>0.18997408000000007</v>
      </c>
      <c r="H847" s="538"/>
    </row>
    <row r="848" spans="4:8" x14ac:dyDescent="0.25">
      <c r="D848" s="77" t="s">
        <v>163</v>
      </c>
      <c r="E848" s="767"/>
      <c r="F848" s="74" t="s">
        <v>3</v>
      </c>
      <c r="G848" s="153">
        <f>G850*0.65</f>
        <v>0.32518028399999999</v>
      </c>
      <c r="H848" s="538"/>
    </row>
    <row r="849" spans="3:8" s="767" customFormat="1" x14ac:dyDescent="0.25">
      <c r="D849" s="77" t="s">
        <v>164</v>
      </c>
      <c r="F849" s="74" t="s">
        <v>3</v>
      </c>
      <c r="G849" s="153">
        <f>0.3*G848+0.002</f>
        <v>9.9554085199999989E-2</v>
      </c>
      <c r="H849" s="538"/>
    </row>
    <row r="850" spans="3:8" s="767" customFormat="1" x14ac:dyDescent="0.25">
      <c r="D850" s="77" t="s">
        <v>72</v>
      </c>
      <c r="F850" s="74" t="s">
        <v>3</v>
      </c>
      <c r="G850" s="153">
        <f>(0.22*3.14*2)*0.15*2*1.207</f>
        <v>0.50027736</v>
      </c>
      <c r="H850" s="538"/>
    </row>
    <row r="851" spans="3:8" s="767" customFormat="1" x14ac:dyDescent="0.25">
      <c r="D851" s="77" t="s">
        <v>444</v>
      </c>
      <c r="F851" s="74" t="s">
        <v>3</v>
      </c>
      <c r="G851" s="153">
        <f>0.3*G850</f>
        <v>0.150083208</v>
      </c>
      <c r="H851" s="538"/>
    </row>
    <row r="852" spans="3:8" s="767" customFormat="1" x14ac:dyDescent="0.25">
      <c r="D852" s="77" t="s">
        <v>324</v>
      </c>
      <c r="F852" s="74" t="s">
        <v>3</v>
      </c>
      <c r="G852" s="153">
        <v>0.1</v>
      </c>
      <c r="H852" s="538"/>
    </row>
    <row r="853" spans="3:8" s="767" customFormat="1" x14ac:dyDescent="0.25">
      <c r="D853" s="77" t="s">
        <v>6576</v>
      </c>
      <c r="E853" s="8"/>
      <c r="F853" s="152" t="s">
        <v>3</v>
      </c>
      <c r="G853" s="427">
        <v>0.25</v>
      </c>
      <c r="H853" s="538"/>
    </row>
    <row r="854" spans="3:8" x14ac:dyDescent="0.25">
      <c r="E854" s="3" t="s">
        <v>10342</v>
      </c>
      <c r="G854" s="10"/>
      <c r="H854" s="538"/>
    </row>
    <row r="855" spans="3:8" x14ac:dyDescent="0.25">
      <c r="E855" t="s">
        <v>10280</v>
      </c>
      <c r="F855" s="737" t="s">
        <v>3</v>
      </c>
      <c r="G855" s="10">
        <f>(0.21*3.14*1.93)*2*2.7*1.12+0.003</f>
        <v>7.6999388160000004</v>
      </c>
      <c r="H855" s="538"/>
    </row>
    <row r="856" spans="3:8" s="767" customFormat="1" x14ac:dyDescent="0.25">
      <c r="E856" s="73" t="s">
        <v>595</v>
      </c>
      <c r="F856" s="74" t="s">
        <v>3</v>
      </c>
      <c r="G856" s="427">
        <f>(2+0.22*3.14)*0.05*1.25+0.002</f>
        <v>0.17017500000000002</v>
      </c>
      <c r="H856" s="538"/>
    </row>
    <row r="857" spans="3:8" s="767" customFormat="1" ht="17.25" x14ac:dyDescent="0.25">
      <c r="E857" s="73" t="s">
        <v>168</v>
      </c>
      <c r="F857" s="74" t="s">
        <v>596</v>
      </c>
      <c r="G857" s="153">
        <f>1.08*G856+0.001</f>
        <v>0.18478900000000004</v>
      </c>
      <c r="H857" s="538"/>
    </row>
    <row r="858" spans="3:8" x14ac:dyDescent="0.25">
      <c r="E858" s="3" t="s">
        <v>10343</v>
      </c>
      <c r="G858" s="10"/>
      <c r="H858" s="538"/>
    </row>
    <row r="859" spans="3:8" x14ac:dyDescent="0.25">
      <c r="E859" s="77" t="s">
        <v>10204</v>
      </c>
      <c r="F859" s="737" t="s">
        <v>3</v>
      </c>
      <c r="G859" s="10">
        <f>0.215*3.14*0.035*3*2.7*1.12+0.006</f>
        <v>0.2203577520000001</v>
      </c>
      <c r="H859" s="538"/>
    </row>
    <row r="860" spans="3:8" x14ac:dyDescent="0.25">
      <c r="E860" s="3" t="s">
        <v>10344</v>
      </c>
      <c r="G860" s="10"/>
      <c r="H860" s="538"/>
    </row>
    <row r="861" spans="3:8" x14ac:dyDescent="0.25">
      <c r="E861" s="77" t="s">
        <v>10246</v>
      </c>
      <c r="F861" s="737" t="s">
        <v>3</v>
      </c>
      <c r="G861" s="10">
        <f>0.06*0.02*2.5*2.7*1.12</f>
        <v>9.0720000000000002E-3</v>
      </c>
      <c r="H861" s="538"/>
    </row>
    <row r="862" spans="3:8" x14ac:dyDescent="0.25">
      <c r="G862" s="10"/>
      <c r="H862" s="538"/>
    </row>
    <row r="863" spans="3:8" x14ac:dyDescent="0.25">
      <c r="C863" s="3" t="s">
        <v>10345</v>
      </c>
      <c r="G863" s="10"/>
      <c r="H863" s="538"/>
    </row>
    <row r="864" spans="3:8" x14ac:dyDescent="0.25">
      <c r="C864" t="s">
        <v>163</v>
      </c>
      <c r="F864" s="737" t="s">
        <v>3</v>
      </c>
      <c r="G864" s="10">
        <f>G866*0.65+0.002</f>
        <v>0.21990860000000007</v>
      </c>
      <c r="H864" s="538"/>
    </row>
    <row r="865" spans="3:8" x14ac:dyDescent="0.25">
      <c r="C865" t="s">
        <v>164</v>
      </c>
      <c r="F865" s="737" t="s">
        <v>3</v>
      </c>
      <c r="G865" s="10">
        <f>0.3*G864-0.001</f>
        <v>6.4972580000000016E-2</v>
      </c>
      <c r="H865" s="538"/>
    </row>
    <row r="866" spans="3:8" x14ac:dyDescent="0.25">
      <c r="C866" t="s">
        <v>10300</v>
      </c>
      <c r="F866" s="737" t="s">
        <v>3</v>
      </c>
      <c r="G866" s="10">
        <f>(0.34*0.2*2+0.2*0.67*2+0.67*0.34*2)*0.15*2*1.3</f>
        <v>0.3352440000000001</v>
      </c>
      <c r="H866" s="538"/>
    </row>
    <row r="867" spans="3:8" x14ac:dyDescent="0.25">
      <c r="C867" t="s">
        <v>444</v>
      </c>
      <c r="F867" s="737" t="s">
        <v>3</v>
      </c>
      <c r="G867" s="10">
        <f>0.3*G866-0.001</f>
        <v>9.9573200000000028E-2</v>
      </c>
      <c r="H867" s="538"/>
    </row>
    <row r="868" spans="3:8" x14ac:dyDescent="0.25">
      <c r="C868" t="s">
        <v>6576</v>
      </c>
      <c r="F868" s="737" t="s">
        <v>3</v>
      </c>
      <c r="G868" s="10">
        <f>0.3</f>
        <v>0.3</v>
      </c>
      <c r="H868" s="538"/>
    </row>
    <row r="869" spans="3:8" x14ac:dyDescent="0.25">
      <c r="C869" s="73" t="s">
        <v>595</v>
      </c>
      <c r="D869" s="74"/>
      <c r="E869" s="427"/>
      <c r="F869" s="807" t="s">
        <v>3</v>
      </c>
      <c r="G869" s="427">
        <f>(0.58*2+1+1)*0.05+0.002</f>
        <v>0.16000000000000003</v>
      </c>
      <c r="H869" s="538"/>
    </row>
    <row r="870" spans="3:8" x14ac:dyDescent="0.25">
      <c r="C870" s="73" t="s">
        <v>168</v>
      </c>
      <c r="D870" s="74"/>
      <c r="E870" s="153"/>
      <c r="F870" s="74" t="s">
        <v>3</v>
      </c>
      <c r="G870" s="153">
        <f>1.08*G869</f>
        <v>0.17280000000000004</v>
      </c>
      <c r="H870" s="538"/>
    </row>
    <row r="871" spans="3:8" x14ac:dyDescent="0.25">
      <c r="D871" s="3" t="s">
        <v>10346</v>
      </c>
      <c r="G871" s="10"/>
      <c r="H871" s="538"/>
    </row>
    <row r="872" spans="3:8" s="767" customFormat="1" x14ac:dyDescent="0.25">
      <c r="D872" s="73" t="s">
        <v>595</v>
      </c>
      <c r="F872" s="74" t="s">
        <v>3</v>
      </c>
      <c r="G872" s="427">
        <f>0.3*0.05*1.18</f>
        <v>1.7699999999999997E-2</v>
      </c>
      <c r="H872" s="538"/>
    </row>
    <row r="873" spans="3:8" s="767" customFormat="1" ht="17.25" x14ac:dyDescent="0.25">
      <c r="D873" s="73" t="s">
        <v>168</v>
      </c>
      <c r="F873" s="74" t="s">
        <v>596</v>
      </c>
      <c r="G873" s="153">
        <f>1.08*G872+0.001</f>
        <v>2.0115999999999998E-2</v>
      </c>
      <c r="H873" s="538"/>
    </row>
    <row r="874" spans="3:8" s="767" customFormat="1" x14ac:dyDescent="0.25">
      <c r="D874" s="25" t="s">
        <v>37</v>
      </c>
      <c r="F874" s="808" t="s">
        <v>3</v>
      </c>
      <c r="G874" s="10">
        <f>1.8*0.035*0.2*2</f>
        <v>2.5200000000000007E-2</v>
      </c>
      <c r="H874" s="538"/>
    </row>
    <row r="875" spans="3:8" s="767" customFormat="1" x14ac:dyDescent="0.25">
      <c r="D875" s="25"/>
      <c r="E875" s="3" t="s">
        <v>10353</v>
      </c>
      <c r="F875" s="808"/>
      <c r="G875" s="10"/>
      <c r="H875" s="538"/>
    </row>
    <row r="876" spans="3:8" s="767" customFormat="1" x14ac:dyDescent="0.25">
      <c r="D876" s="25"/>
      <c r="E876" s="767" t="s">
        <v>10331</v>
      </c>
      <c r="F876" s="808" t="s">
        <v>3</v>
      </c>
      <c r="G876" s="10">
        <f>0.675*0.26*2*2.7*1.118</f>
        <v>1.0595286000000004</v>
      </c>
      <c r="H876" s="538"/>
    </row>
    <row r="877" spans="3:8" s="767" customFormat="1" x14ac:dyDescent="0.25">
      <c r="D877" s="25"/>
      <c r="E877" s="3" t="s">
        <v>10354</v>
      </c>
      <c r="F877" s="808"/>
      <c r="G877" s="10"/>
      <c r="H877" s="538"/>
    </row>
    <row r="878" spans="3:8" s="767" customFormat="1" x14ac:dyDescent="0.25">
      <c r="D878" s="25"/>
      <c r="E878" s="25" t="s">
        <v>10280</v>
      </c>
      <c r="F878" s="808" t="s">
        <v>3</v>
      </c>
      <c r="G878" s="10">
        <f>0.192*0.03*2*2.7*1.12</f>
        <v>3.4836480000000003E-2</v>
      </c>
      <c r="H878" s="538"/>
    </row>
    <row r="879" spans="3:8" s="767" customFormat="1" x14ac:dyDescent="0.25">
      <c r="D879" s="25"/>
      <c r="E879" s="3" t="s">
        <v>10355</v>
      </c>
      <c r="F879" s="808"/>
      <c r="G879" s="10"/>
      <c r="H879" s="538"/>
    </row>
    <row r="880" spans="3:8" s="767" customFormat="1" x14ac:dyDescent="0.25">
      <c r="D880" s="25"/>
      <c r="E880" s="25" t="s">
        <v>10280</v>
      </c>
      <c r="F880" s="808" t="s">
        <v>3</v>
      </c>
      <c r="G880" s="10">
        <f>0.61*0.03*2*2.7*1.12</f>
        <v>0.11067840000000001</v>
      </c>
      <c r="H880" s="538"/>
    </row>
    <row r="881" spans="4:8" s="767" customFormat="1" x14ac:dyDescent="0.25">
      <c r="D881" s="25"/>
      <c r="E881" s="3" t="s">
        <v>10356</v>
      </c>
      <c r="F881" s="808"/>
      <c r="G881" s="10"/>
      <c r="H881" s="538"/>
    </row>
    <row r="882" spans="4:8" s="767" customFormat="1" x14ac:dyDescent="0.25">
      <c r="D882" s="25"/>
      <c r="E882" s="25" t="s">
        <v>10280</v>
      </c>
      <c r="F882" s="808" t="s">
        <v>3</v>
      </c>
      <c r="G882" s="10">
        <f>0.04*0.034*2*2.7*1.12</f>
        <v>8.2252800000000015E-3</v>
      </c>
      <c r="H882" s="538"/>
    </row>
    <row r="883" spans="4:8" x14ac:dyDescent="0.25">
      <c r="D883" s="3" t="s">
        <v>10347</v>
      </c>
      <c r="F883" s="808"/>
      <c r="G883" s="10"/>
      <c r="H883" s="538"/>
    </row>
    <row r="884" spans="4:8" x14ac:dyDescent="0.25">
      <c r="D884" s="767" t="s">
        <v>10228</v>
      </c>
      <c r="F884" s="808" t="s">
        <v>3</v>
      </c>
      <c r="G884" s="10">
        <f>0.03*0.022*4*2.7*1.12</f>
        <v>7.9833600000000001E-3</v>
      </c>
      <c r="H884" s="538"/>
    </row>
    <row r="885" spans="4:8" x14ac:dyDescent="0.25">
      <c r="D885" s="3" t="s">
        <v>10348</v>
      </c>
      <c r="E885" s="767"/>
      <c r="F885" s="808"/>
      <c r="G885" s="10"/>
      <c r="H885" s="538"/>
    </row>
    <row r="886" spans="4:8" x14ac:dyDescent="0.25">
      <c r="D886" t="s">
        <v>10280</v>
      </c>
      <c r="E886" s="767"/>
      <c r="F886" s="808" t="s">
        <v>3</v>
      </c>
      <c r="G886" s="10">
        <f>0.82*0.625*2*2.7*1.12</f>
        <v>3.0996000000000006</v>
      </c>
      <c r="H886" s="538"/>
    </row>
    <row r="887" spans="4:8" x14ac:dyDescent="0.25">
      <c r="D887" s="3" t="s">
        <v>10349</v>
      </c>
      <c r="E887" s="767"/>
      <c r="F887" s="808"/>
      <c r="G887" s="10"/>
      <c r="H887" s="538"/>
    </row>
    <row r="888" spans="4:8" x14ac:dyDescent="0.25">
      <c r="D888" s="767" t="s">
        <v>10280</v>
      </c>
      <c r="E888" s="767"/>
      <c r="F888" s="808" t="s">
        <v>3</v>
      </c>
      <c r="G888" s="10">
        <f>0.225*0.34*2*2.7*1.12+0.002</f>
        <v>0.46467200000000014</v>
      </c>
      <c r="H888" s="538"/>
    </row>
    <row r="889" spans="4:8" x14ac:dyDescent="0.25">
      <c r="D889" s="3" t="s">
        <v>10350</v>
      </c>
      <c r="F889" s="808"/>
      <c r="G889" s="10"/>
      <c r="H889" s="538"/>
    </row>
    <row r="890" spans="4:8" x14ac:dyDescent="0.25">
      <c r="D890" t="s">
        <v>10280</v>
      </c>
      <c r="F890" s="808" t="s">
        <v>3</v>
      </c>
      <c r="G890" s="10">
        <f>0.25*0.25*2*2.7*1.12+0.002</f>
        <v>0.38000000000000006</v>
      </c>
      <c r="H890" s="538"/>
    </row>
    <row r="891" spans="4:8" x14ac:dyDescent="0.25">
      <c r="D891" s="3" t="s">
        <v>10351</v>
      </c>
      <c r="F891" s="808"/>
      <c r="G891" s="10"/>
      <c r="H891" s="538"/>
    </row>
    <row r="892" spans="4:8" x14ac:dyDescent="0.25">
      <c r="D892" s="767" t="s">
        <v>10358</v>
      </c>
      <c r="F892" s="808" t="s">
        <v>3</v>
      </c>
      <c r="G892" s="10">
        <f>0.05*0.055*6*2.7*1.12</f>
        <v>4.989600000000001E-2</v>
      </c>
      <c r="H892" s="538"/>
    </row>
    <row r="893" spans="4:8" x14ac:dyDescent="0.25">
      <c r="D893" s="3" t="s">
        <v>10352</v>
      </c>
      <c r="G893" s="10"/>
      <c r="H893" s="538"/>
    </row>
    <row r="894" spans="4:8" x14ac:dyDescent="0.25">
      <c r="D894" s="767" t="s">
        <v>10228</v>
      </c>
      <c r="F894" s="737" t="s">
        <v>3</v>
      </c>
      <c r="G894" s="10">
        <f>0.03*0.03*4*2.7*1.1</f>
        <v>1.0692000000000002E-2</v>
      </c>
      <c r="H894" s="538"/>
    </row>
    <row r="895" spans="4:8" x14ac:dyDescent="0.25">
      <c r="D895" s="3" t="s">
        <v>10357</v>
      </c>
      <c r="G895" s="10"/>
      <c r="H895" s="538"/>
    </row>
    <row r="896" spans="4:8" x14ac:dyDescent="0.25">
      <c r="D896" t="s">
        <v>10204</v>
      </c>
      <c r="F896" s="737" t="s">
        <v>3</v>
      </c>
      <c r="G896" s="10">
        <f>0.055*0.021*3*2.7*1.12</f>
        <v>1.0478160000000002E-2</v>
      </c>
      <c r="H896" s="538"/>
    </row>
    <row r="897" spans="1:13" x14ac:dyDescent="0.25">
      <c r="A897" s="539"/>
      <c r="B897" s="539"/>
      <c r="C897" s="539"/>
      <c r="D897" s="539"/>
      <c r="E897" s="539"/>
      <c r="F897" s="599"/>
      <c r="G897" s="600"/>
      <c r="H897" s="540"/>
    </row>
    <row r="898" spans="1:13" x14ac:dyDescent="0.25">
      <c r="G898" s="10"/>
      <c r="H898" s="631" t="s">
        <v>10798</v>
      </c>
    </row>
    <row r="899" spans="1:13" s="767" customFormat="1" x14ac:dyDescent="0.25">
      <c r="E899" s="117" t="s">
        <v>10749</v>
      </c>
      <c r="G899" s="767" t="s">
        <v>10797</v>
      </c>
      <c r="H899" s="538"/>
    </row>
    <row r="900" spans="1:13" s="767" customFormat="1" x14ac:dyDescent="0.25">
      <c r="F900" s="808"/>
      <c r="G900" s="10"/>
      <c r="H900" s="538"/>
    </row>
    <row r="901" spans="1:13" x14ac:dyDescent="0.25">
      <c r="C901" s="3" t="s">
        <v>10750</v>
      </c>
      <c r="G901" s="10"/>
      <c r="H901" s="538"/>
    </row>
    <row r="902" spans="1:13" x14ac:dyDescent="0.25">
      <c r="C902" t="s">
        <v>10751</v>
      </c>
      <c r="F902" s="737" t="s">
        <v>3</v>
      </c>
      <c r="G902" s="10">
        <f>0.042*0.02*1*8.5*1.1</f>
        <v>7.8540000000000016E-3</v>
      </c>
      <c r="H902" s="538"/>
    </row>
    <row r="903" spans="1:13" x14ac:dyDescent="0.25">
      <c r="G903" s="10"/>
      <c r="H903" s="538"/>
    </row>
    <row r="904" spans="1:13" x14ac:dyDescent="0.25">
      <c r="C904" s="3" t="s">
        <v>10756</v>
      </c>
      <c r="G904" s="10"/>
      <c r="H904" s="538"/>
    </row>
    <row r="905" spans="1:13" x14ac:dyDescent="0.25">
      <c r="C905" t="s">
        <v>10757</v>
      </c>
      <c r="F905" s="737" t="s">
        <v>3</v>
      </c>
      <c r="G905" s="10">
        <f>0.16*0.04*2*2.7*1.15</f>
        <v>3.9744000000000008E-2</v>
      </c>
      <c r="H905" s="538"/>
      <c r="J905" t="s">
        <v>10759</v>
      </c>
      <c r="L905" t="s">
        <v>10768</v>
      </c>
    </row>
    <row r="906" spans="1:13" x14ac:dyDescent="0.25">
      <c r="G906" s="10"/>
      <c r="H906" s="538"/>
      <c r="J906" t="s">
        <v>10760</v>
      </c>
      <c r="L906" t="s">
        <v>10769</v>
      </c>
    </row>
    <row r="907" spans="1:13" x14ac:dyDescent="0.25">
      <c r="C907" s="3" t="s">
        <v>10758</v>
      </c>
      <c r="G907" s="10"/>
      <c r="H907" s="538"/>
      <c r="J907" t="s">
        <v>10761</v>
      </c>
      <c r="L907" t="s">
        <v>10769</v>
      </c>
    </row>
    <row r="908" spans="1:13" x14ac:dyDescent="0.25">
      <c r="C908" t="s">
        <v>10272</v>
      </c>
      <c r="F908" s="737" t="s">
        <v>3</v>
      </c>
      <c r="G908" s="10">
        <f>0.07*0.02*1.5*8*1.16</f>
        <v>1.9488000000000002E-2</v>
      </c>
      <c r="H908" s="538"/>
      <c r="J908" s="767" t="s">
        <v>10762</v>
      </c>
      <c r="K908" s="767"/>
      <c r="L908" s="767" t="s">
        <v>10769</v>
      </c>
      <c r="M908" s="767"/>
    </row>
    <row r="909" spans="1:13" x14ac:dyDescent="0.25">
      <c r="G909" s="10"/>
      <c r="H909" s="538"/>
      <c r="J909" t="s">
        <v>10763</v>
      </c>
      <c r="L909" t="s">
        <v>10769</v>
      </c>
    </row>
    <row r="910" spans="1:13" x14ac:dyDescent="0.25">
      <c r="C910" s="3" t="s">
        <v>10770</v>
      </c>
      <c r="G910" s="10"/>
      <c r="H910" s="538"/>
      <c r="J910" s="767" t="s">
        <v>10764</v>
      </c>
      <c r="K910" s="767"/>
      <c r="L910" s="767" t="s">
        <v>10769</v>
      </c>
      <c r="M910" s="767"/>
    </row>
    <row r="911" spans="1:13" x14ac:dyDescent="0.25">
      <c r="C911" t="s">
        <v>10272</v>
      </c>
      <c r="F911" s="737" t="s">
        <v>3</v>
      </c>
      <c r="G911" s="10">
        <f>0.07*0.07*1.5*8*1.12</f>
        <v>6.5856000000000012E-2</v>
      </c>
      <c r="H911" s="538"/>
      <c r="J911" s="767" t="s">
        <v>10765</v>
      </c>
      <c r="K911" s="767"/>
      <c r="L911" s="767" t="s">
        <v>10769</v>
      </c>
      <c r="M911" s="767" t="s">
        <v>9689</v>
      </c>
    </row>
    <row r="912" spans="1:13" x14ac:dyDescent="0.25">
      <c r="G912" s="10"/>
      <c r="H912" s="538"/>
      <c r="J912" t="s">
        <v>10766</v>
      </c>
      <c r="L912" t="s">
        <v>10769</v>
      </c>
    </row>
    <row r="913" spans="3:12" x14ac:dyDescent="0.25">
      <c r="C913" s="3" t="s">
        <v>10771</v>
      </c>
      <c r="G913" s="10"/>
      <c r="H913" s="538"/>
      <c r="J913" t="s">
        <v>10767</v>
      </c>
      <c r="L913" t="s">
        <v>10769</v>
      </c>
    </row>
    <row r="914" spans="3:12" x14ac:dyDescent="0.25">
      <c r="C914" t="s">
        <v>10772</v>
      </c>
      <c r="F914" s="737" t="s">
        <v>3</v>
      </c>
      <c r="G914" s="10">
        <f>0.03*0.03*0.5*8*1.1</f>
        <v>3.96E-3</v>
      </c>
      <c r="H914" s="538"/>
    </row>
    <row r="915" spans="3:12" x14ac:dyDescent="0.25">
      <c r="G915" s="10"/>
      <c r="H915" s="538"/>
    </row>
    <row r="916" spans="3:12" x14ac:dyDescent="0.25">
      <c r="C916" s="3" t="s">
        <v>10755</v>
      </c>
      <c r="G916" s="10"/>
      <c r="H916" s="538"/>
    </row>
    <row r="917" spans="3:12" x14ac:dyDescent="0.25">
      <c r="C917" t="s">
        <v>10417</v>
      </c>
      <c r="F917" s="737" t="s">
        <v>3</v>
      </c>
      <c r="G917" s="10">
        <f>0.37* L917</f>
        <v>1.1099999999999999E-2</v>
      </c>
      <c r="H917" s="538"/>
      <c r="I917" s="789" t="s">
        <v>10149</v>
      </c>
      <c r="J917" s="790">
        <v>0.02</v>
      </c>
      <c r="K917" s="789" t="s">
        <v>10150</v>
      </c>
      <c r="L917" s="791">
        <v>0.03</v>
      </c>
    </row>
    <row r="918" spans="3:12" x14ac:dyDescent="0.25">
      <c r="G918" s="10"/>
      <c r="H918" s="538"/>
    </row>
    <row r="919" spans="3:12" x14ac:dyDescent="0.25">
      <c r="C919" s="3" t="s">
        <v>10773</v>
      </c>
      <c r="G919" s="10"/>
      <c r="H919" s="538"/>
    </row>
    <row r="920" spans="3:12" x14ac:dyDescent="0.25">
      <c r="C920" s="767" t="s">
        <v>10272</v>
      </c>
      <c r="F920" s="737" t="s">
        <v>3</v>
      </c>
      <c r="G920" s="10">
        <f>0.07*0.07*1.5*8*1.1</f>
        <v>6.4680000000000015E-2</v>
      </c>
      <c r="H920" s="538"/>
    </row>
    <row r="921" spans="3:12" x14ac:dyDescent="0.25">
      <c r="G921" s="10"/>
      <c r="H921" s="538"/>
    </row>
    <row r="922" spans="3:12" x14ac:dyDescent="0.25">
      <c r="C922" s="3" t="s">
        <v>10774</v>
      </c>
      <c r="G922" s="10"/>
      <c r="H922" s="538"/>
    </row>
    <row r="923" spans="3:12" x14ac:dyDescent="0.25">
      <c r="C923" t="s">
        <v>10250</v>
      </c>
      <c r="F923" s="737" t="s">
        <v>3</v>
      </c>
      <c r="G923" s="10">
        <f>0.09*0.045*2*2.7*1.125</f>
        <v>2.4603750000000001E-2</v>
      </c>
      <c r="H923" s="538"/>
    </row>
    <row r="924" spans="3:12" x14ac:dyDescent="0.25">
      <c r="G924" s="10"/>
      <c r="H924" s="538"/>
    </row>
    <row r="925" spans="3:12" x14ac:dyDescent="0.25">
      <c r="C925" s="3" t="s">
        <v>10775</v>
      </c>
      <c r="G925" s="10"/>
      <c r="H925" s="538"/>
    </row>
    <row r="926" spans="3:12" x14ac:dyDescent="0.25">
      <c r="C926" t="s">
        <v>10776</v>
      </c>
      <c r="F926" s="737" t="s">
        <v>3</v>
      </c>
      <c r="G926" s="10">
        <f>0.03*0.025*1*8.5*1.12</f>
        <v>7.1400000000000014E-3</v>
      </c>
      <c r="H926" s="538"/>
    </row>
    <row r="927" spans="3:12" x14ac:dyDescent="0.25">
      <c r="G927" s="10"/>
      <c r="H927" s="538"/>
    </row>
    <row r="928" spans="3:12" x14ac:dyDescent="0.25">
      <c r="C928" s="3" t="s">
        <v>10770</v>
      </c>
      <c r="G928" s="10"/>
      <c r="H928" s="538"/>
    </row>
    <row r="929" spans="3:8" x14ac:dyDescent="0.25">
      <c r="C929" s="767" t="s">
        <v>10272</v>
      </c>
      <c r="E929" s="767"/>
      <c r="F929" s="737" t="s">
        <v>3</v>
      </c>
      <c r="G929" s="10">
        <f>0.07*0.07*1.5*8*1.1</f>
        <v>6.4680000000000015E-2</v>
      </c>
      <c r="H929" s="538"/>
    </row>
    <row r="930" spans="3:8" x14ac:dyDescent="0.25">
      <c r="G930" s="10"/>
      <c r="H930" s="538"/>
    </row>
    <row r="931" spans="3:8" x14ac:dyDescent="0.25">
      <c r="C931" s="3" t="s">
        <v>10777</v>
      </c>
      <c r="G931" s="10"/>
      <c r="H931" s="538"/>
    </row>
    <row r="932" spans="3:8" x14ac:dyDescent="0.25">
      <c r="C932" s="767" t="s">
        <v>10272</v>
      </c>
      <c r="D932" s="767"/>
      <c r="F932" s="737" t="s">
        <v>3</v>
      </c>
      <c r="G932" s="10">
        <f>0.02*0.02*1.5*8*1.1</f>
        <v>5.2800000000000008E-3</v>
      </c>
      <c r="H932" s="538"/>
    </row>
    <row r="933" spans="3:8" x14ac:dyDescent="0.25">
      <c r="G933" s="10"/>
      <c r="H933" s="538"/>
    </row>
    <row r="934" spans="3:8" x14ac:dyDescent="0.25">
      <c r="C934" s="3" t="s">
        <v>10779</v>
      </c>
      <c r="G934" s="10"/>
      <c r="H934" s="538"/>
    </row>
    <row r="935" spans="3:8" s="767" customFormat="1" x14ac:dyDescent="0.25">
      <c r="C935" s="767" t="s">
        <v>10778</v>
      </c>
      <c r="F935" s="936" t="s">
        <v>1516</v>
      </c>
      <c r="G935" s="10">
        <v>4</v>
      </c>
      <c r="H935" s="538"/>
    </row>
    <row r="936" spans="3:8" s="767" customFormat="1" x14ac:dyDescent="0.25">
      <c r="C936" s="767" t="s">
        <v>10780</v>
      </c>
      <c r="F936" s="936" t="s">
        <v>1516</v>
      </c>
      <c r="G936" s="10">
        <v>4</v>
      </c>
      <c r="H936" s="538"/>
    </row>
    <row r="937" spans="3:8" s="767" customFormat="1" x14ac:dyDescent="0.25">
      <c r="C937" s="767" t="s">
        <v>5543</v>
      </c>
      <c r="F937" s="936" t="s">
        <v>3</v>
      </c>
      <c r="G937" s="10">
        <v>0.01</v>
      </c>
      <c r="H937" s="538"/>
    </row>
    <row r="938" spans="3:8" s="767" customFormat="1" x14ac:dyDescent="0.25">
      <c r="C938" s="767" t="s">
        <v>12</v>
      </c>
      <c r="F938" s="936" t="s">
        <v>3</v>
      </c>
      <c r="G938" s="10">
        <f>0.3*G937</f>
        <v>3.0000000000000001E-3</v>
      </c>
      <c r="H938" s="538"/>
    </row>
    <row r="939" spans="3:8" s="767" customFormat="1" x14ac:dyDescent="0.25">
      <c r="D939" s="3" t="s">
        <v>10781</v>
      </c>
      <c r="F939" s="936"/>
      <c r="G939" s="10"/>
      <c r="H939" s="538"/>
    </row>
    <row r="940" spans="3:8" x14ac:dyDescent="0.25">
      <c r="D940" s="767" t="s">
        <v>9932</v>
      </c>
      <c r="F940" s="737" t="s">
        <v>3</v>
      </c>
      <c r="G940" s="10">
        <f>0.155*0.04*2*8*1.12</f>
        <v>0.11110400000000001</v>
      </c>
      <c r="H940" s="538"/>
    </row>
    <row r="941" spans="3:8" s="767" customFormat="1" x14ac:dyDescent="0.25">
      <c r="D941" s="3" t="s">
        <v>10782</v>
      </c>
      <c r="F941" s="936"/>
      <c r="G941" s="10"/>
      <c r="H941" s="538"/>
    </row>
    <row r="942" spans="3:8" s="767" customFormat="1" x14ac:dyDescent="0.25">
      <c r="D942" s="767" t="s">
        <v>10783</v>
      </c>
      <c r="F942" s="936" t="s">
        <v>3</v>
      </c>
      <c r="G942" s="10">
        <f>0.045*0.026*0.5*8*1.12</f>
        <v>5.2415999999999999E-3</v>
      </c>
      <c r="H942" s="538"/>
    </row>
    <row r="943" spans="3:8" s="767" customFormat="1" x14ac:dyDescent="0.25">
      <c r="F943" s="936"/>
      <c r="G943" s="10"/>
      <c r="H943" s="538"/>
    </row>
    <row r="944" spans="3:8" x14ac:dyDescent="0.25">
      <c r="C944" s="3" t="s">
        <v>10784</v>
      </c>
      <c r="G944" s="10"/>
      <c r="H944" s="538"/>
    </row>
    <row r="945" spans="3:12" s="767" customFormat="1" x14ac:dyDescent="0.25">
      <c r="C945" s="767" t="s">
        <v>10272</v>
      </c>
      <c r="F945" s="936" t="s">
        <v>3</v>
      </c>
      <c r="G945" s="10">
        <f>0.065*0.03*1.5*8*1.12</f>
        <v>2.6207999999999999E-2</v>
      </c>
      <c r="H945" s="538"/>
    </row>
    <row r="946" spans="3:12" s="767" customFormat="1" x14ac:dyDescent="0.25">
      <c r="C946" s="767" t="s">
        <v>5543</v>
      </c>
      <c r="F946" s="936" t="s">
        <v>3</v>
      </c>
      <c r="G946" s="10">
        <v>5.0000000000000001E-3</v>
      </c>
      <c r="H946" s="538"/>
    </row>
    <row r="947" spans="3:12" s="767" customFormat="1" x14ac:dyDescent="0.25">
      <c r="C947" s="767" t="s">
        <v>12</v>
      </c>
      <c r="F947" s="936" t="s">
        <v>3</v>
      </c>
      <c r="G947" s="10">
        <f>0.3*G946</f>
        <v>1.5E-3</v>
      </c>
      <c r="H947" s="538"/>
    </row>
    <row r="948" spans="3:12" s="767" customFormat="1" x14ac:dyDescent="0.25">
      <c r="F948" s="936"/>
      <c r="G948" s="10"/>
      <c r="H948" s="538"/>
    </row>
    <row r="949" spans="3:12" x14ac:dyDescent="0.25">
      <c r="C949" s="3" t="s">
        <v>10785</v>
      </c>
      <c r="G949" s="10"/>
      <c r="H949" s="538"/>
    </row>
    <row r="950" spans="3:12" s="767" customFormat="1" x14ac:dyDescent="0.25">
      <c r="C950" s="767" t="s">
        <v>10786</v>
      </c>
      <c r="F950" s="936" t="s">
        <v>3</v>
      </c>
      <c r="G950" s="10">
        <f>0.055*0.1*2.5*2.7*1.12</f>
        <v>4.1580000000000013E-2</v>
      </c>
      <c r="H950" s="538"/>
    </row>
    <row r="951" spans="3:12" s="767" customFormat="1" x14ac:dyDescent="0.25">
      <c r="F951" s="936"/>
      <c r="G951" s="10"/>
      <c r="H951" s="538"/>
    </row>
    <row r="952" spans="3:12" x14ac:dyDescent="0.25">
      <c r="C952" s="3" t="s">
        <v>10787</v>
      </c>
      <c r="G952" s="10"/>
      <c r="H952" s="538"/>
    </row>
    <row r="953" spans="3:12" s="767" customFormat="1" x14ac:dyDescent="0.25">
      <c r="C953" s="25" t="s">
        <v>10788</v>
      </c>
      <c r="F953" s="936" t="s">
        <v>3</v>
      </c>
      <c r="G953" s="10">
        <f>0.321 *L953</f>
        <v>9.6299999999999997E-3</v>
      </c>
      <c r="H953" s="538"/>
      <c r="I953" s="789" t="s">
        <v>10149</v>
      </c>
      <c r="J953" s="790">
        <v>0.02</v>
      </c>
      <c r="K953" s="789" t="s">
        <v>10150</v>
      </c>
      <c r="L953" s="791">
        <v>0.03</v>
      </c>
    </row>
    <row r="954" spans="3:12" s="767" customFormat="1" x14ac:dyDescent="0.25">
      <c r="C954" s="3"/>
      <c r="F954" s="936"/>
      <c r="G954" s="10"/>
      <c r="H954" s="538"/>
    </row>
    <row r="955" spans="3:12" x14ac:dyDescent="0.25">
      <c r="C955" s="3" t="s">
        <v>10789</v>
      </c>
      <c r="G955" s="10"/>
      <c r="H955" s="538"/>
    </row>
    <row r="956" spans="3:12" x14ac:dyDescent="0.25">
      <c r="C956" s="767" t="s">
        <v>4910</v>
      </c>
      <c r="F956" s="737" t="s">
        <v>3</v>
      </c>
      <c r="G956" s="10">
        <f>0.045*0.045*1*8*1.12</f>
        <v>1.8144E-2</v>
      </c>
      <c r="H956" s="538"/>
    </row>
    <row r="957" spans="3:12" x14ac:dyDescent="0.25">
      <c r="G957" s="10"/>
      <c r="H957" s="538"/>
    </row>
    <row r="958" spans="3:12" x14ac:dyDescent="0.25">
      <c r="C958" s="3" t="s">
        <v>10790</v>
      </c>
      <c r="G958" s="10"/>
      <c r="H958" s="538"/>
    </row>
    <row r="959" spans="3:12" x14ac:dyDescent="0.25">
      <c r="C959" s="25" t="s">
        <v>10791</v>
      </c>
      <c r="F959" s="737" t="s">
        <v>3</v>
      </c>
      <c r="G959" s="10">
        <v>1.4999999999999999E-2</v>
      </c>
      <c r="H959" s="538"/>
    </row>
    <row r="960" spans="3:12" x14ac:dyDescent="0.25">
      <c r="G960" s="10"/>
      <c r="H960" s="538"/>
    </row>
    <row r="961" spans="1:8" s="767" customFormat="1" x14ac:dyDescent="0.25">
      <c r="C961" s="3" t="s">
        <v>10792</v>
      </c>
      <c r="F961" s="936"/>
      <c r="G961" s="10"/>
      <c r="H961" s="538"/>
    </row>
    <row r="962" spans="1:8" s="767" customFormat="1" x14ac:dyDescent="0.25">
      <c r="C962" s="767" t="s">
        <v>10778</v>
      </c>
      <c r="F962" s="936" t="s">
        <v>1516</v>
      </c>
      <c r="G962" s="10">
        <v>4</v>
      </c>
      <c r="H962" s="538"/>
    </row>
    <row r="963" spans="1:8" s="767" customFormat="1" x14ac:dyDescent="0.25">
      <c r="C963" s="767" t="s">
        <v>8259</v>
      </c>
      <c r="F963" s="936" t="s">
        <v>3</v>
      </c>
      <c r="G963" s="10">
        <v>0.01</v>
      </c>
      <c r="H963" s="538"/>
    </row>
    <row r="964" spans="1:8" s="767" customFormat="1" x14ac:dyDescent="0.25">
      <c r="C964" s="767" t="s">
        <v>12</v>
      </c>
      <c r="F964" s="936" t="s">
        <v>3</v>
      </c>
      <c r="G964" s="10">
        <f>0.3*G963</f>
        <v>3.0000000000000001E-3</v>
      </c>
      <c r="H964" s="538"/>
    </row>
    <row r="965" spans="1:8" s="767" customFormat="1" x14ac:dyDescent="0.25">
      <c r="D965" s="3" t="s">
        <v>10793</v>
      </c>
      <c r="F965" s="936"/>
      <c r="G965" s="10"/>
      <c r="H965" s="538"/>
    </row>
    <row r="966" spans="1:8" s="767" customFormat="1" x14ac:dyDescent="0.25">
      <c r="D966" s="767" t="s">
        <v>9932</v>
      </c>
      <c r="F966" s="936" t="s">
        <v>3</v>
      </c>
      <c r="G966" s="10">
        <f>0.155*0.04*2*8*1.125</f>
        <v>0.11159999999999999</v>
      </c>
      <c r="H966" s="538"/>
    </row>
    <row r="967" spans="1:8" x14ac:dyDescent="0.25">
      <c r="G967" s="10"/>
      <c r="H967" s="538"/>
    </row>
    <row r="968" spans="1:8" x14ac:dyDescent="0.25">
      <c r="C968" s="3" t="s">
        <v>10774</v>
      </c>
      <c r="G968" s="10"/>
      <c r="H968" s="538"/>
    </row>
    <row r="969" spans="1:8" x14ac:dyDescent="0.25">
      <c r="C969" s="767" t="s">
        <v>10250</v>
      </c>
      <c r="F969" s="737" t="s">
        <v>3</v>
      </c>
      <c r="G969" s="10">
        <f>0.086*0.045*2*2.7*1.1</f>
        <v>2.2987800000000003E-2</v>
      </c>
      <c r="H969" s="538"/>
    </row>
    <row r="970" spans="1:8" x14ac:dyDescent="0.25">
      <c r="G970" s="10"/>
      <c r="H970" s="538"/>
    </row>
    <row r="971" spans="1:8" x14ac:dyDescent="0.25">
      <c r="C971" s="3" t="s">
        <v>10794</v>
      </c>
      <c r="G971" s="10"/>
      <c r="H971" s="538"/>
    </row>
    <row r="972" spans="1:8" x14ac:dyDescent="0.25">
      <c r="C972" s="767" t="s">
        <v>10795</v>
      </c>
      <c r="F972" s="737" t="s">
        <v>3</v>
      </c>
      <c r="G972" s="10">
        <f>0.105*0.045*3*8*1.14</f>
        <v>0.129276</v>
      </c>
      <c r="H972" s="538"/>
    </row>
    <row r="973" spans="1:8" x14ac:dyDescent="0.25">
      <c r="G973" s="10"/>
      <c r="H973" s="538"/>
    </row>
    <row r="974" spans="1:8" x14ac:dyDescent="0.25">
      <c r="C974" s="3" t="s">
        <v>10796</v>
      </c>
      <c r="G974" s="10"/>
      <c r="H974" s="538"/>
    </row>
    <row r="975" spans="1:8" x14ac:dyDescent="0.25">
      <c r="C975" s="767" t="s">
        <v>10776</v>
      </c>
      <c r="F975" s="737" t="s">
        <v>3</v>
      </c>
      <c r="G975" s="10">
        <f>0.035*0.025*1*8.5*1.12</f>
        <v>8.3300000000000023E-3</v>
      </c>
      <c r="H975" s="538"/>
    </row>
    <row r="976" spans="1:8" x14ac:dyDescent="0.25">
      <c r="A976" s="539"/>
      <c r="B976" s="539"/>
      <c r="C976" s="539"/>
      <c r="D976" s="539"/>
      <c r="E976" s="539"/>
      <c r="F976" s="599"/>
      <c r="G976" s="600"/>
      <c r="H976" s="540"/>
    </row>
    <row r="977" spans="3:12" x14ac:dyDescent="0.25">
      <c r="G977" s="10"/>
      <c r="H977" s="631" t="s">
        <v>10808</v>
      </c>
    </row>
    <row r="978" spans="3:12" s="767" customFormat="1" ht="21" x14ac:dyDescent="0.35">
      <c r="E978" s="938" t="s">
        <v>10822</v>
      </c>
      <c r="F978" s="937"/>
      <c r="G978" s="10"/>
      <c r="H978" s="538"/>
    </row>
    <row r="979" spans="3:12" s="767" customFormat="1" ht="18.75" x14ac:dyDescent="0.3">
      <c r="E979" s="110"/>
      <c r="F979" s="937"/>
      <c r="G979" s="10"/>
      <c r="H979" s="538"/>
    </row>
    <row r="980" spans="3:12" s="767" customFormat="1" x14ac:dyDescent="0.25">
      <c r="F980" s="937"/>
      <c r="G980" s="10"/>
      <c r="H980" s="538"/>
    </row>
    <row r="981" spans="3:12" x14ac:dyDescent="0.25">
      <c r="C981" s="3" t="s">
        <v>10799</v>
      </c>
      <c r="G981" s="10"/>
      <c r="H981" s="538"/>
    </row>
    <row r="982" spans="3:12" x14ac:dyDescent="0.25">
      <c r="C982" t="s">
        <v>10800</v>
      </c>
      <c r="F982" s="737" t="s">
        <v>3</v>
      </c>
      <c r="G982" s="10">
        <f>L982*0.539</f>
        <v>1.617E-2</v>
      </c>
      <c r="H982" s="538"/>
      <c r="I982" s="789" t="s">
        <v>10149</v>
      </c>
      <c r="J982" s="790">
        <v>0.02</v>
      </c>
      <c r="K982" s="789" t="s">
        <v>10150</v>
      </c>
      <c r="L982" s="791">
        <v>0.03</v>
      </c>
    </row>
    <row r="983" spans="3:12" x14ac:dyDescent="0.25">
      <c r="G983" s="10"/>
      <c r="H983" s="538"/>
    </row>
    <row r="984" spans="3:12" x14ac:dyDescent="0.25">
      <c r="C984" s="3" t="s">
        <v>10801</v>
      </c>
      <c r="G984" s="10"/>
      <c r="H984" s="538"/>
    </row>
    <row r="985" spans="3:12" x14ac:dyDescent="0.25">
      <c r="C985" t="s">
        <v>8</v>
      </c>
      <c r="F985" s="737" t="s">
        <v>3</v>
      </c>
      <c r="G985" s="10">
        <f>0.003</f>
        <v>3.0000000000000001E-3</v>
      </c>
      <c r="H985" s="538"/>
    </row>
    <row r="986" spans="3:12" x14ac:dyDescent="0.25">
      <c r="C986" t="s">
        <v>9545</v>
      </c>
      <c r="F986" s="737" t="s">
        <v>3</v>
      </c>
      <c r="G986" s="10">
        <f>0.16*0.011*2*1.5</f>
        <v>5.28E-3</v>
      </c>
      <c r="H986" s="538"/>
    </row>
    <row r="987" spans="3:12" x14ac:dyDescent="0.25">
      <c r="C987" t="s">
        <v>12</v>
      </c>
      <c r="F987" s="737" t="s">
        <v>3</v>
      </c>
      <c r="G987" s="10">
        <f>0.3*(G986+G985)</f>
        <v>2.4839999999999997E-3</v>
      </c>
      <c r="H987" s="538"/>
    </row>
    <row r="988" spans="3:12" x14ac:dyDescent="0.25">
      <c r="D988" s="3" t="s">
        <v>10802</v>
      </c>
      <c r="G988" s="10"/>
      <c r="H988" s="538"/>
    </row>
    <row r="989" spans="3:12" x14ac:dyDescent="0.25">
      <c r="D989" t="s">
        <v>4910</v>
      </c>
      <c r="F989" s="737" t="s">
        <v>3</v>
      </c>
      <c r="G989" s="10">
        <f>0.026*0.155*1*8*1.12</f>
        <v>3.6108800000000003E-2</v>
      </c>
      <c r="H989" s="538"/>
    </row>
    <row r="990" spans="3:12" x14ac:dyDescent="0.25">
      <c r="G990" s="10"/>
      <c r="H990" s="538"/>
    </row>
    <row r="991" spans="3:12" x14ac:dyDescent="0.25">
      <c r="C991" s="3" t="s">
        <v>10803</v>
      </c>
      <c r="G991" s="10"/>
      <c r="H991" s="538"/>
    </row>
    <row r="992" spans="3:12" x14ac:dyDescent="0.25">
      <c r="C992" t="s">
        <v>10804</v>
      </c>
      <c r="F992" s="737" t="s">
        <v>3</v>
      </c>
      <c r="G992" s="10">
        <f>0.08*0.07*2*2.7*1.129</f>
        <v>3.4140960000000005E-2</v>
      </c>
      <c r="H992" s="538"/>
    </row>
    <row r="993" spans="3:8" x14ac:dyDescent="0.25">
      <c r="G993" s="10"/>
      <c r="H993" s="538"/>
    </row>
    <row r="994" spans="3:8" x14ac:dyDescent="0.25">
      <c r="C994" s="3" t="s">
        <v>10805</v>
      </c>
      <c r="G994" s="10"/>
      <c r="H994" s="538"/>
    </row>
    <row r="995" spans="3:8" x14ac:dyDescent="0.25">
      <c r="C995" t="s">
        <v>10806</v>
      </c>
      <c r="F995" s="737" t="s">
        <v>3</v>
      </c>
      <c r="G995" s="10">
        <f>0.045*0.02*1*8.5*1.15</f>
        <v>8.7974999999999998E-3</v>
      </c>
      <c r="H995" s="538"/>
    </row>
    <row r="996" spans="3:8" x14ac:dyDescent="0.25">
      <c r="G996" s="10"/>
      <c r="H996" s="538"/>
    </row>
    <row r="997" spans="3:8" x14ac:dyDescent="0.25">
      <c r="C997" s="54" t="s">
        <v>10754</v>
      </c>
      <c r="D997" s="8"/>
      <c r="E997" s="8"/>
      <c r="G997" s="10"/>
      <c r="H997" s="538"/>
    </row>
    <row r="998" spans="3:8" s="767" customFormat="1" x14ac:dyDescent="0.25">
      <c r="C998" s="154" t="s">
        <v>10807</v>
      </c>
      <c r="D998" s="8"/>
      <c r="E998" s="8"/>
      <c r="F998" s="937" t="s">
        <v>3</v>
      </c>
      <c r="G998" s="15">
        <f>0.026*0.02*0.7*8.5*1.12</f>
        <v>3.4652799999999998E-3</v>
      </c>
      <c r="H998" s="538"/>
    </row>
    <row r="999" spans="3:8" x14ac:dyDescent="0.25">
      <c r="C999" s="8"/>
      <c r="D999" s="8"/>
      <c r="E999" s="8"/>
      <c r="F999" s="934"/>
      <c r="G999" s="10"/>
      <c r="H999" s="538"/>
    </row>
    <row r="1000" spans="3:8" x14ac:dyDescent="0.25">
      <c r="C1000" s="54" t="s">
        <v>10752</v>
      </c>
      <c r="D1000" s="8"/>
      <c r="E1000" s="8"/>
      <c r="G1000" s="10"/>
      <c r="H1000" s="538"/>
    </row>
    <row r="1001" spans="3:8" x14ac:dyDescent="0.25">
      <c r="C1001" s="154" t="s">
        <v>10807</v>
      </c>
      <c r="D1001" s="8"/>
      <c r="E1001" s="8"/>
      <c r="F1001" s="934" t="s">
        <v>3</v>
      </c>
      <c r="G1001" s="10">
        <f>0.027*0.02*0.7*8.5*1.12</f>
        <v>3.5985600000000002E-3</v>
      </c>
      <c r="H1001" s="538"/>
    </row>
    <row r="1002" spans="3:8" x14ac:dyDescent="0.25">
      <c r="C1002" s="8"/>
      <c r="D1002" s="8"/>
      <c r="E1002" s="8"/>
      <c r="F1002" s="934"/>
      <c r="G1002" s="10"/>
      <c r="H1002" s="538"/>
    </row>
    <row r="1003" spans="3:8" x14ac:dyDescent="0.25">
      <c r="C1003" s="54" t="s">
        <v>10753</v>
      </c>
      <c r="D1003" s="8"/>
      <c r="E1003" s="8"/>
      <c r="G1003" s="10"/>
      <c r="H1003" s="538"/>
    </row>
    <row r="1004" spans="3:8" x14ac:dyDescent="0.25">
      <c r="C1004" s="154" t="s">
        <v>10807</v>
      </c>
      <c r="D1004" s="8"/>
      <c r="E1004" s="8"/>
      <c r="F1004" s="937" t="s">
        <v>3</v>
      </c>
      <c r="G1004" s="10">
        <f>0.03*0.02*0.7*8.5*1.12</f>
        <v>3.9984E-3</v>
      </c>
      <c r="H1004" s="538"/>
    </row>
    <row r="1005" spans="3:8" s="767" customFormat="1" x14ac:dyDescent="0.25">
      <c r="D1005" s="8"/>
      <c r="E1005" s="8"/>
      <c r="F1005" s="937"/>
      <c r="G1005" s="10"/>
      <c r="H1005" s="538"/>
    </row>
    <row r="1006" spans="3:8" s="767" customFormat="1" x14ac:dyDescent="0.25">
      <c r="C1006" s="54" t="s">
        <v>10809</v>
      </c>
      <c r="D1006" s="8"/>
      <c r="E1006" s="8"/>
      <c r="F1006" s="937"/>
      <c r="G1006" s="10"/>
      <c r="H1006" s="538"/>
    </row>
    <row r="1007" spans="3:8" s="767" customFormat="1" x14ac:dyDescent="0.25">
      <c r="C1007" s="154" t="s">
        <v>10821</v>
      </c>
      <c r="D1007" s="8"/>
      <c r="E1007" s="8"/>
      <c r="F1007" s="937" t="s">
        <v>3</v>
      </c>
      <c r="G1007" s="10">
        <f>0.034*0.022*1*8.5*1.12</f>
        <v>7.1209600000000008E-3</v>
      </c>
      <c r="H1007" s="538"/>
    </row>
    <row r="1008" spans="3:8" x14ac:dyDescent="0.25">
      <c r="G1008" s="10"/>
      <c r="H1008" s="538"/>
    </row>
    <row r="1009" spans="3:12" x14ac:dyDescent="0.25">
      <c r="C1009" s="3" t="s">
        <v>10810</v>
      </c>
      <c r="G1009" s="10"/>
      <c r="H1009" s="538"/>
    </row>
    <row r="1010" spans="3:12" x14ac:dyDescent="0.25">
      <c r="C1010" t="s">
        <v>10811</v>
      </c>
      <c r="F1010" s="737" t="s">
        <v>3</v>
      </c>
      <c r="G1010" s="10">
        <v>3.0000000000000001E-3</v>
      </c>
      <c r="H1010" s="538"/>
    </row>
    <row r="1011" spans="3:12" x14ac:dyDescent="0.25">
      <c r="C1011" t="s">
        <v>879</v>
      </c>
      <c r="F1011" s="737" t="s">
        <v>3</v>
      </c>
      <c r="G1011" s="10">
        <v>8.0000000000000002E-3</v>
      </c>
      <c r="H1011" s="538"/>
    </row>
    <row r="1012" spans="3:12" x14ac:dyDescent="0.25">
      <c r="C1012" t="s">
        <v>12</v>
      </c>
      <c r="F1012" s="737" t="s">
        <v>3</v>
      </c>
      <c r="G1012" s="10">
        <f>0.3*G1011</f>
        <v>2.3999999999999998E-3</v>
      </c>
      <c r="H1012" s="538"/>
    </row>
    <row r="1013" spans="3:12" x14ac:dyDescent="0.25">
      <c r="D1013" s="3" t="s">
        <v>10812</v>
      </c>
      <c r="G1013" s="10"/>
      <c r="H1013" s="538"/>
    </row>
    <row r="1014" spans="3:12" x14ac:dyDescent="0.25">
      <c r="D1014" t="s">
        <v>10813</v>
      </c>
      <c r="F1014" s="737" t="s">
        <v>195</v>
      </c>
      <c r="G1014" s="10">
        <f>0.5</f>
        <v>0.5</v>
      </c>
      <c r="H1014" s="538"/>
      <c r="I1014" s="789" t="s">
        <v>10149</v>
      </c>
      <c r="J1014" s="790">
        <v>0.44</v>
      </c>
      <c r="K1014" s="789" t="s">
        <v>10150</v>
      </c>
      <c r="L1014" s="791">
        <v>0.5</v>
      </c>
    </row>
    <row r="1015" spans="3:12" x14ac:dyDescent="0.25">
      <c r="G1015" s="10"/>
      <c r="H1015" s="538"/>
    </row>
    <row r="1016" spans="3:12" x14ac:dyDescent="0.25">
      <c r="C1016" s="3" t="s">
        <v>10814</v>
      </c>
      <c r="G1016" s="10"/>
      <c r="H1016" s="538"/>
    </row>
    <row r="1017" spans="3:12" x14ac:dyDescent="0.25">
      <c r="C1017" t="s">
        <v>10817</v>
      </c>
      <c r="F1017" s="737" t="s">
        <v>3</v>
      </c>
      <c r="G1017" s="10">
        <v>3.0000000000000001E-3</v>
      </c>
      <c r="H1017" s="538"/>
    </row>
    <row r="1018" spans="3:12" x14ac:dyDescent="0.25">
      <c r="D1018" s="3" t="s">
        <v>10818</v>
      </c>
      <c r="G1018" s="10"/>
      <c r="H1018" s="538"/>
    </row>
    <row r="1019" spans="3:12" s="767" customFormat="1" x14ac:dyDescent="0.25">
      <c r="D1019" s="767" t="s">
        <v>10819</v>
      </c>
      <c r="F1019" s="937" t="s">
        <v>195</v>
      </c>
      <c r="G1019" s="10">
        <v>0.22</v>
      </c>
      <c r="H1019" s="538"/>
      <c r="I1019" s="789" t="s">
        <v>10149</v>
      </c>
      <c r="J1019" s="790">
        <v>0.19600000000000001</v>
      </c>
      <c r="K1019" s="789" t="s">
        <v>10150</v>
      </c>
      <c r="L1019" s="791">
        <v>0.22</v>
      </c>
    </row>
    <row r="1020" spans="3:12" s="767" customFormat="1" x14ac:dyDescent="0.25">
      <c r="F1020" s="937"/>
      <c r="G1020" s="10"/>
      <c r="H1020" s="538"/>
    </row>
    <row r="1021" spans="3:12" x14ac:dyDescent="0.25">
      <c r="C1021" s="3" t="s">
        <v>10815</v>
      </c>
      <c r="G1021" s="10"/>
      <c r="H1021" s="538"/>
    </row>
    <row r="1022" spans="3:12" x14ac:dyDescent="0.25">
      <c r="C1022" s="767" t="s">
        <v>10817</v>
      </c>
      <c r="D1022" s="767"/>
      <c r="E1022" s="767"/>
      <c r="F1022" s="937" t="s">
        <v>3</v>
      </c>
      <c r="G1022" s="10">
        <v>3.0000000000000001E-3</v>
      </c>
      <c r="H1022" s="538"/>
    </row>
    <row r="1023" spans="3:12" s="767" customFormat="1" x14ac:dyDescent="0.25">
      <c r="F1023" s="937"/>
      <c r="G1023" s="10"/>
      <c r="H1023" s="538"/>
    </row>
    <row r="1024" spans="3:12" x14ac:dyDescent="0.25">
      <c r="C1024" s="3" t="s">
        <v>10816</v>
      </c>
      <c r="G1024" s="10"/>
      <c r="H1024" s="538"/>
    </row>
    <row r="1025" spans="1:12" x14ac:dyDescent="0.25">
      <c r="C1025" s="767" t="s">
        <v>10817</v>
      </c>
      <c r="D1025" s="767"/>
      <c r="E1025" s="767"/>
      <c r="F1025" s="937" t="s">
        <v>3</v>
      </c>
      <c r="G1025" s="10">
        <v>3.0000000000000001E-3</v>
      </c>
      <c r="H1025" s="538"/>
    </row>
    <row r="1026" spans="1:12" x14ac:dyDescent="0.25">
      <c r="D1026" s="3" t="s">
        <v>10820</v>
      </c>
      <c r="E1026" s="767"/>
      <c r="F1026" s="937"/>
      <c r="G1026" s="10"/>
      <c r="H1026" s="538"/>
      <c r="I1026" s="767"/>
      <c r="J1026" s="767"/>
      <c r="K1026" s="767"/>
      <c r="L1026" s="767"/>
    </row>
    <row r="1027" spans="1:12" x14ac:dyDescent="0.25">
      <c r="D1027" s="767" t="s">
        <v>10819</v>
      </c>
      <c r="E1027" s="767"/>
      <c r="F1027" s="937" t="s">
        <v>195</v>
      </c>
      <c r="G1027" s="10">
        <v>0.22</v>
      </c>
      <c r="H1027" s="538"/>
      <c r="I1027" s="789" t="s">
        <v>10149</v>
      </c>
      <c r="J1027" s="790">
        <v>0.19500000000000001</v>
      </c>
      <c r="K1027" s="789" t="s">
        <v>10150</v>
      </c>
      <c r="L1027" s="791">
        <v>0.22</v>
      </c>
    </row>
    <row r="1028" spans="1:12" x14ac:dyDescent="0.25">
      <c r="A1028" s="539"/>
      <c r="B1028" s="539"/>
      <c r="C1028" s="539"/>
      <c r="D1028" s="539"/>
      <c r="E1028" s="539"/>
      <c r="F1028" s="599"/>
      <c r="G1028" s="600"/>
      <c r="H1028" s="540"/>
    </row>
    <row r="1029" spans="1:12" x14ac:dyDescent="0.25">
      <c r="G1029" s="10"/>
      <c r="H1029" s="631" t="s">
        <v>10808</v>
      </c>
    </row>
    <row r="1030" spans="1:12" ht="18.75" x14ac:dyDescent="0.3">
      <c r="E1030" s="110" t="s">
        <v>11438</v>
      </c>
      <c r="H1030" s="538"/>
    </row>
    <row r="1031" spans="1:12" x14ac:dyDescent="0.25">
      <c r="H1031" s="538"/>
    </row>
    <row r="1032" spans="1:12" x14ac:dyDescent="0.25">
      <c r="C1032" s="54" t="s">
        <v>11440</v>
      </c>
      <c r="D1032" s="8"/>
      <c r="G1032" s="10"/>
      <c r="H1032" s="538"/>
    </row>
    <row r="1033" spans="1:12" s="767" customFormat="1" x14ac:dyDescent="0.25">
      <c r="C1033" s="767" t="s">
        <v>11585</v>
      </c>
      <c r="F1033" s="964" t="s">
        <v>1516</v>
      </c>
      <c r="G1033" s="10">
        <v>1</v>
      </c>
      <c r="H1033" s="538"/>
    </row>
    <row r="1034" spans="1:12" s="767" customFormat="1" x14ac:dyDescent="0.25">
      <c r="D1034" s="3" t="s">
        <v>11586</v>
      </c>
      <c r="F1034" s="964"/>
      <c r="G1034" s="10"/>
      <c r="H1034" s="538"/>
    </row>
    <row r="1035" spans="1:12" s="767" customFormat="1" x14ac:dyDescent="0.25">
      <c r="D1035" s="767" t="s">
        <v>4910</v>
      </c>
      <c r="F1035" s="964" t="s">
        <v>3</v>
      </c>
      <c r="G1035" s="10">
        <f>0.13*0.05*1*8*1.15</f>
        <v>5.9799999999999999E-2</v>
      </c>
      <c r="H1035" s="538"/>
    </row>
    <row r="1036" spans="1:12" s="767" customFormat="1" x14ac:dyDescent="0.25">
      <c r="D1036" s="3" t="s">
        <v>11587</v>
      </c>
      <c r="F1036" s="964"/>
      <c r="G1036" s="10"/>
      <c r="H1036" s="538"/>
    </row>
    <row r="1037" spans="1:12" s="767" customFormat="1" x14ac:dyDescent="0.25">
      <c r="D1037" s="767" t="s">
        <v>4910</v>
      </c>
      <c r="F1037" s="964" t="s">
        <v>3</v>
      </c>
      <c r="G1037" s="10">
        <f>0.04*0.022*1*8*1.15</f>
        <v>8.095999999999999E-3</v>
      </c>
      <c r="H1037" s="538"/>
    </row>
    <row r="1038" spans="1:12" s="767" customFormat="1" x14ac:dyDescent="0.25">
      <c r="F1038" s="964"/>
      <c r="G1038" s="10"/>
      <c r="H1038" s="538"/>
    </row>
    <row r="1039" spans="1:12" x14ac:dyDescent="0.25">
      <c r="C1039" s="3" t="s">
        <v>11441</v>
      </c>
      <c r="G1039" s="10"/>
      <c r="H1039" s="538"/>
    </row>
    <row r="1040" spans="1:12" s="767" customFormat="1" x14ac:dyDescent="0.25">
      <c r="C1040" s="767" t="s">
        <v>879</v>
      </c>
      <c r="F1040" s="964" t="s">
        <v>3</v>
      </c>
      <c r="G1040" s="10">
        <f>0.36*0.065*2*0.15*2*1.39</f>
        <v>1.9515599999999998E-2</v>
      </c>
      <c r="H1040" s="538"/>
    </row>
    <row r="1041" spans="3:12" s="767" customFormat="1" x14ac:dyDescent="0.25">
      <c r="C1041" s="767" t="s">
        <v>8</v>
      </c>
      <c r="F1041" s="964" t="s">
        <v>3</v>
      </c>
      <c r="G1041" s="10">
        <f>G1040*0.65</f>
        <v>1.2685139999999999E-2</v>
      </c>
      <c r="H1041" s="538"/>
    </row>
    <row r="1042" spans="3:12" s="767" customFormat="1" x14ac:dyDescent="0.25">
      <c r="C1042" s="767" t="s">
        <v>12</v>
      </c>
      <c r="F1042" s="964" t="s">
        <v>3</v>
      </c>
      <c r="G1042" s="10">
        <f>0.3*(G1041+G1040)</f>
        <v>9.6602219999999996E-3</v>
      </c>
      <c r="H1042" s="538"/>
    </row>
    <row r="1043" spans="3:12" s="767" customFormat="1" x14ac:dyDescent="0.25">
      <c r="D1043" s="3" t="s">
        <v>11575</v>
      </c>
      <c r="F1043" s="964"/>
      <c r="G1043" s="10"/>
      <c r="H1043" s="538"/>
    </row>
    <row r="1044" spans="3:12" s="767" customFormat="1" x14ac:dyDescent="0.25">
      <c r="D1044" s="25" t="s">
        <v>11576</v>
      </c>
      <c r="F1044" s="964" t="s">
        <v>3</v>
      </c>
      <c r="G1044" s="10">
        <f>0.51*0.035*1.5*8*1.165</f>
        <v>0.24954300000000001</v>
      </c>
      <c r="H1044" s="538"/>
    </row>
    <row r="1045" spans="3:12" s="767" customFormat="1" x14ac:dyDescent="0.25">
      <c r="F1045" s="964"/>
      <c r="G1045" s="10"/>
      <c r="H1045" s="538"/>
    </row>
    <row r="1046" spans="3:12" x14ac:dyDescent="0.25">
      <c r="C1046" s="3" t="s">
        <v>11442</v>
      </c>
      <c r="G1046" s="10"/>
      <c r="H1046" s="538"/>
    </row>
    <row r="1047" spans="3:12" s="767" customFormat="1" x14ac:dyDescent="0.25">
      <c r="C1047" s="767" t="s">
        <v>325</v>
      </c>
      <c r="F1047" s="964" t="s">
        <v>3</v>
      </c>
      <c r="G1047" s="10">
        <f>J1052*0.011*2*1.2</f>
        <v>2.1568799999999996E-2</v>
      </c>
      <c r="H1047" s="538"/>
    </row>
    <row r="1048" spans="3:12" s="767" customFormat="1" x14ac:dyDescent="0.25">
      <c r="C1048" s="767" t="s">
        <v>4872</v>
      </c>
      <c r="F1048" s="964" t="s">
        <v>3</v>
      </c>
      <c r="G1048" s="10">
        <f>0.65*G1047</f>
        <v>1.4019719999999998E-2</v>
      </c>
      <c r="H1048" s="538"/>
    </row>
    <row r="1049" spans="3:12" s="767" customFormat="1" x14ac:dyDescent="0.25">
      <c r="C1049" s="767" t="s">
        <v>143</v>
      </c>
      <c r="F1049" s="964" t="s">
        <v>3</v>
      </c>
      <c r="G1049" s="10">
        <f>G1048</f>
        <v>1.4019719999999998E-2</v>
      </c>
      <c r="H1049" s="538"/>
    </row>
    <row r="1050" spans="3:12" s="767" customFormat="1" x14ac:dyDescent="0.25">
      <c r="C1050" s="767" t="s">
        <v>12</v>
      </c>
      <c r="F1050" s="964" t="s">
        <v>3</v>
      </c>
      <c r="G1050" s="10">
        <f>0.3*(G1048+G1049+G1047)</f>
        <v>1.4882471999999997E-2</v>
      </c>
      <c r="H1050" s="538"/>
    </row>
    <row r="1051" spans="3:12" s="767" customFormat="1" x14ac:dyDescent="0.25">
      <c r="D1051" s="3" t="s">
        <v>11577</v>
      </c>
      <c r="F1051" s="964"/>
      <c r="G1051" s="10"/>
      <c r="H1051" s="538"/>
    </row>
    <row r="1052" spans="3:12" s="767" customFormat="1" x14ac:dyDescent="0.25">
      <c r="D1052" s="767" t="s">
        <v>11578</v>
      </c>
      <c r="F1052" s="964" t="s">
        <v>3</v>
      </c>
      <c r="G1052" s="10">
        <f>0.271*L1052</f>
        <v>0.24986200000000003</v>
      </c>
      <c r="H1052" s="538"/>
      <c r="I1052" s="789" t="s">
        <v>10149</v>
      </c>
      <c r="J1052" s="790">
        <v>0.81699999999999995</v>
      </c>
      <c r="K1052" s="789" t="s">
        <v>10150</v>
      </c>
      <c r="L1052" s="791">
        <v>0.92200000000000004</v>
      </c>
    </row>
    <row r="1053" spans="3:12" s="767" customFormat="1" x14ac:dyDescent="0.25">
      <c r="F1053" s="964"/>
      <c r="G1053" s="10"/>
      <c r="H1053" s="538"/>
    </row>
    <row r="1054" spans="3:12" x14ac:dyDescent="0.25">
      <c r="C1054" s="3" t="s">
        <v>11443</v>
      </c>
      <c r="G1054" s="10"/>
      <c r="H1054" s="538"/>
    </row>
    <row r="1055" spans="3:12" s="767" customFormat="1" x14ac:dyDescent="0.25">
      <c r="C1055" s="100" t="s">
        <v>140</v>
      </c>
      <c r="D1055" s="73"/>
      <c r="E1055" s="73"/>
      <c r="F1055" s="74" t="s">
        <v>3</v>
      </c>
      <c r="G1055" s="153">
        <f>0.02*3.14*0.08*1.2</f>
        <v>6.0288000000000008E-3</v>
      </c>
      <c r="H1055" s="538"/>
    </row>
    <row r="1056" spans="3:12" s="767" customFormat="1" ht="17.25" x14ac:dyDescent="0.25">
      <c r="C1056" s="100" t="s">
        <v>23</v>
      </c>
      <c r="D1056" s="73"/>
      <c r="E1056" s="73"/>
      <c r="F1056" s="74" t="s">
        <v>596</v>
      </c>
      <c r="G1056" s="153">
        <f>G1055*2</f>
        <v>1.2057600000000002E-2</v>
      </c>
      <c r="H1056" s="538"/>
    </row>
    <row r="1057" spans="3:12" s="767" customFormat="1" x14ac:dyDescent="0.25">
      <c r="C1057" s="100" t="s">
        <v>142</v>
      </c>
      <c r="D1057" s="73"/>
      <c r="E1057" s="73"/>
      <c r="F1057" s="74" t="s">
        <v>3</v>
      </c>
      <c r="G1057" s="153">
        <f>G1055/4</f>
        <v>1.5072000000000002E-3</v>
      </c>
      <c r="H1057" s="538"/>
    </row>
    <row r="1058" spans="3:12" s="767" customFormat="1" x14ac:dyDescent="0.25">
      <c r="C1058" s="767" t="s">
        <v>325</v>
      </c>
      <c r="F1058" s="964" t="s">
        <v>3</v>
      </c>
      <c r="G1058" s="10">
        <f>J1063*0.011*2*1.5+0.001</f>
        <v>4.8939999999999999E-3</v>
      </c>
      <c r="H1058" s="538"/>
    </row>
    <row r="1059" spans="3:12" s="767" customFormat="1" x14ac:dyDescent="0.25">
      <c r="C1059" s="767" t="s">
        <v>4872</v>
      </c>
      <c r="F1059" s="964" t="s">
        <v>3</v>
      </c>
      <c r="G1059" s="10">
        <f>0.65*G1058</f>
        <v>3.1811000000000001E-3</v>
      </c>
      <c r="H1059" s="538"/>
    </row>
    <row r="1060" spans="3:12" s="767" customFormat="1" x14ac:dyDescent="0.25">
      <c r="C1060" s="767" t="s">
        <v>143</v>
      </c>
      <c r="F1060" s="964" t="s">
        <v>3</v>
      </c>
      <c r="G1060" s="10">
        <f>G1059</f>
        <v>3.1811000000000001E-3</v>
      </c>
      <c r="H1060" s="538"/>
    </row>
    <row r="1061" spans="3:12" s="767" customFormat="1" x14ac:dyDescent="0.25">
      <c r="C1061" s="767" t="s">
        <v>12</v>
      </c>
      <c r="F1061" s="964" t="s">
        <v>3</v>
      </c>
      <c r="G1061" s="10">
        <f>0.3*(G1059+G1060+G1058)</f>
        <v>3.3768600000000002E-3</v>
      </c>
      <c r="H1061" s="538"/>
    </row>
    <row r="1062" spans="3:12" s="767" customFormat="1" x14ac:dyDescent="0.25">
      <c r="D1062" s="3" t="s">
        <v>11579</v>
      </c>
      <c r="F1062" s="964"/>
      <c r="G1062" s="10"/>
      <c r="H1062" s="538"/>
    </row>
    <row r="1063" spans="3:12" s="767" customFormat="1" x14ac:dyDescent="0.25">
      <c r="D1063" s="767" t="s">
        <v>11580</v>
      </c>
      <c r="F1063" s="964" t="s">
        <v>3</v>
      </c>
      <c r="G1063" s="10">
        <f>0.469*L1063+0.001</f>
        <v>9.4799999999999995E-2</v>
      </c>
      <c r="H1063" s="538"/>
      <c r="I1063" s="789" t="s">
        <v>10149</v>
      </c>
      <c r="J1063" s="790">
        <v>0.11799999999999999</v>
      </c>
      <c r="K1063" s="789" t="s">
        <v>10150</v>
      </c>
      <c r="L1063" s="791">
        <v>0.2</v>
      </c>
    </row>
    <row r="1064" spans="3:12" s="767" customFormat="1" x14ac:dyDescent="0.25">
      <c r="F1064" s="964"/>
      <c r="G1064" s="10"/>
      <c r="H1064" s="538"/>
    </row>
    <row r="1065" spans="3:12" s="767" customFormat="1" x14ac:dyDescent="0.25">
      <c r="C1065" s="3" t="s">
        <v>11444</v>
      </c>
      <c r="F1065" s="964"/>
      <c r="G1065" s="10"/>
      <c r="H1065" s="538"/>
    </row>
    <row r="1066" spans="3:12" s="767" customFormat="1" x14ac:dyDescent="0.25">
      <c r="C1066" s="767" t="s">
        <v>11581</v>
      </c>
      <c r="F1066" s="964" t="s">
        <v>3</v>
      </c>
      <c r="G1066" s="10">
        <f>0.12*0.09*2*2*1.05</f>
        <v>4.5359999999999998E-2</v>
      </c>
      <c r="H1066" s="538"/>
    </row>
    <row r="1067" spans="3:12" s="767" customFormat="1" x14ac:dyDescent="0.25">
      <c r="F1067" s="964"/>
      <c r="G1067" s="10"/>
      <c r="H1067" s="538"/>
    </row>
    <row r="1068" spans="3:12" x14ac:dyDescent="0.25">
      <c r="C1068" s="3" t="s">
        <v>11445</v>
      </c>
      <c r="G1068" s="10"/>
      <c r="H1068" s="538"/>
    </row>
    <row r="1069" spans="3:12" s="767" customFormat="1" x14ac:dyDescent="0.25">
      <c r="C1069" s="25" t="s">
        <v>11582</v>
      </c>
      <c r="F1069" s="964" t="s">
        <v>3</v>
      </c>
      <c r="G1069" s="10">
        <f>0.085*0.06*4*8*1.132</f>
        <v>0.1847424</v>
      </c>
      <c r="H1069" s="538"/>
    </row>
    <row r="1070" spans="3:12" s="767" customFormat="1" x14ac:dyDescent="0.25">
      <c r="C1070" s="3"/>
      <c r="F1070" s="964"/>
      <c r="G1070" s="10"/>
      <c r="H1070" s="538"/>
    </row>
    <row r="1071" spans="3:12" s="767" customFormat="1" x14ac:dyDescent="0.25">
      <c r="C1071" s="3" t="s">
        <v>11446</v>
      </c>
      <c r="F1071" s="964"/>
      <c r="G1071" s="10"/>
      <c r="H1071" s="538"/>
    </row>
    <row r="1072" spans="3:12" s="767" customFormat="1" x14ac:dyDescent="0.25">
      <c r="C1072" s="25" t="s">
        <v>11583</v>
      </c>
      <c r="F1072" s="964" t="s">
        <v>3</v>
      </c>
      <c r="G1072" s="10">
        <f>0.23*L1072</f>
        <v>0.16514000000000001</v>
      </c>
      <c r="H1072" s="538"/>
      <c r="I1072" s="789" t="s">
        <v>10149</v>
      </c>
      <c r="J1072" s="790">
        <v>0.63</v>
      </c>
      <c r="K1072" s="789" t="s">
        <v>10150</v>
      </c>
      <c r="L1072" s="791">
        <v>0.71799999999999997</v>
      </c>
    </row>
    <row r="1073" spans="3:8" s="767" customFormat="1" x14ac:dyDescent="0.25">
      <c r="C1073" s="767" t="s">
        <v>325</v>
      </c>
      <c r="F1073" s="964" t="s">
        <v>3</v>
      </c>
      <c r="G1073" s="10">
        <f>J1072*0.021*2*1.2</f>
        <v>3.1752000000000002E-2</v>
      </c>
      <c r="H1073" s="538"/>
    </row>
    <row r="1074" spans="3:8" x14ac:dyDescent="0.25">
      <c r="C1074" s="767" t="s">
        <v>4872</v>
      </c>
      <c r="D1074" s="767"/>
      <c r="E1074" s="767"/>
      <c r="F1074" s="964" t="s">
        <v>3</v>
      </c>
      <c r="G1074" s="10">
        <f>0.65*G1073</f>
        <v>2.0638800000000002E-2</v>
      </c>
      <c r="H1074" s="538"/>
    </row>
    <row r="1075" spans="3:8" s="767" customFormat="1" x14ac:dyDescent="0.25">
      <c r="C1075" s="767" t="s">
        <v>12</v>
      </c>
      <c r="F1075" s="964" t="s">
        <v>3</v>
      </c>
      <c r="G1075" s="10">
        <f>0.3*(G1074+G1073)</f>
        <v>1.571724E-2</v>
      </c>
      <c r="H1075" s="538"/>
    </row>
    <row r="1076" spans="3:8" x14ac:dyDescent="0.25">
      <c r="G1076" s="10"/>
      <c r="H1076" s="538"/>
    </row>
    <row r="1077" spans="3:8" x14ac:dyDescent="0.25">
      <c r="C1077" s="3" t="s">
        <v>11447</v>
      </c>
      <c r="G1077" s="10"/>
      <c r="H1077" s="538"/>
    </row>
    <row r="1078" spans="3:8" s="767" customFormat="1" x14ac:dyDescent="0.25">
      <c r="C1078" s="767" t="s">
        <v>11584</v>
      </c>
      <c r="F1078" s="964" t="s">
        <v>3</v>
      </c>
      <c r="G1078" s="10">
        <f>0.166*0.076*0.3*8*1.15</f>
        <v>3.4820159999999996E-2</v>
      </c>
      <c r="H1078" s="538"/>
    </row>
    <row r="1079" spans="3:8" s="767" customFormat="1" x14ac:dyDescent="0.25">
      <c r="F1079" s="964"/>
      <c r="G1079" s="10"/>
      <c r="H1079" s="538"/>
    </row>
    <row r="1080" spans="3:8" x14ac:dyDescent="0.25">
      <c r="C1080" s="3" t="s">
        <v>11448</v>
      </c>
      <c r="G1080" s="10"/>
      <c r="H1080" s="538"/>
    </row>
    <row r="1081" spans="3:8" s="767" customFormat="1" x14ac:dyDescent="0.25">
      <c r="C1081" s="767" t="s">
        <v>879</v>
      </c>
      <c r="F1081" s="964" t="s">
        <v>3</v>
      </c>
      <c r="G1081" s="10">
        <f>0.21*0.07*2*0.15*2*1.35</f>
        <v>1.1907000000000001E-2</v>
      </c>
      <c r="H1081" s="538"/>
    </row>
    <row r="1082" spans="3:8" s="767" customFormat="1" x14ac:dyDescent="0.25">
      <c r="C1082" s="767" t="s">
        <v>8</v>
      </c>
      <c r="F1082" s="964" t="s">
        <v>3</v>
      </c>
      <c r="G1082" s="10">
        <f>G1081*0.6</f>
        <v>7.1441999999999999E-3</v>
      </c>
      <c r="H1082" s="538"/>
    </row>
    <row r="1083" spans="3:8" s="767" customFormat="1" x14ac:dyDescent="0.25">
      <c r="C1083" s="767" t="s">
        <v>12</v>
      </c>
      <c r="F1083" s="964" t="s">
        <v>3</v>
      </c>
      <c r="G1083" s="10">
        <f>0.3*(G1082+G1081)</f>
        <v>5.7153600000000001E-3</v>
      </c>
      <c r="H1083" s="538"/>
    </row>
    <row r="1084" spans="3:8" s="767" customFormat="1" x14ac:dyDescent="0.25">
      <c r="D1084" s="3" t="s">
        <v>11588</v>
      </c>
      <c r="F1084" s="964"/>
      <c r="G1084" s="10"/>
      <c r="H1084" s="538"/>
    </row>
    <row r="1085" spans="3:8" s="767" customFormat="1" x14ac:dyDescent="0.25">
      <c r="D1085" s="25" t="s">
        <v>11576</v>
      </c>
      <c r="F1085" s="964" t="s">
        <v>3</v>
      </c>
      <c r="G1085" s="10">
        <f>0.315*0.032*1.5*8*1.155</f>
        <v>0.13970880000000002</v>
      </c>
      <c r="H1085" s="538"/>
    </row>
    <row r="1086" spans="3:8" s="767" customFormat="1" x14ac:dyDescent="0.25">
      <c r="F1086" s="964"/>
      <c r="G1086" s="10"/>
      <c r="H1086" s="538"/>
    </row>
    <row r="1087" spans="3:8" s="767" customFormat="1" x14ac:dyDescent="0.25">
      <c r="C1087" s="3" t="s">
        <v>11450</v>
      </c>
      <c r="F1087" s="964"/>
      <c r="G1087" s="10"/>
      <c r="H1087" s="538"/>
    </row>
    <row r="1088" spans="3:8" s="767" customFormat="1" x14ac:dyDescent="0.25">
      <c r="C1088" s="100" t="s">
        <v>140</v>
      </c>
      <c r="D1088" s="73"/>
      <c r="E1088" s="73"/>
      <c r="F1088" s="74" t="s">
        <v>3</v>
      </c>
      <c r="G1088" s="153">
        <f>0.025*3.14*0.08*1.2</f>
        <v>7.536000000000001E-3</v>
      </c>
      <c r="H1088" s="538"/>
    </row>
    <row r="1089" spans="3:12" s="767" customFormat="1" ht="17.25" x14ac:dyDescent="0.25">
      <c r="C1089" s="100" t="s">
        <v>23</v>
      </c>
      <c r="D1089" s="73"/>
      <c r="E1089" s="73"/>
      <c r="F1089" s="74" t="s">
        <v>596</v>
      </c>
      <c r="G1089" s="153">
        <f>G1088*2</f>
        <v>1.5072000000000002E-2</v>
      </c>
      <c r="H1089" s="538"/>
    </row>
    <row r="1090" spans="3:12" s="767" customFormat="1" x14ac:dyDescent="0.25">
      <c r="C1090" s="100" t="s">
        <v>142</v>
      </c>
      <c r="D1090" s="73"/>
      <c r="E1090" s="73"/>
      <c r="F1090" s="74" t="s">
        <v>3</v>
      </c>
      <c r="G1090" s="153">
        <f>G1088/4</f>
        <v>1.8840000000000003E-3</v>
      </c>
      <c r="H1090" s="538"/>
    </row>
    <row r="1091" spans="3:12" s="767" customFormat="1" x14ac:dyDescent="0.25">
      <c r="C1091" s="834" t="s">
        <v>1021</v>
      </c>
      <c r="D1091" s="834"/>
      <c r="E1091" s="834"/>
      <c r="F1091" s="827" t="s">
        <v>3</v>
      </c>
      <c r="G1091" s="777">
        <f>G1095</f>
        <v>1.5515500000000002E-2</v>
      </c>
      <c r="H1091" s="538"/>
    </row>
    <row r="1092" spans="3:12" s="767" customFormat="1" x14ac:dyDescent="0.25">
      <c r="C1092" s="834" t="s">
        <v>661</v>
      </c>
      <c r="D1092" s="834"/>
      <c r="E1092" s="834"/>
      <c r="F1092" s="827" t="s">
        <v>3</v>
      </c>
      <c r="G1092" s="777">
        <f>G1091*0.26</f>
        <v>4.0340300000000009E-3</v>
      </c>
      <c r="H1092" s="538"/>
    </row>
    <row r="1093" spans="3:12" s="767" customFormat="1" x14ac:dyDescent="0.25">
      <c r="C1093" s="834" t="s">
        <v>1993</v>
      </c>
      <c r="D1093" s="834"/>
      <c r="E1093" s="834"/>
      <c r="F1093" s="827" t="s">
        <v>3</v>
      </c>
      <c r="G1093" s="777">
        <f>G1091*0.12</f>
        <v>1.8618600000000001E-3</v>
      </c>
      <c r="H1093" s="538"/>
    </row>
    <row r="1094" spans="3:12" s="767" customFormat="1" x14ac:dyDescent="0.25">
      <c r="C1094" s="767" t="s">
        <v>148</v>
      </c>
      <c r="F1094" s="964" t="s">
        <v>3</v>
      </c>
      <c r="G1094" s="10">
        <f>0.025*J1098*2*1.3</f>
        <v>2.2165000000000004E-2</v>
      </c>
      <c r="H1094" s="538"/>
    </row>
    <row r="1095" spans="3:12" s="767" customFormat="1" x14ac:dyDescent="0.25">
      <c r="C1095" s="767" t="s">
        <v>8</v>
      </c>
      <c r="F1095" s="964" t="s">
        <v>3</v>
      </c>
      <c r="G1095" s="10">
        <f>G1094*0.7</f>
        <v>1.5515500000000002E-2</v>
      </c>
      <c r="H1095" s="538"/>
    </row>
    <row r="1096" spans="3:12" s="767" customFormat="1" x14ac:dyDescent="0.25">
      <c r="C1096" s="767" t="s">
        <v>12</v>
      </c>
      <c r="F1096" s="964" t="s">
        <v>3</v>
      </c>
      <c r="G1096" s="10">
        <f>0.3*(G1095+G1094)</f>
        <v>1.1304150000000001E-2</v>
      </c>
      <c r="H1096" s="538"/>
    </row>
    <row r="1097" spans="3:12" s="767" customFormat="1" x14ac:dyDescent="0.25">
      <c r="D1097" s="3" t="s">
        <v>11589</v>
      </c>
      <c r="F1097" s="964"/>
      <c r="G1097" s="10"/>
      <c r="H1097" s="538"/>
    </row>
    <row r="1098" spans="3:12" s="767" customFormat="1" x14ac:dyDescent="0.25">
      <c r="D1098" s="767" t="s">
        <v>11590</v>
      </c>
      <c r="F1098" s="964" t="s">
        <v>3</v>
      </c>
      <c r="G1098" s="32">
        <f>0.592*L1098</f>
        <v>0.26639999999999997</v>
      </c>
      <c r="H1098" s="538"/>
      <c r="I1098" s="789" t="s">
        <v>10149</v>
      </c>
      <c r="J1098" s="790">
        <v>0.34100000000000003</v>
      </c>
      <c r="K1098" s="789" t="s">
        <v>10150</v>
      </c>
      <c r="L1098" s="791">
        <v>0.45</v>
      </c>
    </row>
    <row r="1099" spans="3:12" s="767" customFormat="1" x14ac:dyDescent="0.25">
      <c r="F1099" s="964"/>
      <c r="G1099" s="10"/>
      <c r="H1099" s="538"/>
      <c r="I1099" s="789"/>
      <c r="J1099" s="790"/>
      <c r="K1099" s="789"/>
      <c r="L1099" s="791"/>
    </row>
    <row r="1100" spans="3:12" s="767" customFormat="1" x14ac:dyDescent="0.25">
      <c r="C1100" s="3" t="s">
        <v>11451</v>
      </c>
      <c r="F1100" s="964"/>
      <c r="G1100" s="10"/>
      <c r="H1100" s="538"/>
      <c r="I1100" s="789"/>
      <c r="J1100" s="790"/>
      <c r="K1100" s="789"/>
      <c r="L1100" s="791"/>
    </row>
    <row r="1101" spans="3:12" s="767" customFormat="1" x14ac:dyDescent="0.25">
      <c r="C1101" s="100" t="s">
        <v>140</v>
      </c>
      <c r="D1101" s="73"/>
      <c r="E1101" s="73"/>
      <c r="F1101" s="74" t="s">
        <v>3</v>
      </c>
      <c r="G1101" s="153">
        <f>0.016*3.14*0.08*1.2</f>
        <v>4.8230399999999998E-3</v>
      </c>
      <c r="H1101" s="538"/>
      <c r="I1101" s="789"/>
      <c r="J1101" s="790"/>
      <c r="K1101" s="789"/>
      <c r="L1101" s="791"/>
    </row>
    <row r="1102" spans="3:12" s="767" customFormat="1" ht="17.25" x14ac:dyDescent="0.25">
      <c r="C1102" s="100" t="s">
        <v>23</v>
      </c>
      <c r="D1102" s="73"/>
      <c r="E1102" s="73"/>
      <c r="F1102" s="74" t="s">
        <v>596</v>
      </c>
      <c r="G1102" s="153">
        <f>G1101*2</f>
        <v>9.6460799999999996E-3</v>
      </c>
      <c r="H1102" s="538"/>
      <c r="I1102" s="789"/>
      <c r="J1102" s="790"/>
      <c r="K1102" s="789"/>
      <c r="L1102" s="791"/>
    </row>
    <row r="1103" spans="3:12" s="767" customFormat="1" x14ac:dyDescent="0.25">
      <c r="C1103" s="100" t="s">
        <v>142</v>
      </c>
      <c r="D1103" s="73"/>
      <c r="E1103" s="73"/>
      <c r="F1103" s="74" t="s">
        <v>3</v>
      </c>
      <c r="G1103" s="153">
        <f>G1101/4</f>
        <v>1.2057599999999999E-3</v>
      </c>
      <c r="H1103" s="538"/>
      <c r="I1103" s="789"/>
      <c r="J1103" s="790"/>
      <c r="K1103" s="789"/>
      <c r="L1103" s="791"/>
    </row>
    <row r="1104" spans="3:12" s="767" customFormat="1" x14ac:dyDescent="0.25">
      <c r="C1104" s="767" t="s">
        <v>148</v>
      </c>
      <c r="F1104" s="969" t="s">
        <v>3</v>
      </c>
      <c r="G1104" s="10">
        <f>0.025*J1109*2*1.3</f>
        <v>1.5925000000000002E-2</v>
      </c>
      <c r="H1104" s="538"/>
      <c r="I1104" s="789"/>
      <c r="J1104" s="790"/>
      <c r="K1104" s="789"/>
      <c r="L1104" s="791"/>
    </row>
    <row r="1105" spans="3:12" s="767" customFormat="1" x14ac:dyDescent="0.25">
      <c r="C1105" s="767" t="s">
        <v>8</v>
      </c>
      <c r="F1105" s="969" t="s">
        <v>3</v>
      </c>
      <c r="G1105" s="10">
        <f>G1104*0.7</f>
        <v>1.1147500000000001E-2</v>
      </c>
      <c r="H1105" s="538"/>
      <c r="I1105" s="789"/>
      <c r="J1105" s="790"/>
      <c r="K1105" s="789"/>
      <c r="L1105" s="791"/>
    </row>
    <row r="1106" spans="3:12" s="767" customFormat="1" x14ac:dyDescent="0.25">
      <c r="C1106" s="767" t="s">
        <v>143</v>
      </c>
      <c r="F1106" s="969" t="s">
        <v>3</v>
      </c>
      <c r="G1106" s="10">
        <f>G1105</f>
        <v>1.1147500000000001E-2</v>
      </c>
      <c r="H1106" s="538"/>
      <c r="I1106" s="789"/>
      <c r="J1106" s="790"/>
      <c r="K1106" s="789"/>
      <c r="L1106" s="791"/>
    </row>
    <row r="1107" spans="3:12" s="767" customFormat="1" x14ac:dyDescent="0.25">
      <c r="C1107" s="767" t="s">
        <v>12</v>
      </c>
      <c r="F1107" s="969" t="s">
        <v>3</v>
      </c>
      <c r="G1107" s="10">
        <f>0.3*(G1105+G1104+G1106)</f>
        <v>1.1466E-2</v>
      </c>
      <c r="H1107" s="538"/>
      <c r="I1107" s="789"/>
      <c r="J1107" s="790"/>
      <c r="K1107" s="789"/>
      <c r="L1107" s="791"/>
    </row>
    <row r="1108" spans="3:12" s="767" customFormat="1" x14ac:dyDescent="0.25">
      <c r="D1108" s="3" t="s">
        <v>5070</v>
      </c>
      <c r="F1108" s="964"/>
      <c r="G1108" s="10"/>
      <c r="H1108" s="538"/>
      <c r="I1108" s="789"/>
      <c r="J1108" s="790"/>
      <c r="K1108" s="789"/>
      <c r="L1108" s="791"/>
    </row>
    <row r="1109" spans="3:12" s="767" customFormat="1" x14ac:dyDescent="0.25">
      <c r="D1109" s="767" t="s">
        <v>10395</v>
      </c>
      <c r="F1109" s="964" t="s">
        <v>3</v>
      </c>
      <c r="G1109" s="10">
        <f>0.37*L1109</f>
        <v>0.1147</v>
      </c>
      <c r="H1109" s="538"/>
      <c r="I1109" s="789" t="s">
        <v>10149</v>
      </c>
      <c r="J1109" s="790">
        <v>0.245</v>
      </c>
      <c r="K1109" s="789" t="s">
        <v>10150</v>
      </c>
      <c r="L1109" s="791">
        <v>0.31</v>
      </c>
    </row>
    <row r="1110" spans="3:12" s="767" customFormat="1" x14ac:dyDescent="0.25">
      <c r="F1110" s="964"/>
      <c r="G1110" s="10"/>
      <c r="H1110" s="538"/>
    </row>
    <row r="1111" spans="3:12" s="767" customFormat="1" x14ac:dyDescent="0.25">
      <c r="C1111" s="3" t="s">
        <v>11452</v>
      </c>
      <c r="F1111" s="969"/>
      <c r="G1111" s="10"/>
      <c r="H1111" s="538"/>
    </row>
    <row r="1112" spans="3:12" s="767" customFormat="1" x14ac:dyDescent="0.25">
      <c r="C1112" s="100" t="s">
        <v>140</v>
      </c>
      <c r="D1112" s="73"/>
      <c r="E1112" s="73"/>
      <c r="F1112" s="74" t="s">
        <v>3</v>
      </c>
      <c r="G1112" s="153">
        <f>0.016*3.14*0.08*1.2</f>
        <v>4.8230399999999998E-3</v>
      </c>
      <c r="H1112" s="538"/>
      <c r="I1112" s="789"/>
      <c r="J1112" s="790"/>
      <c r="K1112" s="789"/>
      <c r="L1112" s="791"/>
    </row>
    <row r="1113" spans="3:12" s="767" customFormat="1" ht="17.25" x14ac:dyDescent="0.25">
      <c r="C1113" s="100" t="s">
        <v>23</v>
      </c>
      <c r="D1113" s="73"/>
      <c r="E1113" s="73"/>
      <c r="F1113" s="74" t="s">
        <v>596</v>
      </c>
      <c r="G1113" s="153">
        <f>G1112*2</f>
        <v>9.6460799999999996E-3</v>
      </c>
      <c r="H1113" s="538"/>
      <c r="I1113" s="789"/>
      <c r="J1113" s="790"/>
      <c r="K1113" s="789"/>
      <c r="L1113" s="791"/>
    </row>
    <row r="1114" spans="3:12" s="767" customFormat="1" x14ac:dyDescent="0.25">
      <c r="C1114" s="100" t="s">
        <v>142</v>
      </c>
      <c r="D1114" s="73"/>
      <c r="E1114" s="73"/>
      <c r="F1114" s="74" t="s">
        <v>3</v>
      </c>
      <c r="G1114" s="153">
        <f>G1112/4</f>
        <v>1.2057599999999999E-3</v>
      </c>
      <c r="H1114" s="538"/>
      <c r="I1114" s="789"/>
      <c r="J1114" s="790"/>
      <c r="K1114" s="789"/>
      <c r="L1114" s="791"/>
    </row>
    <row r="1115" spans="3:12" s="767" customFormat="1" x14ac:dyDescent="0.25">
      <c r="C1115" s="767" t="s">
        <v>148</v>
      </c>
      <c r="F1115" s="969" t="s">
        <v>3</v>
      </c>
      <c r="G1115" s="10">
        <f>0.025*J1120*2*1.3</f>
        <v>1.7940000000000001E-2</v>
      </c>
      <c r="H1115" s="538"/>
      <c r="I1115" s="789"/>
      <c r="J1115" s="790"/>
      <c r="K1115" s="789"/>
      <c r="L1115" s="791"/>
    </row>
    <row r="1116" spans="3:12" s="767" customFormat="1" x14ac:dyDescent="0.25">
      <c r="C1116" s="767" t="s">
        <v>8</v>
      </c>
      <c r="F1116" s="969" t="s">
        <v>3</v>
      </c>
      <c r="G1116" s="10">
        <f>G1115*0.7</f>
        <v>1.2558E-2</v>
      </c>
      <c r="H1116" s="538"/>
      <c r="I1116" s="789"/>
      <c r="J1116" s="790"/>
      <c r="K1116" s="789"/>
      <c r="L1116" s="791"/>
    </row>
    <row r="1117" spans="3:12" s="767" customFormat="1" x14ac:dyDescent="0.25">
      <c r="C1117" s="767" t="s">
        <v>143</v>
      </c>
      <c r="F1117" s="969" t="s">
        <v>3</v>
      </c>
      <c r="G1117" s="10">
        <f>G1116</f>
        <v>1.2558E-2</v>
      </c>
      <c r="H1117" s="538"/>
      <c r="I1117" s="789"/>
      <c r="J1117" s="790"/>
      <c r="K1117" s="789"/>
      <c r="L1117" s="791"/>
    </row>
    <row r="1118" spans="3:12" s="767" customFormat="1" x14ac:dyDescent="0.25">
      <c r="C1118" s="767" t="s">
        <v>12</v>
      </c>
      <c r="F1118" s="969" t="s">
        <v>3</v>
      </c>
      <c r="G1118" s="10">
        <f>0.3*(G1116+G1115+G1117)</f>
        <v>1.2916799999999999E-2</v>
      </c>
      <c r="H1118" s="538"/>
      <c r="I1118" s="789"/>
      <c r="J1118" s="790"/>
      <c r="K1118" s="789"/>
      <c r="L1118" s="791"/>
    </row>
    <row r="1119" spans="3:12" s="767" customFormat="1" x14ac:dyDescent="0.25">
      <c r="D1119" s="3" t="s">
        <v>11591</v>
      </c>
      <c r="F1119" s="969"/>
      <c r="G1119" s="10"/>
      <c r="H1119" s="538"/>
      <c r="I1119" s="789"/>
      <c r="J1119" s="790"/>
      <c r="K1119" s="789"/>
      <c r="L1119" s="791"/>
    </row>
    <row r="1120" spans="3:12" s="767" customFormat="1" x14ac:dyDescent="0.25">
      <c r="D1120" s="767" t="s">
        <v>11592</v>
      </c>
      <c r="F1120" s="969" t="s">
        <v>3</v>
      </c>
      <c r="G1120" s="10">
        <f>0.173*L1120</f>
        <v>5.5359999999999999E-2</v>
      </c>
      <c r="H1120" s="538"/>
      <c r="I1120" s="789" t="s">
        <v>10149</v>
      </c>
      <c r="J1120" s="790">
        <v>0.27600000000000002</v>
      </c>
      <c r="K1120" s="789" t="s">
        <v>10150</v>
      </c>
      <c r="L1120" s="791">
        <v>0.32</v>
      </c>
    </row>
    <row r="1121" spans="3:12" s="767" customFormat="1" x14ac:dyDescent="0.25">
      <c r="F1121" s="969"/>
      <c r="G1121" s="10"/>
      <c r="H1121" s="538"/>
    </row>
    <row r="1122" spans="3:12" s="767" customFormat="1" x14ac:dyDescent="0.25">
      <c r="C1122" s="3" t="s">
        <v>11453</v>
      </c>
      <c r="G1122" s="5" t="s">
        <v>2180</v>
      </c>
      <c r="H1122" s="538"/>
    </row>
    <row r="1123" spans="3:12" s="767" customFormat="1" x14ac:dyDescent="0.25">
      <c r="C1123" s="767" t="s">
        <v>11593</v>
      </c>
      <c r="F1123" s="969" t="s">
        <v>1516</v>
      </c>
      <c r="G1123" s="10">
        <v>1</v>
      </c>
      <c r="H1123" s="538"/>
    </row>
    <row r="1124" spans="3:12" s="767" customFormat="1" x14ac:dyDescent="0.25">
      <c r="C1124" s="767" t="s">
        <v>11594</v>
      </c>
      <c r="F1124" s="970" t="s">
        <v>1516</v>
      </c>
      <c r="G1124" s="10">
        <v>1</v>
      </c>
      <c r="H1124" s="538"/>
    </row>
    <row r="1125" spans="3:12" s="767" customFormat="1" x14ac:dyDescent="0.25">
      <c r="D1125" s="3" t="s">
        <v>11595</v>
      </c>
      <c r="F1125" s="969"/>
      <c r="G1125" s="10"/>
      <c r="H1125" s="538"/>
    </row>
    <row r="1126" spans="3:12" s="767" customFormat="1" x14ac:dyDescent="0.25">
      <c r="D1126" s="100" t="s">
        <v>140</v>
      </c>
      <c r="E1126" s="73"/>
      <c r="F1126" s="74" t="s">
        <v>3</v>
      </c>
      <c r="G1126" s="153">
        <f>0.012*3.14*2*0.08*1.2</f>
        <v>7.234560000000001E-3</v>
      </c>
      <c r="H1126" s="538"/>
    </row>
    <row r="1127" spans="3:12" s="767" customFormat="1" ht="17.25" x14ac:dyDescent="0.25">
      <c r="D1127" s="100" t="s">
        <v>23</v>
      </c>
      <c r="E1127" s="73"/>
      <c r="F1127" s="74" t="s">
        <v>596</v>
      </c>
      <c r="G1127" s="153">
        <f>G1126*2</f>
        <v>1.4469120000000002E-2</v>
      </c>
      <c r="H1127" s="538"/>
    </row>
    <row r="1128" spans="3:12" s="767" customFormat="1" x14ac:dyDescent="0.25">
      <c r="D1128" s="100" t="s">
        <v>142</v>
      </c>
      <c r="E1128" s="73"/>
      <c r="F1128" s="74" t="s">
        <v>3</v>
      </c>
      <c r="G1128" s="153">
        <f>G1126/4</f>
        <v>1.8086400000000002E-3</v>
      </c>
      <c r="H1128" s="538"/>
    </row>
    <row r="1129" spans="3:12" s="767" customFormat="1" x14ac:dyDescent="0.25">
      <c r="E1129" s="3" t="s">
        <v>11596</v>
      </c>
      <c r="F1129" s="969"/>
      <c r="G1129" s="10"/>
      <c r="H1129" s="538"/>
    </row>
    <row r="1130" spans="3:12" s="767" customFormat="1" x14ac:dyDescent="0.25">
      <c r="E1130" s="100" t="s">
        <v>140</v>
      </c>
      <c r="F1130" s="74" t="s">
        <v>3</v>
      </c>
      <c r="G1130" s="153">
        <f>0.012*3.14*0.08*1.2</f>
        <v>3.6172800000000005E-3</v>
      </c>
      <c r="H1130" s="538"/>
    </row>
    <row r="1131" spans="3:12" s="767" customFormat="1" ht="17.25" x14ac:dyDescent="0.25">
      <c r="E1131" s="100" t="s">
        <v>23</v>
      </c>
      <c r="F1131" s="74" t="s">
        <v>596</v>
      </c>
      <c r="G1131" s="153">
        <f>G1130*2</f>
        <v>7.234560000000001E-3</v>
      </c>
      <c r="H1131" s="538"/>
    </row>
    <row r="1132" spans="3:12" s="767" customFormat="1" x14ac:dyDescent="0.25">
      <c r="E1132" s="100" t="s">
        <v>142</v>
      </c>
      <c r="F1132" s="74" t="s">
        <v>3</v>
      </c>
      <c r="G1132" s="153">
        <f>G1130/4</f>
        <v>9.0432000000000012E-4</v>
      </c>
      <c r="H1132" s="538"/>
    </row>
    <row r="1133" spans="3:12" s="767" customFormat="1" x14ac:dyDescent="0.25">
      <c r="E1133" s="186" t="s">
        <v>5021</v>
      </c>
      <c r="F1133" s="969" t="s">
        <v>3</v>
      </c>
      <c r="G1133" s="10">
        <f>0.271*L1133</f>
        <v>4.0649999999999999E-2</v>
      </c>
      <c r="H1133" s="538"/>
      <c r="I1133" s="789" t="s">
        <v>10149</v>
      </c>
      <c r="J1133" s="790">
        <v>9.5000000000000001E-2</v>
      </c>
      <c r="K1133" s="789" t="s">
        <v>10150</v>
      </c>
      <c r="L1133" s="791">
        <v>0.15</v>
      </c>
    </row>
    <row r="1134" spans="3:12" s="767" customFormat="1" x14ac:dyDescent="0.25">
      <c r="E1134" s="3" t="s">
        <v>11597</v>
      </c>
      <c r="F1134" s="969"/>
      <c r="G1134" s="10"/>
      <c r="H1134" s="538"/>
    </row>
    <row r="1135" spans="3:12" s="767" customFormat="1" x14ac:dyDescent="0.25">
      <c r="E1135" s="186" t="s">
        <v>10235</v>
      </c>
      <c r="F1135" s="969" t="s">
        <v>3</v>
      </c>
      <c r="G1135" s="10">
        <f>0.066*0.02*3*8*1.15</f>
        <v>3.6431999999999999E-2</v>
      </c>
      <c r="H1135" s="538"/>
    </row>
    <row r="1136" spans="3:12" s="767" customFormat="1" x14ac:dyDescent="0.25">
      <c r="E1136" s="3" t="s">
        <v>11598</v>
      </c>
      <c r="F1136" s="969"/>
      <c r="G1136" s="10"/>
      <c r="H1136" s="538"/>
    </row>
    <row r="1137" spans="3:12" s="767" customFormat="1" x14ac:dyDescent="0.25">
      <c r="E1137" s="186" t="s">
        <v>5021</v>
      </c>
      <c r="F1137" s="970" t="s">
        <v>3</v>
      </c>
      <c r="G1137" s="10">
        <f>0.271*L1137</f>
        <v>2.9810000000000003E-2</v>
      </c>
      <c r="H1137" s="538"/>
      <c r="I1137" s="789" t="s">
        <v>10149</v>
      </c>
      <c r="J1137" s="790">
        <v>6.3E-2</v>
      </c>
      <c r="K1137" s="789" t="s">
        <v>10150</v>
      </c>
      <c r="L1137" s="791">
        <v>0.11</v>
      </c>
    </row>
    <row r="1138" spans="3:12" s="767" customFormat="1" x14ac:dyDescent="0.25">
      <c r="D1138" s="3" t="s">
        <v>11599</v>
      </c>
      <c r="F1138" s="969"/>
      <c r="G1138" s="10"/>
      <c r="H1138" s="538"/>
    </row>
    <row r="1139" spans="3:12" s="767" customFormat="1" x14ac:dyDescent="0.25">
      <c r="D1139" s="767" t="s">
        <v>4910</v>
      </c>
      <c r="F1139" s="969" t="s">
        <v>3</v>
      </c>
      <c r="G1139" s="10">
        <f>0.035*0.035*1*8*1.1</f>
        <v>1.0780000000000003E-2</v>
      </c>
      <c r="H1139" s="538"/>
    </row>
    <row r="1140" spans="3:12" s="767" customFormat="1" x14ac:dyDescent="0.25">
      <c r="F1140" s="969"/>
      <c r="G1140" s="10"/>
      <c r="H1140" s="538"/>
    </row>
    <row r="1141" spans="3:12" s="767" customFormat="1" x14ac:dyDescent="0.25">
      <c r="C1141" s="3" t="s">
        <v>11454</v>
      </c>
      <c r="F1141" s="969"/>
      <c r="G1141" s="10"/>
      <c r="H1141" s="538"/>
    </row>
    <row r="1142" spans="3:12" s="767" customFormat="1" x14ac:dyDescent="0.25">
      <c r="C1142" s="767" t="s">
        <v>10235</v>
      </c>
      <c r="F1142" s="969" t="s">
        <v>3</v>
      </c>
      <c r="G1142" s="10">
        <f>0.09*0.1*3*8*1.158</f>
        <v>0.25012799999999996</v>
      </c>
      <c r="H1142" s="538"/>
    </row>
    <row r="1143" spans="3:12" s="767" customFormat="1" x14ac:dyDescent="0.25">
      <c r="F1143" s="969"/>
      <c r="G1143" s="10"/>
      <c r="H1143" s="538"/>
    </row>
    <row r="1144" spans="3:12" s="767" customFormat="1" x14ac:dyDescent="0.25">
      <c r="C1144" s="3" t="s">
        <v>11600</v>
      </c>
      <c r="F1144" s="970"/>
      <c r="G1144" s="10"/>
      <c r="H1144" s="538"/>
    </row>
    <row r="1145" spans="3:12" s="767" customFormat="1" x14ac:dyDescent="0.25">
      <c r="C1145" s="767" t="s">
        <v>10235</v>
      </c>
      <c r="F1145" s="970" t="s">
        <v>3</v>
      </c>
      <c r="G1145" s="10">
        <f>0.07*0.1*3*8*1.158</f>
        <v>0.19454400000000002</v>
      </c>
      <c r="H1145" s="538"/>
    </row>
    <row r="1146" spans="3:12" s="767" customFormat="1" x14ac:dyDescent="0.25">
      <c r="F1146" s="969"/>
      <c r="G1146" s="10"/>
      <c r="H1146" s="538"/>
    </row>
    <row r="1147" spans="3:12" s="767" customFormat="1" x14ac:dyDescent="0.25">
      <c r="C1147" s="3" t="s">
        <v>11456</v>
      </c>
      <c r="F1147" s="969"/>
      <c r="G1147" s="10"/>
      <c r="H1147" s="538"/>
    </row>
    <row r="1148" spans="3:12" s="767" customFormat="1" x14ac:dyDescent="0.25">
      <c r="C1148" s="834" t="s">
        <v>39</v>
      </c>
      <c r="D1148" s="619"/>
      <c r="F1148" s="827" t="s">
        <v>3</v>
      </c>
      <c r="G1148" s="785">
        <f>0.04*3.14*0.08*1.2</f>
        <v>1.2057600000000002E-2</v>
      </c>
      <c r="H1148" s="538"/>
    </row>
    <row r="1149" spans="3:12" s="767" customFormat="1" ht="17.25" x14ac:dyDescent="0.25">
      <c r="C1149" s="834" t="s">
        <v>1055</v>
      </c>
      <c r="D1149" s="619"/>
      <c r="F1149" s="827" t="s">
        <v>596</v>
      </c>
      <c r="G1149" s="777">
        <f>1.5*G1148</f>
        <v>1.8086400000000002E-2</v>
      </c>
      <c r="H1149" s="538"/>
    </row>
    <row r="1150" spans="3:12" s="767" customFormat="1" x14ac:dyDescent="0.25">
      <c r="C1150" s="834" t="s">
        <v>1021</v>
      </c>
      <c r="D1150" s="834"/>
      <c r="E1150" s="834"/>
      <c r="F1150" s="827" t="s">
        <v>3</v>
      </c>
      <c r="G1150" s="777">
        <f>0.045*3.14*0.045*2*0.11*2*1.7</f>
        <v>4.7561580000000008E-3</v>
      </c>
      <c r="H1150" s="538"/>
    </row>
    <row r="1151" spans="3:12" s="767" customFormat="1" x14ac:dyDescent="0.25">
      <c r="C1151" s="834" t="s">
        <v>661</v>
      </c>
      <c r="D1151" s="834"/>
      <c r="E1151" s="834"/>
      <c r="F1151" s="827" t="s">
        <v>3</v>
      </c>
      <c r="G1151" s="777">
        <f>G1150*0.26</f>
        <v>1.2366010800000003E-3</v>
      </c>
      <c r="H1151" s="538"/>
    </row>
    <row r="1152" spans="3:12" s="767" customFormat="1" x14ac:dyDescent="0.25">
      <c r="C1152" s="834" t="s">
        <v>1993</v>
      </c>
      <c r="D1152" s="834"/>
      <c r="E1152" s="834"/>
      <c r="F1152" s="827" t="s">
        <v>3</v>
      </c>
      <c r="G1152" s="777">
        <f>G1150*0.12</f>
        <v>5.7073896000000006E-4</v>
      </c>
      <c r="H1152" s="538"/>
    </row>
    <row r="1153" spans="3:12" s="767" customFormat="1" x14ac:dyDescent="0.25">
      <c r="D1153" s="3" t="s">
        <v>11601</v>
      </c>
      <c r="F1153" s="969"/>
      <c r="G1153" s="10"/>
      <c r="H1153" s="538"/>
    </row>
    <row r="1154" spans="3:12" s="767" customFormat="1" x14ac:dyDescent="0.25">
      <c r="D1154" s="767" t="s">
        <v>11602</v>
      </c>
      <c r="F1154" s="969" t="s">
        <v>3</v>
      </c>
      <c r="G1154" s="10">
        <f>1.35*L1154</f>
        <v>6.7500000000000004E-2</v>
      </c>
      <c r="H1154" s="538"/>
      <c r="I1154" s="789" t="s">
        <v>10149</v>
      </c>
      <c r="J1154" s="790">
        <v>4.2000000000000003E-2</v>
      </c>
      <c r="K1154" s="789" t="s">
        <v>10150</v>
      </c>
      <c r="L1154" s="791">
        <v>0.05</v>
      </c>
    </row>
    <row r="1155" spans="3:12" s="767" customFormat="1" x14ac:dyDescent="0.25">
      <c r="F1155" s="969"/>
      <c r="G1155" s="10"/>
      <c r="H1155" s="538"/>
    </row>
    <row r="1156" spans="3:12" s="767" customFormat="1" x14ac:dyDescent="0.25">
      <c r="C1156" s="3" t="s">
        <v>11457</v>
      </c>
      <c r="F1156" s="969" t="s">
        <v>2180</v>
      </c>
      <c r="G1156" s="10"/>
      <c r="H1156" s="538"/>
    </row>
    <row r="1157" spans="3:12" s="767" customFormat="1" x14ac:dyDescent="0.25">
      <c r="D1157" s="3" t="s">
        <v>11603</v>
      </c>
      <c r="F1157" s="969"/>
      <c r="G1157" s="10"/>
      <c r="H1157" s="538"/>
    </row>
    <row r="1158" spans="3:12" s="767" customFormat="1" x14ac:dyDescent="0.25">
      <c r="D1158" s="834" t="s">
        <v>39</v>
      </c>
      <c r="F1158" s="827" t="s">
        <v>3</v>
      </c>
      <c r="G1158" s="785">
        <f>0.04*3.14*0.08*1.2</f>
        <v>1.2057600000000002E-2</v>
      </c>
      <c r="H1158" s="538"/>
    </row>
    <row r="1159" spans="3:12" s="767" customFormat="1" ht="17.25" x14ac:dyDescent="0.25">
      <c r="D1159" s="834" t="s">
        <v>1055</v>
      </c>
      <c r="F1159" s="827" t="s">
        <v>596</v>
      </c>
      <c r="G1159" s="777">
        <f>1.5*G1158</f>
        <v>1.8086400000000002E-2</v>
      </c>
      <c r="H1159" s="538"/>
    </row>
    <row r="1160" spans="3:12" s="767" customFormat="1" x14ac:dyDescent="0.25">
      <c r="D1160" s="767" t="s">
        <v>879</v>
      </c>
      <c r="F1160" s="970" t="s">
        <v>3</v>
      </c>
      <c r="G1160" s="10">
        <f>0.45*0.011*2*1.39</f>
        <v>1.3760999999999997E-2</v>
      </c>
      <c r="H1160" s="538"/>
    </row>
    <row r="1161" spans="3:12" x14ac:dyDescent="0.25">
      <c r="D1161" s="767" t="s">
        <v>8</v>
      </c>
      <c r="E1161" s="767"/>
      <c r="F1161" s="970" t="s">
        <v>3</v>
      </c>
      <c r="G1161" s="10">
        <f>G1160*0.7</f>
        <v>9.6326999999999975E-3</v>
      </c>
      <c r="H1161" s="538"/>
    </row>
    <row r="1162" spans="3:12" x14ac:dyDescent="0.25">
      <c r="D1162" s="767" t="s">
        <v>12</v>
      </c>
      <c r="E1162" s="767"/>
      <c r="F1162" s="970" t="s">
        <v>3</v>
      </c>
      <c r="G1162" s="10">
        <f>0.3*(G1161+G116)</f>
        <v>3.9749939999999991E-3</v>
      </c>
      <c r="H1162" s="538"/>
    </row>
    <row r="1163" spans="3:12" x14ac:dyDescent="0.25">
      <c r="E1163" s="3" t="s">
        <v>11604</v>
      </c>
      <c r="G1163" s="10"/>
      <c r="H1163" s="538"/>
    </row>
    <row r="1164" spans="3:12" x14ac:dyDescent="0.25">
      <c r="E1164" t="s">
        <v>9932</v>
      </c>
      <c r="F1164" s="737" t="s">
        <v>3</v>
      </c>
      <c r="G1164" s="10">
        <f>0.025*0.035*2*8*1.15</f>
        <v>1.61E-2</v>
      </c>
      <c r="H1164" s="538"/>
    </row>
    <row r="1165" spans="3:12" x14ac:dyDescent="0.25">
      <c r="E1165" s="3" t="s">
        <v>11605</v>
      </c>
      <c r="G1165" s="10"/>
      <c r="H1165" s="538"/>
    </row>
    <row r="1166" spans="3:12" x14ac:dyDescent="0.25">
      <c r="E1166" s="767" t="s">
        <v>9932</v>
      </c>
      <c r="F1166" s="737" t="s">
        <v>3</v>
      </c>
      <c r="G1166" s="10">
        <f>0.63*0.02*2*8*1.15</f>
        <v>0.23183999999999999</v>
      </c>
      <c r="H1166" s="538"/>
    </row>
    <row r="1167" spans="3:12" x14ac:dyDescent="0.25">
      <c r="C1167" s="767"/>
      <c r="D1167" s="3" t="s">
        <v>11606</v>
      </c>
      <c r="G1167" s="10"/>
      <c r="H1167" s="538"/>
    </row>
    <row r="1168" spans="3:12" s="767" customFormat="1" x14ac:dyDescent="0.25">
      <c r="D1168" s="3"/>
      <c r="F1168" s="970"/>
      <c r="G1168" s="10"/>
      <c r="H1168" s="538"/>
    </row>
    <row r="1169" spans="3:8" s="767" customFormat="1" x14ac:dyDescent="0.25">
      <c r="C1169" s="3" t="s">
        <v>11458</v>
      </c>
      <c r="D1169" s="3"/>
      <c r="F1169" s="970" t="s">
        <v>2180</v>
      </c>
      <c r="G1169" s="10"/>
      <c r="H1169" s="538"/>
    </row>
    <row r="1170" spans="3:8" s="767" customFormat="1" x14ac:dyDescent="0.25">
      <c r="D1170" s="3" t="s">
        <v>11607</v>
      </c>
      <c r="F1170" s="970"/>
      <c r="G1170" s="10"/>
      <c r="H1170" s="538"/>
    </row>
    <row r="1171" spans="3:8" s="767" customFormat="1" x14ac:dyDescent="0.25">
      <c r="D1171" s="25" t="s">
        <v>11610</v>
      </c>
      <c r="F1171" s="970" t="s">
        <v>3</v>
      </c>
      <c r="G1171" s="10">
        <f>0.36*0.36*1.4*1.1</f>
        <v>0.19958400000000001</v>
      </c>
      <c r="H1171" s="538"/>
    </row>
    <row r="1172" spans="3:8" s="767" customFormat="1" x14ac:dyDescent="0.25">
      <c r="D1172" s="3" t="s">
        <v>11608</v>
      </c>
      <c r="F1172" s="970"/>
      <c r="G1172" s="10"/>
      <c r="H1172" s="538"/>
    </row>
    <row r="1173" spans="3:8" s="767" customFormat="1" x14ac:dyDescent="0.25">
      <c r="D1173" s="25" t="s">
        <v>11611</v>
      </c>
      <c r="F1173" s="970" t="s">
        <v>3</v>
      </c>
      <c r="G1173" s="10">
        <f>0.37*0.37*0.4*9+0.007</f>
        <v>0.49984000000000006</v>
      </c>
      <c r="H1173" s="538"/>
    </row>
    <row r="1174" spans="3:8" s="767" customFormat="1" x14ac:dyDescent="0.25">
      <c r="D1174" s="25"/>
      <c r="E1174" s="767" t="s">
        <v>2840</v>
      </c>
      <c r="F1174" s="970"/>
      <c r="G1174" s="10"/>
      <c r="H1174" s="538"/>
    </row>
    <row r="1175" spans="3:8" s="767" customFormat="1" x14ac:dyDescent="0.25">
      <c r="D1175" s="25" t="s">
        <v>11612</v>
      </c>
      <c r="F1175" s="970" t="s">
        <v>3</v>
      </c>
      <c r="G1175" s="10">
        <f>0.37*0.37*0.36*8+0.006</f>
        <v>0.40027199999999996</v>
      </c>
      <c r="H1175" s="538"/>
    </row>
    <row r="1176" spans="3:8" s="767" customFormat="1" x14ac:dyDescent="0.25">
      <c r="D1176" s="3" t="s">
        <v>11609</v>
      </c>
      <c r="F1176" s="970"/>
      <c r="G1176" s="10"/>
      <c r="H1176" s="538"/>
    </row>
    <row r="1177" spans="3:8" s="767" customFormat="1" x14ac:dyDescent="0.25">
      <c r="D1177" s="25" t="s">
        <v>11611</v>
      </c>
      <c r="F1177" s="970" t="s">
        <v>3</v>
      </c>
      <c r="G1177" s="10">
        <f>0.37*0.37*0.4*9+0.007</f>
        <v>0.49984000000000006</v>
      </c>
      <c r="H1177" s="538"/>
    </row>
    <row r="1178" spans="3:8" s="767" customFormat="1" x14ac:dyDescent="0.25">
      <c r="D1178" s="3"/>
      <c r="E1178" s="767" t="s">
        <v>2840</v>
      </c>
      <c r="F1178" s="970"/>
      <c r="G1178" s="10"/>
      <c r="H1178" s="538"/>
    </row>
    <row r="1179" spans="3:8" s="767" customFormat="1" x14ac:dyDescent="0.25">
      <c r="D1179" s="25" t="s">
        <v>11612</v>
      </c>
      <c r="F1179" s="970" t="s">
        <v>3</v>
      </c>
      <c r="G1179" s="10">
        <f>0.37*0.37*0.36*8+0.006</f>
        <v>0.40027199999999996</v>
      </c>
      <c r="H1179" s="538"/>
    </row>
    <row r="1180" spans="3:8" s="767" customFormat="1" x14ac:dyDescent="0.25">
      <c r="D1180" s="3"/>
      <c r="F1180" s="970"/>
      <c r="G1180" s="10"/>
      <c r="H1180" s="538"/>
    </row>
    <row r="1181" spans="3:8" x14ac:dyDescent="0.25">
      <c r="C1181" s="3" t="s">
        <v>11614</v>
      </c>
      <c r="G1181" s="10"/>
      <c r="H1181" s="538"/>
    </row>
    <row r="1182" spans="3:8" x14ac:dyDescent="0.25">
      <c r="C1182" s="100" t="s">
        <v>140</v>
      </c>
      <c r="F1182" s="74" t="s">
        <v>3</v>
      </c>
      <c r="G1182" s="153">
        <f>0.012*3.14*0.08*1.2</f>
        <v>3.6172800000000005E-3</v>
      </c>
      <c r="H1182" s="538"/>
    </row>
    <row r="1183" spans="3:8" s="767" customFormat="1" ht="17.25" x14ac:dyDescent="0.25">
      <c r="C1183" s="100" t="s">
        <v>23</v>
      </c>
      <c r="F1183" s="74" t="s">
        <v>596</v>
      </c>
      <c r="G1183" s="153">
        <f>G1182*2</f>
        <v>7.234560000000001E-3</v>
      </c>
      <c r="H1183" s="538"/>
    </row>
    <row r="1184" spans="3:8" s="767" customFormat="1" x14ac:dyDescent="0.25">
      <c r="C1184" s="100" t="s">
        <v>142</v>
      </c>
      <c r="F1184" s="74" t="s">
        <v>3</v>
      </c>
      <c r="G1184" s="153">
        <f>G1182/4</f>
        <v>9.0432000000000012E-4</v>
      </c>
      <c r="H1184" s="538"/>
    </row>
    <row r="1185" spans="1:12" s="767" customFormat="1" x14ac:dyDescent="0.25">
      <c r="C1185" s="767" t="s">
        <v>148</v>
      </c>
      <c r="F1185" s="970" t="s">
        <v>3</v>
      </c>
      <c r="G1185" s="10">
        <f>0.011*J1190*2*1.3</f>
        <v>2.6312000000000002E-2</v>
      </c>
      <c r="H1185" s="538"/>
    </row>
    <row r="1186" spans="1:12" s="767" customFormat="1" x14ac:dyDescent="0.25">
      <c r="C1186" s="767" t="s">
        <v>8</v>
      </c>
      <c r="F1186" s="970" t="s">
        <v>3</v>
      </c>
      <c r="G1186" s="10">
        <f>G1185*0.7</f>
        <v>1.8418400000000001E-2</v>
      </c>
      <c r="H1186" s="538"/>
    </row>
    <row r="1187" spans="1:12" s="767" customFormat="1" x14ac:dyDescent="0.25">
      <c r="C1187" s="767" t="s">
        <v>143</v>
      </c>
      <c r="F1187" s="970" t="s">
        <v>3</v>
      </c>
      <c r="G1187" s="10">
        <f>G1186</f>
        <v>1.8418400000000001E-2</v>
      </c>
      <c r="H1187" s="538"/>
    </row>
    <row r="1188" spans="1:12" s="767" customFormat="1" x14ac:dyDescent="0.25">
      <c r="C1188" s="767" t="s">
        <v>12</v>
      </c>
      <c r="F1188" s="970" t="s">
        <v>3</v>
      </c>
      <c r="G1188" s="10">
        <f>0.3*(G1186+G1185+G1187)</f>
        <v>1.8944640000000002E-2</v>
      </c>
      <c r="H1188" s="538"/>
    </row>
    <row r="1189" spans="1:12" s="767" customFormat="1" x14ac:dyDescent="0.25">
      <c r="D1189" s="3" t="s">
        <v>11615</v>
      </c>
      <c r="F1189" s="970"/>
      <c r="G1189" s="10"/>
      <c r="H1189" s="538"/>
    </row>
    <row r="1190" spans="1:12" s="767" customFormat="1" x14ac:dyDescent="0.25">
      <c r="D1190" s="186" t="s">
        <v>5021</v>
      </c>
      <c r="F1190" s="970" t="s">
        <v>3</v>
      </c>
      <c r="G1190" s="10">
        <f>0.271*L1190</f>
        <v>0.27100000000000002</v>
      </c>
      <c r="H1190" s="538"/>
      <c r="I1190" s="789" t="s">
        <v>10149</v>
      </c>
      <c r="J1190" s="790">
        <v>0.92</v>
      </c>
      <c r="K1190" s="789" t="s">
        <v>10150</v>
      </c>
      <c r="L1190" s="791">
        <v>1</v>
      </c>
    </row>
    <row r="1191" spans="1:12" s="767" customFormat="1" x14ac:dyDescent="0.25">
      <c r="A1191" s="539"/>
      <c r="B1191" s="539"/>
      <c r="C1191" s="539"/>
      <c r="D1191" s="539"/>
      <c r="E1191" s="539"/>
      <c r="F1191" s="599"/>
      <c r="G1191" s="600"/>
      <c r="H1191" s="540"/>
    </row>
    <row r="1192" spans="1:12" s="767" customFormat="1" x14ac:dyDescent="0.25">
      <c r="F1192" s="970"/>
      <c r="G1192" s="10"/>
      <c r="H1192" s="631" t="s">
        <v>10808</v>
      </c>
    </row>
    <row r="1193" spans="1:12" s="767" customFormat="1" ht="18.75" x14ac:dyDescent="0.3">
      <c r="E1193" s="740" t="s">
        <v>11636</v>
      </c>
      <c r="F1193" s="970"/>
      <c r="G1193" s="10"/>
      <c r="H1193" s="538"/>
    </row>
    <row r="1194" spans="1:12" s="767" customFormat="1" ht="18.75" x14ac:dyDescent="0.3">
      <c r="E1194" s="740"/>
      <c r="F1194" s="970"/>
      <c r="G1194" s="10"/>
      <c r="H1194" s="538"/>
    </row>
    <row r="1195" spans="1:12" s="767" customFormat="1" x14ac:dyDescent="0.25">
      <c r="C1195" s="3" t="s">
        <v>11616</v>
      </c>
      <c r="F1195" s="970"/>
      <c r="G1195" s="10"/>
      <c r="H1195" s="538"/>
    </row>
    <row r="1196" spans="1:12" s="767" customFormat="1" x14ac:dyDescent="0.25">
      <c r="C1196" s="834" t="s">
        <v>39</v>
      </c>
      <c r="F1196" s="827" t="s">
        <v>3</v>
      </c>
      <c r="G1196" s="785">
        <f>0.2*0.08*1.25</f>
        <v>0.02</v>
      </c>
      <c r="H1196" s="538"/>
    </row>
    <row r="1197" spans="1:12" s="767" customFormat="1" ht="17.25" x14ac:dyDescent="0.25">
      <c r="C1197" s="834" t="s">
        <v>1055</v>
      </c>
      <c r="F1197" s="827" t="s">
        <v>596</v>
      </c>
      <c r="G1197" s="777">
        <f>1.5*G1196</f>
        <v>0.03</v>
      </c>
      <c r="H1197" s="538"/>
    </row>
    <row r="1198" spans="1:12" s="767" customFormat="1" x14ac:dyDescent="0.25">
      <c r="F1198" s="970"/>
      <c r="G1198" s="10"/>
      <c r="H1198" s="538"/>
    </row>
    <row r="1199" spans="1:12" s="767" customFormat="1" x14ac:dyDescent="0.25">
      <c r="C1199" s="3" t="s">
        <v>11617</v>
      </c>
      <c r="F1199" s="970"/>
      <c r="G1199" s="10"/>
      <c r="H1199" s="538"/>
    </row>
    <row r="1200" spans="1:12" s="767" customFormat="1" x14ac:dyDescent="0.25">
      <c r="C1200" s="767" t="s">
        <v>10235</v>
      </c>
      <c r="F1200" s="970" t="s">
        <v>3</v>
      </c>
      <c r="G1200" s="10">
        <f>0.3*0.006*3*8*1.15</f>
        <v>4.9680000000000002E-2</v>
      </c>
      <c r="H1200" s="538"/>
    </row>
    <row r="1201" spans="3:8" s="767" customFormat="1" x14ac:dyDescent="0.25">
      <c r="F1201" s="970"/>
      <c r="G1201" s="10"/>
      <c r="H1201" s="538"/>
    </row>
    <row r="1202" spans="3:8" s="767" customFormat="1" x14ac:dyDescent="0.25">
      <c r="C1202" s="3" t="s">
        <v>11618</v>
      </c>
      <c r="F1202" s="970"/>
      <c r="G1202" s="10"/>
      <c r="H1202" s="538"/>
    </row>
    <row r="1203" spans="3:8" s="767" customFormat="1" x14ac:dyDescent="0.25">
      <c r="C1203" s="767" t="s">
        <v>10235</v>
      </c>
      <c r="F1203" s="970" t="s">
        <v>3</v>
      </c>
      <c r="G1203" s="10">
        <f>0.3*0.01*3*8*1.15</f>
        <v>8.2799999999999999E-2</v>
      </c>
      <c r="H1203" s="538"/>
    </row>
    <row r="1204" spans="3:8" s="767" customFormat="1" x14ac:dyDescent="0.25">
      <c r="F1204" s="970"/>
      <c r="G1204" s="10"/>
      <c r="H1204" s="538"/>
    </row>
    <row r="1205" spans="3:8" s="767" customFormat="1" x14ac:dyDescent="0.25">
      <c r="C1205" s="3" t="s">
        <v>11621</v>
      </c>
      <c r="F1205" s="970"/>
      <c r="G1205" s="10"/>
      <c r="H1205" s="538"/>
    </row>
    <row r="1206" spans="3:8" s="767" customFormat="1" x14ac:dyDescent="0.25">
      <c r="C1206" s="767" t="s">
        <v>10235</v>
      </c>
      <c r="F1206" s="970" t="s">
        <v>3</v>
      </c>
      <c r="G1206" s="10">
        <f>0.3*0.02*3*8*1.15</f>
        <v>0.1656</v>
      </c>
      <c r="H1206" s="538"/>
    </row>
    <row r="1207" spans="3:8" s="767" customFormat="1" x14ac:dyDescent="0.25">
      <c r="F1207" s="970"/>
      <c r="G1207" s="10"/>
      <c r="H1207" s="538"/>
    </row>
    <row r="1208" spans="3:8" s="767" customFormat="1" x14ac:dyDescent="0.25">
      <c r="C1208" s="3" t="s">
        <v>11619</v>
      </c>
      <c r="F1208" s="970"/>
      <c r="G1208" s="10"/>
      <c r="H1208" s="538"/>
    </row>
    <row r="1209" spans="3:8" s="767" customFormat="1" x14ac:dyDescent="0.25">
      <c r="C1209" s="767" t="s">
        <v>11432</v>
      </c>
      <c r="F1209" s="970" t="s">
        <v>3</v>
      </c>
      <c r="G1209" s="10">
        <f>0.3*0.02*5*8*1.15-0.001</f>
        <v>0.27499999999999997</v>
      </c>
      <c r="H1209" s="538"/>
    </row>
    <row r="1210" spans="3:8" s="767" customFormat="1" x14ac:dyDescent="0.25">
      <c r="F1210" s="970"/>
      <c r="G1210" s="10"/>
      <c r="H1210" s="538"/>
    </row>
    <row r="1211" spans="3:8" s="767" customFormat="1" x14ac:dyDescent="0.25">
      <c r="C1211" s="3" t="s">
        <v>11623</v>
      </c>
      <c r="F1211" s="970"/>
      <c r="G1211" s="10"/>
      <c r="H1211" s="538"/>
    </row>
    <row r="1212" spans="3:8" s="767" customFormat="1" x14ac:dyDescent="0.25">
      <c r="C1212" s="767" t="s">
        <v>11624</v>
      </c>
      <c r="F1212" s="970" t="s">
        <v>3</v>
      </c>
      <c r="G1212" s="10">
        <f>0.2*0.305*2*8*1.15</f>
        <v>1.1223999999999998</v>
      </c>
      <c r="H1212" s="538"/>
    </row>
    <row r="1213" spans="3:8" s="767" customFormat="1" x14ac:dyDescent="0.25">
      <c r="F1213" s="970"/>
      <c r="G1213" s="10"/>
      <c r="H1213" s="538"/>
    </row>
    <row r="1214" spans="3:8" s="767" customFormat="1" x14ac:dyDescent="0.25">
      <c r="C1214" s="3" t="s">
        <v>11625</v>
      </c>
      <c r="F1214" s="970"/>
      <c r="G1214" s="10"/>
      <c r="H1214" s="538"/>
    </row>
    <row r="1215" spans="3:8" s="767" customFormat="1" x14ac:dyDescent="0.25">
      <c r="C1215" s="767" t="s">
        <v>11582</v>
      </c>
      <c r="F1215" s="970" t="s">
        <v>3</v>
      </c>
      <c r="G1215" s="10">
        <f>0.135*0.05*4*8*1.135</f>
        <v>0.24516000000000002</v>
      </c>
      <c r="H1215" s="538"/>
    </row>
    <row r="1216" spans="3:8" s="767" customFormat="1" x14ac:dyDescent="0.25">
      <c r="F1216" s="970"/>
      <c r="G1216" s="10"/>
      <c r="H1216" s="538"/>
    </row>
    <row r="1217" spans="3:8" s="767" customFormat="1" x14ac:dyDescent="0.25">
      <c r="C1217" s="3" t="s">
        <v>11626</v>
      </c>
      <c r="F1217" s="970"/>
      <c r="G1217" s="10"/>
      <c r="H1217" s="538"/>
    </row>
    <row r="1218" spans="3:8" s="767" customFormat="1" x14ac:dyDescent="0.25">
      <c r="C1218" s="767" t="s">
        <v>9932</v>
      </c>
      <c r="F1218" s="970" t="s">
        <v>3</v>
      </c>
      <c r="G1218" s="10">
        <f>0.15*0.06*2*8*1.145</f>
        <v>0.16488</v>
      </c>
      <c r="H1218" s="538"/>
    </row>
    <row r="1219" spans="3:8" s="767" customFormat="1" x14ac:dyDescent="0.25">
      <c r="F1219" s="970"/>
      <c r="G1219" s="10"/>
      <c r="H1219" s="538"/>
    </row>
    <row r="1220" spans="3:8" s="767" customFormat="1" x14ac:dyDescent="0.25">
      <c r="C1220" s="3" t="s">
        <v>11627</v>
      </c>
      <c r="F1220" s="970"/>
      <c r="G1220" s="10"/>
      <c r="H1220" s="538"/>
    </row>
    <row r="1221" spans="3:8" s="767" customFormat="1" x14ac:dyDescent="0.25">
      <c r="C1221" s="767" t="s">
        <v>11628</v>
      </c>
      <c r="F1221" s="970" t="s">
        <v>3</v>
      </c>
      <c r="G1221" s="10">
        <f>0.91*1.07*3*8*1.1511</f>
        <v>26.899825680000006</v>
      </c>
      <c r="H1221" s="538"/>
    </row>
    <row r="1222" spans="3:8" s="767" customFormat="1" x14ac:dyDescent="0.25">
      <c r="F1222" s="970"/>
      <c r="G1222" s="10"/>
      <c r="H1222" s="538"/>
    </row>
    <row r="1223" spans="3:8" s="767" customFormat="1" x14ac:dyDescent="0.25">
      <c r="C1223" s="3" t="s">
        <v>11629</v>
      </c>
      <c r="F1223" s="970"/>
      <c r="G1223" s="10"/>
      <c r="H1223" s="538"/>
    </row>
    <row r="1224" spans="3:8" s="767" customFormat="1" x14ac:dyDescent="0.25">
      <c r="C1224" s="767" t="s">
        <v>11628</v>
      </c>
      <c r="F1224" s="970" t="s">
        <v>3</v>
      </c>
      <c r="G1224" s="10">
        <f>0.82*1.03*3*8*1.184</f>
        <v>24.000153600000001</v>
      </c>
      <c r="H1224" s="538"/>
    </row>
    <row r="1225" spans="3:8" s="767" customFormat="1" x14ac:dyDescent="0.25">
      <c r="C1225" s="834" t="s">
        <v>39</v>
      </c>
      <c r="F1225" s="827" t="s">
        <v>3</v>
      </c>
      <c r="G1225" s="785">
        <f>1*0.08*1.38</f>
        <v>0.1104</v>
      </c>
      <c r="H1225" s="538"/>
    </row>
    <row r="1226" spans="3:8" s="767" customFormat="1" ht="17.25" x14ac:dyDescent="0.25">
      <c r="C1226" s="834" t="s">
        <v>1055</v>
      </c>
      <c r="F1226" s="827" t="s">
        <v>596</v>
      </c>
      <c r="G1226" s="777">
        <f>1.5*G1225</f>
        <v>0.1656</v>
      </c>
      <c r="H1226" s="538"/>
    </row>
    <row r="1227" spans="3:8" s="767" customFormat="1" x14ac:dyDescent="0.25">
      <c r="F1227" s="970"/>
      <c r="G1227" s="10"/>
      <c r="H1227" s="538"/>
    </row>
    <row r="1228" spans="3:8" s="767" customFormat="1" x14ac:dyDescent="0.25">
      <c r="C1228" s="3" t="s">
        <v>11630</v>
      </c>
      <c r="F1228" s="970"/>
      <c r="G1228" s="10"/>
      <c r="H1228" s="538"/>
    </row>
    <row r="1229" spans="3:8" s="767" customFormat="1" x14ac:dyDescent="0.25">
      <c r="C1229" s="767" t="s">
        <v>11582</v>
      </c>
      <c r="F1229" s="970" t="s">
        <v>3</v>
      </c>
      <c r="G1229" s="10">
        <f>1.1*0.015*4*8*1*1.137</f>
        <v>0.60033599999999998</v>
      </c>
      <c r="H1229" s="538"/>
    </row>
    <row r="1230" spans="3:8" s="767" customFormat="1" x14ac:dyDescent="0.25">
      <c r="F1230" s="970"/>
      <c r="G1230" s="10"/>
      <c r="H1230" s="538"/>
    </row>
    <row r="1231" spans="3:8" s="767" customFormat="1" x14ac:dyDescent="0.25">
      <c r="C1231" s="3" t="s">
        <v>11631</v>
      </c>
      <c r="F1231" s="970"/>
      <c r="G1231" s="10"/>
      <c r="H1231" s="538"/>
    </row>
    <row r="1232" spans="3:8" s="767" customFormat="1" x14ac:dyDescent="0.25">
      <c r="C1232" s="767" t="s">
        <v>10235</v>
      </c>
      <c r="F1232" s="970" t="s">
        <v>3</v>
      </c>
      <c r="G1232" s="10">
        <f>0.195*0.03*3*8*1.14</f>
        <v>0.16005599999999998</v>
      </c>
      <c r="H1232" s="538"/>
    </row>
    <row r="1233" spans="1:12" s="767" customFormat="1" x14ac:dyDescent="0.25">
      <c r="F1233" s="970"/>
      <c r="G1233" s="10"/>
      <c r="H1233" s="538"/>
    </row>
    <row r="1234" spans="1:12" s="767" customFormat="1" x14ac:dyDescent="0.25">
      <c r="C1234" s="3" t="s">
        <v>11635</v>
      </c>
      <c r="F1234" s="970"/>
      <c r="G1234" s="10"/>
      <c r="H1234" s="538"/>
    </row>
    <row r="1235" spans="1:12" s="767" customFormat="1" x14ac:dyDescent="0.25">
      <c r="C1235" s="767" t="s">
        <v>10795</v>
      </c>
      <c r="F1235" s="970" t="s">
        <v>3</v>
      </c>
      <c r="G1235" s="10">
        <f>0.2*0.01*2*8*1.15</f>
        <v>3.6799999999999999E-2</v>
      </c>
      <c r="H1235" s="538"/>
    </row>
    <row r="1236" spans="1:12" s="767" customFormat="1" x14ac:dyDescent="0.25">
      <c r="A1236" s="539"/>
      <c r="B1236" s="539"/>
      <c r="C1236" s="539"/>
      <c r="D1236" s="539"/>
      <c r="E1236" s="539"/>
      <c r="F1236" s="599"/>
      <c r="G1236" s="600"/>
      <c r="H1236" s="540"/>
    </row>
    <row r="1237" spans="1:12" s="767" customFormat="1" x14ac:dyDescent="0.25">
      <c r="F1237" s="970"/>
      <c r="G1237" s="10"/>
      <c r="H1237" s="631" t="s">
        <v>11661</v>
      </c>
    </row>
    <row r="1238" spans="1:12" s="767" customFormat="1" x14ac:dyDescent="0.25">
      <c r="F1238" s="971"/>
      <c r="G1238" s="10"/>
      <c r="H1238" s="538"/>
    </row>
    <row r="1239" spans="1:12" s="767" customFormat="1" x14ac:dyDescent="0.25">
      <c r="C1239" s="3" t="s">
        <v>11461</v>
      </c>
      <c r="H1239" s="538"/>
    </row>
    <row r="1240" spans="1:12" s="767" customFormat="1" x14ac:dyDescent="0.25">
      <c r="C1240" s="100" t="s">
        <v>140</v>
      </c>
      <c r="F1240" s="74" t="s">
        <v>3</v>
      </c>
      <c r="G1240" s="153">
        <f>0.012*3.14*0.08*1.2</f>
        <v>3.6172800000000005E-3</v>
      </c>
      <c r="H1240" s="538"/>
    </row>
    <row r="1241" spans="1:12" s="767" customFormat="1" ht="17.25" x14ac:dyDescent="0.25">
      <c r="C1241" s="100" t="s">
        <v>23</v>
      </c>
      <c r="F1241" s="74" t="s">
        <v>596</v>
      </c>
      <c r="G1241" s="153">
        <f>G1240*2</f>
        <v>7.234560000000001E-3</v>
      </c>
      <c r="H1241" s="538"/>
    </row>
    <row r="1242" spans="1:12" s="767" customFormat="1" x14ac:dyDescent="0.25">
      <c r="C1242" s="100" t="s">
        <v>142</v>
      </c>
      <c r="F1242" s="74" t="s">
        <v>3</v>
      </c>
      <c r="G1242" s="153">
        <f>G1240/4</f>
        <v>9.0432000000000012E-4</v>
      </c>
      <c r="H1242" s="538"/>
    </row>
    <row r="1243" spans="1:12" s="767" customFormat="1" x14ac:dyDescent="0.25">
      <c r="C1243" s="767" t="s">
        <v>148</v>
      </c>
      <c r="F1243" s="971" t="s">
        <v>3</v>
      </c>
      <c r="G1243" s="10">
        <f>0.011*J1248*2*1.39</f>
        <v>8.868199999999998E-3</v>
      </c>
      <c r="H1243" s="538"/>
    </row>
    <row r="1244" spans="1:12" s="767" customFormat="1" x14ac:dyDescent="0.25">
      <c r="C1244" s="767" t="s">
        <v>8</v>
      </c>
      <c r="F1244" s="971" t="s">
        <v>3</v>
      </c>
      <c r="G1244" s="10">
        <f>G1243*0.7</f>
        <v>6.2077399999999981E-3</v>
      </c>
      <c r="H1244" s="538"/>
    </row>
    <row r="1245" spans="1:12" s="767" customFormat="1" x14ac:dyDescent="0.25">
      <c r="C1245" s="767" t="s">
        <v>143</v>
      </c>
      <c r="F1245" s="971" t="s">
        <v>3</v>
      </c>
      <c r="G1245" s="10">
        <f>G1244</f>
        <v>6.2077399999999981E-3</v>
      </c>
      <c r="H1245" s="538"/>
    </row>
    <row r="1246" spans="1:12" s="767" customFormat="1" x14ac:dyDescent="0.25">
      <c r="C1246" s="767" t="s">
        <v>12</v>
      </c>
      <c r="F1246" s="971" t="s">
        <v>3</v>
      </c>
      <c r="G1246" s="10">
        <f>0.3*(G1244+G1243+G1245)</f>
        <v>6.3851039999999974E-3</v>
      </c>
      <c r="H1246" s="538"/>
    </row>
    <row r="1247" spans="1:12" s="767" customFormat="1" x14ac:dyDescent="0.25">
      <c r="D1247" s="3" t="s">
        <v>11640</v>
      </c>
      <c r="F1247" s="971"/>
      <c r="G1247" s="10"/>
      <c r="H1247" s="538"/>
    </row>
    <row r="1248" spans="1:12" s="767" customFormat="1" x14ac:dyDescent="0.25">
      <c r="D1248" s="186" t="s">
        <v>5021</v>
      </c>
      <c r="F1248" s="971" t="s">
        <v>3</v>
      </c>
      <c r="G1248" s="10">
        <f>0.271*L1248</f>
        <v>9.4850000000000004E-2</v>
      </c>
      <c r="H1248" s="538"/>
      <c r="I1248" s="789" t="s">
        <v>10149</v>
      </c>
      <c r="J1248" s="790">
        <v>0.28999999999999998</v>
      </c>
      <c r="K1248" s="789" t="s">
        <v>10150</v>
      </c>
      <c r="L1248" s="791">
        <v>0.35</v>
      </c>
    </row>
    <row r="1249" spans="3:12" s="767" customFormat="1" x14ac:dyDescent="0.25">
      <c r="F1249" s="970"/>
      <c r="G1249" s="10"/>
      <c r="H1249" s="538"/>
    </row>
    <row r="1250" spans="3:12" s="767" customFormat="1" x14ac:dyDescent="0.25">
      <c r="C1250" s="3" t="s">
        <v>11463</v>
      </c>
      <c r="F1250" s="970"/>
      <c r="G1250" s="10"/>
      <c r="H1250" s="538"/>
    </row>
    <row r="1251" spans="3:12" s="767" customFormat="1" x14ac:dyDescent="0.25">
      <c r="C1251" s="186" t="s">
        <v>5021</v>
      </c>
      <c r="F1251" s="971" t="s">
        <v>3</v>
      </c>
      <c r="G1251" s="10">
        <f>0.271*L1251</f>
        <v>8.1299999999999997E-2</v>
      </c>
      <c r="H1251" s="538"/>
      <c r="I1251" s="789" t="s">
        <v>10149</v>
      </c>
      <c r="J1251" s="790">
        <v>0.224</v>
      </c>
      <c r="K1251" s="789" t="s">
        <v>10150</v>
      </c>
      <c r="L1251" s="791">
        <v>0.3</v>
      </c>
    </row>
    <row r="1252" spans="3:12" s="767" customFormat="1" x14ac:dyDescent="0.25">
      <c r="C1252" s="767" t="s">
        <v>148</v>
      </c>
      <c r="F1252" s="971" t="s">
        <v>3</v>
      </c>
      <c r="G1252" s="10">
        <f>0.011*J1251*2*1.39</f>
        <v>6.8499199999999998E-3</v>
      </c>
      <c r="H1252" s="538"/>
    </row>
    <row r="1253" spans="3:12" s="767" customFormat="1" x14ac:dyDescent="0.25">
      <c r="C1253" s="767" t="s">
        <v>8</v>
      </c>
      <c r="F1253" s="971" t="s">
        <v>3</v>
      </c>
      <c r="G1253" s="10">
        <f>G1252*0.7</f>
        <v>4.7949439999999998E-3</v>
      </c>
      <c r="H1253" s="538"/>
    </row>
    <row r="1254" spans="3:12" s="767" customFormat="1" x14ac:dyDescent="0.25">
      <c r="C1254" s="767" t="s">
        <v>143</v>
      </c>
      <c r="F1254" s="971" t="s">
        <v>3</v>
      </c>
      <c r="G1254" s="10">
        <f>G1253</f>
        <v>4.7949439999999998E-3</v>
      </c>
      <c r="H1254" s="538"/>
    </row>
    <row r="1255" spans="3:12" s="767" customFormat="1" x14ac:dyDescent="0.25">
      <c r="C1255" s="767" t="s">
        <v>12</v>
      </c>
      <c r="F1255" s="971" t="s">
        <v>3</v>
      </c>
      <c r="G1255" s="10">
        <f>0.3*(G1253+G1252+G1254)</f>
        <v>4.9319424000000001E-3</v>
      </c>
      <c r="H1255" s="538"/>
    </row>
    <row r="1256" spans="3:12" s="767" customFormat="1" x14ac:dyDescent="0.25">
      <c r="F1256" s="970"/>
      <c r="G1256" s="10"/>
      <c r="H1256" s="538"/>
    </row>
    <row r="1257" spans="3:12" s="767" customFormat="1" x14ac:dyDescent="0.25">
      <c r="C1257" s="3" t="s">
        <v>11464</v>
      </c>
      <c r="F1257" s="971"/>
      <c r="G1257" s="10"/>
      <c r="H1257" s="538"/>
    </row>
    <row r="1258" spans="3:12" s="767" customFormat="1" x14ac:dyDescent="0.25">
      <c r="C1258" s="767" t="s">
        <v>11641</v>
      </c>
      <c r="F1258" s="971" t="s">
        <v>3</v>
      </c>
      <c r="G1258" s="10">
        <f>0.0245*L1258</f>
        <v>1.225E-2</v>
      </c>
      <c r="H1258" s="538"/>
      <c r="I1258" s="789" t="s">
        <v>10149</v>
      </c>
      <c r="J1258" s="790">
        <f>0.056*7</f>
        <v>0.39200000000000002</v>
      </c>
      <c r="K1258" s="789" t="s">
        <v>10150</v>
      </c>
      <c r="L1258" s="791">
        <v>0.5</v>
      </c>
    </row>
    <row r="1259" spans="3:12" s="767" customFormat="1" x14ac:dyDescent="0.25">
      <c r="C1259" s="77" t="s">
        <v>1420</v>
      </c>
      <c r="D1259" s="73"/>
      <c r="E1259" s="73"/>
      <c r="F1259" s="74" t="s">
        <v>3</v>
      </c>
      <c r="G1259" s="32">
        <f>0.415*0.3*0.1*2*1.3</f>
        <v>3.2369999999999996E-2</v>
      </c>
      <c r="H1259" s="538"/>
    </row>
    <row r="1260" spans="3:12" s="767" customFormat="1" x14ac:dyDescent="0.25">
      <c r="C1260" s="77" t="s">
        <v>313</v>
      </c>
      <c r="D1260" s="73"/>
      <c r="E1260" s="73"/>
      <c r="F1260" s="74" t="s">
        <v>3</v>
      </c>
      <c r="G1260" s="32">
        <f>0.3*G1259</f>
        <v>9.7109999999999991E-3</v>
      </c>
      <c r="H1260" s="538"/>
    </row>
    <row r="1261" spans="3:12" s="767" customFormat="1" x14ac:dyDescent="0.25">
      <c r="C1261" s="77" t="s">
        <v>1931</v>
      </c>
      <c r="D1261" s="73"/>
      <c r="E1261" s="73"/>
      <c r="F1261" s="74" t="s">
        <v>3</v>
      </c>
      <c r="G1261" s="32">
        <f>G1259/16</f>
        <v>2.0231249999999997E-3</v>
      </c>
      <c r="H1261" s="538"/>
    </row>
    <row r="1262" spans="3:12" s="767" customFormat="1" x14ac:dyDescent="0.25">
      <c r="D1262" s="3" t="s">
        <v>11642</v>
      </c>
      <c r="F1262" s="971"/>
      <c r="G1262" s="10"/>
      <c r="H1262" s="538"/>
    </row>
    <row r="1263" spans="3:12" s="767" customFormat="1" x14ac:dyDescent="0.25">
      <c r="D1263" s="767" t="s">
        <v>11643</v>
      </c>
      <c r="F1263" s="971" t="s">
        <v>3</v>
      </c>
      <c r="G1263" s="10">
        <f>0.415*0.285*0.8*8*1.15-0.001</f>
        <v>0.86950399999999972</v>
      </c>
      <c r="H1263" s="538"/>
    </row>
    <row r="1264" spans="3:12" s="767" customFormat="1" x14ac:dyDescent="0.25">
      <c r="D1264" s="3" t="s">
        <v>11644</v>
      </c>
      <c r="F1264" s="971"/>
      <c r="G1264" s="10"/>
      <c r="H1264" s="538"/>
    </row>
    <row r="1265" spans="3:12" s="767" customFormat="1" x14ac:dyDescent="0.25">
      <c r="D1265" s="767" t="s">
        <v>11645</v>
      </c>
      <c r="F1265" s="970" t="s">
        <v>3</v>
      </c>
      <c r="G1265" s="10">
        <f>0.4*0.27*1.2*1.155</f>
        <v>0.14968800000000002</v>
      </c>
      <c r="H1265" s="538"/>
    </row>
    <row r="1266" spans="3:12" s="767" customFormat="1" x14ac:dyDescent="0.25">
      <c r="D1266" s="3" t="s">
        <v>11646</v>
      </c>
      <c r="F1266" s="970"/>
      <c r="G1266" s="10"/>
      <c r="H1266" s="538"/>
    </row>
    <row r="1267" spans="3:12" s="767" customFormat="1" x14ac:dyDescent="0.25">
      <c r="D1267" s="767" t="s">
        <v>10235</v>
      </c>
      <c r="F1267" s="970" t="s">
        <v>3</v>
      </c>
      <c r="G1267" s="10">
        <f>0.06*0.025*3*8*1.15</f>
        <v>4.1399999999999999E-2</v>
      </c>
      <c r="H1267" s="538"/>
    </row>
    <row r="1268" spans="3:12" s="767" customFormat="1" x14ac:dyDescent="0.25">
      <c r="F1268" s="970"/>
      <c r="G1268" s="10"/>
      <c r="H1268" s="538"/>
    </row>
    <row r="1269" spans="3:12" s="767" customFormat="1" x14ac:dyDescent="0.25">
      <c r="C1269" s="3" t="s">
        <v>11465</v>
      </c>
      <c r="H1269" s="538"/>
    </row>
    <row r="1270" spans="3:12" s="767" customFormat="1" x14ac:dyDescent="0.25">
      <c r="C1270" s="100" t="s">
        <v>140</v>
      </c>
      <c r="F1270" s="74" t="s">
        <v>3</v>
      </c>
      <c r="G1270" s="153">
        <f>0.012*3.14*2*0.08*1.2</f>
        <v>7.234560000000001E-3</v>
      </c>
      <c r="H1270" s="538"/>
    </row>
    <row r="1271" spans="3:12" s="767" customFormat="1" ht="17.25" x14ac:dyDescent="0.25">
      <c r="C1271" s="100" t="s">
        <v>23</v>
      </c>
      <c r="F1271" s="74" t="s">
        <v>596</v>
      </c>
      <c r="G1271" s="153">
        <f>G1270*2</f>
        <v>1.4469120000000002E-2</v>
      </c>
      <c r="H1271" s="538"/>
    </row>
    <row r="1272" spans="3:12" s="767" customFormat="1" x14ac:dyDescent="0.25">
      <c r="C1272" s="100" t="s">
        <v>142</v>
      </c>
      <c r="F1272" s="74" t="s">
        <v>3</v>
      </c>
      <c r="G1272" s="153">
        <f>G1270/4</f>
        <v>1.8086400000000002E-3</v>
      </c>
      <c r="H1272" s="538"/>
    </row>
    <row r="1273" spans="3:12" s="767" customFormat="1" x14ac:dyDescent="0.25">
      <c r="C1273" s="767" t="s">
        <v>152</v>
      </c>
      <c r="F1273" s="971" t="s">
        <v>3</v>
      </c>
      <c r="G1273" s="10">
        <f>0.011*J1278*2*1.39</f>
        <v>1.3455199999999999E-2</v>
      </c>
      <c r="H1273" s="538"/>
    </row>
    <row r="1274" spans="3:12" s="767" customFormat="1" x14ac:dyDescent="0.25">
      <c r="C1274" s="767" t="s">
        <v>8</v>
      </c>
      <c r="F1274" s="971" t="s">
        <v>3</v>
      </c>
      <c r="G1274" s="10">
        <f>G1273*0.7</f>
        <v>9.418639999999999E-3</v>
      </c>
      <c r="H1274" s="538"/>
    </row>
    <row r="1275" spans="3:12" s="767" customFormat="1" x14ac:dyDescent="0.25">
      <c r="C1275" s="767" t="s">
        <v>143</v>
      </c>
      <c r="F1275" s="971" t="s">
        <v>3</v>
      </c>
      <c r="G1275" s="10">
        <f>G1274</f>
        <v>9.418639999999999E-3</v>
      </c>
      <c r="H1275" s="538"/>
    </row>
    <row r="1276" spans="3:12" x14ac:dyDescent="0.25">
      <c r="C1276" s="767" t="s">
        <v>12</v>
      </c>
      <c r="D1276" s="767"/>
      <c r="E1276" s="767"/>
      <c r="F1276" s="971" t="s">
        <v>3</v>
      </c>
      <c r="G1276" s="10">
        <f>0.3*(G1274+G1273+G1275)</f>
        <v>9.6877439999999999E-3</v>
      </c>
      <c r="H1276" s="538"/>
      <c r="I1276" s="767"/>
      <c r="J1276" s="767"/>
    </row>
    <row r="1277" spans="3:12" x14ac:dyDescent="0.25">
      <c r="D1277" s="3" t="s">
        <v>11647</v>
      </c>
      <c r="H1277" s="538"/>
      <c r="I1277" s="767"/>
      <c r="J1277" s="767"/>
    </row>
    <row r="1278" spans="3:12" x14ac:dyDescent="0.25">
      <c r="D1278" s="186" t="s">
        <v>5021</v>
      </c>
      <c r="E1278" s="767"/>
      <c r="F1278" s="971" t="s">
        <v>3</v>
      </c>
      <c r="G1278" s="10">
        <f>0.271*L1278</f>
        <v>0.13956500000000002</v>
      </c>
      <c r="H1278" s="538"/>
      <c r="I1278" s="789" t="s">
        <v>10149</v>
      </c>
      <c r="J1278" s="790">
        <v>0.44</v>
      </c>
      <c r="K1278" s="789" t="s">
        <v>10150</v>
      </c>
      <c r="L1278" s="791">
        <v>0.51500000000000001</v>
      </c>
    </row>
    <row r="1279" spans="3:12" x14ac:dyDescent="0.25">
      <c r="H1279" s="538"/>
      <c r="I1279" s="767"/>
      <c r="J1279" s="767"/>
    </row>
    <row r="1280" spans="3:12" s="767" customFormat="1" x14ac:dyDescent="0.25">
      <c r="C1280" s="3" t="s">
        <v>5087</v>
      </c>
      <c r="F1280" s="971"/>
      <c r="G1280" s="2"/>
      <c r="H1280" s="538"/>
    </row>
    <row r="1281" spans="3:12" s="767" customFormat="1" x14ac:dyDescent="0.25">
      <c r="C1281" s="100" t="s">
        <v>140</v>
      </c>
      <c r="F1281" s="74" t="s">
        <v>3</v>
      </c>
      <c r="G1281" s="153">
        <f>0.025*3.14*2*0.08*1.2</f>
        <v>1.5072000000000002E-2</v>
      </c>
      <c r="H1281" s="538"/>
    </row>
    <row r="1282" spans="3:12" s="767" customFormat="1" ht="17.25" x14ac:dyDescent="0.25">
      <c r="C1282" s="100" t="s">
        <v>23</v>
      </c>
      <c r="F1282" s="74" t="s">
        <v>596</v>
      </c>
      <c r="G1282" s="153">
        <f>G1281*2</f>
        <v>3.0144000000000004E-2</v>
      </c>
      <c r="H1282" s="538"/>
    </row>
    <row r="1283" spans="3:12" s="767" customFormat="1" x14ac:dyDescent="0.25">
      <c r="C1283" s="100" t="s">
        <v>142</v>
      </c>
      <c r="F1283" s="74" t="s">
        <v>3</v>
      </c>
      <c r="G1283" s="153">
        <f>G1281/4</f>
        <v>3.7680000000000005E-3</v>
      </c>
      <c r="H1283" s="538"/>
    </row>
    <row r="1284" spans="3:12" s="767" customFormat="1" x14ac:dyDescent="0.25">
      <c r="C1284" s="767" t="s">
        <v>325</v>
      </c>
      <c r="F1284" s="971" t="s">
        <v>3</v>
      </c>
      <c r="G1284" s="10">
        <f>0.02*J1289*2*1.19</f>
        <v>6.5212000000000006E-2</v>
      </c>
      <c r="H1284" s="538"/>
    </row>
    <row r="1285" spans="3:12" s="767" customFormat="1" x14ac:dyDescent="0.25">
      <c r="C1285" s="767" t="s">
        <v>8</v>
      </c>
      <c r="F1285" s="971" t="s">
        <v>3</v>
      </c>
      <c r="G1285" s="10">
        <f>G1284*0.7</f>
        <v>4.5648399999999999E-2</v>
      </c>
      <c r="H1285" s="538"/>
    </row>
    <row r="1286" spans="3:12" s="767" customFormat="1" x14ac:dyDescent="0.25">
      <c r="C1286" s="767" t="s">
        <v>143</v>
      </c>
      <c r="F1286" s="971" t="s">
        <v>3</v>
      </c>
      <c r="G1286" s="10">
        <f>G1285</f>
        <v>4.5648399999999999E-2</v>
      </c>
      <c r="H1286" s="538"/>
    </row>
    <row r="1287" spans="3:12" s="767" customFormat="1" x14ac:dyDescent="0.25">
      <c r="C1287" s="767" t="s">
        <v>12</v>
      </c>
      <c r="F1287" s="971" t="s">
        <v>3</v>
      </c>
      <c r="G1287" s="10">
        <f>0.3*(G1285+G1284+G1286)</f>
        <v>4.6952639999999997E-2</v>
      </c>
      <c r="H1287" s="538"/>
    </row>
    <row r="1288" spans="3:12" s="767" customFormat="1" x14ac:dyDescent="0.25">
      <c r="D1288" s="3" t="s">
        <v>5088</v>
      </c>
      <c r="F1288" s="971"/>
      <c r="G1288" s="2"/>
      <c r="H1288" s="538"/>
    </row>
    <row r="1289" spans="3:12" s="767" customFormat="1" x14ac:dyDescent="0.25">
      <c r="D1289" s="186" t="s">
        <v>5067</v>
      </c>
      <c r="F1289" s="971" t="s">
        <v>3</v>
      </c>
      <c r="G1289" s="10">
        <f>0.592*L1289</f>
        <v>0.8879999999999999</v>
      </c>
      <c r="H1289" s="538"/>
      <c r="I1289" s="789" t="s">
        <v>10149</v>
      </c>
      <c r="J1289" s="790">
        <v>1.37</v>
      </c>
      <c r="K1289" s="789" t="s">
        <v>10150</v>
      </c>
      <c r="L1289" s="791">
        <v>1.5</v>
      </c>
    </row>
    <row r="1290" spans="3:12" s="767" customFormat="1" x14ac:dyDescent="0.25">
      <c r="F1290" s="971"/>
      <c r="G1290" s="2"/>
      <c r="H1290" s="538"/>
    </row>
    <row r="1291" spans="3:12" s="767" customFormat="1" x14ac:dyDescent="0.25">
      <c r="C1291" s="3" t="s">
        <v>11466</v>
      </c>
      <c r="F1291" s="971"/>
      <c r="G1291" s="2"/>
      <c r="H1291" s="538"/>
    </row>
    <row r="1292" spans="3:12" s="767" customFormat="1" x14ac:dyDescent="0.25">
      <c r="C1292" s="767" t="s">
        <v>325</v>
      </c>
      <c r="F1292" s="971" t="s">
        <v>3</v>
      </c>
      <c r="G1292" s="10">
        <f>0.02*J1297*2*1.19</f>
        <v>2.7845999999999999E-2</v>
      </c>
      <c r="H1292" s="538"/>
    </row>
    <row r="1293" spans="3:12" s="767" customFormat="1" x14ac:dyDescent="0.25">
      <c r="C1293" s="767" t="s">
        <v>8</v>
      </c>
      <c r="F1293" s="971" t="s">
        <v>3</v>
      </c>
      <c r="G1293" s="10">
        <f>G1292*0.7</f>
        <v>1.9492199999999998E-2</v>
      </c>
      <c r="H1293" s="538"/>
    </row>
    <row r="1294" spans="3:12" s="767" customFormat="1" x14ac:dyDescent="0.25">
      <c r="C1294" s="767" t="s">
        <v>143</v>
      </c>
      <c r="F1294" s="971" t="s">
        <v>3</v>
      </c>
      <c r="G1294" s="10">
        <f>G1293</f>
        <v>1.9492199999999998E-2</v>
      </c>
      <c r="H1294" s="538"/>
    </row>
    <row r="1295" spans="3:12" s="767" customFormat="1" x14ac:dyDescent="0.25">
      <c r="C1295" s="767" t="s">
        <v>12</v>
      </c>
      <c r="F1295" s="971" t="s">
        <v>3</v>
      </c>
      <c r="G1295" s="10">
        <f>0.3*(G1293+G1292+G1294)</f>
        <v>2.004912E-2</v>
      </c>
      <c r="H1295" s="538"/>
    </row>
    <row r="1296" spans="3:12" s="767" customFormat="1" x14ac:dyDescent="0.25">
      <c r="D1296" s="3" t="s">
        <v>11648</v>
      </c>
      <c r="F1296" s="971"/>
      <c r="G1296" s="2"/>
      <c r="H1296" s="538"/>
    </row>
    <row r="1297" spans="3:12" x14ac:dyDescent="0.25">
      <c r="D1297" s="186" t="s">
        <v>5029</v>
      </c>
      <c r="F1297" s="737" t="s">
        <v>3</v>
      </c>
      <c r="G1297" s="10">
        <f>0.715*L1297-0.001</f>
        <v>0.49949999999999994</v>
      </c>
      <c r="H1297" s="538"/>
      <c r="I1297" s="789" t="s">
        <v>10149</v>
      </c>
      <c r="J1297" s="790">
        <v>0.58499999999999996</v>
      </c>
      <c r="K1297" s="789" t="s">
        <v>10150</v>
      </c>
      <c r="L1297" s="791">
        <v>0.7</v>
      </c>
    </row>
    <row r="1298" spans="3:12" x14ac:dyDescent="0.25">
      <c r="G1298" s="10"/>
      <c r="H1298" s="538"/>
    </row>
    <row r="1299" spans="3:12" s="767" customFormat="1" x14ac:dyDescent="0.25">
      <c r="C1299" s="3" t="s">
        <v>11470</v>
      </c>
      <c r="F1299" s="971"/>
      <c r="G1299" s="10"/>
      <c r="H1299" s="538"/>
    </row>
    <row r="1300" spans="3:12" s="767" customFormat="1" x14ac:dyDescent="0.25">
      <c r="C1300" s="767" t="s">
        <v>11650</v>
      </c>
      <c r="F1300" s="971" t="s">
        <v>3</v>
      </c>
      <c r="G1300" s="10">
        <v>0.01</v>
      </c>
      <c r="H1300" s="538"/>
    </row>
    <row r="1301" spans="3:12" s="767" customFormat="1" x14ac:dyDescent="0.25">
      <c r="C1301" s="767" t="s">
        <v>672</v>
      </c>
      <c r="F1301" s="971" t="s">
        <v>3</v>
      </c>
      <c r="G1301" s="10">
        <f>G1300*2</f>
        <v>0.02</v>
      </c>
      <c r="H1301" s="538"/>
    </row>
    <row r="1302" spans="3:12" s="767" customFormat="1" x14ac:dyDescent="0.25">
      <c r="C1302" s="767" t="s">
        <v>10258</v>
      </c>
      <c r="F1302" s="971" t="s">
        <v>195</v>
      </c>
      <c r="G1302" s="10">
        <f>L1302</f>
        <v>2</v>
      </c>
      <c r="H1302" s="538"/>
      <c r="I1302" s="789" t="s">
        <v>10149</v>
      </c>
      <c r="J1302" s="790">
        <v>1.885</v>
      </c>
      <c r="K1302" s="789" t="s">
        <v>10150</v>
      </c>
      <c r="L1302" s="791">
        <v>2</v>
      </c>
    </row>
    <row r="1303" spans="3:12" x14ac:dyDescent="0.25">
      <c r="G1303" s="10"/>
      <c r="H1303" s="538"/>
    </row>
    <row r="1304" spans="3:12" x14ac:dyDescent="0.25">
      <c r="C1304" s="3" t="s">
        <v>11471</v>
      </c>
      <c r="G1304" s="10"/>
      <c r="H1304" s="538"/>
    </row>
    <row r="1305" spans="3:12" x14ac:dyDescent="0.25">
      <c r="C1305" s="834" t="s">
        <v>39</v>
      </c>
      <c r="D1305" s="767"/>
      <c r="E1305" s="767"/>
      <c r="F1305" s="827" t="s">
        <v>3</v>
      </c>
      <c r="G1305" s="785">
        <f>(0.025*3.14*2+0.05)*0.08*1.2</f>
        <v>1.9872000000000001E-2</v>
      </c>
      <c r="H1305" s="538"/>
    </row>
    <row r="1306" spans="3:12" s="767" customFormat="1" ht="17.25" x14ac:dyDescent="0.25">
      <c r="C1306" s="834" t="s">
        <v>1055</v>
      </c>
      <c r="F1306" s="827" t="s">
        <v>596</v>
      </c>
      <c r="G1306" s="777">
        <f>1.5*G1305</f>
        <v>2.9808000000000001E-2</v>
      </c>
      <c r="H1306" s="538"/>
    </row>
    <row r="1307" spans="3:12" s="767" customFormat="1" x14ac:dyDescent="0.25">
      <c r="C1307" s="767" t="s">
        <v>500</v>
      </c>
      <c r="F1307" s="971" t="s">
        <v>3</v>
      </c>
      <c r="G1307" s="10">
        <f>0.02*L1311*2*1.3</f>
        <v>1.0400000000000001E-2</v>
      </c>
      <c r="H1307" s="538"/>
    </row>
    <row r="1308" spans="3:12" s="767" customFormat="1" x14ac:dyDescent="0.25">
      <c r="C1308" s="767" t="s">
        <v>8</v>
      </c>
      <c r="F1308" s="971" t="s">
        <v>3</v>
      </c>
      <c r="G1308" s="10">
        <f>G1307*0.7</f>
        <v>7.28E-3</v>
      </c>
      <c r="H1308" s="538"/>
    </row>
    <row r="1309" spans="3:12" s="767" customFormat="1" x14ac:dyDescent="0.25">
      <c r="C1309" s="767" t="s">
        <v>12</v>
      </c>
      <c r="F1309" s="971" t="s">
        <v>3</v>
      </c>
      <c r="G1309" s="10">
        <f>0.3*(G1308+G1307)</f>
        <v>5.3040000000000006E-3</v>
      </c>
      <c r="H1309" s="538"/>
    </row>
    <row r="1310" spans="3:12" s="767" customFormat="1" x14ac:dyDescent="0.25">
      <c r="D1310" s="3" t="s">
        <v>11651</v>
      </c>
      <c r="F1310" s="971"/>
      <c r="G1310" s="10"/>
      <c r="H1310" s="538"/>
    </row>
    <row r="1311" spans="3:12" s="767" customFormat="1" x14ac:dyDescent="0.25">
      <c r="D1311" s="767" t="s">
        <v>11652</v>
      </c>
      <c r="F1311" s="971" t="s">
        <v>3</v>
      </c>
      <c r="G1311" s="10">
        <f>1.13*L1311</f>
        <v>0.22599999999999998</v>
      </c>
      <c r="H1311" s="538"/>
      <c r="I1311" s="789" t="s">
        <v>10149</v>
      </c>
      <c r="J1311" s="790">
        <v>8.6999999999999994E-2</v>
      </c>
      <c r="K1311" s="789" t="s">
        <v>10150</v>
      </c>
      <c r="L1311" s="791">
        <v>0.2</v>
      </c>
    </row>
    <row r="1312" spans="3:12" s="767" customFormat="1" x14ac:dyDescent="0.25">
      <c r="D1312" s="3" t="s">
        <v>11658</v>
      </c>
      <c r="F1312" s="971"/>
      <c r="G1312" s="10"/>
      <c r="H1312" s="538"/>
      <c r="I1312" s="789"/>
      <c r="J1312" s="790"/>
      <c r="K1312" s="789"/>
      <c r="L1312" s="791"/>
    </row>
    <row r="1313" spans="3:12" s="767" customFormat="1" x14ac:dyDescent="0.25">
      <c r="D1313" s="767" t="s">
        <v>11582</v>
      </c>
      <c r="F1313" s="971" t="s">
        <v>3</v>
      </c>
      <c r="G1313" s="10">
        <f>0.085*0.06*4*8*1.135</f>
        <v>0.18523200000000001</v>
      </c>
      <c r="H1313" s="538"/>
      <c r="I1313" s="789"/>
      <c r="J1313" s="790"/>
      <c r="K1313" s="789"/>
      <c r="L1313" s="791"/>
    </row>
    <row r="1314" spans="3:12" s="767" customFormat="1" x14ac:dyDescent="0.25">
      <c r="D1314" s="3" t="s">
        <v>11659</v>
      </c>
      <c r="F1314" s="971"/>
      <c r="G1314" s="10"/>
      <c r="H1314" s="538"/>
      <c r="I1314" s="789"/>
      <c r="J1314" s="790"/>
      <c r="K1314" s="789"/>
      <c r="L1314" s="791"/>
    </row>
    <row r="1315" spans="3:12" s="767" customFormat="1" x14ac:dyDescent="0.25">
      <c r="D1315" s="767" t="s">
        <v>10235</v>
      </c>
      <c r="F1315" s="971" t="s">
        <v>3</v>
      </c>
      <c r="G1315" s="10">
        <f>0.025*0.03*3*8*1.15</f>
        <v>2.07E-2</v>
      </c>
      <c r="H1315" s="538"/>
      <c r="I1315" s="789"/>
      <c r="J1315" s="790"/>
      <c r="K1315" s="789"/>
      <c r="L1315" s="791"/>
    </row>
    <row r="1316" spans="3:12" s="767" customFormat="1" x14ac:dyDescent="0.25">
      <c r="F1316" s="971"/>
      <c r="G1316" s="10"/>
      <c r="H1316" s="538"/>
    </row>
    <row r="1317" spans="3:12" s="767" customFormat="1" x14ac:dyDescent="0.25">
      <c r="C1317" s="3" t="s">
        <v>11472</v>
      </c>
      <c r="F1317" s="971"/>
      <c r="G1317" s="10"/>
      <c r="H1317" s="538"/>
    </row>
    <row r="1318" spans="3:12" s="767" customFormat="1" x14ac:dyDescent="0.25">
      <c r="C1318" s="73" t="s">
        <v>1307</v>
      </c>
      <c r="F1318" s="971" t="s">
        <v>3</v>
      </c>
      <c r="G1318" s="10">
        <v>0.01</v>
      </c>
      <c r="H1318" s="538"/>
    </row>
    <row r="1319" spans="3:12" s="767" customFormat="1" x14ac:dyDescent="0.25">
      <c r="D1319" s="3" t="s">
        <v>11653</v>
      </c>
      <c r="F1319" s="971"/>
      <c r="G1319" s="10"/>
      <c r="H1319" s="538"/>
    </row>
    <row r="1320" spans="3:12" s="767" customFormat="1" x14ac:dyDescent="0.25">
      <c r="D1320" s="767" t="s">
        <v>11654</v>
      </c>
      <c r="F1320" s="971" t="s">
        <v>3</v>
      </c>
      <c r="G1320" s="10">
        <f>L1320</f>
        <v>0.5</v>
      </c>
      <c r="H1320" s="538"/>
      <c r="I1320" s="789" t="s">
        <v>10149</v>
      </c>
      <c r="J1320" s="790">
        <v>0.48</v>
      </c>
      <c r="K1320" s="789" t="s">
        <v>10150</v>
      </c>
      <c r="L1320" s="791">
        <v>0.5</v>
      </c>
    </row>
    <row r="1321" spans="3:12" s="767" customFormat="1" x14ac:dyDescent="0.25">
      <c r="F1321" s="971"/>
      <c r="G1321" s="10"/>
      <c r="H1321" s="538"/>
    </row>
    <row r="1322" spans="3:12" s="767" customFormat="1" x14ac:dyDescent="0.25">
      <c r="C1322" s="3" t="s">
        <v>11473</v>
      </c>
      <c r="F1322" s="971"/>
      <c r="G1322" s="10"/>
      <c r="H1322" s="538"/>
    </row>
    <row r="1323" spans="3:12" s="767" customFormat="1" x14ac:dyDescent="0.25">
      <c r="C1323" s="73" t="s">
        <v>1307</v>
      </c>
      <c r="F1323" s="971" t="s">
        <v>3</v>
      </c>
      <c r="G1323" s="10">
        <v>0.01</v>
      </c>
      <c r="H1323" s="538"/>
    </row>
    <row r="1324" spans="3:12" s="767" customFormat="1" x14ac:dyDescent="0.25">
      <c r="D1324" s="3" t="s">
        <v>11655</v>
      </c>
      <c r="F1324" s="971"/>
      <c r="G1324" s="10"/>
      <c r="H1324" s="538"/>
    </row>
    <row r="1325" spans="3:12" s="767" customFormat="1" x14ac:dyDescent="0.25">
      <c r="D1325" s="100" t="s">
        <v>140</v>
      </c>
      <c r="F1325" s="74" t="s">
        <v>3</v>
      </c>
      <c r="G1325" s="153">
        <f>0.025*3.14*4*0.08*1.2</f>
        <v>3.0144000000000004E-2</v>
      </c>
      <c r="H1325" s="538"/>
    </row>
    <row r="1326" spans="3:12" s="767" customFormat="1" ht="17.25" x14ac:dyDescent="0.25">
      <c r="D1326" s="100" t="s">
        <v>23</v>
      </c>
      <c r="F1326" s="74" t="s">
        <v>596</v>
      </c>
      <c r="G1326" s="153">
        <f>G1325*2</f>
        <v>6.0288000000000008E-2</v>
      </c>
      <c r="H1326" s="538"/>
    </row>
    <row r="1327" spans="3:12" s="767" customFormat="1" x14ac:dyDescent="0.25">
      <c r="D1327" s="100" t="s">
        <v>142</v>
      </c>
      <c r="F1327" s="74" t="s">
        <v>3</v>
      </c>
      <c r="G1327" s="153">
        <f>G1325/4</f>
        <v>7.536000000000001E-3</v>
      </c>
      <c r="H1327" s="538"/>
    </row>
    <row r="1328" spans="3:12" s="767" customFormat="1" x14ac:dyDescent="0.25">
      <c r="D1328" s="834" t="s">
        <v>1021</v>
      </c>
      <c r="E1328" s="834"/>
      <c r="F1328" s="827" t="s">
        <v>3</v>
      </c>
      <c r="G1328" s="777">
        <f>0.045*3.14*0.045*2*0.11*2*1.7</f>
        <v>4.7561580000000008E-3</v>
      </c>
      <c r="H1328" s="538"/>
    </row>
    <row r="1329" spans="4:12" s="767" customFormat="1" x14ac:dyDescent="0.25">
      <c r="D1329" s="834" t="s">
        <v>661</v>
      </c>
      <c r="E1329" s="834"/>
      <c r="F1329" s="827" t="s">
        <v>3</v>
      </c>
      <c r="G1329" s="777">
        <f>G1332</f>
        <v>1.1466E-2</v>
      </c>
      <c r="H1329" s="538"/>
    </row>
    <row r="1330" spans="4:12" s="767" customFormat="1" x14ac:dyDescent="0.25">
      <c r="D1330" s="834" t="s">
        <v>1993</v>
      </c>
      <c r="E1330" s="834"/>
      <c r="F1330" s="827" t="s">
        <v>3</v>
      </c>
      <c r="G1330" s="777">
        <f>G1328*0.12</f>
        <v>5.7073896000000006E-4</v>
      </c>
      <c r="H1330" s="538"/>
    </row>
    <row r="1331" spans="4:12" s="767" customFormat="1" x14ac:dyDescent="0.25">
      <c r="D1331" s="767" t="s">
        <v>500</v>
      </c>
      <c r="F1331" s="971" t="s">
        <v>3</v>
      </c>
      <c r="G1331" s="10">
        <f>0.02*J1335*2*1.3</f>
        <v>1.6380000000000002E-2</v>
      </c>
      <c r="H1331" s="538"/>
    </row>
    <row r="1332" spans="4:12" s="767" customFormat="1" x14ac:dyDescent="0.25">
      <c r="D1332" s="767" t="s">
        <v>8</v>
      </c>
      <c r="F1332" s="971" t="s">
        <v>3</v>
      </c>
      <c r="G1332" s="10">
        <f>G1331*0.7</f>
        <v>1.1466E-2</v>
      </c>
      <c r="H1332" s="538"/>
    </row>
    <row r="1333" spans="4:12" s="767" customFormat="1" x14ac:dyDescent="0.25">
      <c r="D1333" s="767" t="s">
        <v>12</v>
      </c>
      <c r="F1333" s="971" t="s">
        <v>3</v>
      </c>
      <c r="G1333" s="10">
        <f>0.3*(G1332+G1331)</f>
        <v>8.3537999999999998E-3</v>
      </c>
      <c r="H1333" s="538"/>
    </row>
    <row r="1334" spans="4:12" s="767" customFormat="1" x14ac:dyDescent="0.25">
      <c r="E1334" s="3" t="s">
        <v>4992</v>
      </c>
      <c r="F1334" s="971"/>
      <c r="G1334" s="10"/>
      <c r="H1334" s="538"/>
    </row>
    <row r="1335" spans="4:12" s="767" customFormat="1" x14ac:dyDescent="0.25">
      <c r="E1335" s="767" t="s">
        <v>11657</v>
      </c>
      <c r="F1335" s="971" t="s">
        <v>3</v>
      </c>
      <c r="G1335" s="10">
        <f>0.917*L1335</f>
        <v>0.41265000000000002</v>
      </c>
      <c r="H1335" s="538"/>
      <c r="I1335" s="789" t="s">
        <v>10149</v>
      </c>
      <c r="J1335" s="790">
        <v>0.315</v>
      </c>
      <c r="K1335" s="789" t="s">
        <v>10150</v>
      </c>
      <c r="L1335" s="791">
        <v>0.45</v>
      </c>
    </row>
    <row r="1336" spans="4:12" s="767" customFormat="1" x14ac:dyDescent="0.25">
      <c r="E1336" s="3" t="s">
        <v>11660</v>
      </c>
      <c r="F1336" s="971"/>
      <c r="G1336" s="10"/>
      <c r="H1336" s="538"/>
      <c r="I1336" s="789"/>
      <c r="J1336" s="790"/>
      <c r="K1336" s="789"/>
      <c r="L1336" s="791"/>
    </row>
    <row r="1337" spans="4:12" s="767" customFormat="1" x14ac:dyDescent="0.25">
      <c r="E1337" s="767" t="s">
        <v>11432</v>
      </c>
      <c r="F1337" s="971" t="s">
        <v>3</v>
      </c>
      <c r="G1337" s="10">
        <f>0.095*0.07*5*8*1.129</f>
        <v>0.30031400000000003</v>
      </c>
      <c r="H1337" s="538"/>
      <c r="I1337" s="789"/>
      <c r="J1337" s="790"/>
      <c r="K1337" s="789"/>
      <c r="L1337" s="791"/>
    </row>
    <row r="1338" spans="4:12" s="767" customFormat="1" x14ac:dyDescent="0.25">
      <c r="D1338" s="3" t="s">
        <v>11656</v>
      </c>
      <c r="F1338" s="971"/>
      <c r="G1338" s="10"/>
      <c r="H1338" s="538"/>
    </row>
    <row r="1339" spans="4:12" s="767" customFormat="1" x14ac:dyDescent="0.25">
      <c r="D1339" s="834" t="s">
        <v>39</v>
      </c>
      <c r="F1339" s="827" t="s">
        <v>3</v>
      </c>
      <c r="G1339" s="785">
        <f>0.025*3.14*0.08*1.2</f>
        <v>7.536000000000001E-3</v>
      </c>
      <c r="H1339" s="538"/>
    </row>
    <row r="1340" spans="4:12" s="767" customFormat="1" ht="17.25" x14ac:dyDescent="0.25">
      <c r="D1340" s="834" t="s">
        <v>1055</v>
      </c>
      <c r="F1340" s="827" t="s">
        <v>596</v>
      </c>
      <c r="G1340" s="777">
        <f>1.5*G1339</f>
        <v>1.1304000000000002E-2</v>
      </c>
      <c r="H1340" s="538"/>
    </row>
    <row r="1341" spans="4:12" s="767" customFormat="1" x14ac:dyDescent="0.25">
      <c r="D1341" s="834" t="s">
        <v>1021</v>
      </c>
      <c r="E1341" s="834"/>
      <c r="F1341" s="827" t="s">
        <v>3</v>
      </c>
      <c r="G1341" s="777">
        <v>1.4999999999999999E-2</v>
      </c>
      <c r="H1341" s="538"/>
    </row>
    <row r="1342" spans="4:12" s="767" customFormat="1" x14ac:dyDescent="0.25">
      <c r="D1342" s="834" t="s">
        <v>661</v>
      </c>
      <c r="E1342" s="834"/>
      <c r="F1342" s="827" t="s">
        <v>3</v>
      </c>
      <c r="G1342" s="777">
        <f>G1341*0.3</f>
        <v>4.4999999999999997E-3</v>
      </c>
      <c r="H1342" s="538"/>
    </row>
    <row r="1343" spans="4:12" s="767" customFormat="1" x14ac:dyDescent="0.25">
      <c r="D1343" s="834" t="s">
        <v>1993</v>
      </c>
      <c r="E1343" s="834"/>
      <c r="F1343" s="827" t="s">
        <v>3</v>
      </c>
      <c r="G1343" s="777">
        <f>G1341*0.12</f>
        <v>1.8E-3</v>
      </c>
      <c r="H1343" s="538"/>
    </row>
    <row r="1344" spans="4:12" s="767" customFormat="1" x14ac:dyDescent="0.25">
      <c r="D1344" s="3" t="s">
        <v>4989</v>
      </c>
      <c r="F1344" s="971"/>
      <c r="G1344" s="10"/>
      <c r="H1344" s="538"/>
    </row>
    <row r="1345" spans="1:12" s="767" customFormat="1" x14ac:dyDescent="0.25">
      <c r="A1345" s="539"/>
      <c r="B1345" s="539"/>
      <c r="C1345" s="539"/>
      <c r="D1345" s="539" t="s">
        <v>11654</v>
      </c>
      <c r="E1345" s="539"/>
      <c r="F1345" s="599" t="s">
        <v>195</v>
      </c>
      <c r="G1345" s="600">
        <f>L1345</f>
        <v>0.32</v>
      </c>
      <c r="H1345" s="540"/>
      <c r="I1345" s="789" t="s">
        <v>10149</v>
      </c>
      <c r="J1345" s="790">
        <v>0.29499999999999998</v>
      </c>
      <c r="K1345" s="789" t="s">
        <v>10150</v>
      </c>
      <c r="L1345" s="791">
        <v>0.32</v>
      </c>
    </row>
    <row r="1346" spans="1:12" s="767" customFormat="1" x14ac:dyDescent="0.25">
      <c r="F1346" s="971"/>
      <c r="G1346" s="10"/>
      <c r="H1346" s="631" t="s">
        <v>11661</v>
      </c>
    </row>
    <row r="1347" spans="1:12" s="767" customFormat="1" x14ac:dyDescent="0.25">
      <c r="E1347" s="119" t="s">
        <v>11687</v>
      </c>
      <c r="F1347" s="971"/>
      <c r="G1347" s="10"/>
      <c r="H1347" s="538"/>
    </row>
    <row r="1348" spans="1:12" s="767" customFormat="1" x14ac:dyDescent="0.25">
      <c r="C1348" s="3" t="s">
        <v>11462</v>
      </c>
      <c r="F1348" s="970"/>
      <c r="G1348" s="10"/>
      <c r="H1348" s="538"/>
    </row>
    <row r="1349" spans="1:12" s="767" customFormat="1" x14ac:dyDescent="0.25">
      <c r="C1349" s="186" t="s">
        <v>5021</v>
      </c>
      <c r="F1349" s="970" t="s">
        <v>3</v>
      </c>
      <c r="G1349" s="10">
        <f>0.271*L1349</f>
        <v>0.21680000000000002</v>
      </c>
      <c r="H1349" s="538"/>
      <c r="I1349" s="789" t="s">
        <v>10149</v>
      </c>
      <c r="J1349" s="790">
        <v>0.75</v>
      </c>
      <c r="K1349" s="789" t="s">
        <v>10150</v>
      </c>
      <c r="L1349" s="791">
        <v>0.8</v>
      </c>
    </row>
    <row r="1350" spans="1:12" s="767" customFormat="1" x14ac:dyDescent="0.25">
      <c r="C1350" s="767" t="s">
        <v>148</v>
      </c>
      <c r="F1350" s="971" t="s">
        <v>3</v>
      </c>
      <c r="G1350" s="10">
        <f>0.011*J1349*2*1.39</f>
        <v>2.2935000000000001E-2</v>
      </c>
      <c r="H1350" s="538"/>
    </row>
    <row r="1351" spans="1:12" s="767" customFormat="1" x14ac:dyDescent="0.25">
      <c r="C1351" s="767" t="s">
        <v>8</v>
      </c>
      <c r="F1351" s="971" t="s">
        <v>3</v>
      </c>
      <c r="G1351" s="10">
        <f>G1350*0.7</f>
        <v>1.6054499999999999E-2</v>
      </c>
      <c r="H1351" s="538"/>
    </row>
    <row r="1352" spans="1:12" s="767" customFormat="1" x14ac:dyDescent="0.25">
      <c r="C1352" s="767" t="s">
        <v>143</v>
      </c>
      <c r="F1352" s="971" t="s">
        <v>3</v>
      </c>
      <c r="G1352" s="10">
        <f>G1351</f>
        <v>1.6054499999999999E-2</v>
      </c>
      <c r="H1352" s="538"/>
    </row>
    <row r="1353" spans="1:12" s="767" customFormat="1" x14ac:dyDescent="0.25">
      <c r="C1353" s="767" t="s">
        <v>12</v>
      </c>
      <c r="F1353" s="971" t="s">
        <v>3</v>
      </c>
      <c r="G1353" s="10">
        <f>0.3*(G1351+G1350+G1352)</f>
        <v>1.6513199999999999E-2</v>
      </c>
      <c r="H1353" s="538"/>
    </row>
    <row r="1354" spans="1:12" s="767" customFormat="1" x14ac:dyDescent="0.25">
      <c r="F1354" s="971"/>
      <c r="G1354" s="10"/>
      <c r="H1354" s="538"/>
    </row>
    <row r="1355" spans="1:12" s="767" customFormat="1" x14ac:dyDescent="0.25">
      <c r="C1355" s="3" t="s">
        <v>11662</v>
      </c>
      <c r="F1355" s="971"/>
      <c r="G1355" s="10"/>
      <c r="H1355" s="538"/>
    </row>
    <row r="1356" spans="1:12" s="767" customFormat="1" x14ac:dyDescent="0.25">
      <c r="C1356" s="767" t="s">
        <v>115</v>
      </c>
      <c r="F1356" s="971" t="s">
        <v>3</v>
      </c>
      <c r="G1356" s="10">
        <f>0.011*J1362*2*1.2</f>
        <v>5.7023999999999998E-2</v>
      </c>
      <c r="H1356" s="538"/>
    </row>
    <row r="1357" spans="1:12" s="767" customFormat="1" x14ac:dyDescent="0.25">
      <c r="C1357" s="767" t="s">
        <v>12</v>
      </c>
      <c r="F1357" s="971" t="s">
        <v>3</v>
      </c>
      <c r="G1357" s="10">
        <f>0.3*G1356</f>
        <v>1.7107199999999999E-2</v>
      </c>
      <c r="H1357" s="538"/>
    </row>
    <row r="1358" spans="1:12" s="767" customFormat="1" x14ac:dyDescent="0.25">
      <c r="C1358" s="100" t="s">
        <v>140</v>
      </c>
      <c r="F1358" s="74" t="s">
        <v>3</v>
      </c>
      <c r="G1358" s="153">
        <f>0.012*3.14*2*0.08*1.2</f>
        <v>7.234560000000001E-3</v>
      </c>
      <c r="H1358" s="538"/>
    </row>
    <row r="1359" spans="1:12" s="767" customFormat="1" ht="17.25" x14ac:dyDescent="0.25">
      <c r="C1359" s="100" t="s">
        <v>23</v>
      </c>
      <c r="F1359" s="74" t="s">
        <v>596</v>
      </c>
      <c r="G1359" s="153">
        <f>G1358*2</f>
        <v>1.4469120000000002E-2</v>
      </c>
      <c r="H1359" s="538"/>
    </row>
    <row r="1360" spans="1:12" s="767" customFormat="1" x14ac:dyDescent="0.25">
      <c r="C1360" s="100" t="s">
        <v>142</v>
      </c>
      <c r="F1360" s="74" t="s">
        <v>3</v>
      </c>
      <c r="G1360" s="153">
        <f>G1358/4</f>
        <v>1.8086400000000002E-3</v>
      </c>
      <c r="H1360" s="538"/>
    </row>
    <row r="1361" spans="3:12" s="767" customFormat="1" x14ac:dyDescent="0.25">
      <c r="D1361" s="3" t="s">
        <v>11663</v>
      </c>
      <c r="F1361" s="971"/>
      <c r="G1361" s="10"/>
      <c r="H1361" s="538"/>
    </row>
    <row r="1362" spans="3:12" s="767" customFormat="1" x14ac:dyDescent="0.25">
      <c r="D1362" s="186" t="s">
        <v>5021</v>
      </c>
      <c r="F1362" s="971" t="s">
        <v>3</v>
      </c>
      <c r="G1362" s="10">
        <f>0.271* L1362</f>
        <v>0.62329999999999997</v>
      </c>
      <c r="H1362" s="538"/>
      <c r="I1362" s="789" t="s">
        <v>10149</v>
      </c>
      <c r="J1362" s="790">
        <v>2.16</v>
      </c>
      <c r="K1362" s="789" t="s">
        <v>10150</v>
      </c>
      <c r="L1362" s="791">
        <v>2.2999999999999998</v>
      </c>
    </row>
    <row r="1363" spans="3:12" s="767" customFormat="1" x14ac:dyDescent="0.25">
      <c r="F1363" s="971"/>
      <c r="G1363" s="10"/>
      <c r="H1363" s="538"/>
    </row>
    <row r="1364" spans="3:12" s="767" customFormat="1" x14ac:dyDescent="0.25">
      <c r="C1364" s="3" t="s">
        <v>11664</v>
      </c>
      <c r="F1364" s="971"/>
      <c r="G1364" s="10"/>
      <c r="H1364" s="538"/>
    </row>
    <row r="1365" spans="3:12" s="767" customFormat="1" x14ac:dyDescent="0.25">
      <c r="C1365" s="767" t="s">
        <v>115</v>
      </c>
      <c r="F1365" s="971" t="s">
        <v>3</v>
      </c>
      <c r="G1365" s="10">
        <f>0.011*J1371*2*1.2</f>
        <v>5.4119999999999994E-2</v>
      </c>
      <c r="H1365" s="538"/>
    </row>
    <row r="1366" spans="3:12" s="767" customFormat="1" x14ac:dyDescent="0.25">
      <c r="C1366" s="767" t="s">
        <v>12</v>
      </c>
      <c r="F1366" s="971" t="s">
        <v>3</v>
      </c>
      <c r="G1366" s="10">
        <f>0.3*G1365</f>
        <v>1.6235999999999997E-2</v>
      </c>
      <c r="H1366" s="538"/>
    </row>
    <row r="1367" spans="3:12" s="767" customFormat="1" x14ac:dyDescent="0.25">
      <c r="C1367" s="100" t="s">
        <v>140</v>
      </c>
      <c r="F1367" s="74" t="s">
        <v>3</v>
      </c>
      <c r="G1367" s="153">
        <f>0.012*3.14*2*0.08*1.2</f>
        <v>7.234560000000001E-3</v>
      </c>
      <c r="H1367" s="538"/>
    </row>
    <row r="1368" spans="3:12" s="767" customFormat="1" ht="17.25" x14ac:dyDescent="0.25">
      <c r="C1368" s="100" t="s">
        <v>23</v>
      </c>
      <c r="F1368" s="74" t="s">
        <v>596</v>
      </c>
      <c r="G1368" s="153">
        <f>G1367*2</f>
        <v>1.4469120000000002E-2</v>
      </c>
      <c r="H1368" s="538"/>
    </row>
    <row r="1369" spans="3:12" s="767" customFormat="1" x14ac:dyDescent="0.25">
      <c r="C1369" s="100" t="s">
        <v>142</v>
      </c>
      <c r="F1369" s="74" t="s">
        <v>3</v>
      </c>
      <c r="G1369" s="153">
        <f>G1367/4</f>
        <v>1.8086400000000002E-3</v>
      </c>
      <c r="H1369" s="538"/>
    </row>
    <row r="1370" spans="3:12" s="767" customFormat="1" x14ac:dyDescent="0.25">
      <c r="D1370" s="3" t="s">
        <v>11665</v>
      </c>
      <c r="F1370" s="971"/>
      <c r="G1370" s="10"/>
      <c r="H1370" s="538"/>
    </row>
    <row r="1371" spans="3:12" s="767" customFormat="1" x14ac:dyDescent="0.25">
      <c r="D1371" s="186" t="s">
        <v>5021</v>
      </c>
      <c r="F1371" s="971" t="s">
        <v>3</v>
      </c>
      <c r="G1371" s="10">
        <f>0.271* L1371</f>
        <v>0.59620000000000006</v>
      </c>
      <c r="H1371" s="538"/>
      <c r="I1371" s="789" t="s">
        <v>10149</v>
      </c>
      <c r="J1371" s="790">
        <v>2.0499999999999998</v>
      </c>
      <c r="K1371" s="789" t="s">
        <v>10150</v>
      </c>
      <c r="L1371" s="791">
        <v>2.2000000000000002</v>
      </c>
    </row>
    <row r="1372" spans="3:12" s="767" customFormat="1" x14ac:dyDescent="0.25">
      <c r="F1372" s="971"/>
      <c r="G1372" s="10"/>
      <c r="H1372" s="538"/>
    </row>
    <row r="1373" spans="3:12" s="767" customFormat="1" x14ac:dyDescent="0.25">
      <c r="C1373" s="3" t="s">
        <v>11666</v>
      </c>
      <c r="F1373" s="971"/>
      <c r="G1373" s="10"/>
      <c r="H1373" s="538"/>
    </row>
    <row r="1374" spans="3:12" s="767" customFormat="1" x14ac:dyDescent="0.25">
      <c r="C1374" s="767" t="s">
        <v>115</v>
      </c>
      <c r="F1374" s="971" t="s">
        <v>3</v>
      </c>
      <c r="G1374" s="10">
        <f>0.011*J1380*2*1.2</f>
        <v>6.6264000000000002E-3</v>
      </c>
      <c r="H1374" s="538"/>
    </row>
    <row r="1375" spans="3:12" s="767" customFormat="1" x14ac:dyDescent="0.25">
      <c r="C1375" s="767" t="s">
        <v>12</v>
      </c>
      <c r="F1375" s="971" t="s">
        <v>3</v>
      </c>
      <c r="G1375" s="10">
        <f>0.3*G1374</f>
        <v>1.9879199999999998E-3</v>
      </c>
      <c r="H1375" s="538"/>
    </row>
    <row r="1376" spans="3:12" s="767" customFormat="1" x14ac:dyDescent="0.25">
      <c r="C1376" s="100" t="s">
        <v>140</v>
      </c>
      <c r="F1376" s="74" t="s">
        <v>3</v>
      </c>
      <c r="G1376" s="153">
        <f>0.012*3.14*2*0.08*1.2</f>
        <v>7.234560000000001E-3</v>
      </c>
      <c r="H1376" s="538"/>
    </row>
    <row r="1377" spans="3:12" s="767" customFormat="1" ht="17.25" x14ac:dyDescent="0.25">
      <c r="C1377" s="100" t="s">
        <v>23</v>
      </c>
      <c r="F1377" s="74" t="s">
        <v>596</v>
      </c>
      <c r="G1377" s="153">
        <f>G1376*2</f>
        <v>1.4469120000000002E-2</v>
      </c>
      <c r="H1377" s="538"/>
    </row>
    <row r="1378" spans="3:12" s="767" customFormat="1" x14ac:dyDescent="0.25">
      <c r="C1378" s="100" t="s">
        <v>142</v>
      </c>
      <c r="F1378" s="74" t="s">
        <v>3</v>
      </c>
      <c r="G1378" s="153">
        <f>G1376/4</f>
        <v>1.8086400000000002E-3</v>
      </c>
      <c r="H1378" s="538"/>
    </row>
    <row r="1379" spans="3:12" s="767" customFormat="1" x14ac:dyDescent="0.25">
      <c r="D1379" s="3" t="s">
        <v>11667</v>
      </c>
      <c r="F1379" s="971"/>
      <c r="G1379" s="10"/>
      <c r="H1379" s="538"/>
    </row>
    <row r="1380" spans="3:12" s="767" customFormat="1" x14ac:dyDescent="0.25">
      <c r="D1380" s="186" t="s">
        <v>5021</v>
      </c>
      <c r="F1380" s="971" t="s">
        <v>3</v>
      </c>
      <c r="G1380" s="10">
        <f>0.271* L1380</f>
        <v>8.1299999999999997E-2</v>
      </c>
      <c r="H1380" s="538"/>
      <c r="I1380" s="789" t="s">
        <v>10149</v>
      </c>
      <c r="J1380" s="790">
        <v>0.251</v>
      </c>
      <c r="K1380" s="789" t="s">
        <v>10150</v>
      </c>
      <c r="L1380" s="791">
        <v>0.3</v>
      </c>
    </row>
    <row r="1381" spans="3:12" s="767" customFormat="1" x14ac:dyDescent="0.25">
      <c r="F1381" s="971"/>
      <c r="G1381" s="10"/>
      <c r="H1381" s="538"/>
    </row>
    <row r="1382" spans="3:12" s="767" customFormat="1" x14ac:dyDescent="0.25">
      <c r="C1382" s="3" t="s">
        <v>11668</v>
      </c>
      <c r="F1382" s="971"/>
      <c r="G1382" s="10"/>
      <c r="H1382" s="538"/>
    </row>
    <row r="1383" spans="3:12" s="767" customFormat="1" x14ac:dyDescent="0.25">
      <c r="C1383" s="767" t="s">
        <v>115</v>
      </c>
      <c r="F1383" s="971" t="s">
        <v>3</v>
      </c>
      <c r="G1383" s="10">
        <f>0.011*J1389*2*1.2</f>
        <v>2.6399999999999996E-2</v>
      </c>
      <c r="H1383" s="538"/>
    </row>
    <row r="1384" spans="3:12" s="767" customFormat="1" x14ac:dyDescent="0.25">
      <c r="C1384" s="767" t="s">
        <v>12</v>
      </c>
      <c r="F1384" s="971" t="s">
        <v>3</v>
      </c>
      <c r="G1384" s="10">
        <f>0.3*G1383</f>
        <v>7.9199999999999982E-3</v>
      </c>
      <c r="H1384" s="538"/>
    </row>
    <row r="1385" spans="3:12" s="767" customFormat="1" x14ac:dyDescent="0.25">
      <c r="C1385" s="100" t="s">
        <v>140</v>
      </c>
      <c r="F1385" s="74" t="s">
        <v>3</v>
      </c>
      <c r="G1385" s="153">
        <f>0.012*3.14*2*0.08*1.2</f>
        <v>7.234560000000001E-3</v>
      </c>
      <c r="H1385" s="538"/>
    </row>
    <row r="1386" spans="3:12" s="767" customFormat="1" ht="17.25" x14ac:dyDescent="0.25">
      <c r="C1386" s="100" t="s">
        <v>23</v>
      </c>
      <c r="F1386" s="74" t="s">
        <v>596</v>
      </c>
      <c r="G1386" s="153">
        <f>G1385*2</f>
        <v>1.4469120000000002E-2</v>
      </c>
      <c r="H1386" s="538"/>
    </row>
    <row r="1387" spans="3:12" s="767" customFormat="1" x14ac:dyDescent="0.25">
      <c r="C1387" s="100" t="s">
        <v>142</v>
      </c>
      <c r="F1387" s="74" t="s">
        <v>3</v>
      </c>
      <c r="G1387" s="153">
        <f>G1385/4</f>
        <v>1.8086400000000002E-3</v>
      </c>
      <c r="H1387" s="538"/>
    </row>
    <row r="1388" spans="3:12" s="767" customFormat="1" x14ac:dyDescent="0.25">
      <c r="D1388" s="3" t="s">
        <v>11669</v>
      </c>
      <c r="F1388" s="971"/>
      <c r="G1388" s="10"/>
      <c r="H1388" s="538"/>
    </row>
    <row r="1389" spans="3:12" s="767" customFormat="1" x14ac:dyDescent="0.25">
      <c r="D1389" s="186" t="s">
        <v>5021</v>
      </c>
      <c r="F1389" s="971" t="s">
        <v>3</v>
      </c>
      <c r="G1389" s="10">
        <f>0.271* L1389</f>
        <v>0.30352000000000007</v>
      </c>
      <c r="H1389" s="538"/>
      <c r="I1389" s="789" t="s">
        <v>10149</v>
      </c>
      <c r="J1389" s="790">
        <v>1</v>
      </c>
      <c r="K1389" s="789" t="s">
        <v>10150</v>
      </c>
      <c r="L1389" s="791">
        <v>1.1200000000000001</v>
      </c>
    </row>
    <row r="1390" spans="3:12" s="767" customFormat="1" x14ac:dyDescent="0.25">
      <c r="F1390" s="971"/>
      <c r="G1390" s="10"/>
      <c r="H1390" s="538"/>
    </row>
    <row r="1391" spans="3:12" s="767" customFormat="1" x14ac:dyDescent="0.25">
      <c r="C1391" s="3" t="s">
        <v>11670</v>
      </c>
      <c r="F1391" s="971"/>
      <c r="G1391" s="10"/>
      <c r="H1391" s="538"/>
    </row>
    <row r="1392" spans="3:12" s="767" customFormat="1" x14ac:dyDescent="0.25">
      <c r="C1392" s="767" t="s">
        <v>115</v>
      </c>
      <c r="F1392" s="971" t="s">
        <v>3</v>
      </c>
      <c r="G1392" s="10">
        <f>0.011*J1398*2*1.2</f>
        <v>2.5475999999999999E-2</v>
      </c>
      <c r="H1392" s="538"/>
    </row>
    <row r="1393" spans="3:12" s="767" customFormat="1" x14ac:dyDescent="0.25">
      <c r="C1393" s="767" t="s">
        <v>12</v>
      </c>
      <c r="F1393" s="971" t="s">
        <v>3</v>
      </c>
      <c r="G1393" s="10">
        <f>0.3*G1392</f>
        <v>7.6427999999999991E-3</v>
      </c>
      <c r="H1393" s="538"/>
    </row>
    <row r="1394" spans="3:12" s="767" customFormat="1" x14ac:dyDescent="0.25">
      <c r="C1394" s="100" t="s">
        <v>140</v>
      </c>
      <c r="F1394" s="74" t="s">
        <v>3</v>
      </c>
      <c r="G1394" s="153">
        <f>0.012*3.14*2*0.08*1.2</f>
        <v>7.234560000000001E-3</v>
      </c>
      <c r="H1394" s="538"/>
    </row>
    <row r="1395" spans="3:12" s="767" customFormat="1" ht="17.25" x14ac:dyDescent="0.25">
      <c r="C1395" s="100" t="s">
        <v>23</v>
      </c>
      <c r="F1395" s="74" t="s">
        <v>596</v>
      </c>
      <c r="G1395" s="153">
        <f>G1394*2</f>
        <v>1.4469120000000002E-2</v>
      </c>
      <c r="H1395" s="538"/>
    </row>
    <row r="1396" spans="3:12" s="767" customFormat="1" x14ac:dyDescent="0.25">
      <c r="C1396" s="100" t="s">
        <v>142</v>
      </c>
      <c r="F1396" s="74" t="s">
        <v>3</v>
      </c>
      <c r="G1396" s="153">
        <f>G1394/4</f>
        <v>1.8086400000000002E-3</v>
      </c>
      <c r="H1396" s="538"/>
    </row>
    <row r="1397" spans="3:12" s="767" customFormat="1" x14ac:dyDescent="0.25">
      <c r="D1397" s="3" t="s">
        <v>11671</v>
      </c>
      <c r="F1397" s="971"/>
      <c r="G1397" s="10"/>
      <c r="H1397" s="538"/>
    </row>
    <row r="1398" spans="3:12" s="767" customFormat="1" x14ac:dyDescent="0.25">
      <c r="D1398" s="186" t="s">
        <v>5021</v>
      </c>
      <c r="F1398" s="971" t="s">
        <v>3</v>
      </c>
      <c r="G1398" s="10">
        <f>0.271* L1398</f>
        <v>0.28455000000000003</v>
      </c>
      <c r="H1398" s="538"/>
      <c r="I1398" s="789" t="s">
        <v>10149</v>
      </c>
      <c r="J1398" s="790">
        <v>0.96499999999999997</v>
      </c>
      <c r="K1398" s="789" t="s">
        <v>10150</v>
      </c>
      <c r="L1398" s="791">
        <v>1.05</v>
      </c>
    </row>
    <row r="1399" spans="3:12" s="767" customFormat="1" x14ac:dyDescent="0.25">
      <c r="F1399" s="971"/>
      <c r="G1399" s="10"/>
      <c r="H1399" s="538"/>
    </row>
    <row r="1400" spans="3:12" s="767" customFormat="1" x14ac:dyDescent="0.25">
      <c r="C1400" s="3" t="s">
        <v>11672</v>
      </c>
      <c r="F1400" s="971"/>
      <c r="G1400" s="10"/>
      <c r="H1400" s="538"/>
    </row>
    <row r="1401" spans="3:12" s="767" customFormat="1" x14ac:dyDescent="0.25">
      <c r="C1401" s="767" t="s">
        <v>115</v>
      </c>
      <c r="F1401" s="971" t="s">
        <v>3</v>
      </c>
      <c r="G1401" s="10">
        <f>0.011*(J1407+J1409+J1411+J1413)*2*1.2</f>
        <v>3.9863999999999997E-2</v>
      </c>
      <c r="H1401" s="538"/>
    </row>
    <row r="1402" spans="3:12" s="767" customFormat="1" x14ac:dyDescent="0.25">
      <c r="C1402" s="767" t="s">
        <v>12</v>
      </c>
      <c r="F1402" s="971" t="s">
        <v>3</v>
      </c>
      <c r="G1402" s="10">
        <f>0.3*G1401</f>
        <v>1.1959199999999998E-2</v>
      </c>
      <c r="H1402" s="538"/>
    </row>
    <row r="1403" spans="3:12" s="767" customFormat="1" x14ac:dyDescent="0.25">
      <c r="C1403" s="100" t="s">
        <v>140</v>
      </c>
      <c r="F1403" s="74" t="s">
        <v>3</v>
      </c>
      <c r="G1403" s="153">
        <f>0.012*3.14*8*0.08*1.25</f>
        <v>3.0144000000000004E-2</v>
      </c>
      <c r="H1403" s="538"/>
    </row>
    <row r="1404" spans="3:12" s="767" customFormat="1" ht="17.25" x14ac:dyDescent="0.25">
      <c r="C1404" s="100" t="s">
        <v>23</v>
      </c>
      <c r="F1404" s="74" t="s">
        <v>596</v>
      </c>
      <c r="G1404" s="153">
        <f>G1403*2</f>
        <v>6.0288000000000008E-2</v>
      </c>
      <c r="H1404" s="538"/>
    </row>
    <row r="1405" spans="3:12" s="767" customFormat="1" x14ac:dyDescent="0.25">
      <c r="C1405" s="100" t="s">
        <v>142</v>
      </c>
      <c r="F1405" s="74" t="s">
        <v>3</v>
      </c>
      <c r="G1405" s="153">
        <f>G1403/4</f>
        <v>7.536000000000001E-3</v>
      </c>
      <c r="H1405" s="538"/>
    </row>
    <row r="1406" spans="3:12" s="767" customFormat="1" x14ac:dyDescent="0.25">
      <c r="D1406" s="3" t="s">
        <v>11673</v>
      </c>
      <c r="F1406" s="971"/>
      <c r="G1406" s="10"/>
      <c r="H1406" s="538"/>
    </row>
    <row r="1407" spans="3:12" s="767" customFormat="1" x14ac:dyDescent="0.25">
      <c r="D1407" s="186" t="s">
        <v>5021</v>
      </c>
      <c r="F1407" s="971" t="s">
        <v>3</v>
      </c>
      <c r="G1407" s="10">
        <f>0.271* L1407</f>
        <v>9.4850000000000004E-2</v>
      </c>
      <c r="H1407" s="538"/>
      <c r="I1407" s="789" t="s">
        <v>10149</v>
      </c>
      <c r="J1407" s="790">
        <v>0.247</v>
      </c>
      <c r="K1407" s="789" t="s">
        <v>10150</v>
      </c>
      <c r="L1407" s="791">
        <v>0.35</v>
      </c>
    </row>
    <row r="1408" spans="3:12" s="767" customFormat="1" x14ac:dyDescent="0.25">
      <c r="D1408" s="3" t="s">
        <v>11674</v>
      </c>
      <c r="F1408" s="971"/>
      <c r="G1408" s="10"/>
      <c r="H1408" s="538"/>
    </row>
    <row r="1409" spans="3:12" s="767" customFormat="1" x14ac:dyDescent="0.25">
      <c r="D1409" s="186" t="s">
        <v>5021</v>
      </c>
      <c r="F1409" s="971" t="s">
        <v>3</v>
      </c>
      <c r="G1409" s="10">
        <f>0.271* L1409</f>
        <v>0.13550000000000001</v>
      </c>
      <c r="H1409" s="538"/>
      <c r="I1409" s="789" t="s">
        <v>10149</v>
      </c>
      <c r="J1409" s="790">
        <v>0.46500000000000002</v>
      </c>
      <c r="K1409" s="789" t="s">
        <v>10150</v>
      </c>
      <c r="L1409" s="791">
        <v>0.5</v>
      </c>
    </row>
    <row r="1410" spans="3:12" s="767" customFormat="1" x14ac:dyDescent="0.25">
      <c r="D1410" s="3" t="s">
        <v>11675</v>
      </c>
      <c r="F1410" s="971"/>
      <c r="G1410" s="10"/>
      <c r="H1410" s="538"/>
    </row>
    <row r="1411" spans="3:12" s="767" customFormat="1" x14ac:dyDescent="0.25">
      <c r="D1411" s="186" t="s">
        <v>5021</v>
      </c>
      <c r="F1411" s="971" t="s">
        <v>3</v>
      </c>
      <c r="G1411" s="10">
        <f>0.271* L1411</f>
        <v>0.23035</v>
      </c>
      <c r="H1411" s="538"/>
      <c r="I1411" s="789" t="s">
        <v>10149</v>
      </c>
      <c r="J1411" s="790">
        <v>0.75</v>
      </c>
      <c r="K1411" s="789" t="s">
        <v>10150</v>
      </c>
      <c r="L1411" s="791">
        <v>0.85</v>
      </c>
    </row>
    <row r="1412" spans="3:12" s="767" customFormat="1" x14ac:dyDescent="0.25">
      <c r="D1412" s="3" t="s">
        <v>11676</v>
      </c>
      <c r="F1412" s="971"/>
      <c r="G1412" s="10"/>
      <c r="H1412" s="538"/>
    </row>
    <row r="1413" spans="3:12" s="767" customFormat="1" x14ac:dyDescent="0.25">
      <c r="D1413" s="186" t="s">
        <v>5021</v>
      </c>
      <c r="F1413" s="971" t="s">
        <v>3</v>
      </c>
      <c r="G1413" s="10">
        <f>0.271* L1413</f>
        <v>1.626E-2</v>
      </c>
      <c r="H1413" s="538"/>
      <c r="I1413" s="789" t="s">
        <v>10149</v>
      </c>
      <c r="J1413" s="790">
        <v>4.8000000000000001E-2</v>
      </c>
      <c r="K1413" s="789" t="s">
        <v>10150</v>
      </c>
      <c r="L1413" s="791">
        <v>0.06</v>
      </c>
    </row>
    <row r="1414" spans="3:12" s="767" customFormat="1" x14ac:dyDescent="0.25">
      <c r="F1414" s="971"/>
      <c r="G1414" s="10"/>
      <c r="H1414" s="538"/>
    </row>
    <row r="1415" spans="3:12" s="767" customFormat="1" x14ac:dyDescent="0.25">
      <c r="C1415" s="3" t="s">
        <v>11677</v>
      </c>
      <c r="F1415" s="971"/>
      <c r="G1415" s="10"/>
      <c r="H1415" s="538"/>
    </row>
    <row r="1416" spans="3:12" s="767" customFormat="1" x14ac:dyDescent="0.25">
      <c r="C1416" s="767" t="s">
        <v>115</v>
      </c>
      <c r="F1416" s="971" t="s">
        <v>3</v>
      </c>
      <c r="G1416" s="10">
        <f>0.011*(J1422+J1424+J1426)*2*1.2</f>
        <v>2.1040800000000002E-2</v>
      </c>
      <c r="H1416" s="538"/>
    </row>
    <row r="1417" spans="3:12" s="767" customFormat="1" x14ac:dyDescent="0.25">
      <c r="C1417" s="767" t="s">
        <v>12</v>
      </c>
      <c r="F1417" s="971" t="s">
        <v>3</v>
      </c>
      <c r="G1417" s="10">
        <f>0.3*G1416</f>
        <v>6.3122400000000002E-3</v>
      </c>
      <c r="H1417" s="538"/>
    </row>
    <row r="1418" spans="3:12" s="767" customFormat="1" x14ac:dyDescent="0.25">
      <c r="C1418" s="100" t="s">
        <v>140</v>
      </c>
      <c r="F1418" s="74" t="s">
        <v>3</v>
      </c>
      <c r="G1418" s="153">
        <f>0.012*3.14*5*0.08*1.25</f>
        <v>1.8840000000000003E-2</v>
      </c>
      <c r="H1418" s="538"/>
    </row>
    <row r="1419" spans="3:12" s="767" customFormat="1" ht="17.25" x14ac:dyDescent="0.25">
      <c r="C1419" s="100" t="s">
        <v>23</v>
      </c>
      <c r="F1419" s="74" t="s">
        <v>596</v>
      </c>
      <c r="G1419" s="153">
        <f>G1418*2</f>
        <v>3.7680000000000005E-2</v>
      </c>
      <c r="H1419" s="538"/>
    </row>
    <row r="1420" spans="3:12" s="767" customFormat="1" x14ac:dyDescent="0.25">
      <c r="C1420" s="100" t="s">
        <v>142</v>
      </c>
      <c r="F1420" s="74" t="s">
        <v>3</v>
      </c>
      <c r="G1420" s="153">
        <f>G1418/4</f>
        <v>4.7100000000000006E-3</v>
      </c>
      <c r="H1420" s="538"/>
    </row>
    <row r="1421" spans="3:12" s="767" customFormat="1" x14ac:dyDescent="0.25">
      <c r="D1421" s="3" t="s">
        <v>11678</v>
      </c>
      <c r="F1421" s="971"/>
      <c r="G1421" s="10"/>
      <c r="H1421" s="538"/>
    </row>
    <row r="1422" spans="3:12" s="767" customFormat="1" x14ac:dyDescent="0.25">
      <c r="D1422" s="186" t="s">
        <v>5021</v>
      </c>
      <c r="F1422" s="971" t="s">
        <v>3</v>
      </c>
      <c r="G1422" s="10">
        <f>0.271* L1422</f>
        <v>0.16259999999999999</v>
      </c>
      <c r="H1422" s="538"/>
      <c r="I1422" s="789" t="s">
        <v>10149</v>
      </c>
      <c r="J1422" s="790">
        <v>0.49399999999999999</v>
      </c>
      <c r="K1422" s="789" t="s">
        <v>10150</v>
      </c>
      <c r="L1422" s="791">
        <v>0.6</v>
      </c>
    </row>
    <row r="1423" spans="3:12" s="767" customFormat="1" x14ac:dyDescent="0.25">
      <c r="D1423" s="3" t="s">
        <v>11679</v>
      </c>
      <c r="F1423" s="971"/>
      <c r="G1423" s="10"/>
      <c r="H1423" s="538"/>
    </row>
    <row r="1424" spans="3:12" s="767" customFormat="1" x14ac:dyDescent="0.25">
      <c r="D1424" s="186" t="s">
        <v>11342</v>
      </c>
      <c r="F1424" s="971" t="s">
        <v>3</v>
      </c>
      <c r="G1424" s="10">
        <f>0.123*L1424</f>
        <v>3.6899999999999995E-2</v>
      </c>
      <c r="H1424" s="538"/>
      <c r="I1424" s="789" t="s">
        <v>10149</v>
      </c>
      <c r="J1424" s="790">
        <v>0.255</v>
      </c>
      <c r="K1424" s="789" t="s">
        <v>10150</v>
      </c>
      <c r="L1424" s="791">
        <v>0.3</v>
      </c>
    </row>
    <row r="1425" spans="3:12" s="767" customFormat="1" x14ac:dyDescent="0.25">
      <c r="D1425" s="3" t="s">
        <v>11676</v>
      </c>
      <c r="F1425" s="971"/>
      <c r="G1425" s="10"/>
      <c r="H1425" s="538"/>
    </row>
    <row r="1426" spans="3:12" s="767" customFormat="1" x14ac:dyDescent="0.25">
      <c r="D1426" s="186" t="s">
        <v>5021</v>
      </c>
      <c r="F1426" s="971" t="s">
        <v>3</v>
      </c>
      <c r="G1426" s="10">
        <f>0.271* L1426</f>
        <v>1.626E-2</v>
      </c>
      <c r="H1426" s="538"/>
      <c r="I1426" s="789" t="s">
        <v>10149</v>
      </c>
      <c r="J1426" s="790">
        <v>4.8000000000000001E-2</v>
      </c>
      <c r="K1426" s="789" t="s">
        <v>10150</v>
      </c>
      <c r="L1426" s="791">
        <v>0.06</v>
      </c>
    </row>
    <row r="1427" spans="3:12" s="767" customFormat="1" x14ac:dyDescent="0.25">
      <c r="F1427" s="971"/>
      <c r="G1427" s="10"/>
      <c r="H1427" s="538"/>
    </row>
    <row r="1428" spans="3:12" s="767" customFormat="1" x14ac:dyDescent="0.25">
      <c r="C1428" s="3" t="s">
        <v>11680</v>
      </c>
      <c r="F1428" s="971"/>
      <c r="G1428" s="10"/>
      <c r="H1428" s="538"/>
    </row>
    <row r="1429" spans="3:12" s="767" customFormat="1" x14ac:dyDescent="0.25">
      <c r="C1429" s="767" t="s">
        <v>115</v>
      </c>
      <c r="F1429" s="971" t="s">
        <v>3</v>
      </c>
      <c r="G1429" s="10">
        <f>0.011*(J1435)*2*1.2</f>
        <v>2.6399999999999996E-2</v>
      </c>
      <c r="H1429" s="538"/>
    </row>
    <row r="1430" spans="3:12" s="767" customFormat="1" x14ac:dyDescent="0.25">
      <c r="C1430" s="767" t="s">
        <v>12</v>
      </c>
      <c r="F1430" s="971" t="s">
        <v>3</v>
      </c>
      <c r="G1430" s="10">
        <f>0.3*G1429</f>
        <v>7.9199999999999982E-3</v>
      </c>
      <c r="H1430" s="538"/>
    </row>
    <row r="1431" spans="3:12" s="767" customFormat="1" x14ac:dyDescent="0.25">
      <c r="C1431" s="100" t="s">
        <v>140</v>
      </c>
      <c r="F1431" s="74" t="s">
        <v>3</v>
      </c>
      <c r="G1431" s="153">
        <f>0.012*3.14*2*0.08*1.25</f>
        <v>7.536000000000001E-3</v>
      </c>
      <c r="H1431" s="538"/>
    </row>
    <row r="1432" spans="3:12" s="767" customFormat="1" ht="17.25" x14ac:dyDescent="0.25">
      <c r="C1432" s="100" t="s">
        <v>23</v>
      </c>
      <c r="F1432" s="74" t="s">
        <v>596</v>
      </c>
      <c r="G1432" s="153">
        <f>G1431*2</f>
        <v>1.5072000000000002E-2</v>
      </c>
      <c r="H1432" s="538"/>
    </row>
    <row r="1433" spans="3:12" s="767" customFormat="1" x14ac:dyDescent="0.25">
      <c r="C1433" s="100" t="s">
        <v>142</v>
      </c>
      <c r="F1433" s="74" t="s">
        <v>3</v>
      </c>
      <c r="G1433" s="153">
        <f>G1431/4</f>
        <v>1.8840000000000003E-3</v>
      </c>
      <c r="H1433" s="538"/>
    </row>
    <row r="1434" spans="3:12" s="767" customFormat="1" x14ac:dyDescent="0.25">
      <c r="D1434" s="3" t="s">
        <v>11681</v>
      </c>
      <c r="F1434" s="971"/>
      <c r="G1434" s="10"/>
      <c r="H1434" s="538"/>
    </row>
    <row r="1435" spans="3:12" s="767" customFormat="1" x14ac:dyDescent="0.25">
      <c r="D1435" s="186" t="s">
        <v>5021</v>
      </c>
      <c r="F1435" s="971" t="s">
        <v>3</v>
      </c>
      <c r="G1435" s="10">
        <f>0.271* L1435</f>
        <v>0.29268000000000005</v>
      </c>
      <c r="H1435" s="538"/>
      <c r="I1435" s="789" t="s">
        <v>10149</v>
      </c>
      <c r="J1435" s="790">
        <v>1</v>
      </c>
      <c r="K1435" s="789" t="s">
        <v>10150</v>
      </c>
      <c r="L1435" s="791">
        <v>1.08</v>
      </c>
    </row>
    <row r="1436" spans="3:12" s="767" customFormat="1" x14ac:dyDescent="0.25">
      <c r="D1436" s="186"/>
      <c r="F1436" s="971"/>
      <c r="G1436" s="10"/>
      <c r="H1436" s="538"/>
      <c r="I1436" s="789"/>
      <c r="J1436" s="790"/>
      <c r="K1436" s="789"/>
      <c r="L1436" s="791"/>
    </row>
    <row r="1437" spans="3:12" s="767" customFormat="1" x14ac:dyDescent="0.25">
      <c r="C1437" s="3" t="s">
        <v>11682</v>
      </c>
      <c r="F1437" s="971"/>
      <c r="G1437" s="10"/>
      <c r="H1437" s="538"/>
    </row>
    <row r="1438" spans="3:12" s="767" customFormat="1" x14ac:dyDescent="0.25">
      <c r="C1438" s="767" t="s">
        <v>115</v>
      </c>
      <c r="F1438" s="971" t="s">
        <v>3</v>
      </c>
      <c r="G1438" s="10">
        <f>0.011*J1444*2*1.2</f>
        <v>2.0591999999999996E-2</v>
      </c>
      <c r="H1438" s="538"/>
    </row>
    <row r="1439" spans="3:12" s="767" customFormat="1" x14ac:dyDescent="0.25">
      <c r="C1439" s="767" t="s">
        <v>12</v>
      </c>
      <c r="F1439" s="971" t="s">
        <v>3</v>
      </c>
      <c r="G1439" s="10">
        <f>0.3*G1438</f>
        <v>6.1775999999999984E-3</v>
      </c>
      <c r="H1439" s="538"/>
    </row>
    <row r="1440" spans="3:12" s="767" customFormat="1" x14ac:dyDescent="0.25">
      <c r="C1440" s="100" t="s">
        <v>140</v>
      </c>
      <c r="F1440" s="74" t="s">
        <v>3</v>
      </c>
      <c r="G1440" s="153">
        <f>0.012*3.14*2*0.08*1.25</f>
        <v>7.536000000000001E-3</v>
      </c>
      <c r="H1440" s="538"/>
    </row>
    <row r="1441" spans="1:12" s="767" customFormat="1" ht="17.25" x14ac:dyDescent="0.25">
      <c r="C1441" s="100" t="s">
        <v>23</v>
      </c>
      <c r="F1441" s="74" t="s">
        <v>596</v>
      </c>
      <c r="G1441" s="153">
        <f>G1440*2</f>
        <v>1.5072000000000002E-2</v>
      </c>
      <c r="H1441" s="538"/>
    </row>
    <row r="1442" spans="1:12" s="767" customFormat="1" x14ac:dyDescent="0.25">
      <c r="C1442" s="100" t="s">
        <v>142</v>
      </c>
      <c r="F1442" s="74" t="s">
        <v>3</v>
      </c>
      <c r="G1442" s="153">
        <f>G1440/4</f>
        <v>1.8840000000000003E-3</v>
      </c>
      <c r="H1442" s="538"/>
    </row>
    <row r="1443" spans="1:12" s="767" customFormat="1" x14ac:dyDescent="0.25">
      <c r="D1443" s="3" t="s">
        <v>11683</v>
      </c>
      <c r="F1443" s="971"/>
      <c r="G1443" s="10"/>
      <c r="H1443" s="538"/>
    </row>
    <row r="1444" spans="1:12" s="767" customFormat="1" x14ac:dyDescent="0.25">
      <c r="D1444" s="186" t="s">
        <v>5021</v>
      </c>
      <c r="F1444" s="971" t="s">
        <v>3</v>
      </c>
      <c r="G1444" s="10">
        <f>0.271* L1444</f>
        <v>0.23035</v>
      </c>
      <c r="H1444" s="538"/>
      <c r="I1444" s="789" t="s">
        <v>10149</v>
      </c>
      <c r="J1444" s="790">
        <v>0.78</v>
      </c>
      <c r="K1444" s="789" t="s">
        <v>10150</v>
      </c>
      <c r="L1444" s="791">
        <v>0.85</v>
      </c>
    </row>
    <row r="1445" spans="1:12" s="767" customFormat="1" x14ac:dyDescent="0.25">
      <c r="D1445" s="186"/>
      <c r="F1445" s="971"/>
      <c r="G1445" s="10"/>
      <c r="H1445" s="538"/>
      <c r="I1445" s="789"/>
      <c r="J1445" s="790"/>
      <c r="K1445" s="789"/>
      <c r="L1445" s="791"/>
    </row>
    <row r="1446" spans="1:12" s="767" customFormat="1" x14ac:dyDescent="0.25">
      <c r="C1446" s="3" t="s">
        <v>11684</v>
      </c>
      <c r="F1446" s="971"/>
      <c r="G1446" s="10"/>
      <c r="H1446" s="538"/>
    </row>
    <row r="1447" spans="1:12" s="767" customFormat="1" x14ac:dyDescent="0.25">
      <c r="C1447" s="767" t="s">
        <v>115</v>
      </c>
      <c r="F1447" s="971" t="s">
        <v>3</v>
      </c>
      <c r="G1447" s="10">
        <f>0.011*J1453*2*1.2</f>
        <v>2.0327999999999999E-2</v>
      </c>
      <c r="H1447" s="538"/>
    </row>
    <row r="1448" spans="1:12" s="767" customFormat="1" x14ac:dyDescent="0.25">
      <c r="C1448" s="767" t="s">
        <v>12</v>
      </c>
      <c r="F1448" s="971" t="s">
        <v>3</v>
      </c>
      <c r="G1448" s="10">
        <f>0.3*G1447</f>
        <v>6.0983999999999995E-3</v>
      </c>
      <c r="H1448" s="538"/>
    </row>
    <row r="1449" spans="1:12" s="767" customFormat="1" x14ac:dyDescent="0.25">
      <c r="C1449" s="100" t="s">
        <v>140</v>
      </c>
      <c r="F1449" s="74" t="s">
        <v>3</v>
      </c>
      <c r="G1449" s="153">
        <f>0.012*3.14*2*0.08*1.25</f>
        <v>7.536000000000001E-3</v>
      </c>
      <c r="H1449" s="538"/>
    </row>
    <row r="1450" spans="1:12" s="767" customFormat="1" ht="17.25" x14ac:dyDescent="0.25">
      <c r="C1450" s="100" t="s">
        <v>23</v>
      </c>
      <c r="F1450" s="74" t="s">
        <v>596</v>
      </c>
      <c r="G1450" s="153">
        <f>G1449*2</f>
        <v>1.5072000000000002E-2</v>
      </c>
      <c r="H1450" s="538"/>
    </row>
    <row r="1451" spans="1:12" s="767" customFormat="1" x14ac:dyDescent="0.25">
      <c r="C1451" s="100" t="s">
        <v>142</v>
      </c>
      <c r="F1451" s="74" t="s">
        <v>3</v>
      </c>
      <c r="G1451" s="153">
        <f>G1449/4</f>
        <v>1.8840000000000003E-3</v>
      </c>
      <c r="H1451" s="538"/>
    </row>
    <row r="1452" spans="1:12" s="767" customFormat="1" x14ac:dyDescent="0.25">
      <c r="D1452" s="3" t="s">
        <v>11685</v>
      </c>
      <c r="F1452" s="971"/>
      <c r="G1452" s="10"/>
      <c r="H1452" s="538"/>
    </row>
    <row r="1453" spans="1:12" s="767" customFormat="1" x14ac:dyDescent="0.25">
      <c r="D1453" s="186" t="s">
        <v>11686</v>
      </c>
      <c r="F1453" s="971" t="s">
        <v>3</v>
      </c>
      <c r="G1453" s="10">
        <f>0.123* L1453</f>
        <v>0.10578</v>
      </c>
      <c r="H1453" s="538"/>
      <c r="I1453" s="789" t="s">
        <v>10149</v>
      </c>
      <c r="J1453" s="790">
        <v>0.77</v>
      </c>
      <c r="K1453" s="789" t="s">
        <v>10150</v>
      </c>
      <c r="L1453" s="791">
        <v>0.86</v>
      </c>
    </row>
    <row r="1454" spans="1:12" s="767" customFormat="1" x14ac:dyDescent="0.25">
      <c r="A1454" s="539"/>
      <c r="B1454" s="539"/>
      <c r="C1454" s="539"/>
      <c r="D1454" s="731"/>
      <c r="E1454" s="539"/>
      <c r="F1454" s="599"/>
      <c r="G1454" s="600"/>
      <c r="H1454" s="540"/>
      <c r="I1454" s="789"/>
      <c r="J1454" s="790"/>
      <c r="K1454" s="789"/>
      <c r="L1454" s="791"/>
    </row>
    <row r="1455" spans="1:12" s="767" customFormat="1" x14ac:dyDescent="0.25">
      <c r="D1455" s="186"/>
      <c r="F1455" s="971"/>
      <c r="G1455" s="10"/>
      <c r="H1455" s="631" t="s">
        <v>11846</v>
      </c>
      <c r="I1455" s="789"/>
      <c r="J1455" s="790"/>
      <c r="K1455" s="789"/>
      <c r="L1455" s="791"/>
    </row>
    <row r="1456" spans="1:12" s="767" customFormat="1" ht="18.75" x14ac:dyDescent="0.3">
      <c r="D1456" s="186"/>
      <c r="E1456" s="110" t="s">
        <v>11438</v>
      </c>
      <c r="F1456" s="995"/>
      <c r="G1456" s="10"/>
      <c r="H1456" s="538"/>
      <c r="I1456" s="789"/>
      <c r="J1456" s="790"/>
      <c r="K1456" s="789"/>
      <c r="L1456" s="791"/>
    </row>
    <row r="1457" spans="3:12" s="767" customFormat="1" x14ac:dyDescent="0.25">
      <c r="D1457" s="186"/>
      <c r="F1457" s="995"/>
      <c r="G1457" s="10"/>
      <c r="H1457" s="538"/>
      <c r="I1457" s="789"/>
      <c r="J1457" s="790"/>
      <c r="K1457" s="789"/>
      <c r="L1457" s="791"/>
    </row>
    <row r="1458" spans="3:12" s="767" customFormat="1" x14ac:dyDescent="0.25">
      <c r="C1458" s="3" t="s">
        <v>11813</v>
      </c>
      <c r="D1458" s="186"/>
      <c r="F1458" s="995"/>
      <c r="G1458" s="10"/>
      <c r="H1458" s="538"/>
      <c r="I1458" s="789"/>
      <c r="J1458" s="790"/>
      <c r="K1458" s="789"/>
      <c r="L1458" s="791"/>
    </row>
    <row r="1459" spans="3:12" s="767" customFormat="1" x14ac:dyDescent="0.25">
      <c r="C1459" s="767" t="s">
        <v>11834</v>
      </c>
      <c r="D1459" s="186"/>
      <c r="F1459" s="995" t="s">
        <v>3</v>
      </c>
      <c r="G1459" s="10">
        <f>0.14*3.14*0.09*1*2.7*1.12</f>
        <v>0.11964153600000002</v>
      </c>
      <c r="H1459" s="538"/>
      <c r="I1459" s="789"/>
      <c r="J1459" s="790"/>
      <c r="K1459" s="789"/>
      <c r="L1459" s="791"/>
    </row>
    <row r="1460" spans="3:12" s="767" customFormat="1" x14ac:dyDescent="0.25">
      <c r="D1460" s="186"/>
      <c r="F1460" s="995"/>
      <c r="G1460" s="10"/>
      <c r="H1460" s="538"/>
      <c r="I1460" s="789"/>
      <c r="J1460" s="790"/>
      <c r="K1460" s="789"/>
      <c r="L1460" s="791"/>
    </row>
    <row r="1461" spans="3:12" s="767" customFormat="1" x14ac:dyDescent="0.25">
      <c r="C1461" s="3" t="s">
        <v>11807</v>
      </c>
      <c r="D1461" s="186"/>
      <c r="F1461" s="995" t="s">
        <v>2180</v>
      </c>
      <c r="G1461" s="10"/>
      <c r="H1461" s="538"/>
      <c r="I1461" s="789"/>
      <c r="J1461" s="790"/>
      <c r="K1461" s="789"/>
      <c r="L1461" s="791"/>
    </row>
    <row r="1462" spans="3:12" s="767" customFormat="1" x14ac:dyDescent="0.25">
      <c r="C1462" s="767" t="s">
        <v>11835</v>
      </c>
      <c r="D1462" s="186"/>
      <c r="F1462" s="995" t="s">
        <v>1516</v>
      </c>
      <c r="G1462" s="10">
        <v>4</v>
      </c>
      <c r="H1462" s="538"/>
      <c r="I1462" s="789"/>
      <c r="J1462" s="790"/>
      <c r="K1462" s="789"/>
      <c r="L1462" s="791"/>
    </row>
    <row r="1463" spans="3:12" s="767" customFormat="1" x14ac:dyDescent="0.25">
      <c r="D1463" s="3" t="s">
        <v>11836</v>
      </c>
      <c r="F1463" s="995"/>
      <c r="G1463" s="10"/>
      <c r="H1463" s="538"/>
      <c r="I1463" s="789"/>
      <c r="J1463" s="790"/>
      <c r="K1463" s="789"/>
      <c r="L1463" s="791"/>
    </row>
    <row r="1464" spans="3:12" s="767" customFormat="1" x14ac:dyDescent="0.25">
      <c r="D1464" s="834" t="s">
        <v>39</v>
      </c>
      <c r="F1464" s="827" t="s">
        <v>3</v>
      </c>
      <c r="G1464" s="785">
        <f>(0.5+0.34)*0.1*1.43</f>
        <v>0.12012000000000002</v>
      </c>
      <c r="H1464" s="538"/>
      <c r="I1464" s="789"/>
      <c r="J1464" s="790"/>
      <c r="K1464" s="789"/>
      <c r="L1464" s="791"/>
    </row>
    <row r="1465" spans="3:12" s="767" customFormat="1" ht="17.25" x14ac:dyDescent="0.25">
      <c r="D1465" s="834" t="s">
        <v>1055</v>
      </c>
      <c r="F1465" s="827" t="s">
        <v>596</v>
      </c>
      <c r="G1465" s="777">
        <f>1.5*G1464</f>
        <v>0.18018000000000003</v>
      </c>
      <c r="H1465" s="538"/>
      <c r="I1465" s="789"/>
      <c r="J1465" s="790"/>
      <c r="K1465" s="789"/>
      <c r="L1465" s="791"/>
    </row>
    <row r="1466" spans="3:12" s="767" customFormat="1" x14ac:dyDescent="0.25">
      <c r="D1466" s="834" t="s">
        <v>3724</v>
      </c>
      <c r="F1466" s="850" t="s">
        <v>3</v>
      </c>
      <c r="G1466" s="10">
        <f>0.16*0.04*2*0.2</f>
        <v>2.5600000000000002E-3</v>
      </c>
      <c r="H1466" s="538"/>
      <c r="I1466" s="789"/>
      <c r="J1466" s="790"/>
      <c r="K1466" s="789"/>
      <c r="L1466" s="791"/>
    </row>
    <row r="1467" spans="3:12" s="767" customFormat="1" x14ac:dyDescent="0.25">
      <c r="D1467" s="834" t="s">
        <v>8</v>
      </c>
      <c r="F1467" s="995" t="s">
        <v>3</v>
      </c>
      <c r="G1467" s="10">
        <f>G1469*0.71</f>
        <v>6.0140975999999992E-2</v>
      </c>
      <c r="H1467" s="538"/>
      <c r="I1467" s="789"/>
      <c r="J1467" s="790"/>
      <c r="K1467" s="789"/>
      <c r="L1467" s="791"/>
    </row>
    <row r="1468" spans="3:12" s="767" customFormat="1" x14ac:dyDescent="0.25">
      <c r="D1468" s="942" t="s">
        <v>12</v>
      </c>
      <c r="F1468" s="995" t="s">
        <v>3</v>
      </c>
      <c r="G1468" s="10">
        <f>0.3*G1467</f>
        <v>1.8042292799999998E-2</v>
      </c>
      <c r="H1468" s="538"/>
      <c r="I1468" s="789"/>
      <c r="J1468" s="790"/>
      <c r="K1468" s="789"/>
      <c r="L1468" s="791"/>
    </row>
    <row r="1469" spans="3:12" s="767" customFormat="1" x14ac:dyDescent="0.25">
      <c r="D1469" s="834" t="s">
        <v>10300</v>
      </c>
      <c r="F1469" s="995" t="s">
        <v>3</v>
      </c>
      <c r="G1469" s="10">
        <f>(0.37*0.29*2+0.075*0.25*2)*0.15*2*1.12</f>
        <v>8.4705599999999992E-2</v>
      </c>
      <c r="H1469" s="538"/>
      <c r="I1469" s="789"/>
      <c r="J1469" s="790"/>
      <c r="K1469" s="789"/>
      <c r="L1469" s="791"/>
    </row>
    <row r="1470" spans="3:12" s="767" customFormat="1" x14ac:dyDescent="0.25">
      <c r="D1470" s="834" t="s">
        <v>11</v>
      </c>
      <c r="F1470" s="995" t="s">
        <v>3</v>
      </c>
      <c r="G1470" s="10">
        <f>0.3*G1469</f>
        <v>2.5411679999999996E-2</v>
      </c>
      <c r="H1470" s="538"/>
      <c r="I1470" s="789"/>
      <c r="J1470" s="790"/>
      <c r="K1470" s="789"/>
      <c r="L1470" s="791"/>
    </row>
    <row r="1471" spans="3:12" s="767" customFormat="1" x14ac:dyDescent="0.25">
      <c r="D1471" s="186"/>
      <c r="E1471" s="3" t="s">
        <v>11837</v>
      </c>
      <c r="F1471" s="995"/>
      <c r="G1471" s="10"/>
      <c r="H1471" s="538"/>
      <c r="I1471" s="789"/>
      <c r="J1471" s="790"/>
      <c r="K1471" s="789"/>
      <c r="L1471" s="791"/>
    </row>
    <row r="1472" spans="3:12" s="767" customFormat="1" x14ac:dyDescent="0.25">
      <c r="D1472" s="186"/>
      <c r="E1472" s="767" t="s">
        <v>5037</v>
      </c>
      <c r="F1472" s="995" t="s">
        <v>3</v>
      </c>
      <c r="G1472" s="10">
        <f>0.37*0.29*1.161</f>
        <v>0.1245753</v>
      </c>
      <c r="H1472" s="538"/>
      <c r="I1472" s="789"/>
      <c r="J1472" s="790"/>
      <c r="K1472" s="789"/>
      <c r="L1472" s="791"/>
    </row>
    <row r="1473" spans="3:12" s="767" customFormat="1" x14ac:dyDescent="0.25">
      <c r="D1473" s="186"/>
      <c r="E1473" s="3" t="s">
        <v>11838</v>
      </c>
      <c r="F1473" s="995"/>
      <c r="G1473" s="10"/>
      <c r="H1473" s="538"/>
      <c r="I1473" s="789"/>
      <c r="J1473" s="790"/>
      <c r="K1473" s="789"/>
      <c r="L1473" s="791"/>
    </row>
    <row r="1474" spans="3:12" s="767" customFormat="1" x14ac:dyDescent="0.25">
      <c r="D1474" s="186"/>
      <c r="E1474" s="767" t="s">
        <v>5037</v>
      </c>
      <c r="F1474" s="995" t="s">
        <v>3</v>
      </c>
      <c r="G1474" s="10">
        <f>0.2*0.25*5*8*1.1</f>
        <v>2.2000000000000002</v>
      </c>
      <c r="H1474" s="538"/>
      <c r="I1474" s="789"/>
      <c r="J1474" s="790"/>
      <c r="K1474" s="789"/>
      <c r="L1474" s="791"/>
    </row>
    <row r="1475" spans="3:12" s="767" customFormat="1" x14ac:dyDescent="0.25">
      <c r="C1475" s="3"/>
      <c r="D1475" s="3" t="s">
        <v>11839</v>
      </c>
      <c r="F1475" s="995"/>
      <c r="G1475" s="10"/>
      <c r="H1475" s="538"/>
      <c r="I1475" s="789"/>
      <c r="J1475" s="790"/>
      <c r="K1475" s="789"/>
      <c r="L1475" s="791"/>
    </row>
    <row r="1476" spans="3:12" s="767" customFormat="1" x14ac:dyDescent="0.25">
      <c r="D1476" s="834" t="s">
        <v>39</v>
      </c>
      <c r="F1476" s="827" t="s">
        <v>3</v>
      </c>
      <c r="G1476" s="785">
        <f>(0.16)*0.1*1.25</f>
        <v>0.02</v>
      </c>
      <c r="H1476" s="538"/>
      <c r="I1476" s="789"/>
      <c r="J1476" s="790"/>
      <c r="K1476" s="789"/>
      <c r="L1476" s="791"/>
    </row>
    <row r="1477" spans="3:12" s="767" customFormat="1" ht="17.25" x14ac:dyDescent="0.25">
      <c r="D1477" s="834" t="s">
        <v>1055</v>
      </c>
      <c r="F1477" s="827" t="s">
        <v>596</v>
      </c>
      <c r="G1477" s="777">
        <f>1.5*G1476</f>
        <v>0.03</v>
      </c>
      <c r="H1477" s="538"/>
      <c r="I1477" s="789"/>
      <c r="J1477" s="790"/>
      <c r="K1477" s="789"/>
      <c r="L1477" s="791"/>
    </row>
    <row r="1478" spans="3:12" s="767" customFormat="1" x14ac:dyDescent="0.25">
      <c r="D1478" s="834" t="s">
        <v>3724</v>
      </c>
      <c r="F1478" s="850" t="s">
        <v>3</v>
      </c>
      <c r="G1478" s="10">
        <f>0.16*0.04*2*0.2</f>
        <v>2.5600000000000002E-3</v>
      </c>
      <c r="H1478" s="538"/>
      <c r="I1478" s="789"/>
      <c r="J1478" s="790"/>
      <c r="K1478" s="789"/>
      <c r="L1478" s="791"/>
    </row>
    <row r="1479" spans="3:12" s="767" customFormat="1" x14ac:dyDescent="0.25">
      <c r="D1479" s="834" t="s">
        <v>8</v>
      </c>
      <c r="F1479" s="995" t="s">
        <v>3</v>
      </c>
      <c r="G1479" s="10">
        <f>G1481*0.71</f>
        <v>8.8607999999999985E-3</v>
      </c>
      <c r="H1479" s="538"/>
      <c r="I1479" s="789"/>
      <c r="J1479" s="790"/>
      <c r="K1479" s="789"/>
      <c r="L1479" s="791"/>
    </row>
    <row r="1480" spans="3:12" s="767" customFormat="1" x14ac:dyDescent="0.25">
      <c r="D1480" s="942" t="s">
        <v>12</v>
      </c>
      <c r="F1480" s="995" t="s">
        <v>3</v>
      </c>
      <c r="G1480" s="10">
        <f>0.3*G1479</f>
        <v>2.6582399999999996E-3</v>
      </c>
      <c r="H1480" s="538"/>
      <c r="I1480" s="789"/>
      <c r="J1480" s="790"/>
      <c r="K1480" s="789"/>
      <c r="L1480" s="791"/>
    </row>
    <row r="1481" spans="3:12" s="767" customFormat="1" x14ac:dyDescent="0.25">
      <c r="D1481" s="834" t="s">
        <v>10300</v>
      </c>
      <c r="F1481" s="995" t="s">
        <v>3</v>
      </c>
      <c r="G1481" s="32">
        <f>0.16*0.03*2*1.3</f>
        <v>1.248E-2</v>
      </c>
      <c r="H1481" s="538"/>
      <c r="I1481" s="789"/>
      <c r="J1481" s="790"/>
      <c r="K1481" s="789"/>
      <c r="L1481" s="791"/>
    </row>
    <row r="1482" spans="3:12" s="767" customFormat="1" x14ac:dyDescent="0.25">
      <c r="D1482" s="834" t="s">
        <v>11</v>
      </c>
      <c r="F1482" s="995" t="s">
        <v>3</v>
      </c>
      <c r="G1482" s="10">
        <f>0.3*G1481</f>
        <v>3.7439999999999999E-3</v>
      </c>
      <c r="H1482" s="538"/>
      <c r="I1482" s="789"/>
      <c r="J1482" s="790"/>
      <c r="K1482" s="789"/>
      <c r="L1482" s="791"/>
    </row>
    <row r="1483" spans="3:12" s="767" customFormat="1" x14ac:dyDescent="0.25">
      <c r="D1483" s="3" t="s">
        <v>11840</v>
      </c>
      <c r="F1483" s="995"/>
      <c r="G1483" s="10"/>
      <c r="H1483" s="538"/>
      <c r="I1483" s="789"/>
      <c r="J1483" s="790"/>
      <c r="K1483" s="789"/>
      <c r="L1483" s="791"/>
    </row>
    <row r="1484" spans="3:12" s="767" customFormat="1" x14ac:dyDescent="0.25">
      <c r="D1484" s="834" t="s">
        <v>39</v>
      </c>
      <c r="F1484" s="827" t="s">
        <v>3</v>
      </c>
      <c r="G1484" s="785">
        <f>(0.16)*0.1*1.25</f>
        <v>0.02</v>
      </c>
      <c r="H1484" s="538"/>
      <c r="I1484" s="789"/>
      <c r="J1484" s="790"/>
      <c r="K1484" s="789"/>
      <c r="L1484" s="791"/>
    </row>
    <row r="1485" spans="3:12" s="767" customFormat="1" ht="17.25" x14ac:dyDescent="0.25">
      <c r="D1485" s="834" t="s">
        <v>1055</v>
      </c>
      <c r="F1485" s="827" t="s">
        <v>596</v>
      </c>
      <c r="G1485" s="777">
        <f>1.5*G1484</f>
        <v>0.03</v>
      </c>
      <c r="H1485" s="538"/>
      <c r="I1485" s="789"/>
      <c r="J1485" s="790"/>
      <c r="K1485" s="789"/>
      <c r="L1485" s="791"/>
    </row>
    <row r="1486" spans="3:12" s="767" customFormat="1" x14ac:dyDescent="0.25">
      <c r="D1486" s="834" t="s">
        <v>3724</v>
      </c>
      <c r="F1486" s="850" t="s">
        <v>3</v>
      </c>
      <c r="G1486" s="10">
        <f>0.16*0.04*2*0.2</f>
        <v>2.5600000000000002E-3</v>
      </c>
      <c r="H1486" s="538"/>
      <c r="I1486" s="789"/>
      <c r="J1486" s="790"/>
      <c r="K1486" s="789"/>
      <c r="L1486" s="791"/>
    </row>
    <row r="1487" spans="3:12" s="767" customFormat="1" x14ac:dyDescent="0.25">
      <c r="D1487" s="834" t="s">
        <v>8</v>
      </c>
      <c r="F1487" s="995" t="s">
        <v>3</v>
      </c>
      <c r="G1487" s="10">
        <f>G1489*0.71</f>
        <v>8.8607999999999985E-3</v>
      </c>
      <c r="H1487" s="538"/>
      <c r="I1487" s="789"/>
      <c r="J1487" s="790"/>
      <c r="K1487" s="789"/>
      <c r="L1487" s="791"/>
    </row>
    <row r="1488" spans="3:12" s="767" customFormat="1" x14ac:dyDescent="0.25">
      <c r="D1488" s="942" t="s">
        <v>12</v>
      </c>
      <c r="F1488" s="995" t="s">
        <v>3</v>
      </c>
      <c r="G1488" s="10">
        <f>0.3*G1487</f>
        <v>2.6582399999999996E-3</v>
      </c>
      <c r="H1488" s="538"/>
      <c r="I1488" s="789"/>
      <c r="J1488" s="790"/>
      <c r="K1488" s="789"/>
      <c r="L1488" s="791"/>
    </row>
    <row r="1489" spans="3:12" s="767" customFormat="1" x14ac:dyDescent="0.25">
      <c r="D1489" s="834" t="s">
        <v>10300</v>
      </c>
      <c r="F1489" s="995" t="s">
        <v>3</v>
      </c>
      <c r="G1489" s="32">
        <f>0.16*0.03*2*1.3</f>
        <v>1.248E-2</v>
      </c>
      <c r="H1489" s="538"/>
      <c r="I1489" s="789"/>
      <c r="J1489" s="790"/>
      <c r="K1489" s="789"/>
      <c r="L1489" s="791"/>
    </row>
    <row r="1490" spans="3:12" s="767" customFormat="1" x14ac:dyDescent="0.25">
      <c r="D1490" s="834" t="s">
        <v>11</v>
      </c>
      <c r="F1490" s="995" t="s">
        <v>3</v>
      </c>
      <c r="G1490" s="10">
        <f>0.3*G1489</f>
        <v>3.7439999999999999E-3</v>
      </c>
      <c r="H1490" s="538"/>
      <c r="I1490" s="789"/>
      <c r="J1490" s="790"/>
      <c r="K1490" s="789"/>
      <c r="L1490" s="791"/>
    </row>
    <row r="1491" spans="3:12" s="767" customFormat="1" x14ac:dyDescent="0.25">
      <c r="D1491" s="186"/>
      <c r="F1491" s="995"/>
      <c r="G1491" s="10"/>
      <c r="H1491" s="538"/>
      <c r="I1491" s="789"/>
      <c r="J1491" s="790"/>
      <c r="K1491" s="789"/>
      <c r="L1491" s="791"/>
    </row>
    <row r="1492" spans="3:12" s="767" customFormat="1" x14ac:dyDescent="0.25">
      <c r="C1492" s="3" t="s">
        <v>11841</v>
      </c>
      <c r="D1492" s="186"/>
      <c r="F1492" s="995"/>
      <c r="G1492" s="10"/>
      <c r="H1492" s="538"/>
      <c r="I1492" s="789"/>
      <c r="J1492" s="790"/>
      <c r="K1492" s="789"/>
      <c r="L1492" s="791"/>
    </row>
    <row r="1493" spans="3:12" s="767" customFormat="1" x14ac:dyDescent="0.25">
      <c r="C1493" s="767" t="s">
        <v>10235</v>
      </c>
      <c r="F1493" s="995" t="s">
        <v>3</v>
      </c>
      <c r="G1493" s="10">
        <f>0.038*0.02*3*8*1.15</f>
        <v>2.0975999999999998E-2</v>
      </c>
      <c r="H1493" s="538"/>
      <c r="I1493" s="789"/>
      <c r="J1493" s="790"/>
      <c r="K1493" s="789"/>
      <c r="L1493" s="791"/>
    </row>
    <row r="1494" spans="3:12" s="767" customFormat="1" x14ac:dyDescent="0.25">
      <c r="D1494" s="186"/>
      <c r="F1494" s="995"/>
      <c r="G1494" s="10"/>
      <c r="H1494" s="538"/>
      <c r="I1494" s="789"/>
      <c r="J1494" s="790"/>
      <c r="K1494" s="789"/>
      <c r="L1494" s="791"/>
    </row>
    <row r="1495" spans="3:12" s="767" customFormat="1" x14ac:dyDescent="0.25">
      <c r="C1495" s="3" t="s">
        <v>11814</v>
      </c>
      <c r="D1495" s="186"/>
      <c r="F1495" s="995"/>
      <c r="G1495" s="10"/>
      <c r="H1495" s="538"/>
      <c r="I1495" s="789"/>
      <c r="J1495" s="790"/>
      <c r="K1495" s="789"/>
      <c r="L1495" s="791"/>
    </row>
    <row r="1496" spans="3:12" s="767" customFormat="1" x14ac:dyDescent="0.25">
      <c r="C1496" s="767" t="s">
        <v>10272</v>
      </c>
      <c r="D1496" s="186"/>
      <c r="F1496" s="995" t="s">
        <v>3</v>
      </c>
      <c r="G1496" s="10">
        <f>0.575*0.015*1.5*8*1.155</f>
        <v>0.11954249999999998</v>
      </c>
      <c r="H1496" s="538"/>
      <c r="I1496" s="789"/>
      <c r="J1496" s="790"/>
      <c r="K1496" s="789"/>
      <c r="L1496" s="791"/>
    </row>
    <row r="1497" spans="3:12" s="767" customFormat="1" x14ac:dyDescent="0.25">
      <c r="D1497" s="186"/>
      <c r="F1497" s="995"/>
      <c r="G1497" s="10"/>
      <c r="H1497" s="538"/>
      <c r="I1497" s="789"/>
      <c r="J1497" s="790"/>
      <c r="K1497" s="789"/>
      <c r="L1497" s="791"/>
    </row>
    <row r="1498" spans="3:12" s="767" customFormat="1" x14ac:dyDescent="0.25">
      <c r="C1498" s="3" t="s">
        <v>11842</v>
      </c>
      <c r="D1498" s="186"/>
      <c r="F1498" s="995"/>
      <c r="G1498" s="10"/>
      <c r="H1498" s="538"/>
      <c r="I1498" s="789"/>
      <c r="J1498" s="790"/>
      <c r="K1498" s="789"/>
      <c r="L1498" s="791"/>
    </row>
    <row r="1499" spans="3:12" s="767" customFormat="1" x14ac:dyDescent="0.25">
      <c r="C1499" s="767" t="s">
        <v>11843</v>
      </c>
      <c r="D1499" s="186"/>
      <c r="F1499" s="995" t="s">
        <v>3</v>
      </c>
      <c r="G1499" s="10">
        <f>0.152*0.016*0.8*8*1.15</f>
        <v>1.7899520000000002E-2</v>
      </c>
      <c r="H1499" s="538"/>
      <c r="I1499" s="789"/>
      <c r="J1499" s="790"/>
      <c r="K1499" s="789"/>
      <c r="L1499" s="791"/>
    </row>
    <row r="1500" spans="3:12" s="767" customFormat="1" x14ac:dyDescent="0.25">
      <c r="D1500" s="186"/>
      <c r="F1500" s="995"/>
      <c r="G1500" s="10"/>
      <c r="H1500" s="538"/>
      <c r="I1500" s="789"/>
      <c r="J1500" s="790"/>
      <c r="K1500" s="789"/>
      <c r="L1500" s="791"/>
    </row>
    <row r="1501" spans="3:12" s="767" customFormat="1" x14ac:dyDescent="0.25">
      <c r="C1501" s="3" t="s">
        <v>11786</v>
      </c>
      <c r="D1501" s="78"/>
      <c r="F1501" s="994"/>
      <c r="G1501" s="10"/>
      <c r="H1501" s="538"/>
      <c r="I1501" s="789"/>
      <c r="J1501" s="790"/>
      <c r="K1501" s="789"/>
      <c r="L1501" s="791"/>
    </row>
    <row r="1502" spans="3:12" s="767" customFormat="1" x14ac:dyDescent="0.25">
      <c r="C1502" s="767" t="s">
        <v>11829</v>
      </c>
      <c r="D1502" s="78"/>
      <c r="F1502" s="994" t="s">
        <v>3</v>
      </c>
      <c r="G1502" s="10">
        <f>0.115*0.02*3*2.7*1.15</f>
        <v>2.1424499999999999E-2</v>
      </c>
      <c r="H1502" s="538"/>
      <c r="I1502" s="789"/>
      <c r="J1502" s="790"/>
      <c r="K1502" s="789"/>
      <c r="L1502" s="791"/>
    </row>
    <row r="1503" spans="3:12" s="767" customFormat="1" x14ac:dyDescent="0.25">
      <c r="D1503" s="186"/>
      <c r="F1503" s="995"/>
      <c r="G1503" s="10"/>
      <c r="H1503" s="538"/>
      <c r="I1503" s="789"/>
      <c r="J1503" s="790"/>
      <c r="K1503" s="789"/>
      <c r="L1503" s="791"/>
    </row>
    <row r="1504" spans="3:12" s="767" customFormat="1" x14ac:dyDescent="0.25">
      <c r="C1504" s="3" t="s">
        <v>11793</v>
      </c>
      <c r="D1504" s="186"/>
      <c r="F1504" s="995"/>
      <c r="G1504" s="10"/>
      <c r="H1504" s="538"/>
      <c r="I1504" s="789"/>
      <c r="J1504" s="790"/>
      <c r="K1504" s="789"/>
      <c r="L1504" s="791"/>
    </row>
    <row r="1505" spans="3:12" s="767" customFormat="1" x14ac:dyDescent="0.25">
      <c r="C1505" s="767" t="s">
        <v>11844</v>
      </c>
      <c r="D1505" s="186"/>
      <c r="F1505" s="995" t="s">
        <v>195</v>
      </c>
      <c r="G1505" s="10">
        <f>L1505</f>
        <v>3</v>
      </c>
      <c r="H1505" s="538"/>
      <c r="I1505" s="789" t="s">
        <v>10149</v>
      </c>
      <c r="J1505" s="790">
        <v>2.85</v>
      </c>
      <c r="K1505" s="789" t="s">
        <v>10150</v>
      </c>
      <c r="L1505" s="791">
        <v>3</v>
      </c>
    </row>
    <row r="1506" spans="3:12" s="767" customFormat="1" x14ac:dyDescent="0.25">
      <c r="C1506" s="767" t="s">
        <v>11833</v>
      </c>
      <c r="D1506" s="186"/>
      <c r="F1506" s="995" t="s">
        <v>3</v>
      </c>
      <c r="G1506" s="15">
        <f>0.00153*L1506</f>
        <v>1.224E-3</v>
      </c>
      <c r="H1506" s="538"/>
      <c r="I1506" s="789" t="s">
        <v>10149</v>
      </c>
      <c r="J1506" s="790">
        <f>0.34*2</f>
        <v>0.68</v>
      </c>
      <c r="K1506" s="789" t="s">
        <v>10150</v>
      </c>
      <c r="L1506" s="791">
        <v>0.8</v>
      </c>
    </row>
    <row r="1507" spans="3:12" s="767" customFormat="1" x14ac:dyDescent="0.25">
      <c r="C1507" s="767" t="s">
        <v>11845</v>
      </c>
      <c r="D1507" s="186"/>
      <c r="F1507" s="995" t="s">
        <v>3</v>
      </c>
      <c r="G1507" s="10">
        <v>7.0000000000000001E-3</v>
      </c>
      <c r="H1507" s="538"/>
      <c r="I1507" s="789"/>
      <c r="J1507" s="790"/>
      <c r="K1507" s="789"/>
      <c r="L1507" s="791"/>
    </row>
    <row r="1508" spans="3:12" s="767" customFormat="1" x14ac:dyDescent="0.25">
      <c r="C1508" s="767" t="s">
        <v>672</v>
      </c>
      <c r="D1508" s="186"/>
      <c r="F1508" s="995" t="s">
        <v>3</v>
      </c>
      <c r="G1508" s="10">
        <f>G1507*2</f>
        <v>1.4E-2</v>
      </c>
      <c r="H1508" s="538"/>
      <c r="I1508" s="789"/>
      <c r="J1508" s="790"/>
      <c r="K1508" s="789"/>
      <c r="L1508" s="791"/>
    </row>
    <row r="1509" spans="3:12" s="767" customFormat="1" x14ac:dyDescent="0.25">
      <c r="D1509" s="186"/>
      <c r="F1509" s="995"/>
      <c r="G1509" s="10"/>
      <c r="H1509" s="538"/>
      <c r="I1509" s="789"/>
      <c r="J1509" s="790"/>
      <c r="K1509" s="789"/>
      <c r="L1509" s="791"/>
    </row>
    <row r="1510" spans="3:12" s="767" customFormat="1" x14ac:dyDescent="0.25">
      <c r="C1510" s="3" t="s">
        <v>11792</v>
      </c>
      <c r="F1510" s="995" t="s">
        <v>2180</v>
      </c>
      <c r="G1510" s="10"/>
      <c r="H1510" s="538"/>
      <c r="I1510" s="789"/>
      <c r="J1510" s="790"/>
      <c r="K1510" s="789"/>
      <c r="L1510" s="791"/>
    </row>
    <row r="1511" spans="3:12" s="767" customFormat="1" x14ac:dyDescent="0.25">
      <c r="D1511" s="186"/>
      <c r="F1511" s="995"/>
      <c r="G1511" s="10"/>
      <c r="H1511" s="538"/>
      <c r="I1511" s="789"/>
      <c r="J1511" s="790"/>
      <c r="K1511" s="789"/>
      <c r="L1511" s="791"/>
    </row>
    <row r="1512" spans="3:12" s="767" customFormat="1" x14ac:dyDescent="0.25">
      <c r="C1512" s="3" t="s">
        <v>11780</v>
      </c>
      <c r="D1512" s="186"/>
      <c r="F1512" s="994"/>
      <c r="G1512" s="10"/>
      <c r="H1512" s="538"/>
      <c r="I1512" s="789"/>
      <c r="J1512" s="790"/>
      <c r="K1512" s="789"/>
      <c r="L1512" s="791"/>
    </row>
    <row r="1513" spans="3:12" s="767" customFormat="1" x14ac:dyDescent="0.25">
      <c r="C1513" s="73" t="s">
        <v>2843</v>
      </c>
      <c r="D1513" s="73"/>
      <c r="E1513" s="73"/>
      <c r="F1513" s="74" t="s">
        <v>3</v>
      </c>
      <c r="G1513" s="10">
        <f>0.05*3.14*0.08</f>
        <v>1.2560000000000002E-2</v>
      </c>
      <c r="H1513" s="538"/>
      <c r="I1513" s="789"/>
      <c r="J1513" s="790"/>
      <c r="K1513" s="789"/>
      <c r="L1513" s="791"/>
    </row>
    <row r="1514" spans="3:12" s="767" customFormat="1" x14ac:dyDescent="0.25">
      <c r="C1514" s="73" t="s">
        <v>6432</v>
      </c>
      <c r="D1514" s="73"/>
      <c r="E1514" s="73"/>
      <c r="F1514" s="74" t="s">
        <v>3</v>
      </c>
      <c r="G1514" s="10">
        <f>2*G1513</f>
        <v>2.5120000000000003E-2</v>
      </c>
      <c r="H1514" s="538"/>
      <c r="I1514" s="789"/>
      <c r="J1514" s="790"/>
      <c r="K1514" s="789"/>
      <c r="L1514" s="791"/>
    </row>
    <row r="1515" spans="3:12" s="767" customFormat="1" x14ac:dyDescent="0.25">
      <c r="C1515" s="77" t="s">
        <v>11817</v>
      </c>
      <c r="D1515" s="186"/>
      <c r="F1515" s="994" t="s">
        <v>207</v>
      </c>
      <c r="G1515" s="10">
        <f>0.08*0.15</f>
        <v>1.2E-2</v>
      </c>
      <c r="H1515" s="538"/>
      <c r="I1515" s="789"/>
      <c r="J1515" s="790"/>
      <c r="K1515" s="789"/>
      <c r="L1515" s="791"/>
    </row>
    <row r="1516" spans="3:12" s="767" customFormat="1" x14ac:dyDescent="0.25">
      <c r="C1516" s="77" t="s">
        <v>11818</v>
      </c>
      <c r="D1516" s="186"/>
      <c r="F1516" s="994" t="s">
        <v>3</v>
      </c>
      <c r="G1516" s="10">
        <f>0.0062*L1516</f>
        <v>2.5419999999999996E-3</v>
      </c>
      <c r="H1516" s="538"/>
      <c r="I1516" s="789" t="s">
        <v>10149</v>
      </c>
      <c r="J1516" s="790">
        <v>0.36</v>
      </c>
      <c r="K1516" s="789" t="s">
        <v>10150</v>
      </c>
      <c r="L1516" s="791">
        <v>0.41</v>
      </c>
    </row>
    <row r="1517" spans="3:12" s="767" customFormat="1" x14ac:dyDescent="0.25">
      <c r="D1517" s="78" t="s">
        <v>11819</v>
      </c>
      <c r="F1517" s="994" t="s">
        <v>2180</v>
      </c>
      <c r="G1517" s="10"/>
      <c r="H1517" s="538"/>
      <c r="I1517" s="789"/>
      <c r="J1517" s="790"/>
      <c r="K1517" s="789"/>
      <c r="L1517" s="791"/>
    </row>
    <row r="1518" spans="3:12" s="767" customFormat="1" x14ac:dyDescent="0.25">
      <c r="D1518" s="186"/>
      <c r="E1518" s="3" t="s">
        <v>11820</v>
      </c>
      <c r="F1518" s="994"/>
      <c r="G1518" s="10"/>
      <c r="H1518" s="538"/>
      <c r="I1518" s="789"/>
      <c r="J1518" s="790"/>
      <c r="K1518" s="789"/>
      <c r="L1518" s="791"/>
    </row>
    <row r="1519" spans="3:12" s="767" customFormat="1" x14ac:dyDescent="0.25">
      <c r="D1519" s="186"/>
      <c r="E1519" s="767" t="s">
        <v>10217</v>
      </c>
      <c r="F1519" s="994" t="s">
        <v>3</v>
      </c>
      <c r="G1519" s="10">
        <f>0.0551*L1519</f>
        <v>5.510000000000001E-3</v>
      </c>
      <c r="H1519" s="538"/>
      <c r="I1519" s="789" t="s">
        <v>10149</v>
      </c>
      <c r="J1519" s="790">
        <v>7.6999999999999999E-2</v>
      </c>
      <c r="K1519" s="789" t="s">
        <v>10150</v>
      </c>
      <c r="L1519" s="791">
        <v>0.1</v>
      </c>
    </row>
    <row r="1520" spans="3:12" s="767" customFormat="1" x14ac:dyDescent="0.25">
      <c r="D1520" s="78" t="s">
        <v>11821</v>
      </c>
      <c r="F1520" s="994"/>
      <c r="G1520" s="10"/>
      <c r="H1520" s="538"/>
      <c r="I1520" s="789"/>
      <c r="J1520" s="790"/>
      <c r="K1520" s="789"/>
      <c r="L1520" s="791"/>
    </row>
    <row r="1521" spans="3:12" s="767" customFormat="1" x14ac:dyDescent="0.25">
      <c r="D1521" s="100" t="s">
        <v>140</v>
      </c>
      <c r="F1521" s="74" t="s">
        <v>3</v>
      </c>
      <c r="G1521" s="153">
        <f>0.006*3.14*4*0.08*1.25</f>
        <v>7.536000000000001E-3</v>
      </c>
      <c r="H1521" s="538"/>
      <c r="I1521" s="789"/>
      <c r="J1521" s="790"/>
      <c r="K1521" s="789"/>
      <c r="L1521" s="791"/>
    </row>
    <row r="1522" spans="3:12" s="767" customFormat="1" ht="17.25" x14ac:dyDescent="0.25">
      <c r="D1522" s="100" t="s">
        <v>23</v>
      </c>
      <c r="F1522" s="74" t="s">
        <v>596</v>
      </c>
      <c r="G1522" s="153">
        <f>G1521*2</f>
        <v>1.5072000000000002E-2</v>
      </c>
      <c r="H1522" s="538"/>
      <c r="I1522" s="789"/>
      <c r="J1522" s="790"/>
      <c r="K1522" s="789"/>
      <c r="L1522" s="791"/>
    </row>
    <row r="1523" spans="3:12" s="767" customFormat="1" x14ac:dyDescent="0.25">
      <c r="D1523" s="100" t="s">
        <v>142</v>
      </c>
      <c r="F1523" s="74" t="s">
        <v>3</v>
      </c>
      <c r="G1523" s="153">
        <f>G1521/4</f>
        <v>1.8840000000000003E-3</v>
      </c>
      <c r="H1523" s="538"/>
      <c r="I1523" s="789"/>
      <c r="J1523" s="790"/>
      <c r="K1523" s="789"/>
      <c r="L1523" s="791"/>
    </row>
    <row r="1524" spans="3:12" s="767" customFormat="1" x14ac:dyDescent="0.25">
      <c r="D1524" s="186"/>
      <c r="E1524" s="3" t="s">
        <v>11822</v>
      </c>
      <c r="F1524" s="994"/>
      <c r="G1524" s="10"/>
      <c r="H1524" s="538"/>
      <c r="I1524" s="789"/>
      <c r="J1524" s="790"/>
      <c r="K1524" s="789"/>
      <c r="L1524" s="791"/>
    </row>
    <row r="1525" spans="3:12" s="767" customFormat="1" x14ac:dyDescent="0.25">
      <c r="D1525" s="186"/>
      <c r="E1525" s="767" t="s">
        <v>10272</v>
      </c>
      <c r="F1525" s="994" t="s">
        <v>3</v>
      </c>
      <c r="G1525" s="10">
        <f>0.025*0.035*1.5*8*1.15</f>
        <v>1.2075000000000002E-2</v>
      </c>
      <c r="H1525" s="538"/>
      <c r="I1525" s="789"/>
      <c r="J1525" s="790"/>
      <c r="K1525" s="789"/>
      <c r="L1525" s="791"/>
    </row>
    <row r="1526" spans="3:12" s="767" customFormat="1" x14ac:dyDescent="0.25">
      <c r="D1526" s="78" t="s">
        <v>11824</v>
      </c>
      <c r="F1526" s="994"/>
      <c r="G1526" s="10"/>
      <c r="H1526" s="538"/>
      <c r="I1526" s="789"/>
      <c r="J1526" s="790"/>
      <c r="K1526" s="789"/>
      <c r="L1526" s="791"/>
    </row>
    <row r="1527" spans="3:12" s="767" customFormat="1" x14ac:dyDescent="0.25">
      <c r="D1527" s="186" t="s">
        <v>5002</v>
      </c>
      <c r="F1527" s="994" t="s">
        <v>3</v>
      </c>
      <c r="G1527" s="10">
        <f>0.222*L1527</f>
        <v>2.2200000000000001E-2</v>
      </c>
      <c r="H1527" s="538"/>
      <c r="I1527" s="789" t="s">
        <v>10149</v>
      </c>
      <c r="J1527" s="790">
        <v>8.7999999999999995E-2</v>
      </c>
      <c r="K1527" s="789" t="s">
        <v>10150</v>
      </c>
      <c r="L1527" s="791">
        <v>0.1</v>
      </c>
    </row>
    <row r="1528" spans="3:12" s="767" customFormat="1" x14ac:dyDescent="0.25">
      <c r="D1528" s="78" t="s">
        <v>11825</v>
      </c>
      <c r="F1528" s="994"/>
      <c r="G1528" s="10"/>
      <c r="H1528" s="538"/>
      <c r="I1528" s="789"/>
      <c r="J1528" s="790"/>
      <c r="K1528" s="789"/>
      <c r="L1528" s="791"/>
    </row>
    <row r="1529" spans="3:12" s="767" customFormat="1" x14ac:dyDescent="0.25">
      <c r="D1529" s="186" t="s">
        <v>11826</v>
      </c>
      <c r="F1529" s="994" t="s">
        <v>207</v>
      </c>
      <c r="G1529" s="10">
        <f>0.07*0.07</f>
        <v>4.9000000000000007E-3</v>
      </c>
      <c r="H1529" s="538"/>
      <c r="I1529" s="789"/>
      <c r="J1529" s="790"/>
      <c r="K1529" s="789"/>
      <c r="L1529" s="791"/>
    </row>
    <row r="1530" spans="3:12" s="767" customFormat="1" x14ac:dyDescent="0.25">
      <c r="D1530" s="78"/>
      <c r="F1530" s="994"/>
      <c r="G1530" s="10"/>
      <c r="H1530" s="538"/>
      <c r="I1530" s="789"/>
      <c r="J1530" s="790"/>
      <c r="K1530" s="789"/>
      <c r="L1530" s="791"/>
    </row>
    <row r="1531" spans="3:12" s="767" customFormat="1" x14ac:dyDescent="0.25">
      <c r="C1531" s="3" t="s">
        <v>11782</v>
      </c>
      <c r="D1531" s="78"/>
      <c r="F1531" s="994"/>
      <c r="G1531" s="10"/>
      <c r="H1531" s="538"/>
      <c r="I1531" s="789"/>
      <c r="J1531" s="790"/>
      <c r="K1531" s="789"/>
      <c r="L1531" s="791"/>
    </row>
    <row r="1532" spans="3:12" s="767" customFormat="1" x14ac:dyDescent="0.25">
      <c r="C1532" s="767" t="s">
        <v>11828</v>
      </c>
      <c r="D1532" s="78"/>
      <c r="F1532" s="994" t="s">
        <v>3</v>
      </c>
      <c r="G1532" s="10">
        <f>L1532</f>
        <v>0.35</v>
      </c>
      <c r="H1532" s="538"/>
      <c r="I1532" s="789" t="s">
        <v>10149</v>
      </c>
      <c r="J1532" s="790">
        <v>0.32</v>
      </c>
      <c r="K1532" s="789" t="s">
        <v>10150</v>
      </c>
      <c r="L1532" s="791">
        <v>0.35</v>
      </c>
    </row>
    <row r="1533" spans="3:12" s="767" customFormat="1" x14ac:dyDescent="0.25">
      <c r="D1533" s="78"/>
      <c r="F1533" s="994"/>
      <c r="G1533" s="10"/>
      <c r="H1533" s="538"/>
      <c r="I1533" s="789"/>
      <c r="J1533" s="790"/>
      <c r="K1533" s="789"/>
      <c r="L1533" s="791"/>
    </row>
    <row r="1534" spans="3:12" s="767" customFormat="1" x14ac:dyDescent="0.25">
      <c r="C1534" s="3" t="s">
        <v>11789</v>
      </c>
      <c r="D1534" s="78"/>
      <c r="F1534" s="994"/>
      <c r="G1534" s="10"/>
      <c r="H1534" s="538"/>
      <c r="I1534" s="789"/>
      <c r="J1534" s="790"/>
      <c r="K1534" s="789"/>
      <c r="L1534" s="791"/>
    </row>
    <row r="1535" spans="3:12" s="767" customFormat="1" x14ac:dyDescent="0.25">
      <c r="C1535" s="100" t="s">
        <v>140</v>
      </c>
      <c r="F1535" s="74" t="s">
        <v>3</v>
      </c>
      <c r="G1535" s="153">
        <f>0.012*3.14*2*0.08*1.25</f>
        <v>7.536000000000001E-3</v>
      </c>
      <c r="H1535" s="538"/>
      <c r="I1535" s="789"/>
      <c r="J1535" s="790"/>
      <c r="K1535" s="789"/>
      <c r="L1535" s="791"/>
    </row>
    <row r="1536" spans="3:12" s="767" customFormat="1" ht="17.25" x14ac:dyDescent="0.25">
      <c r="C1536" s="100" t="s">
        <v>23</v>
      </c>
      <c r="F1536" s="74" t="s">
        <v>596</v>
      </c>
      <c r="G1536" s="153">
        <f>G1535*2</f>
        <v>1.5072000000000002E-2</v>
      </c>
      <c r="H1536" s="538"/>
      <c r="I1536" s="789"/>
      <c r="J1536" s="790"/>
      <c r="K1536" s="789"/>
      <c r="L1536" s="791"/>
    </row>
    <row r="1537" spans="1:12" s="767" customFormat="1" x14ac:dyDescent="0.25">
      <c r="C1537" s="100" t="s">
        <v>142</v>
      </c>
      <c r="F1537" s="74" t="s">
        <v>3</v>
      </c>
      <c r="G1537" s="153">
        <f>G1535/4</f>
        <v>1.8840000000000003E-3</v>
      </c>
      <c r="H1537" s="538"/>
      <c r="I1537" s="789"/>
      <c r="J1537" s="790"/>
      <c r="K1537" s="789"/>
      <c r="L1537" s="791"/>
    </row>
    <row r="1538" spans="1:12" s="767" customFormat="1" x14ac:dyDescent="0.25">
      <c r="C1538" s="834" t="s">
        <v>1021</v>
      </c>
      <c r="D1538" s="834"/>
      <c r="F1538" s="827" t="s">
        <v>3</v>
      </c>
      <c r="G1538" s="777">
        <v>1.4999999999999999E-2</v>
      </c>
      <c r="H1538" s="538"/>
      <c r="I1538" s="789"/>
      <c r="J1538" s="790"/>
      <c r="K1538" s="789"/>
      <c r="L1538" s="791"/>
    </row>
    <row r="1539" spans="1:12" s="767" customFormat="1" x14ac:dyDescent="0.25">
      <c r="C1539" s="834" t="s">
        <v>661</v>
      </c>
      <c r="D1539" s="834"/>
      <c r="F1539" s="827" t="s">
        <v>3</v>
      </c>
      <c r="G1539" s="777">
        <f>G1538*0.3</f>
        <v>4.4999999999999997E-3</v>
      </c>
      <c r="H1539" s="538"/>
      <c r="I1539" s="789"/>
      <c r="J1539" s="790"/>
      <c r="K1539" s="789"/>
      <c r="L1539" s="791"/>
    </row>
    <row r="1540" spans="1:12" s="767" customFormat="1" x14ac:dyDescent="0.25">
      <c r="C1540" s="834" t="s">
        <v>1993</v>
      </c>
      <c r="D1540" s="834"/>
      <c r="F1540" s="827" t="s">
        <v>3</v>
      </c>
      <c r="G1540" s="777">
        <f>G1538*0.12</f>
        <v>1.8E-3</v>
      </c>
      <c r="H1540" s="538"/>
      <c r="I1540" s="789"/>
      <c r="J1540" s="790"/>
      <c r="K1540" s="789"/>
      <c r="L1540" s="791"/>
    </row>
    <row r="1541" spans="1:12" s="767" customFormat="1" x14ac:dyDescent="0.25">
      <c r="C1541" s="834" t="s">
        <v>879</v>
      </c>
      <c r="D1541" s="186"/>
      <c r="F1541" s="994" t="s">
        <v>3</v>
      </c>
      <c r="G1541" s="10">
        <f>G1538</f>
        <v>1.4999999999999999E-2</v>
      </c>
      <c r="H1541" s="538"/>
      <c r="I1541" s="789"/>
      <c r="J1541" s="790"/>
      <c r="K1541" s="789"/>
      <c r="L1541" s="791"/>
    </row>
    <row r="1542" spans="1:12" s="767" customFormat="1" x14ac:dyDescent="0.25">
      <c r="C1542" s="834" t="s">
        <v>11831</v>
      </c>
      <c r="D1542" s="186"/>
      <c r="F1542" s="994" t="s">
        <v>3</v>
      </c>
      <c r="G1542" s="10">
        <f>0.3*G1541</f>
        <v>4.4999999999999997E-3</v>
      </c>
      <c r="H1542" s="538"/>
      <c r="I1542" s="789"/>
      <c r="J1542" s="790"/>
      <c r="K1542" s="789"/>
      <c r="L1542" s="791"/>
    </row>
    <row r="1543" spans="1:12" s="767" customFormat="1" x14ac:dyDescent="0.25">
      <c r="D1543" s="78" t="s">
        <v>11832</v>
      </c>
      <c r="F1543" s="994"/>
      <c r="G1543" s="10"/>
      <c r="H1543" s="538"/>
      <c r="I1543" s="789"/>
      <c r="J1543" s="790"/>
      <c r="K1543" s="789"/>
      <c r="L1543" s="791"/>
    </row>
    <row r="1544" spans="1:12" s="767" customFormat="1" x14ac:dyDescent="0.25">
      <c r="D1544" s="186" t="s">
        <v>5021</v>
      </c>
      <c r="F1544" s="994" t="s">
        <v>3</v>
      </c>
      <c r="G1544" s="10">
        <f>0.271* L1544</f>
        <v>2.9810000000000003E-2</v>
      </c>
      <c r="H1544" s="538"/>
      <c r="I1544" s="789" t="s">
        <v>10149</v>
      </c>
      <c r="J1544" s="790">
        <v>7.4999999999999997E-2</v>
      </c>
      <c r="K1544" s="789" t="s">
        <v>10150</v>
      </c>
      <c r="L1544" s="791">
        <v>0.11</v>
      </c>
    </row>
    <row r="1545" spans="1:12" s="767" customFormat="1" x14ac:dyDescent="0.25">
      <c r="A1545" s="539"/>
      <c r="B1545" s="539"/>
      <c r="C1545" s="539"/>
      <c r="D1545" s="539"/>
      <c r="E1545" s="539"/>
      <c r="F1545" s="539"/>
      <c r="G1545" s="600"/>
      <c r="H1545" s="540"/>
      <c r="I1545" s="789"/>
      <c r="J1545" s="790"/>
      <c r="K1545" s="789"/>
      <c r="L1545" s="791"/>
    </row>
    <row r="1546" spans="1:12" s="767" customFormat="1" x14ac:dyDescent="0.25">
      <c r="H1546" s="631" t="s">
        <v>12330</v>
      </c>
      <c r="I1546" s="789"/>
      <c r="J1546" s="790"/>
      <c r="K1546" s="789"/>
      <c r="L1546" s="791"/>
    </row>
    <row r="1547" spans="1:12" s="767" customFormat="1" x14ac:dyDescent="0.25">
      <c r="G1547" s="10"/>
      <c r="H1547" s="538"/>
      <c r="I1547" s="789"/>
      <c r="J1547" s="790"/>
      <c r="K1547" s="789"/>
      <c r="L1547" s="791"/>
    </row>
    <row r="1548" spans="1:12" s="767" customFormat="1" x14ac:dyDescent="0.25">
      <c r="C1548" s="3" t="s">
        <v>11790</v>
      </c>
      <c r="G1548" s="10"/>
      <c r="H1548" s="538"/>
      <c r="I1548" s="789"/>
      <c r="J1548" s="790"/>
      <c r="K1548" s="789"/>
      <c r="L1548" s="791"/>
    </row>
    <row r="1549" spans="1:12" s="767" customFormat="1" x14ac:dyDescent="0.25">
      <c r="C1549" s="100" t="s">
        <v>140</v>
      </c>
      <c r="F1549" s="74" t="s">
        <v>3</v>
      </c>
      <c r="G1549" s="153">
        <f>0.012*3.14*0.08*1.25</f>
        <v>3.7680000000000005E-3</v>
      </c>
      <c r="H1549" s="538"/>
      <c r="I1549" s="789"/>
      <c r="J1549" s="790"/>
      <c r="K1549" s="789"/>
      <c r="L1549" s="791"/>
    </row>
    <row r="1550" spans="1:12" s="767" customFormat="1" ht="17.25" x14ac:dyDescent="0.25">
      <c r="C1550" s="100" t="s">
        <v>23</v>
      </c>
      <c r="F1550" s="74" t="s">
        <v>596</v>
      </c>
      <c r="G1550" s="153">
        <f>G1549*2</f>
        <v>7.536000000000001E-3</v>
      </c>
      <c r="H1550" s="538"/>
      <c r="I1550" s="789"/>
      <c r="J1550" s="790"/>
      <c r="K1550" s="789"/>
      <c r="L1550" s="791"/>
    </row>
    <row r="1551" spans="1:12" s="767" customFormat="1" x14ac:dyDescent="0.25">
      <c r="C1551" s="100" t="s">
        <v>142</v>
      </c>
      <c r="F1551" s="74" t="s">
        <v>3</v>
      </c>
      <c r="G1551" s="153">
        <f>G1549/4</f>
        <v>9.4200000000000013E-4</v>
      </c>
      <c r="H1551" s="538"/>
      <c r="I1551" s="789"/>
      <c r="J1551" s="790"/>
      <c r="K1551" s="789"/>
      <c r="L1551" s="791"/>
    </row>
    <row r="1552" spans="1:12" s="767" customFormat="1" x14ac:dyDescent="0.25">
      <c r="C1552" s="25" t="s">
        <v>879</v>
      </c>
      <c r="F1552" s="74" t="s">
        <v>3</v>
      </c>
      <c r="G1552" s="10">
        <v>5.0000000000000001E-3</v>
      </c>
      <c r="H1552" s="538"/>
      <c r="I1552" s="789"/>
      <c r="J1552" s="790"/>
      <c r="K1552" s="789"/>
      <c r="L1552" s="791"/>
    </row>
    <row r="1553" spans="3:12" s="767" customFormat="1" x14ac:dyDescent="0.25">
      <c r="C1553" s="25" t="s">
        <v>12</v>
      </c>
      <c r="F1553" s="74" t="s">
        <v>3</v>
      </c>
      <c r="G1553" s="10">
        <f>0.3*G1552</f>
        <v>1.5E-3</v>
      </c>
      <c r="H1553" s="538"/>
      <c r="I1553" s="789"/>
      <c r="J1553" s="790"/>
      <c r="K1553" s="789"/>
      <c r="L1553" s="791"/>
    </row>
    <row r="1554" spans="3:12" s="767" customFormat="1" x14ac:dyDescent="0.25">
      <c r="C1554" s="3"/>
      <c r="G1554" s="10"/>
      <c r="H1554" s="538"/>
      <c r="I1554" s="789"/>
      <c r="J1554" s="790"/>
      <c r="K1554" s="789"/>
      <c r="L1554" s="791"/>
    </row>
    <row r="1555" spans="3:12" s="767" customFormat="1" x14ac:dyDescent="0.25">
      <c r="C1555" s="3" t="s">
        <v>11791</v>
      </c>
      <c r="G1555" s="10"/>
      <c r="H1555" s="538"/>
      <c r="I1555" s="789"/>
      <c r="J1555" s="790"/>
      <c r="K1555" s="789"/>
      <c r="L1555" s="791"/>
    </row>
    <row r="1556" spans="3:12" s="767" customFormat="1" x14ac:dyDescent="0.25">
      <c r="C1556" s="834" t="s">
        <v>39</v>
      </c>
      <c r="F1556" s="827" t="s">
        <v>3</v>
      </c>
      <c r="G1556" s="785">
        <f>(0.1)*0.08*1.25</f>
        <v>0.01</v>
      </c>
      <c r="H1556" s="538"/>
      <c r="I1556" s="789"/>
      <c r="J1556" s="790"/>
      <c r="K1556" s="789"/>
      <c r="L1556" s="791"/>
    </row>
    <row r="1557" spans="3:12" s="767" customFormat="1" ht="17.25" x14ac:dyDescent="0.25">
      <c r="C1557" s="834" t="s">
        <v>1055</v>
      </c>
      <c r="F1557" s="827" t="s">
        <v>596</v>
      </c>
      <c r="G1557" s="777">
        <f>1.5*G1556</f>
        <v>1.4999999999999999E-2</v>
      </c>
      <c r="H1557" s="538"/>
      <c r="I1557" s="789"/>
      <c r="J1557" s="790"/>
      <c r="K1557" s="789"/>
      <c r="L1557" s="791"/>
    </row>
    <row r="1558" spans="3:12" s="767" customFormat="1" x14ac:dyDescent="0.25">
      <c r="C1558" s="3"/>
      <c r="D1558" s="3" t="s">
        <v>11847</v>
      </c>
      <c r="F1558" s="995"/>
      <c r="G1558" s="10"/>
      <c r="H1558" s="538"/>
      <c r="I1558" s="789"/>
      <c r="J1558" s="790"/>
      <c r="K1558" s="789"/>
      <c r="L1558" s="791"/>
    </row>
    <row r="1559" spans="3:12" s="767" customFormat="1" x14ac:dyDescent="0.25">
      <c r="C1559" s="3"/>
      <c r="D1559" s="767" t="s">
        <v>10235</v>
      </c>
      <c r="F1559" s="995" t="s">
        <v>3</v>
      </c>
      <c r="G1559" s="10">
        <f>0.17*0.055*3*8*1.16</f>
        <v>0.26030399999999998</v>
      </c>
      <c r="H1559" s="538"/>
      <c r="I1559" s="789"/>
      <c r="J1559" s="790"/>
      <c r="K1559" s="789"/>
      <c r="L1559" s="791"/>
    </row>
    <row r="1560" spans="3:12" s="767" customFormat="1" x14ac:dyDescent="0.25">
      <c r="C1560" s="3"/>
      <c r="D1560" s="3" t="s">
        <v>11848</v>
      </c>
      <c r="F1560" s="995"/>
      <c r="G1560" s="10"/>
      <c r="H1560" s="538"/>
      <c r="I1560" s="789"/>
      <c r="J1560" s="790"/>
      <c r="K1560" s="789"/>
      <c r="L1560" s="791"/>
    </row>
    <row r="1561" spans="3:12" s="767" customFormat="1" x14ac:dyDescent="0.25">
      <c r="C1561" s="3"/>
      <c r="D1561" s="767" t="s">
        <v>10235</v>
      </c>
      <c r="F1561" s="995" t="s">
        <v>3</v>
      </c>
      <c r="G1561" s="10">
        <f>0.05*0.05*3*8*1.16</f>
        <v>6.9600000000000009E-2</v>
      </c>
      <c r="H1561" s="538"/>
      <c r="I1561" s="789"/>
      <c r="J1561" s="790"/>
      <c r="K1561" s="789"/>
      <c r="L1561" s="791"/>
    </row>
    <row r="1562" spans="3:12" s="767" customFormat="1" x14ac:dyDescent="0.25">
      <c r="C1562" s="3"/>
      <c r="F1562" s="995"/>
      <c r="G1562" s="10"/>
      <c r="H1562" s="538"/>
      <c r="I1562" s="789"/>
      <c r="J1562" s="790"/>
      <c r="K1562" s="789"/>
      <c r="L1562" s="791"/>
    </row>
    <row r="1563" spans="3:12" s="767" customFormat="1" x14ac:dyDescent="0.25">
      <c r="C1563" s="3" t="s">
        <v>11571</v>
      </c>
      <c r="F1563" s="995"/>
      <c r="G1563" s="10"/>
      <c r="H1563" s="538"/>
      <c r="I1563" s="789"/>
      <c r="J1563" s="790"/>
      <c r="K1563" s="789"/>
      <c r="L1563" s="791"/>
    </row>
    <row r="1564" spans="3:12" s="767" customFormat="1" x14ac:dyDescent="0.25">
      <c r="C1564" s="25" t="s">
        <v>10160</v>
      </c>
      <c r="F1564" s="995" t="s">
        <v>3</v>
      </c>
      <c r="G1564" s="10">
        <f>0.12*0.02*1*8*1.12</f>
        <v>2.1503999999999999E-2</v>
      </c>
      <c r="H1564" s="538"/>
      <c r="I1564" s="789"/>
      <c r="J1564" s="790"/>
      <c r="K1564" s="789"/>
      <c r="L1564" s="791"/>
    </row>
    <row r="1565" spans="3:12" s="767" customFormat="1" x14ac:dyDescent="0.25">
      <c r="C1565" s="3"/>
      <c r="F1565" s="995"/>
      <c r="G1565" s="10"/>
      <c r="H1565" s="538"/>
      <c r="I1565" s="789"/>
      <c r="J1565" s="790"/>
      <c r="K1565" s="789"/>
      <c r="L1565" s="791"/>
    </row>
    <row r="1566" spans="3:12" s="767" customFormat="1" x14ac:dyDescent="0.25">
      <c r="C1566" s="3" t="s">
        <v>11794</v>
      </c>
      <c r="F1566" s="995"/>
      <c r="G1566" s="10"/>
      <c r="H1566" s="538"/>
      <c r="I1566" s="789"/>
      <c r="J1566" s="790"/>
      <c r="K1566" s="789"/>
      <c r="L1566" s="791"/>
    </row>
    <row r="1567" spans="3:12" s="767" customFormat="1" x14ac:dyDescent="0.25">
      <c r="C1567" s="263" t="s">
        <v>10058</v>
      </c>
      <c r="D1567" s="263"/>
      <c r="E1567" s="813"/>
      <c r="F1567" s="875" t="s">
        <v>3</v>
      </c>
      <c r="G1567" s="876">
        <f>(0.006*3.14*2)*0.08*1.3</f>
        <v>3.9187200000000005E-3</v>
      </c>
      <c r="H1567" s="538"/>
      <c r="I1567" s="789"/>
      <c r="J1567" s="790"/>
      <c r="K1567" s="789"/>
      <c r="L1567" s="791"/>
    </row>
    <row r="1568" spans="3:12" s="767" customFormat="1" ht="17.25" x14ac:dyDescent="0.25">
      <c r="C1568" s="263" t="s">
        <v>121</v>
      </c>
      <c r="D1568" s="263"/>
      <c r="E1568" s="813"/>
      <c r="F1568" s="875" t="s">
        <v>10568</v>
      </c>
      <c r="G1568" s="876">
        <f>G1567*1.1</f>
        <v>4.3105920000000011E-3</v>
      </c>
      <c r="H1568" s="538"/>
      <c r="I1568" s="789"/>
      <c r="J1568" s="790"/>
      <c r="K1568" s="789"/>
      <c r="L1568" s="791"/>
    </row>
    <row r="1569" spans="3:12" s="767" customFormat="1" x14ac:dyDescent="0.25">
      <c r="F1569" s="995"/>
      <c r="G1569" s="10"/>
      <c r="H1569" s="538"/>
      <c r="I1569" s="789"/>
      <c r="J1569" s="790"/>
      <c r="K1569" s="789"/>
      <c r="L1569" s="791"/>
    </row>
    <row r="1570" spans="3:12" s="767" customFormat="1" x14ac:dyDescent="0.25">
      <c r="C1570" s="3" t="s">
        <v>11858</v>
      </c>
      <c r="F1570" s="995"/>
      <c r="G1570" s="10"/>
      <c r="H1570" s="538"/>
      <c r="I1570" s="789"/>
      <c r="J1570" s="790"/>
      <c r="K1570" s="789"/>
      <c r="L1570" s="791"/>
    </row>
    <row r="1571" spans="3:12" s="767" customFormat="1" x14ac:dyDescent="0.25">
      <c r="C1571" s="767" t="s">
        <v>11859</v>
      </c>
      <c r="F1571" s="995" t="s">
        <v>3</v>
      </c>
      <c r="G1571" s="10">
        <f>0.85*0.062*2*2*1.15</f>
        <v>0.24241999999999997</v>
      </c>
      <c r="H1571" s="538"/>
      <c r="I1571" s="789"/>
      <c r="J1571" s="790"/>
      <c r="K1571" s="789"/>
      <c r="L1571" s="791"/>
    </row>
    <row r="1572" spans="3:12" s="767" customFormat="1" x14ac:dyDescent="0.25">
      <c r="D1572" s="186"/>
      <c r="F1572" s="995"/>
      <c r="G1572" s="10"/>
      <c r="H1572" s="538"/>
      <c r="I1572" s="789"/>
      <c r="J1572" s="790"/>
      <c r="K1572" s="789"/>
      <c r="L1572" s="791"/>
    </row>
    <row r="1573" spans="3:12" s="767" customFormat="1" x14ac:dyDescent="0.25">
      <c r="C1573" s="3" t="s">
        <v>11860</v>
      </c>
      <c r="D1573" s="186"/>
      <c r="F1573" s="995"/>
      <c r="G1573" s="10"/>
      <c r="H1573" s="538"/>
      <c r="I1573" s="789"/>
      <c r="J1573" s="790"/>
      <c r="K1573" s="789"/>
      <c r="L1573" s="791"/>
    </row>
    <row r="1574" spans="3:12" s="767" customFormat="1" x14ac:dyDescent="0.25">
      <c r="C1574" s="767" t="s">
        <v>4910</v>
      </c>
      <c r="D1574" s="186"/>
      <c r="F1574" s="995" t="s">
        <v>3</v>
      </c>
      <c r="G1574" s="10">
        <f>0.045*0.01*1*8*1.15</f>
        <v>4.1399999999999996E-3</v>
      </c>
      <c r="H1574" s="538"/>
      <c r="I1574" s="789"/>
      <c r="J1574" s="790"/>
      <c r="K1574" s="789"/>
      <c r="L1574" s="791"/>
    </row>
    <row r="1575" spans="3:12" s="767" customFormat="1" x14ac:dyDescent="0.25">
      <c r="D1575" s="186"/>
      <c r="F1575" s="995"/>
      <c r="G1575" s="10"/>
      <c r="H1575" s="538"/>
      <c r="I1575" s="789"/>
      <c r="J1575" s="790"/>
      <c r="K1575" s="789"/>
      <c r="L1575" s="791"/>
    </row>
    <row r="1576" spans="3:12" s="767" customFormat="1" x14ac:dyDescent="0.25">
      <c r="C1576" s="3" t="s">
        <v>11549</v>
      </c>
      <c r="D1576" s="186"/>
      <c r="F1576" s="995"/>
      <c r="G1576" s="10"/>
      <c r="H1576" s="538"/>
      <c r="I1576" s="789"/>
      <c r="J1576" s="790"/>
      <c r="K1576" s="789"/>
      <c r="L1576" s="791"/>
    </row>
    <row r="1577" spans="3:12" s="767" customFormat="1" x14ac:dyDescent="0.25">
      <c r="C1577" s="100" t="s">
        <v>140</v>
      </c>
      <c r="F1577" s="74" t="s">
        <v>3</v>
      </c>
      <c r="G1577" s="153">
        <f>(0.01*3.14*7)*0.08*1.25</f>
        <v>2.1980000000000003E-2</v>
      </c>
      <c r="H1577" s="538"/>
      <c r="I1577" s="789"/>
      <c r="J1577" s="790"/>
      <c r="K1577" s="789"/>
      <c r="L1577" s="791"/>
    </row>
    <row r="1578" spans="3:12" s="767" customFormat="1" ht="17.25" x14ac:dyDescent="0.25">
      <c r="C1578" s="100" t="s">
        <v>23</v>
      </c>
      <c r="F1578" s="74" t="s">
        <v>596</v>
      </c>
      <c r="G1578" s="153">
        <f>G1577*2</f>
        <v>4.3960000000000006E-2</v>
      </c>
      <c r="H1578" s="538"/>
      <c r="I1578" s="789"/>
      <c r="J1578" s="790"/>
      <c r="K1578" s="789"/>
      <c r="L1578" s="791"/>
    </row>
    <row r="1579" spans="3:12" s="767" customFormat="1" x14ac:dyDescent="0.25">
      <c r="C1579" s="100" t="s">
        <v>142</v>
      </c>
      <c r="F1579" s="74" t="s">
        <v>3</v>
      </c>
      <c r="G1579" s="153">
        <f>G1577/4</f>
        <v>5.4950000000000008E-3</v>
      </c>
      <c r="H1579" s="538"/>
      <c r="I1579" s="789"/>
      <c r="J1579" s="790"/>
      <c r="K1579" s="789"/>
      <c r="L1579" s="791"/>
    </row>
    <row r="1580" spans="3:12" s="767" customFormat="1" x14ac:dyDescent="0.25">
      <c r="C1580" s="186" t="s">
        <v>143</v>
      </c>
      <c r="D1580" s="186"/>
      <c r="F1580" s="995" t="s">
        <v>3</v>
      </c>
      <c r="G1580" s="10">
        <f>G1581*0.65</f>
        <v>1.6176875E-2</v>
      </c>
      <c r="H1580" s="538"/>
      <c r="I1580" s="789"/>
      <c r="J1580" s="790"/>
      <c r="K1580" s="789"/>
      <c r="L1580" s="791"/>
    </row>
    <row r="1581" spans="3:12" s="767" customFormat="1" x14ac:dyDescent="0.25">
      <c r="C1581" s="186" t="s">
        <v>649</v>
      </c>
      <c r="D1581" s="186"/>
      <c r="F1581" s="1002" t="s">
        <v>3</v>
      </c>
      <c r="G1581" s="10">
        <f>(J1585+J1587+J1589+J1591)*0.011*2*1.25</f>
        <v>2.48875E-2</v>
      </c>
      <c r="H1581" s="538"/>
      <c r="I1581" s="789"/>
      <c r="J1581" s="790"/>
      <c r="K1581" s="789"/>
      <c r="L1581" s="791"/>
    </row>
    <row r="1582" spans="3:12" s="767" customFormat="1" x14ac:dyDescent="0.25">
      <c r="C1582" s="186" t="s">
        <v>143</v>
      </c>
      <c r="D1582" s="186"/>
      <c r="F1582" s="1002" t="s">
        <v>3</v>
      </c>
      <c r="G1582" s="10">
        <f>G1581*0.65</f>
        <v>1.6176875E-2</v>
      </c>
      <c r="H1582" s="538"/>
      <c r="I1582" s="789"/>
      <c r="J1582" s="790"/>
      <c r="K1582" s="789"/>
      <c r="L1582" s="791"/>
    </row>
    <row r="1583" spans="3:12" s="767" customFormat="1" x14ac:dyDescent="0.25">
      <c r="C1583" s="186" t="s">
        <v>12</v>
      </c>
      <c r="D1583" s="186"/>
      <c r="F1583" s="1002" t="s">
        <v>3</v>
      </c>
      <c r="G1583" s="10">
        <f>0.3*(G1580+G1581+G1582)</f>
        <v>1.7172375E-2</v>
      </c>
      <c r="H1583" s="538"/>
      <c r="I1583" s="789"/>
      <c r="J1583" s="790"/>
      <c r="K1583" s="789"/>
      <c r="L1583" s="791"/>
    </row>
    <row r="1584" spans="3:12" s="767" customFormat="1" x14ac:dyDescent="0.25">
      <c r="D1584" s="3" t="s">
        <v>12305</v>
      </c>
      <c r="F1584" s="1002"/>
      <c r="G1584" s="10"/>
      <c r="H1584" s="538"/>
      <c r="I1584" s="789"/>
      <c r="J1584" s="790"/>
      <c r="K1584" s="789"/>
      <c r="L1584" s="791"/>
    </row>
    <row r="1585" spans="3:12" s="767" customFormat="1" x14ac:dyDescent="0.25">
      <c r="D1585" s="186" t="s">
        <v>12309</v>
      </c>
      <c r="F1585" s="1002" t="s">
        <v>3</v>
      </c>
      <c r="G1585" s="10">
        <f>0.222* L1585</f>
        <v>0.111</v>
      </c>
      <c r="H1585" s="538"/>
      <c r="I1585" s="789" t="s">
        <v>10149</v>
      </c>
      <c r="J1585" s="790">
        <v>0.45</v>
      </c>
      <c r="K1585" s="789" t="s">
        <v>10150</v>
      </c>
      <c r="L1585" s="791">
        <v>0.5</v>
      </c>
    </row>
    <row r="1586" spans="3:12" s="767" customFormat="1" x14ac:dyDescent="0.25">
      <c r="D1586" s="3" t="s">
        <v>12306</v>
      </c>
      <c r="F1586" s="1002"/>
      <c r="G1586" s="10"/>
      <c r="H1586" s="538"/>
      <c r="I1586" s="789"/>
      <c r="J1586" s="790"/>
      <c r="K1586" s="789"/>
      <c r="L1586" s="791"/>
    </row>
    <row r="1587" spans="3:12" s="767" customFormat="1" x14ac:dyDescent="0.25">
      <c r="D1587" s="186" t="s">
        <v>12309</v>
      </c>
      <c r="F1587" s="1002" t="s">
        <v>3</v>
      </c>
      <c r="G1587" s="10">
        <f>0.222* L1587</f>
        <v>5.5500000000000001E-2</v>
      </c>
      <c r="H1587" s="538"/>
      <c r="I1587" s="789" t="s">
        <v>10149</v>
      </c>
      <c r="J1587" s="790">
        <v>0.221</v>
      </c>
      <c r="K1587" s="789" t="s">
        <v>10150</v>
      </c>
      <c r="L1587" s="791">
        <v>0.25</v>
      </c>
    </row>
    <row r="1588" spans="3:12" s="767" customFormat="1" x14ac:dyDescent="0.25">
      <c r="D1588" s="3" t="s">
        <v>12307</v>
      </c>
      <c r="F1588" s="1002"/>
      <c r="G1588" s="10"/>
      <c r="H1588" s="538"/>
      <c r="I1588" s="789"/>
      <c r="J1588" s="790"/>
      <c r="K1588" s="789"/>
      <c r="L1588" s="791"/>
    </row>
    <row r="1589" spans="3:12" s="767" customFormat="1" x14ac:dyDescent="0.25">
      <c r="D1589" s="186" t="s">
        <v>12309</v>
      </c>
      <c r="F1589" s="1002" t="s">
        <v>3</v>
      </c>
      <c r="G1589" s="10">
        <f>0.222* L1589</f>
        <v>5.1060000000000001E-2</v>
      </c>
      <c r="H1589" s="538"/>
      <c r="I1589" s="789" t="s">
        <v>10149</v>
      </c>
      <c r="J1589" s="790">
        <v>0.19</v>
      </c>
      <c r="K1589" s="789" t="s">
        <v>10150</v>
      </c>
      <c r="L1589" s="791">
        <v>0.23</v>
      </c>
    </row>
    <row r="1590" spans="3:12" s="767" customFormat="1" x14ac:dyDescent="0.25">
      <c r="D1590" s="3" t="s">
        <v>12308</v>
      </c>
      <c r="F1590" s="1002"/>
      <c r="G1590" s="10"/>
      <c r="H1590" s="538"/>
      <c r="I1590" s="789"/>
      <c r="J1590" s="790"/>
      <c r="K1590" s="789"/>
      <c r="L1590" s="791"/>
    </row>
    <row r="1591" spans="3:12" s="767" customFormat="1" x14ac:dyDescent="0.25">
      <c r="D1591" s="186" t="s">
        <v>12309</v>
      </c>
      <c r="F1591" s="1002" t="s">
        <v>3</v>
      </c>
      <c r="G1591" s="10">
        <f>0.222* L1591</f>
        <v>1.11E-2</v>
      </c>
      <c r="H1591" s="538"/>
      <c r="I1591" s="789" t="s">
        <v>10149</v>
      </c>
      <c r="J1591" s="790">
        <v>4.3999999999999997E-2</v>
      </c>
      <c r="K1591" s="789" t="s">
        <v>10150</v>
      </c>
      <c r="L1591" s="791">
        <v>0.05</v>
      </c>
    </row>
    <row r="1592" spans="3:12" s="767" customFormat="1" x14ac:dyDescent="0.25">
      <c r="D1592" s="186"/>
      <c r="F1592" s="1002"/>
      <c r="G1592" s="10"/>
      <c r="H1592" s="538"/>
      <c r="I1592" s="789"/>
      <c r="J1592" s="790"/>
      <c r="K1592" s="789"/>
      <c r="L1592" s="791"/>
    </row>
    <row r="1593" spans="3:12" s="767" customFormat="1" x14ac:dyDescent="0.25">
      <c r="C1593" s="3" t="s">
        <v>11550</v>
      </c>
      <c r="D1593" s="186"/>
      <c r="F1593" s="995"/>
      <c r="G1593" s="10"/>
      <c r="H1593" s="538"/>
      <c r="I1593" s="789"/>
      <c r="J1593" s="790"/>
      <c r="K1593" s="789"/>
      <c r="L1593" s="791"/>
    </row>
    <row r="1594" spans="3:12" s="767" customFormat="1" x14ac:dyDescent="0.25">
      <c r="C1594" s="100" t="s">
        <v>140</v>
      </c>
      <c r="F1594" s="74" t="s">
        <v>3</v>
      </c>
      <c r="G1594" s="153">
        <f>(0.01*3.14)*0.08*1.25</f>
        <v>3.1400000000000004E-3</v>
      </c>
      <c r="H1594" s="538"/>
      <c r="I1594" s="789"/>
      <c r="J1594" s="790"/>
      <c r="K1594" s="789"/>
      <c r="L1594" s="791"/>
    </row>
    <row r="1595" spans="3:12" s="767" customFormat="1" ht="17.25" x14ac:dyDescent="0.25">
      <c r="C1595" s="100" t="s">
        <v>23</v>
      </c>
      <c r="F1595" s="74" t="s">
        <v>596</v>
      </c>
      <c r="G1595" s="153">
        <f>G1594*2</f>
        <v>6.2800000000000009E-3</v>
      </c>
      <c r="H1595" s="538"/>
      <c r="I1595" s="789"/>
      <c r="J1595" s="790"/>
      <c r="K1595" s="789"/>
      <c r="L1595" s="791"/>
    </row>
    <row r="1596" spans="3:12" s="767" customFormat="1" x14ac:dyDescent="0.25">
      <c r="C1596" s="100" t="s">
        <v>142</v>
      </c>
      <c r="F1596" s="74" t="s">
        <v>3</v>
      </c>
      <c r="G1596" s="153">
        <f>G1594/4</f>
        <v>7.8500000000000011E-4</v>
      </c>
      <c r="H1596" s="538"/>
      <c r="I1596" s="789"/>
      <c r="J1596" s="790"/>
      <c r="K1596" s="789"/>
      <c r="L1596" s="791"/>
    </row>
    <row r="1597" spans="3:12" s="767" customFormat="1" x14ac:dyDescent="0.25">
      <c r="C1597" s="186" t="s">
        <v>8</v>
      </c>
      <c r="D1597" s="186"/>
      <c r="F1597" s="1002" t="s">
        <v>3</v>
      </c>
      <c r="G1597" s="10">
        <f>G1598*0.65</f>
        <v>2.9981250000000004E-3</v>
      </c>
      <c r="H1597" s="538"/>
      <c r="I1597" s="789"/>
      <c r="J1597" s="790"/>
      <c r="K1597" s="789"/>
      <c r="L1597" s="791"/>
    </row>
    <row r="1598" spans="3:12" s="767" customFormat="1" x14ac:dyDescent="0.25">
      <c r="C1598" s="186" t="s">
        <v>649</v>
      </c>
      <c r="D1598" s="186"/>
      <c r="F1598" s="1002" t="s">
        <v>3</v>
      </c>
      <c r="G1598" s="10">
        <f>(J1602)*0.011*2*1.25+0.002</f>
        <v>4.6125000000000003E-3</v>
      </c>
      <c r="H1598" s="538"/>
      <c r="I1598" s="789"/>
      <c r="J1598" s="790"/>
      <c r="K1598" s="789"/>
      <c r="L1598" s="791"/>
    </row>
    <row r="1599" spans="3:12" s="767" customFormat="1" x14ac:dyDescent="0.25">
      <c r="C1599" s="186" t="s">
        <v>143</v>
      </c>
      <c r="D1599" s="186"/>
      <c r="F1599" s="1002" t="s">
        <v>3</v>
      </c>
      <c r="G1599" s="10">
        <f>G1598*0.65</f>
        <v>2.9981250000000004E-3</v>
      </c>
      <c r="H1599" s="538"/>
      <c r="I1599" s="789"/>
      <c r="J1599" s="790"/>
      <c r="K1599" s="789"/>
      <c r="L1599" s="791"/>
    </row>
    <row r="1600" spans="3:12" s="767" customFormat="1" x14ac:dyDescent="0.25">
      <c r="C1600" s="186" t="s">
        <v>12</v>
      </c>
      <c r="D1600" s="186"/>
      <c r="F1600" s="1002" t="s">
        <v>3</v>
      </c>
      <c r="G1600" s="10">
        <f>0.3*(G1597+G1598+G1599)</f>
        <v>3.1826250000000006E-3</v>
      </c>
      <c r="H1600" s="538"/>
      <c r="I1600" s="789"/>
      <c r="J1600" s="790"/>
      <c r="K1600" s="789"/>
      <c r="L1600" s="791"/>
    </row>
    <row r="1601" spans="3:12" s="767" customFormat="1" x14ac:dyDescent="0.25">
      <c r="D1601" s="3" t="s">
        <v>12310</v>
      </c>
      <c r="F1601" s="1002"/>
      <c r="G1601" s="10"/>
      <c r="H1601" s="538"/>
      <c r="I1601" s="789"/>
      <c r="J1601" s="790"/>
      <c r="K1601" s="789"/>
      <c r="L1601" s="791"/>
    </row>
    <row r="1602" spans="3:12" s="767" customFormat="1" x14ac:dyDescent="0.25">
      <c r="D1602" s="186" t="s">
        <v>12309</v>
      </c>
      <c r="F1602" s="1002" t="s">
        <v>3</v>
      </c>
      <c r="G1602" s="10">
        <f>0.222* L1602</f>
        <v>2.9970000000000004E-2</v>
      </c>
      <c r="H1602" s="538"/>
      <c r="I1602" s="789" t="s">
        <v>10149</v>
      </c>
      <c r="J1602" s="790">
        <v>9.5000000000000001E-2</v>
      </c>
      <c r="K1602" s="789" t="s">
        <v>10150</v>
      </c>
      <c r="L1602" s="791">
        <v>0.13500000000000001</v>
      </c>
    </row>
    <row r="1603" spans="3:12" s="767" customFormat="1" x14ac:dyDescent="0.25">
      <c r="D1603" s="186"/>
      <c r="F1603" s="1002"/>
      <c r="G1603" s="10"/>
      <c r="H1603" s="538"/>
      <c r="I1603" s="789"/>
      <c r="J1603" s="790"/>
      <c r="K1603" s="789"/>
      <c r="L1603" s="791"/>
    </row>
    <row r="1604" spans="3:12" s="767" customFormat="1" x14ac:dyDescent="0.25">
      <c r="C1604" s="3" t="s">
        <v>11551</v>
      </c>
      <c r="D1604" s="186"/>
      <c r="F1604" s="1002"/>
      <c r="G1604" s="10"/>
      <c r="H1604" s="538"/>
      <c r="I1604" s="789"/>
      <c r="J1604" s="790"/>
      <c r="K1604" s="789"/>
      <c r="L1604" s="791"/>
    </row>
    <row r="1605" spans="3:12" s="767" customFormat="1" x14ac:dyDescent="0.25">
      <c r="C1605" s="942" t="s">
        <v>3394</v>
      </c>
      <c r="D1605" s="619"/>
      <c r="F1605" s="827" t="s">
        <v>3</v>
      </c>
      <c r="G1605" s="777">
        <f>0.008*3.14*5*0.08*1.25</f>
        <v>1.256E-2</v>
      </c>
      <c r="H1605" s="538"/>
      <c r="I1605" s="789"/>
      <c r="J1605" s="790"/>
      <c r="K1605" s="789"/>
      <c r="L1605" s="791"/>
    </row>
    <row r="1606" spans="3:12" s="767" customFormat="1" ht="17.25" x14ac:dyDescent="0.25">
      <c r="C1606" s="834" t="s">
        <v>121</v>
      </c>
      <c r="D1606" s="619"/>
      <c r="F1606" s="827" t="s">
        <v>596</v>
      </c>
      <c r="G1606" s="777">
        <f>G1605*1.1</f>
        <v>1.3816000000000002E-2</v>
      </c>
      <c r="H1606" s="538"/>
      <c r="I1606" s="789"/>
      <c r="J1606" s="790"/>
      <c r="K1606" s="789"/>
      <c r="L1606" s="791"/>
    </row>
    <row r="1607" spans="3:12" s="767" customFormat="1" x14ac:dyDescent="0.25">
      <c r="D1607" s="186"/>
      <c r="F1607" s="1002"/>
      <c r="G1607" s="10"/>
      <c r="H1607" s="538"/>
      <c r="I1607" s="789"/>
      <c r="J1607" s="790"/>
      <c r="K1607" s="789"/>
      <c r="L1607" s="791"/>
    </row>
    <row r="1608" spans="3:12" s="767" customFormat="1" x14ac:dyDescent="0.25">
      <c r="C1608" s="3" t="s">
        <v>11552</v>
      </c>
      <c r="D1608" s="186"/>
      <c r="F1608" s="1002"/>
      <c r="G1608" s="10"/>
      <c r="H1608" s="538"/>
      <c r="I1608" s="789"/>
      <c r="J1608" s="790"/>
      <c r="K1608" s="789"/>
      <c r="L1608" s="791"/>
    </row>
    <row r="1609" spans="3:12" s="767" customFormat="1" x14ac:dyDescent="0.25">
      <c r="C1609" s="100" t="s">
        <v>140</v>
      </c>
      <c r="F1609" s="74" t="s">
        <v>3</v>
      </c>
      <c r="G1609" s="153">
        <f>(0.008*3.14*2)*0.08*1.25</f>
        <v>5.0239999999999998E-3</v>
      </c>
      <c r="H1609" s="538"/>
      <c r="I1609" s="789"/>
      <c r="J1609" s="790"/>
      <c r="K1609" s="789"/>
      <c r="L1609" s="791"/>
    </row>
    <row r="1610" spans="3:12" s="767" customFormat="1" ht="17.25" x14ac:dyDescent="0.25">
      <c r="C1610" s="100" t="s">
        <v>23</v>
      </c>
      <c r="F1610" s="74" t="s">
        <v>596</v>
      </c>
      <c r="G1610" s="153">
        <f>G1609*2</f>
        <v>1.0048E-2</v>
      </c>
      <c r="H1610" s="538"/>
      <c r="I1610" s="789"/>
      <c r="J1610" s="790"/>
      <c r="K1610" s="789"/>
      <c r="L1610" s="791"/>
    </row>
    <row r="1611" spans="3:12" s="767" customFormat="1" x14ac:dyDescent="0.25">
      <c r="C1611" s="100" t="s">
        <v>142</v>
      </c>
      <c r="F1611" s="74" t="s">
        <v>3</v>
      </c>
      <c r="G1611" s="153">
        <f>G1609/4</f>
        <v>1.256E-3</v>
      </c>
      <c r="H1611" s="538"/>
      <c r="I1611" s="789"/>
      <c r="J1611" s="790"/>
      <c r="K1611" s="789"/>
      <c r="L1611" s="791"/>
    </row>
    <row r="1612" spans="3:12" s="767" customFormat="1" x14ac:dyDescent="0.25">
      <c r="C1612" s="186" t="s">
        <v>8</v>
      </c>
      <c r="D1612" s="186"/>
      <c r="F1612" s="1003" t="s">
        <v>3</v>
      </c>
      <c r="G1612" s="10">
        <f>G1613*0.65</f>
        <v>2.2879999999999998E-2</v>
      </c>
      <c r="H1612" s="538"/>
      <c r="I1612" s="789"/>
      <c r="J1612" s="790"/>
      <c r="K1612" s="789"/>
      <c r="L1612" s="791"/>
    </row>
    <row r="1613" spans="3:12" s="767" customFormat="1" x14ac:dyDescent="0.25">
      <c r="C1613" s="186" t="s">
        <v>500</v>
      </c>
      <c r="D1613" s="186"/>
      <c r="F1613" s="1003" t="s">
        <v>3</v>
      </c>
      <c r="G1613" s="10">
        <f>(J1616)*0.011*2*1.25</f>
        <v>3.5199999999999995E-2</v>
      </c>
      <c r="H1613" s="538"/>
      <c r="I1613" s="789"/>
      <c r="J1613" s="790"/>
      <c r="K1613" s="789"/>
      <c r="L1613" s="791"/>
    </row>
    <row r="1614" spans="3:12" s="767" customFormat="1" x14ac:dyDescent="0.25">
      <c r="C1614" s="186" t="s">
        <v>12</v>
      </c>
      <c r="D1614" s="186"/>
      <c r="F1614" s="1003" t="s">
        <v>3</v>
      </c>
      <c r="G1614" s="10">
        <f>0.3*(G1612+G1613)</f>
        <v>1.7423999999999999E-2</v>
      </c>
      <c r="H1614" s="538"/>
      <c r="I1614" s="789"/>
      <c r="J1614" s="790"/>
      <c r="K1614" s="789"/>
      <c r="L1614" s="791"/>
    </row>
    <row r="1615" spans="3:12" s="767" customFormat="1" x14ac:dyDescent="0.25">
      <c r="D1615" s="3" t="s">
        <v>12311</v>
      </c>
      <c r="F1615" s="1002"/>
      <c r="G1615" s="10"/>
      <c r="H1615" s="538"/>
      <c r="I1615" s="789"/>
      <c r="J1615" s="790"/>
      <c r="K1615" s="789"/>
      <c r="L1615" s="791"/>
    </row>
    <row r="1616" spans="3:12" s="767" customFormat="1" x14ac:dyDescent="0.25">
      <c r="D1616" s="186" t="s">
        <v>12312</v>
      </c>
      <c r="F1616" s="1002" t="s">
        <v>3</v>
      </c>
      <c r="G1616" s="10">
        <f>0.173*L1616</f>
        <v>0.24219999999999997</v>
      </c>
      <c r="H1616" s="538"/>
      <c r="I1616" s="789" t="s">
        <v>10149</v>
      </c>
      <c r="J1616" s="790">
        <v>1.28</v>
      </c>
      <c r="K1616" s="789" t="s">
        <v>10150</v>
      </c>
      <c r="L1616" s="791">
        <v>1.4</v>
      </c>
    </row>
    <row r="1617" spans="3:12" s="767" customFormat="1" x14ac:dyDescent="0.25">
      <c r="D1617" s="186"/>
      <c r="F1617" s="1002"/>
      <c r="G1617" s="10"/>
      <c r="H1617" s="538"/>
      <c r="I1617" s="789"/>
      <c r="J1617" s="790"/>
      <c r="K1617" s="789"/>
      <c r="L1617" s="791"/>
    </row>
    <row r="1618" spans="3:12" s="767" customFormat="1" x14ac:dyDescent="0.25">
      <c r="C1618" s="3" t="s">
        <v>11553</v>
      </c>
      <c r="D1618" s="186"/>
      <c r="F1618" s="1002"/>
      <c r="G1618" s="10"/>
      <c r="H1618" s="538"/>
      <c r="I1618" s="789"/>
      <c r="J1618" s="790"/>
      <c r="K1618" s="789"/>
      <c r="L1618" s="791"/>
    </row>
    <row r="1619" spans="3:12" s="767" customFormat="1" x14ac:dyDescent="0.25">
      <c r="C1619" s="100" t="s">
        <v>140</v>
      </c>
      <c r="F1619" s="74" t="s">
        <v>3</v>
      </c>
      <c r="G1619" s="153">
        <f>(0.008*3.14*2)*0.08*1.25</f>
        <v>5.0239999999999998E-3</v>
      </c>
      <c r="H1619" s="538"/>
      <c r="I1619" s="789"/>
      <c r="J1619" s="790"/>
      <c r="K1619" s="789"/>
      <c r="L1619" s="791"/>
    </row>
    <row r="1620" spans="3:12" s="767" customFormat="1" ht="17.25" x14ac:dyDescent="0.25">
      <c r="C1620" s="100" t="s">
        <v>23</v>
      </c>
      <c r="F1620" s="74" t="s">
        <v>596</v>
      </c>
      <c r="G1620" s="153">
        <f>G1619*2</f>
        <v>1.0048E-2</v>
      </c>
      <c r="H1620" s="538"/>
      <c r="I1620" s="789"/>
      <c r="J1620" s="790"/>
      <c r="K1620" s="789"/>
      <c r="L1620" s="791"/>
    </row>
    <row r="1621" spans="3:12" s="767" customFormat="1" x14ac:dyDescent="0.25">
      <c r="C1621" s="100" t="s">
        <v>142</v>
      </c>
      <c r="F1621" s="74" t="s">
        <v>3</v>
      </c>
      <c r="G1621" s="153">
        <f>G1619/4</f>
        <v>1.256E-3</v>
      </c>
      <c r="H1621" s="538"/>
      <c r="I1621" s="789"/>
      <c r="J1621" s="790"/>
      <c r="K1621" s="789"/>
      <c r="L1621" s="791"/>
    </row>
    <row r="1622" spans="3:12" s="767" customFormat="1" x14ac:dyDescent="0.25">
      <c r="C1622" s="186" t="s">
        <v>8</v>
      </c>
      <c r="D1622" s="186"/>
      <c r="F1622" s="1003" t="s">
        <v>3</v>
      </c>
      <c r="G1622" s="10">
        <f>G1623*0.65</f>
        <v>1.9219200000000002E-2</v>
      </c>
      <c r="H1622" s="538"/>
      <c r="I1622" s="789"/>
      <c r="J1622" s="790"/>
      <c r="K1622" s="789"/>
      <c r="L1622" s="791"/>
    </row>
    <row r="1623" spans="3:12" s="767" customFormat="1" x14ac:dyDescent="0.25">
      <c r="C1623" s="186" t="s">
        <v>500</v>
      </c>
      <c r="D1623" s="186"/>
      <c r="F1623" s="1003" t="s">
        <v>3</v>
      </c>
      <c r="G1623" s="10">
        <f>(J1626)*0.011*2*1.28</f>
        <v>2.9568000000000001E-2</v>
      </c>
      <c r="H1623" s="538"/>
      <c r="I1623" s="789"/>
      <c r="J1623" s="790"/>
      <c r="K1623" s="789"/>
      <c r="L1623" s="791"/>
    </row>
    <row r="1624" spans="3:12" s="767" customFormat="1" x14ac:dyDescent="0.25">
      <c r="C1624" s="186" t="s">
        <v>12</v>
      </c>
      <c r="D1624" s="186"/>
      <c r="F1624" s="1003" t="s">
        <v>3</v>
      </c>
      <c r="G1624" s="10">
        <f>0.3*(G1622+G1623)</f>
        <v>1.463616E-2</v>
      </c>
      <c r="H1624" s="538"/>
      <c r="I1624" s="789"/>
      <c r="J1624" s="790"/>
      <c r="K1624" s="789"/>
      <c r="L1624" s="791"/>
    </row>
    <row r="1625" spans="3:12" s="767" customFormat="1" x14ac:dyDescent="0.25">
      <c r="D1625" s="3" t="s">
        <v>12313</v>
      </c>
      <c r="F1625" s="1003"/>
      <c r="G1625" s="10"/>
      <c r="H1625" s="538"/>
      <c r="I1625" s="789"/>
      <c r="J1625" s="790"/>
      <c r="K1625" s="789"/>
      <c r="L1625" s="791"/>
    </row>
    <row r="1626" spans="3:12" s="767" customFormat="1" x14ac:dyDescent="0.25">
      <c r="D1626" s="186" t="s">
        <v>12312</v>
      </c>
      <c r="F1626" s="1003" t="s">
        <v>3</v>
      </c>
      <c r="G1626" s="10">
        <f>0.173*L1626</f>
        <v>0.19981499999999999</v>
      </c>
      <c r="H1626" s="538"/>
      <c r="I1626" s="789" t="s">
        <v>10149</v>
      </c>
      <c r="J1626" s="790">
        <v>1.05</v>
      </c>
      <c r="K1626" s="789" t="s">
        <v>10150</v>
      </c>
      <c r="L1626" s="791">
        <v>1.155</v>
      </c>
    </row>
    <row r="1627" spans="3:12" s="767" customFormat="1" x14ac:dyDescent="0.25">
      <c r="D1627" s="186"/>
      <c r="F1627" s="1002"/>
      <c r="G1627" s="10"/>
      <c r="H1627" s="538"/>
      <c r="I1627" s="789"/>
      <c r="J1627" s="790"/>
      <c r="K1627" s="789"/>
      <c r="L1627" s="791"/>
    </row>
    <row r="1628" spans="3:12" s="767" customFormat="1" x14ac:dyDescent="0.25">
      <c r="C1628" s="3" t="s">
        <v>11485</v>
      </c>
      <c r="D1628" s="186"/>
      <c r="F1628" s="1003"/>
      <c r="G1628" s="10"/>
      <c r="H1628" s="538"/>
      <c r="I1628" s="789"/>
      <c r="J1628" s="790"/>
      <c r="K1628" s="789"/>
      <c r="L1628" s="791"/>
    </row>
    <row r="1629" spans="3:12" s="767" customFormat="1" x14ac:dyDescent="0.25">
      <c r="C1629" s="834" t="s">
        <v>39</v>
      </c>
      <c r="F1629" s="827" t="s">
        <v>3</v>
      </c>
      <c r="G1629" s="785">
        <f>(0.05)*0.08*1.25</f>
        <v>5.0000000000000001E-3</v>
      </c>
      <c r="H1629" s="538"/>
      <c r="I1629" s="789"/>
      <c r="J1629" s="790"/>
      <c r="K1629" s="789"/>
      <c r="L1629" s="791"/>
    </row>
    <row r="1630" spans="3:12" s="767" customFormat="1" ht="17.25" x14ac:dyDescent="0.25">
      <c r="C1630" s="834" t="s">
        <v>1055</v>
      </c>
      <c r="F1630" s="827" t="s">
        <v>596</v>
      </c>
      <c r="G1630" s="777">
        <f>1.5*G1629</f>
        <v>7.4999999999999997E-3</v>
      </c>
      <c r="H1630" s="538"/>
      <c r="I1630" s="789"/>
      <c r="J1630" s="790"/>
      <c r="K1630" s="789"/>
      <c r="L1630" s="791"/>
    </row>
    <row r="1631" spans="3:12" s="767" customFormat="1" x14ac:dyDescent="0.25">
      <c r="C1631" s="942" t="s">
        <v>8</v>
      </c>
      <c r="F1631" s="954" t="s">
        <v>3</v>
      </c>
      <c r="G1631" s="777">
        <f>0.7*G1633</f>
        <v>1.7587499999999999E-2</v>
      </c>
      <c r="H1631" s="538"/>
      <c r="I1631" s="789"/>
      <c r="J1631" s="790"/>
      <c r="K1631" s="789"/>
      <c r="L1631" s="791"/>
    </row>
    <row r="1632" spans="3:12" s="767" customFormat="1" x14ac:dyDescent="0.25">
      <c r="C1632" s="942" t="s">
        <v>1453</v>
      </c>
      <c r="F1632" s="954" t="s">
        <v>3</v>
      </c>
      <c r="G1632" s="777">
        <f>0.3*G1631</f>
        <v>5.2762499999999997E-3</v>
      </c>
      <c r="H1632" s="538"/>
      <c r="I1632" s="789"/>
      <c r="J1632" s="790"/>
      <c r="K1632" s="789"/>
      <c r="L1632" s="791"/>
    </row>
    <row r="1633" spans="3:12" s="767" customFormat="1" x14ac:dyDescent="0.25">
      <c r="C1633" s="942" t="s">
        <v>10300</v>
      </c>
      <c r="F1633" s="954" t="s">
        <v>3</v>
      </c>
      <c r="G1633" s="940">
        <f>0.67*0.1*0.15*2*1.25</f>
        <v>2.5125000000000001E-2</v>
      </c>
      <c r="H1633" s="538"/>
      <c r="I1633" s="789"/>
      <c r="J1633" s="790"/>
      <c r="K1633" s="789"/>
      <c r="L1633" s="791"/>
    </row>
    <row r="1634" spans="3:12" s="767" customFormat="1" x14ac:dyDescent="0.25">
      <c r="C1634" s="942" t="s">
        <v>11</v>
      </c>
      <c r="F1634" s="954" t="s">
        <v>3</v>
      </c>
      <c r="G1634" s="777">
        <f>0.3*G1633</f>
        <v>7.5374999999999999E-3</v>
      </c>
      <c r="H1634" s="538"/>
      <c r="I1634" s="789"/>
      <c r="J1634" s="790"/>
      <c r="K1634" s="789"/>
      <c r="L1634" s="791"/>
    </row>
    <row r="1635" spans="3:12" s="767" customFormat="1" x14ac:dyDescent="0.25">
      <c r="C1635" s="942" t="s">
        <v>6576</v>
      </c>
      <c r="F1635" s="954" t="s">
        <v>3</v>
      </c>
      <c r="G1635" s="777">
        <v>0.02</v>
      </c>
      <c r="H1635" s="538"/>
      <c r="I1635" s="789"/>
      <c r="J1635" s="790"/>
      <c r="K1635" s="789"/>
      <c r="L1635" s="791"/>
    </row>
    <row r="1636" spans="3:12" s="767" customFormat="1" x14ac:dyDescent="0.25">
      <c r="D1636" s="78" t="s">
        <v>12314</v>
      </c>
      <c r="F1636" s="1003"/>
      <c r="G1636" s="10"/>
      <c r="H1636" s="538"/>
      <c r="I1636" s="789"/>
      <c r="J1636" s="790"/>
      <c r="K1636" s="789"/>
      <c r="L1636" s="791"/>
    </row>
    <row r="1637" spans="3:12" s="767" customFormat="1" x14ac:dyDescent="0.25">
      <c r="D1637" s="186" t="s">
        <v>10272</v>
      </c>
      <c r="F1637" s="1003" t="s">
        <v>3</v>
      </c>
      <c r="G1637" s="10">
        <f>0.807*0.07*1.5*8*1.15</f>
        <v>0.77956199999999998</v>
      </c>
      <c r="H1637" s="538"/>
      <c r="I1637" s="789"/>
      <c r="J1637" s="790"/>
      <c r="K1637" s="789"/>
      <c r="L1637" s="791"/>
    </row>
    <row r="1638" spans="3:12" s="767" customFormat="1" x14ac:dyDescent="0.25">
      <c r="D1638" s="186"/>
      <c r="F1638" s="1003"/>
      <c r="G1638" s="10"/>
      <c r="H1638" s="538"/>
      <c r="I1638" s="789"/>
      <c r="J1638" s="790"/>
      <c r="K1638" s="789"/>
      <c r="L1638" s="791"/>
    </row>
    <row r="1639" spans="3:12" s="767" customFormat="1" x14ac:dyDescent="0.25">
      <c r="C1639" s="3" t="s">
        <v>11486</v>
      </c>
      <c r="D1639" s="186"/>
      <c r="F1639" s="1003"/>
      <c r="G1639" s="10"/>
      <c r="H1639" s="538"/>
      <c r="I1639" s="789"/>
      <c r="J1639" s="790"/>
      <c r="K1639" s="789"/>
      <c r="L1639" s="791"/>
    </row>
    <row r="1640" spans="3:12" s="767" customFormat="1" x14ac:dyDescent="0.25">
      <c r="C1640" s="834" t="s">
        <v>39</v>
      </c>
      <c r="F1640" s="827" t="s">
        <v>3</v>
      </c>
      <c r="G1640" s="785">
        <f>(0.05)*0.08*1.25</f>
        <v>5.0000000000000001E-3</v>
      </c>
      <c r="H1640" s="538"/>
      <c r="I1640" s="789"/>
      <c r="J1640" s="790"/>
      <c r="K1640" s="789"/>
      <c r="L1640" s="791"/>
    </row>
    <row r="1641" spans="3:12" s="767" customFormat="1" ht="17.25" x14ac:dyDescent="0.25">
      <c r="C1641" s="834" t="s">
        <v>1055</v>
      </c>
      <c r="F1641" s="827" t="s">
        <v>596</v>
      </c>
      <c r="G1641" s="777">
        <f>1.5*G1640</f>
        <v>7.4999999999999997E-3</v>
      </c>
      <c r="H1641" s="538"/>
      <c r="I1641" s="789"/>
      <c r="J1641" s="790"/>
      <c r="K1641" s="789"/>
      <c r="L1641" s="791"/>
    </row>
    <row r="1642" spans="3:12" s="767" customFormat="1" x14ac:dyDescent="0.25">
      <c r="C1642" s="942" t="s">
        <v>8</v>
      </c>
      <c r="F1642" s="954" t="s">
        <v>3</v>
      </c>
      <c r="G1642" s="777">
        <f>G1644*0.7</f>
        <v>1.115625E-2</v>
      </c>
      <c r="H1642" s="538"/>
      <c r="I1642" s="789"/>
      <c r="J1642" s="790"/>
      <c r="K1642" s="789"/>
      <c r="L1642" s="791"/>
    </row>
    <row r="1643" spans="3:12" s="767" customFormat="1" x14ac:dyDescent="0.25">
      <c r="C1643" s="942" t="s">
        <v>1453</v>
      </c>
      <c r="F1643" s="954" t="s">
        <v>3</v>
      </c>
      <c r="G1643" s="777">
        <f>0.3*G1642</f>
        <v>3.3468749999999996E-3</v>
      </c>
      <c r="H1643" s="538"/>
      <c r="I1643" s="789"/>
      <c r="J1643" s="790"/>
      <c r="K1643" s="789"/>
      <c r="L1643" s="791"/>
    </row>
    <row r="1644" spans="3:12" s="767" customFormat="1" x14ac:dyDescent="0.25">
      <c r="C1644" s="942" t="s">
        <v>10300</v>
      </c>
      <c r="F1644" s="954" t="s">
        <v>3</v>
      </c>
      <c r="G1644" s="940">
        <f>0.425*0.1*0.15*2*1.25</f>
        <v>1.59375E-2</v>
      </c>
      <c r="H1644" s="538"/>
      <c r="I1644" s="789"/>
      <c r="J1644" s="790"/>
      <c r="K1644" s="789"/>
      <c r="L1644" s="791"/>
    </row>
    <row r="1645" spans="3:12" s="767" customFormat="1" x14ac:dyDescent="0.25">
      <c r="C1645" s="942" t="s">
        <v>11</v>
      </c>
      <c r="F1645" s="954" t="s">
        <v>3</v>
      </c>
      <c r="G1645" s="777">
        <f>0.3*G1644</f>
        <v>4.7812499999999999E-3</v>
      </c>
      <c r="H1645" s="538"/>
      <c r="I1645" s="789"/>
      <c r="J1645" s="790"/>
      <c r="K1645" s="789"/>
      <c r="L1645" s="791"/>
    </row>
    <row r="1646" spans="3:12" s="767" customFormat="1" x14ac:dyDescent="0.25">
      <c r="C1646" s="942" t="s">
        <v>6576</v>
      </c>
      <c r="F1646" s="954" t="s">
        <v>3</v>
      </c>
      <c r="G1646" s="777">
        <v>0.02</v>
      </c>
      <c r="H1646" s="538"/>
      <c r="I1646" s="789"/>
      <c r="J1646" s="790"/>
      <c r="K1646" s="789"/>
      <c r="L1646" s="791"/>
    </row>
    <row r="1647" spans="3:12" s="767" customFormat="1" x14ac:dyDescent="0.25">
      <c r="D1647" s="78" t="s">
        <v>12315</v>
      </c>
      <c r="F1647" s="1003"/>
      <c r="G1647" s="10"/>
      <c r="H1647" s="538"/>
      <c r="I1647" s="789"/>
      <c r="J1647" s="790"/>
      <c r="K1647" s="789"/>
      <c r="L1647" s="791"/>
    </row>
    <row r="1648" spans="3:12" s="767" customFormat="1" x14ac:dyDescent="0.25">
      <c r="D1648" s="186" t="s">
        <v>10272</v>
      </c>
      <c r="F1648" s="1003" t="s">
        <v>3</v>
      </c>
      <c r="G1648" s="10">
        <f>0.565*0.07*1.5*8*1.15</f>
        <v>0.54579</v>
      </c>
      <c r="H1648" s="538"/>
      <c r="I1648" s="789"/>
      <c r="J1648" s="790"/>
      <c r="K1648" s="789"/>
      <c r="L1648" s="791"/>
    </row>
    <row r="1649" spans="3:12" s="767" customFormat="1" x14ac:dyDescent="0.25">
      <c r="D1649" s="186"/>
      <c r="F1649" s="1003"/>
      <c r="G1649" s="10"/>
      <c r="H1649" s="538"/>
      <c r="I1649" s="789"/>
      <c r="J1649" s="790"/>
      <c r="K1649" s="789"/>
      <c r="L1649" s="791"/>
    </row>
    <row r="1650" spans="3:12" s="767" customFormat="1" x14ac:dyDescent="0.25">
      <c r="C1650" s="3" t="s">
        <v>11487</v>
      </c>
      <c r="D1650" s="186"/>
      <c r="F1650" s="1003"/>
      <c r="G1650" s="10"/>
      <c r="H1650" s="538"/>
      <c r="I1650" s="789"/>
      <c r="J1650" s="790"/>
      <c r="K1650" s="789"/>
      <c r="L1650" s="791"/>
    </row>
    <row r="1651" spans="3:12" s="767" customFormat="1" x14ac:dyDescent="0.25">
      <c r="C1651" s="100" t="s">
        <v>140</v>
      </c>
      <c r="F1651" s="74" t="s">
        <v>3</v>
      </c>
      <c r="G1651" s="153">
        <f>(0.01*3.14*3)*0.08*1.25</f>
        <v>9.4200000000000013E-3</v>
      </c>
      <c r="H1651" s="538"/>
      <c r="I1651" s="789"/>
      <c r="J1651" s="790"/>
      <c r="K1651" s="789"/>
      <c r="L1651" s="791"/>
    </row>
    <row r="1652" spans="3:12" s="767" customFormat="1" ht="17.25" x14ac:dyDescent="0.25">
      <c r="C1652" s="100" t="s">
        <v>23</v>
      </c>
      <c r="F1652" s="74" t="s">
        <v>596</v>
      </c>
      <c r="G1652" s="153">
        <f>G1651*2</f>
        <v>1.8840000000000003E-2</v>
      </c>
      <c r="H1652" s="538"/>
      <c r="I1652" s="789"/>
      <c r="J1652" s="790"/>
      <c r="K1652" s="789"/>
      <c r="L1652" s="791"/>
    </row>
    <row r="1653" spans="3:12" s="767" customFormat="1" x14ac:dyDescent="0.25">
      <c r="C1653" s="100" t="s">
        <v>142</v>
      </c>
      <c r="F1653" s="74" t="s">
        <v>3</v>
      </c>
      <c r="G1653" s="153">
        <f>G1651/4</f>
        <v>2.3550000000000003E-3</v>
      </c>
      <c r="H1653" s="538"/>
      <c r="I1653" s="789"/>
      <c r="J1653" s="790"/>
      <c r="K1653" s="789"/>
      <c r="L1653" s="791"/>
    </row>
    <row r="1654" spans="3:12" s="767" customFormat="1" x14ac:dyDescent="0.25">
      <c r="C1654" s="186" t="s">
        <v>143</v>
      </c>
      <c r="D1654" s="186"/>
      <c r="F1654" s="1003" t="s">
        <v>3</v>
      </c>
      <c r="G1654" s="10">
        <f>0.3*G1655</f>
        <v>7.0200000000000002E-3</v>
      </c>
      <c r="H1654" s="538"/>
      <c r="I1654" s="789"/>
      <c r="J1654" s="790"/>
      <c r="K1654" s="789"/>
      <c r="L1654" s="791"/>
    </row>
    <row r="1655" spans="3:12" s="767" customFormat="1" x14ac:dyDescent="0.25">
      <c r="C1655" s="186" t="s">
        <v>148</v>
      </c>
      <c r="D1655" s="186"/>
      <c r="F1655" s="1003" t="s">
        <v>3</v>
      </c>
      <c r="G1655" s="10">
        <f>(J1658+J1660+J1662)*0.02*2*1.3</f>
        <v>2.3400000000000001E-2</v>
      </c>
      <c r="H1655" s="538"/>
      <c r="I1655" s="789"/>
      <c r="J1655" s="790"/>
      <c r="K1655" s="789"/>
      <c r="L1655" s="791"/>
    </row>
    <row r="1656" spans="3:12" s="767" customFormat="1" x14ac:dyDescent="0.25">
      <c r="C1656" s="186" t="s">
        <v>12</v>
      </c>
      <c r="D1656" s="186"/>
      <c r="F1656" s="1003" t="s">
        <v>3</v>
      </c>
      <c r="G1656" s="10">
        <f>0.3*(G1655+G1654)</f>
        <v>9.1260000000000004E-3</v>
      </c>
      <c r="H1656" s="538"/>
      <c r="I1656" s="789"/>
      <c r="J1656" s="790"/>
      <c r="K1656" s="789"/>
      <c r="L1656" s="791"/>
    </row>
    <row r="1657" spans="3:12" s="767" customFormat="1" x14ac:dyDescent="0.25">
      <c r="D1657" s="78" t="s">
        <v>12316</v>
      </c>
      <c r="F1657" s="1003"/>
      <c r="G1657" s="10"/>
      <c r="H1657" s="538"/>
      <c r="I1657" s="789"/>
      <c r="J1657" s="790"/>
      <c r="K1657" s="789"/>
      <c r="L1657" s="791"/>
    </row>
    <row r="1658" spans="3:12" s="767" customFormat="1" x14ac:dyDescent="0.25">
      <c r="D1658" s="186" t="s">
        <v>12319</v>
      </c>
      <c r="F1658" s="1003" t="s">
        <v>3</v>
      </c>
      <c r="G1658" s="10">
        <f>0.592*L1658</f>
        <v>2.9600000000000001E-2</v>
      </c>
      <c r="H1658" s="538"/>
      <c r="I1658" s="789" t="s">
        <v>10149</v>
      </c>
      <c r="J1658" s="790">
        <v>0.04</v>
      </c>
      <c r="K1658" s="789" t="s">
        <v>10150</v>
      </c>
      <c r="L1658" s="791">
        <v>0.05</v>
      </c>
    </row>
    <row r="1659" spans="3:12" s="767" customFormat="1" x14ac:dyDescent="0.25">
      <c r="D1659" s="78" t="s">
        <v>12317</v>
      </c>
      <c r="F1659" s="1003"/>
      <c r="G1659" s="10"/>
      <c r="H1659" s="538"/>
      <c r="I1659" s="789"/>
      <c r="J1659" s="790"/>
      <c r="K1659" s="789"/>
      <c r="L1659" s="791"/>
    </row>
    <row r="1660" spans="3:12" s="767" customFormat="1" x14ac:dyDescent="0.25">
      <c r="D1660" s="186" t="s">
        <v>12320</v>
      </c>
      <c r="F1660" s="1003" t="s">
        <v>3</v>
      </c>
      <c r="G1660" s="10">
        <f>0.271*L1660</f>
        <v>4.0649999999999999E-2</v>
      </c>
      <c r="H1660" s="538"/>
      <c r="I1660" s="789" t="s">
        <v>10149</v>
      </c>
      <c r="J1660" s="790">
        <v>0.105</v>
      </c>
      <c r="K1660" s="789" t="s">
        <v>10150</v>
      </c>
      <c r="L1660" s="791">
        <v>0.15</v>
      </c>
    </row>
    <row r="1661" spans="3:12" s="767" customFormat="1" x14ac:dyDescent="0.25">
      <c r="D1661" s="78" t="s">
        <v>12318</v>
      </c>
      <c r="F1661" s="1003"/>
      <c r="G1661" s="10"/>
      <c r="H1661" s="538"/>
      <c r="I1661" s="789"/>
      <c r="J1661" s="790"/>
      <c r="K1661" s="789"/>
      <c r="L1661" s="791"/>
    </row>
    <row r="1662" spans="3:12" s="767" customFormat="1" x14ac:dyDescent="0.25">
      <c r="D1662" s="186" t="s">
        <v>12321</v>
      </c>
      <c r="F1662" s="1003" t="s">
        <v>3</v>
      </c>
      <c r="G1662" s="10">
        <f>0.469*L1662</f>
        <v>0.16414999999999999</v>
      </c>
      <c r="H1662" s="538"/>
      <c r="I1662" s="789" t="s">
        <v>10149</v>
      </c>
      <c r="J1662" s="790">
        <v>0.30499999999999999</v>
      </c>
      <c r="K1662" s="789" t="s">
        <v>10150</v>
      </c>
      <c r="L1662" s="791">
        <v>0.35</v>
      </c>
    </row>
    <row r="1663" spans="3:12" s="767" customFormat="1" x14ac:dyDescent="0.25">
      <c r="D1663" s="186"/>
      <c r="F1663" s="1003"/>
      <c r="G1663" s="10"/>
      <c r="H1663" s="538"/>
      <c r="I1663" s="789"/>
      <c r="J1663" s="790"/>
      <c r="K1663" s="789"/>
      <c r="L1663" s="791"/>
    </row>
    <row r="1664" spans="3:12" s="767" customFormat="1" x14ac:dyDescent="0.25">
      <c r="C1664" s="3" t="s">
        <v>11488</v>
      </c>
      <c r="D1664" s="186"/>
      <c r="F1664" s="1003"/>
      <c r="G1664" s="10"/>
      <c r="H1664" s="538"/>
      <c r="I1664" s="789"/>
      <c r="J1664" s="790"/>
      <c r="K1664" s="789"/>
      <c r="L1664" s="791"/>
    </row>
    <row r="1665" spans="3:12" s="767" customFormat="1" x14ac:dyDescent="0.25">
      <c r="C1665" s="100" t="s">
        <v>140</v>
      </c>
      <c r="F1665" s="74" t="s">
        <v>3</v>
      </c>
      <c r="G1665" s="153">
        <f>(0.02*3.14)*0.08*1.25</f>
        <v>6.2800000000000009E-3</v>
      </c>
      <c r="H1665" s="538"/>
      <c r="I1665" s="789"/>
      <c r="J1665" s="790"/>
      <c r="K1665" s="789"/>
      <c r="L1665" s="791"/>
    </row>
    <row r="1666" spans="3:12" s="767" customFormat="1" ht="17.25" x14ac:dyDescent="0.25">
      <c r="C1666" s="100" t="s">
        <v>23</v>
      </c>
      <c r="F1666" s="74" t="s">
        <v>596</v>
      </c>
      <c r="G1666" s="153">
        <f>G1665*2</f>
        <v>1.2560000000000002E-2</v>
      </c>
      <c r="H1666" s="538"/>
      <c r="I1666" s="789"/>
      <c r="J1666" s="790"/>
      <c r="K1666" s="789"/>
      <c r="L1666" s="791"/>
    </row>
    <row r="1667" spans="3:12" s="767" customFormat="1" x14ac:dyDescent="0.25">
      <c r="C1667" s="100" t="s">
        <v>142</v>
      </c>
      <c r="F1667" s="74" t="s">
        <v>3</v>
      </c>
      <c r="G1667" s="153">
        <f>G1665/4</f>
        <v>1.5700000000000002E-3</v>
      </c>
      <c r="H1667" s="538"/>
      <c r="I1667" s="789"/>
      <c r="J1667" s="790"/>
      <c r="K1667" s="789"/>
      <c r="L1667" s="791"/>
    </row>
    <row r="1668" spans="3:12" s="767" customFormat="1" x14ac:dyDescent="0.25">
      <c r="C1668" s="186" t="s">
        <v>143</v>
      </c>
      <c r="D1668" s="186"/>
      <c r="F1668" s="1003" t="s">
        <v>3</v>
      </c>
      <c r="G1668" s="10">
        <f>0.3*G1669</f>
        <v>5.491199999999999E-3</v>
      </c>
      <c r="H1668" s="538"/>
      <c r="I1668" s="789"/>
      <c r="J1668" s="790"/>
      <c r="K1668" s="789"/>
      <c r="L1668" s="791"/>
    </row>
    <row r="1669" spans="3:12" s="767" customFormat="1" x14ac:dyDescent="0.25">
      <c r="C1669" s="186" t="s">
        <v>148</v>
      </c>
      <c r="D1669" s="186"/>
      <c r="F1669" s="1003" t="s">
        <v>3</v>
      </c>
      <c r="G1669" s="10">
        <f>(J1672)*0.02*2*1.3</f>
        <v>1.8303999999999997E-2</v>
      </c>
      <c r="H1669" s="538"/>
      <c r="I1669" s="789"/>
      <c r="J1669" s="790"/>
      <c r="K1669" s="789"/>
      <c r="L1669" s="791"/>
    </row>
    <row r="1670" spans="3:12" s="767" customFormat="1" x14ac:dyDescent="0.25">
      <c r="C1670" s="186" t="s">
        <v>12</v>
      </c>
      <c r="D1670" s="186"/>
      <c r="F1670" s="1003" t="s">
        <v>3</v>
      </c>
      <c r="G1670" s="10">
        <f>0.3*(G1669+G1668)</f>
        <v>7.1385599999999987E-3</v>
      </c>
      <c r="H1670" s="538"/>
      <c r="I1670" s="789"/>
      <c r="J1670" s="790"/>
      <c r="K1670" s="789"/>
      <c r="L1670" s="791"/>
    </row>
    <row r="1671" spans="3:12" s="767" customFormat="1" x14ac:dyDescent="0.25">
      <c r="D1671" s="78" t="s">
        <v>12322</v>
      </c>
      <c r="F1671" s="1003"/>
      <c r="G1671" s="10"/>
      <c r="H1671" s="538"/>
      <c r="I1671" s="789"/>
      <c r="J1671" s="790"/>
      <c r="K1671" s="789"/>
      <c r="L1671" s="791"/>
    </row>
    <row r="1672" spans="3:12" s="767" customFormat="1" x14ac:dyDescent="0.25">
      <c r="D1672" s="186" t="s">
        <v>12321</v>
      </c>
      <c r="F1672" s="1003" t="s">
        <v>3</v>
      </c>
      <c r="G1672" s="10">
        <f>0.469* L1672+0.002</f>
        <v>0.18959999999999999</v>
      </c>
      <c r="H1672" s="538"/>
      <c r="I1672" s="789" t="s">
        <v>10149</v>
      </c>
      <c r="J1672" s="790">
        <v>0.35199999999999998</v>
      </c>
      <c r="K1672" s="789" t="s">
        <v>10150</v>
      </c>
      <c r="L1672" s="791">
        <v>0.4</v>
      </c>
    </row>
    <row r="1673" spans="3:12" s="767" customFormat="1" x14ac:dyDescent="0.25">
      <c r="D1673" s="186"/>
      <c r="F1673" s="1003"/>
      <c r="G1673" s="10"/>
      <c r="H1673" s="538"/>
      <c r="I1673" s="789"/>
      <c r="J1673" s="790"/>
      <c r="K1673" s="789"/>
      <c r="L1673" s="791"/>
    </row>
    <row r="1674" spans="3:12" s="767" customFormat="1" x14ac:dyDescent="0.25">
      <c r="C1674" s="3" t="s">
        <v>11489</v>
      </c>
      <c r="D1674" s="186"/>
      <c r="F1674" s="1003"/>
      <c r="G1674" s="10"/>
      <c r="H1674" s="538"/>
      <c r="I1674" s="789"/>
      <c r="J1674" s="790"/>
      <c r="K1674" s="789"/>
      <c r="L1674" s="791"/>
    </row>
    <row r="1675" spans="3:12" s="767" customFormat="1" x14ac:dyDescent="0.25">
      <c r="C1675" s="834" t="s">
        <v>39</v>
      </c>
      <c r="F1675" s="827" t="s">
        <v>3</v>
      </c>
      <c r="G1675" s="785">
        <f>(0.05)*0.08*1.25</f>
        <v>5.0000000000000001E-3</v>
      </c>
      <c r="H1675" s="538"/>
      <c r="I1675" s="789"/>
      <c r="J1675" s="790"/>
      <c r="K1675" s="789"/>
      <c r="L1675" s="791"/>
    </row>
    <row r="1676" spans="3:12" s="767" customFormat="1" ht="17.25" x14ac:dyDescent="0.25">
      <c r="C1676" s="834" t="s">
        <v>1055</v>
      </c>
      <c r="F1676" s="827" t="s">
        <v>596</v>
      </c>
      <c r="G1676" s="777">
        <f>1.5*G1675</f>
        <v>7.4999999999999997E-3</v>
      </c>
      <c r="H1676" s="538"/>
      <c r="I1676" s="789"/>
      <c r="J1676" s="790"/>
      <c r="K1676" s="789"/>
      <c r="L1676" s="791"/>
    </row>
    <row r="1677" spans="3:12" s="767" customFormat="1" x14ac:dyDescent="0.25">
      <c r="C1677" s="942" t="s">
        <v>8</v>
      </c>
      <c r="F1677" s="954" t="s">
        <v>3</v>
      </c>
      <c r="G1677" s="777">
        <f>G1679*0.7</f>
        <v>1.575E-2</v>
      </c>
      <c r="H1677" s="538"/>
      <c r="I1677" s="789"/>
      <c r="J1677" s="790"/>
      <c r="K1677" s="789"/>
      <c r="L1677" s="791"/>
    </row>
    <row r="1678" spans="3:12" s="767" customFormat="1" x14ac:dyDescent="0.25">
      <c r="C1678" s="942" t="s">
        <v>1453</v>
      </c>
      <c r="F1678" s="954" t="s">
        <v>3</v>
      </c>
      <c r="G1678" s="777">
        <f>0.3*G1677</f>
        <v>4.725E-3</v>
      </c>
      <c r="H1678" s="538"/>
      <c r="I1678" s="789"/>
      <c r="J1678" s="790"/>
      <c r="K1678" s="789"/>
      <c r="L1678" s="791"/>
    </row>
    <row r="1679" spans="3:12" s="767" customFormat="1" x14ac:dyDescent="0.25">
      <c r="C1679" s="942" t="s">
        <v>10300</v>
      </c>
      <c r="F1679" s="954" t="s">
        <v>3</v>
      </c>
      <c r="G1679" s="940">
        <f>0.6*0.1*0.15*2*1.25</f>
        <v>2.2499999999999999E-2</v>
      </c>
      <c r="H1679" s="538"/>
      <c r="I1679" s="789"/>
      <c r="J1679" s="790"/>
      <c r="K1679" s="789"/>
      <c r="L1679" s="791"/>
    </row>
    <row r="1680" spans="3:12" s="767" customFormat="1" x14ac:dyDescent="0.25">
      <c r="C1680" s="942" t="s">
        <v>11</v>
      </c>
      <c r="F1680" s="954" t="s">
        <v>3</v>
      </c>
      <c r="G1680" s="777">
        <f>0.3*G1679</f>
        <v>6.7499999999999999E-3</v>
      </c>
      <c r="H1680" s="538"/>
      <c r="I1680" s="789"/>
      <c r="J1680" s="790"/>
      <c r="K1680" s="789"/>
      <c r="L1680" s="791"/>
    </row>
    <row r="1681" spans="3:12" s="767" customFormat="1" x14ac:dyDescent="0.25">
      <c r="C1681" s="942" t="s">
        <v>6576</v>
      </c>
      <c r="F1681" s="954" t="s">
        <v>3</v>
      </c>
      <c r="G1681" s="777">
        <v>0.02</v>
      </c>
      <c r="H1681" s="538"/>
      <c r="I1681" s="789"/>
      <c r="J1681" s="790"/>
      <c r="K1681" s="789"/>
      <c r="L1681" s="791"/>
    </row>
    <row r="1682" spans="3:12" s="767" customFormat="1" x14ac:dyDescent="0.25">
      <c r="C1682" s="942"/>
      <c r="D1682" s="3" t="s">
        <v>12323</v>
      </c>
      <c r="F1682" s="954"/>
      <c r="G1682" s="777"/>
      <c r="H1682" s="538"/>
      <c r="I1682" s="789"/>
      <c r="J1682" s="790"/>
      <c r="K1682" s="789"/>
      <c r="L1682" s="791"/>
    </row>
    <row r="1683" spans="3:12" s="767" customFormat="1" x14ac:dyDescent="0.25">
      <c r="C1683" s="942"/>
      <c r="D1683" s="186" t="s">
        <v>10272</v>
      </c>
      <c r="F1683" s="954" t="s">
        <v>3</v>
      </c>
      <c r="G1683" s="777">
        <f>0.59*0.07*1.5*8*1.15</f>
        <v>0.56994</v>
      </c>
      <c r="H1683" s="538"/>
      <c r="I1683" s="789"/>
      <c r="J1683" s="790"/>
      <c r="K1683" s="789"/>
      <c r="L1683" s="791"/>
    </row>
    <row r="1684" spans="3:12" s="767" customFormat="1" x14ac:dyDescent="0.25">
      <c r="H1684" s="538"/>
      <c r="I1684" s="789"/>
      <c r="J1684" s="790"/>
      <c r="K1684" s="789"/>
      <c r="L1684" s="791"/>
    </row>
    <row r="1685" spans="3:12" s="767" customFormat="1" x14ac:dyDescent="0.25">
      <c r="C1685" s="3" t="s">
        <v>11490</v>
      </c>
      <c r="D1685" s="186"/>
      <c r="F1685" s="1003"/>
      <c r="G1685" s="10"/>
      <c r="H1685" s="538"/>
      <c r="I1685" s="789"/>
      <c r="J1685" s="790"/>
      <c r="K1685" s="789"/>
      <c r="L1685" s="791"/>
    </row>
    <row r="1686" spans="3:12" s="767" customFormat="1" x14ac:dyDescent="0.25">
      <c r="C1686" s="834" t="s">
        <v>39</v>
      </c>
      <c r="F1686" s="827" t="s">
        <v>3</v>
      </c>
      <c r="G1686" s="785">
        <f>(0.05)*0.08*1.25</f>
        <v>5.0000000000000001E-3</v>
      </c>
      <c r="H1686" s="538"/>
      <c r="I1686" s="789"/>
      <c r="J1686" s="790"/>
      <c r="K1686" s="789"/>
      <c r="L1686" s="791"/>
    </row>
    <row r="1687" spans="3:12" s="767" customFormat="1" ht="17.25" x14ac:dyDescent="0.25">
      <c r="C1687" s="834" t="s">
        <v>1055</v>
      </c>
      <c r="F1687" s="827" t="s">
        <v>596</v>
      </c>
      <c r="G1687" s="777">
        <f>1.5*G1686</f>
        <v>7.4999999999999997E-3</v>
      </c>
      <c r="H1687" s="538"/>
      <c r="I1687" s="789"/>
      <c r="J1687" s="790"/>
      <c r="K1687" s="789"/>
      <c r="L1687" s="791"/>
    </row>
    <row r="1688" spans="3:12" s="767" customFormat="1" x14ac:dyDescent="0.25">
      <c r="C1688" s="942" t="s">
        <v>8</v>
      </c>
      <c r="F1688" s="954" t="s">
        <v>3</v>
      </c>
      <c r="G1688" s="777">
        <f>G1690*0.7</f>
        <v>2.1656249999999998E-2</v>
      </c>
      <c r="H1688" s="538"/>
      <c r="I1688" s="789"/>
      <c r="J1688" s="790"/>
      <c r="K1688" s="789"/>
      <c r="L1688" s="791"/>
    </row>
    <row r="1689" spans="3:12" s="767" customFormat="1" x14ac:dyDescent="0.25">
      <c r="C1689" s="942" t="s">
        <v>1453</v>
      </c>
      <c r="F1689" s="954" t="s">
        <v>3</v>
      </c>
      <c r="G1689" s="777">
        <f>0.3*G1688</f>
        <v>6.4968749999999992E-3</v>
      </c>
      <c r="H1689" s="538"/>
      <c r="I1689" s="789"/>
      <c r="J1689" s="790"/>
      <c r="K1689" s="789"/>
      <c r="L1689" s="791"/>
    </row>
    <row r="1690" spans="3:12" s="767" customFormat="1" x14ac:dyDescent="0.25">
      <c r="C1690" s="942" t="s">
        <v>10300</v>
      </c>
      <c r="F1690" s="954" t="s">
        <v>3</v>
      </c>
      <c r="G1690" s="940">
        <f>0.825*0.1*0.15*2*1.25</f>
        <v>3.09375E-2</v>
      </c>
      <c r="H1690" s="538"/>
      <c r="I1690" s="789"/>
      <c r="J1690" s="790"/>
      <c r="K1690" s="789"/>
      <c r="L1690" s="791"/>
    </row>
    <row r="1691" spans="3:12" s="767" customFormat="1" x14ac:dyDescent="0.25">
      <c r="C1691" s="942" t="s">
        <v>11</v>
      </c>
      <c r="F1691" s="954" t="s">
        <v>3</v>
      </c>
      <c r="G1691" s="777">
        <f>0.3*G1690</f>
        <v>9.2812499999999996E-3</v>
      </c>
      <c r="H1691" s="538"/>
      <c r="I1691" s="789"/>
      <c r="J1691" s="790"/>
      <c r="K1691" s="789"/>
      <c r="L1691" s="791"/>
    </row>
    <row r="1692" spans="3:12" s="767" customFormat="1" x14ac:dyDescent="0.25">
      <c r="C1692" s="942" t="s">
        <v>6576</v>
      </c>
      <c r="F1692" s="954" t="s">
        <v>3</v>
      </c>
      <c r="G1692" s="777">
        <v>0.02</v>
      </c>
      <c r="H1692" s="538"/>
      <c r="I1692" s="789"/>
      <c r="J1692" s="790"/>
      <c r="K1692" s="789"/>
      <c r="L1692" s="791"/>
    </row>
    <row r="1693" spans="3:12" s="767" customFormat="1" x14ac:dyDescent="0.25">
      <c r="C1693" s="942"/>
      <c r="D1693" s="3" t="s">
        <v>12324</v>
      </c>
      <c r="F1693" s="954"/>
      <c r="G1693" s="777"/>
      <c r="H1693" s="538"/>
      <c r="I1693" s="789"/>
      <c r="J1693" s="790"/>
      <c r="K1693" s="789"/>
      <c r="L1693" s="791"/>
    </row>
    <row r="1694" spans="3:12" s="767" customFormat="1" x14ac:dyDescent="0.25">
      <c r="C1694" s="942"/>
      <c r="D1694" s="186" t="s">
        <v>10272</v>
      </c>
      <c r="F1694" s="954" t="s">
        <v>3</v>
      </c>
      <c r="G1694" s="777">
        <f>0.825*0.07*1.5*8*1.155</f>
        <v>0.8004150000000001</v>
      </c>
      <c r="H1694" s="538"/>
      <c r="I1694" s="789"/>
      <c r="J1694" s="790"/>
      <c r="K1694" s="789"/>
      <c r="L1694" s="791"/>
    </row>
    <row r="1695" spans="3:12" s="767" customFormat="1" x14ac:dyDescent="0.25">
      <c r="C1695" s="942"/>
      <c r="F1695" s="954"/>
      <c r="G1695" s="777"/>
      <c r="H1695" s="538"/>
      <c r="I1695" s="789"/>
      <c r="J1695" s="790"/>
      <c r="K1695" s="789"/>
      <c r="L1695" s="791"/>
    </row>
    <row r="1696" spans="3:12" s="767" customFormat="1" x14ac:dyDescent="0.25">
      <c r="C1696" s="3" t="s">
        <v>11505</v>
      </c>
      <c r="F1696" s="954"/>
      <c r="G1696" s="777"/>
      <c r="H1696" s="538"/>
      <c r="I1696" s="789"/>
      <c r="J1696" s="790"/>
      <c r="K1696" s="789"/>
      <c r="L1696" s="791"/>
    </row>
    <row r="1697" spans="3:12" s="767" customFormat="1" x14ac:dyDescent="0.25">
      <c r="C1697" s="834" t="s">
        <v>39</v>
      </c>
      <c r="F1697" s="827" t="s">
        <v>3</v>
      </c>
      <c r="G1697" s="785">
        <f>(0.06)*0.08*1.25</f>
        <v>5.9999999999999993E-3</v>
      </c>
      <c r="H1697" s="538"/>
      <c r="I1697" s="789"/>
      <c r="J1697" s="790"/>
      <c r="K1697" s="789"/>
      <c r="L1697" s="791"/>
    </row>
    <row r="1698" spans="3:12" s="767" customFormat="1" ht="17.25" x14ac:dyDescent="0.25">
      <c r="C1698" s="834" t="s">
        <v>1055</v>
      </c>
      <c r="F1698" s="827" t="s">
        <v>596</v>
      </c>
      <c r="G1698" s="777">
        <f>1.5*G1697</f>
        <v>8.9999999999999993E-3</v>
      </c>
      <c r="H1698" s="538"/>
      <c r="I1698" s="789"/>
      <c r="J1698" s="790"/>
      <c r="K1698" s="789"/>
      <c r="L1698" s="791"/>
    </row>
    <row r="1699" spans="3:12" s="767" customFormat="1" x14ac:dyDescent="0.25">
      <c r="C1699" s="942"/>
      <c r="D1699" s="3" t="s">
        <v>12326</v>
      </c>
      <c r="F1699" s="954"/>
      <c r="G1699" s="777"/>
      <c r="H1699" s="538"/>
      <c r="I1699" s="789"/>
      <c r="J1699" s="790"/>
      <c r="K1699" s="789"/>
      <c r="L1699" s="791"/>
    </row>
    <row r="1700" spans="3:12" s="767" customFormat="1" x14ac:dyDescent="0.25">
      <c r="C1700" s="942"/>
      <c r="D1700" s="767" t="s">
        <v>12328</v>
      </c>
      <c r="F1700" s="954" t="s">
        <v>3</v>
      </c>
      <c r="G1700" s="777">
        <f>0.1*L1700</f>
        <v>0.05</v>
      </c>
      <c r="H1700" s="538"/>
      <c r="I1700" s="789" t="s">
        <v>10149</v>
      </c>
      <c r="J1700" s="790">
        <v>0.48</v>
      </c>
      <c r="K1700" s="789" t="s">
        <v>10150</v>
      </c>
      <c r="L1700" s="791">
        <v>0.5</v>
      </c>
    </row>
    <row r="1701" spans="3:12" s="767" customFormat="1" x14ac:dyDescent="0.25">
      <c r="C1701" s="942"/>
      <c r="D1701" s="3" t="s">
        <v>12327</v>
      </c>
      <c r="F1701" s="954"/>
      <c r="G1701" s="777"/>
      <c r="H1701" s="538"/>
      <c r="I1701" s="789"/>
      <c r="J1701" s="790"/>
      <c r="K1701" s="789"/>
      <c r="L1701" s="791"/>
    </row>
    <row r="1702" spans="3:12" s="767" customFormat="1" x14ac:dyDescent="0.25">
      <c r="C1702" s="942"/>
      <c r="D1702" s="767" t="s">
        <v>12328</v>
      </c>
      <c r="F1702" s="954" t="s">
        <v>3</v>
      </c>
      <c r="G1702" s="777">
        <f>0.1*L1702</f>
        <v>8.5000000000000006E-3</v>
      </c>
      <c r="H1702" s="538"/>
      <c r="I1702" s="789" t="s">
        <v>10149</v>
      </c>
      <c r="J1702" s="790">
        <v>7.0000000000000007E-2</v>
      </c>
      <c r="K1702" s="789" t="s">
        <v>10150</v>
      </c>
      <c r="L1702" s="791">
        <v>8.5000000000000006E-2</v>
      </c>
    </row>
    <row r="1703" spans="3:12" s="767" customFormat="1" x14ac:dyDescent="0.25">
      <c r="C1703" s="942"/>
      <c r="F1703" s="954"/>
      <c r="G1703" s="777"/>
      <c r="H1703" s="538"/>
      <c r="I1703" s="789"/>
      <c r="J1703" s="790"/>
      <c r="K1703" s="789"/>
      <c r="L1703" s="791"/>
    </row>
    <row r="1704" spans="3:12" s="767" customFormat="1" x14ac:dyDescent="0.25">
      <c r="C1704" s="3" t="s">
        <v>11534</v>
      </c>
      <c r="F1704" s="954"/>
      <c r="G1704" s="777"/>
      <c r="H1704" s="538"/>
      <c r="I1704" s="789"/>
      <c r="J1704" s="790"/>
      <c r="K1704" s="789"/>
      <c r="L1704" s="791"/>
    </row>
    <row r="1705" spans="3:12" s="767" customFormat="1" x14ac:dyDescent="0.25">
      <c r="C1705" s="834" t="s">
        <v>39</v>
      </c>
      <c r="F1705" s="827" t="s">
        <v>3</v>
      </c>
      <c r="G1705" s="785">
        <f>(0.06)*0.08*1.25</f>
        <v>5.9999999999999993E-3</v>
      </c>
      <c r="H1705" s="538"/>
      <c r="I1705" s="789"/>
      <c r="J1705" s="790"/>
      <c r="K1705" s="789"/>
      <c r="L1705" s="791"/>
    </row>
    <row r="1706" spans="3:12" s="767" customFormat="1" ht="17.25" x14ac:dyDescent="0.25">
      <c r="C1706" s="834" t="s">
        <v>1055</v>
      </c>
      <c r="F1706" s="827" t="s">
        <v>596</v>
      </c>
      <c r="G1706" s="777">
        <f>1.5*G1705</f>
        <v>8.9999999999999993E-3</v>
      </c>
      <c r="H1706" s="538"/>
      <c r="I1706" s="789"/>
      <c r="J1706" s="790"/>
      <c r="K1706" s="789"/>
      <c r="L1706" s="791"/>
    </row>
    <row r="1707" spans="3:12" s="767" customFormat="1" x14ac:dyDescent="0.25">
      <c r="C1707" s="942" t="s">
        <v>8</v>
      </c>
      <c r="F1707" s="954" t="s">
        <v>3</v>
      </c>
      <c r="G1707" s="777">
        <f>G1709*0.7</f>
        <v>1.4175000000000002E-2</v>
      </c>
      <c r="H1707" s="538"/>
      <c r="I1707" s="789"/>
      <c r="J1707" s="790"/>
      <c r="K1707" s="789"/>
      <c r="L1707" s="791"/>
    </row>
    <row r="1708" spans="3:12" s="767" customFormat="1" x14ac:dyDescent="0.25">
      <c r="C1708" s="942" t="s">
        <v>1453</v>
      </c>
      <c r="F1708" s="954" t="s">
        <v>3</v>
      </c>
      <c r="G1708" s="777">
        <f>0.3*G1707</f>
        <v>4.2525000000000002E-3</v>
      </c>
      <c r="H1708" s="538"/>
      <c r="I1708" s="789"/>
      <c r="J1708" s="790"/>
      <c r="K1708" s="789"/>
      <c r="L1708" s="791"/>
    </row>
    <row r="1709" spans="3:12" s="767" customFormat="1" x14ac:dyDescent="0.25">
      <c r="C1709" s="942" t="s">
        <v>10300</v>
      </c>
      <c r="F1709" s="954" t="s">
        <v>3</v>
      </c>
      <c r="G1709" s="940">
        <f>0.27*0.1*2*0.15*2*1.25</f>
        <v>2.0250000000000004E-2</v>
      </c>
      <c r="H1709" s="538"/>
      <c r="I1709" s="789"/>
      <c r="J1709" s="790"/>
      <c r="K1709" s="789"/>
      <c r="L1709" s="791"/>
    </row>
    <row r="1710" spans="3:12" s="767" customFormat="1" x14ac:dyDescent="0.25">
      <c r="C1710" s="942" t="s">
        <v>11</v>
      </c>
      <c r="F1710" s="954" t="s">
        <v>3</v>
      </c>
      <c r="G1710" s="777">
        <f>0.3*G1709</f>
        <v>6.0750000000000014E-3</v>
      </c>
      <c r="H1710" s="538"/>
      <c r="I1710" s="789"/>
      <c r="J1710" s="790"/>
      <c r="K1710" s="789"/>
      <c r="L1710" s="791"/>
    </row>
    <row r="1711" spans="3:12" s="767" customFormat="1" x14ac:dyDescent="0.25">
      <c r="C1711" s="942" t="s">
        <v>6576</v>
      </c>
      <c r="F1711" s="954" t="s">
        <v>3</v>
      </c>
      <c r="G1711" s="777">
        <v>2.5000000000000001E-2</v>
      </c>
      <c r="H1711" s="538"/>
      <c r="I1711" s="789"/>
      <c r="J1711" s="790"/>
      <c r="K1711" s="789"/>
      <c r="L1711" s="791"/>
    </row>
    <row r="1712" spans="3:12" s="767" customFormat="1" x14ac:dyDescent="0.25">
      <c r="C1712" s="942"/>
      <c r="D1712" s="3" t="s">
        <v>12329</v>
      </c>
      <c r="F1712" s="954"/>
      <c r="G1712" s="777"/>
      <c r="H1712" s="538"/>
      <c r="I1712" s="789"/>
      <c r="J1712" s="790"/>
      <c r="K1712" s="789"/>
      <c r="L1712" s="791"/>
    </row>
    <row r="1713" spans="3:12" s="767" customFormat="1" x14ac:dyDescent="0.25">
      <c r="C1713" s="942"/>
      <c r="D1713" s="767" t="s">
        <v>9932</v>
      </c>
      <c r="F1713" s="954" t="s">
        <v>3</v>
      </c>
      <c r="G1713" s="777">
        <f>0.352*0.035*2*8*1.15</f>
        <v>0.226688</v>
      </c>
      <c r="H1713" s="538"/>
      <c r="I1713" s="789"/>
      <c r="J1713" s="790"/>
      <c r="K1713" s="789"/>
      <c r="L1713" s="791"/>
    </row>
    <row r="1714" spans="3:12" s="767" customFormat="1" x14ac:dyDescent="0.25">
      <c r="C1714" s="942"/>
      <c r="F1714" s="954"/>
      <c r="G1714" s="777"/>
      <c r="H1714" s="538"/>
      <c r="I1714" s="789"/>
      <c r="J1714" s="790"/>
      <c r="K1714" s="789"/>
      <c r="L1714" s="791"/>
    </row>
    <row r="1715" spans="3:12" s="767" customFormat="1" x14ac:dyDescent="0.25">
      <c r="C1715" s="3" t="s">
        <v>11806</v>
      </c>
      <c r="F1715" s="954"/>
      <c r="G1715" s="777"/>
      <c r="H1715" s="538"/>
      <c r="I1715" s="789"/>
      <c r="J1715" s="790"/>
      <c r="K1715" s="789"/>
      <c r="L1715" s="791"/>
    </row>
    <row r="1716" spans="3:12" s="767" customFormat="1" x14ac:dyDescent="0.25">
      <c r="C1716" s="942" t="s">
        <v>12331</v>
      </c>
      <c r="F1716" s="954" t="s">
        <v>195</v>
      </c>
      <c r="G1716" s="777">
        <f>L1716</f>
        <v>2.2999999999999998</v>
      </c>
      <c r="H1716" s="538"/>
      <c r="I1716" s="789" t="s">
        <v>10149</v>
      </c>
      <c r="J1716" s="790">
        <v>2.23</v>
      </c>
      <c r="K1716" s="789" t="s">
        <v>10150</v>
      </c>
      <c r="L1716" s="791">
        <v>2.2999999999999998</v>
      </c>
    </row>
    <row r="1717" spans="3:12" s="767" customFormat="1" x14ac:dyDescent="0.25">
      <c r="C1717" s="942" t="s">
        <v>12332</v>
      </c>
      <c r="F1717" s="954" t="s">
        <v>3</v>
      </c>
      <c r="G1717" s="777">
        <f>0.00153*L1717</f>
        <v>1.683E-3</v>
      </c>
      <c r="H1717" s="538"/>
      <c r="I1717" s="789" t="s">
        <v>10149</v>
      </c>
      <c r="J1717" s="790">
        <v>1</v>
      </c>
      <c r="K1717" s="789" t="s">
        <v>10150</v>
      </c>
      <c r="L1717" s="791">
        <v>1.1000000000000001</v>
      </c>
    </row>
    <row r="1718" spans="3:12" s="767" customFormat="1" x14ac:dyDescent="0.25">
      <c r="C1718" s="942" t="s">
        <v>5415</v>
      </c>
      <c r="F1718" s="954" t="s">
        <v>3</v>
      </c>
      <c r="G1718" s="777">
        <v>7.0000000000000001E-3</v>
      </c>
      <c r="H1718" s="538"/>
      <c r="I1718" s="789"/>
      <c r="J1718" s="790"/>
      <c r="K1718" s="789"/>
      <c r="L1718" s="791"/>
    </row>
    <row r="1719" spans="3:12" s="767" customFormat="1" x14ac:dyDescent="0.25">
      <c r="C1719" s="942" t="s">
        <v>672</v>
      </c>
      <c r="F1719" s="954" t="s">
        <v>3</v>
      </c>
      <c r="G1719" s="777">
        <f>G1718*2</f>
        <v>1.4E-2</v>
      </c>
      <c r="H1719" s="538"/>
      <c r="I1719" s="789"/>
      <c r="J1719" s="790"/>
      <c r="K1719" s="789"/>
      <c r="L1719" s="791"/>
    </row>
    <row r="1720" spans="3:12" s="767" customFormat="1" x14ac:dyDescent="0.25">
      <c r="C1720" s="942"/>
      <c r="F1720" s="954"/>
      <c r="G1720" s="777"/>
      <c r="H1720" s="538"/>
      <c r="I1720" s="789"/>
      <c r="J1720" s="790"/>
      <c r="K1720" s="789"/>
      <c r="L1720" s="791"/>
    </row>
    <row r="1721" spans="3:12" s="767" customFormat="1" x14ac:dyDescent="0.25">
      <c r="C1721" s="3" t="s">
        <v>12325</v>
      </c>
      <c r="D1721" s="186"/>
      <c r="F1721" s="995"/>
      <c r="G1721" s="10"/>
      <c r="H1721" s="538"/>
      <c r="I1721" s="789"/>
      <c r="J1721" s="790"/>
      <c r="K1721" s="789"/>
      <c r="L1721" s="791"/>
    </row>
    <row r="1722" spans="3:12" s="767" customFormat="1" x14ac:dyDescent="0.25">
      <c r="C1722" s="100" t="s">
        <v>140</v>
      </c>
      <c r="F1722" s="74" t="s">
        <v>3</v>
      </c>
      <c r="G1722" s="153">
        <f>0.012*3.14*2*0.08*1.25</f>
        <v>7.536000000000001E-3</v>
      </c>
      <c r="H1722" s="538"/>
      <c r="I1722" s="789"/>
      <c r="J1722" s="790"/>
      <c r="K1722" s="789"/>
      <c r="L1722" s="791"/>
    </row>
    <row r="1723" spans="3:12" s="767" customFormat="1" ht="17.25" x14ac:dyDescent="0.25">
      <c r="C1723" s="100" t="s">
        <v>23</v>
      </c>
      <c r="F1723" s="74" t="s">
        <v>596</v>
      </c>
      <c r="G1723" s="153">
        <f>G1722*2</f>
        <v>1.5072000000000002E-2</v>
      </c>
      <c r="H1723" s="538"/>
      <c r="I1723" s="789"/>
      <c r="J1723" s="790"/>
      <c r="K1723" s="789"/>
      <c r="L1723" s="791"/>
    </row>
    <row r="1724" spans="3:12" s="767" customFormat="1" x14ac:dyDescent="0.25">
      <c r="C1724" s="100" t="s">
        <v>142</v>
      </c>
      <c r="F1724" s="74" t="s">
        <v>3</v>
      </c>
      <c r="G1724" s="153">
        <f>G1722/4</f>
        <v>1.8840000000000003E-3</v>
      </c>
      <c r="H1724" s="538"/>
      <c r="I1724" s="789"/>
      <c r="J1724" s="790"/>
      <c r="K1724" s="789"/>
      <c r="L1724" s="791"/>
    </row>
    <row r="1725" spans="3:12" s="767" customFormat="1" x14ac:dyDescent="0.25">
      <c r="C1725" s="186" t="s">
        <v>12334</v>
      </c>
      <c r="D1725" s="186"/>
      <c r="F1725" s="1003" t="s">
        <v>3</v>
      </c>
      <c r="G1725" s="10">
        <f>J1730*0.011*2*1.25</f>
        <v>3.5337499999999994E-2</v>
      </c>
      <c r="H1725" s="538"/>
      <c r="I1725" s="789"/>
      <c r="J1725" s="790"/>
      <c r="K1725" s="789"/>
      <c r="L1725" s="791"/>
    </row>
    <row r="1726" spans="3:12" s="767" customFormat="1" x14ac:dyDescent="0.25">
      <c r="C1726" s="186" t="s">
        <v>143</v>
      </c>
      <c r="D1726" s="186"/>
      <c r="F1726" s="1003" t="s">
        <v>3</v>
      </c>
      <c r="G1726" s="10">
        <f>G1725*0.7</f>
        <v>2.4736249999999994E-2</v>
      </c>
      <c r="H1726" s="538"/>
      <c r="I1726" s="789"/>
      <c r="J1726" s="790"/>
      <c r="K1726" s="789"/>
      <c r="L1726" s="791"/>
    </row>
    <row r="1727" spans="3:12" s="767" customFormat="1" x14ac:dyDescent="0.25">
      <c r="C1727" s="186" t="s">
        <v>8</v>
      </c>
      <c r="D1727" s="186"/>
      <c r="F1727" s="1003" t="s">
        <v>3</v>
      </c>
      <c r="G1727" s="10">
        <f>G1725*0.7</f>
        <v>2.4736249999999994E-2</v>
      </c>
      <c r="H1727" s="538"/>
      <c r="I1727" s="789"/>
      <c r="J1727" s="790"/>
      <c r="K1727" s="789"/>
      <c r="L1727" s="791"/>
    </row>
    <row r="1728" spans="3:12" s="767" customFormat="1" x14ac:dyDescent="0.25">
      <c r="C1728" s="186" t="s">
        <v>12</v>
      </c>
      <c r="D1728" s="186"/>
      <c r="F1728" s="1003" t="s">
        <v>3</v>
      </c>
      <c r="G1728" s="10">
        <f>0.3*(G1727+G1726+G1725)</f>
        <v>2.5442999999999993E-2</v>
      </c>
      <c r="H1728" s="538"/>
      <c r="I1728" s="789"/>
      <c r="J1728" s="790"/>
      <c r="K1728" s="789"/>
      <c r="L1728" s="791"/>
    </row>
    <row r="1729" spans="3:12" s="767" customFormat="1" x14ac:dyDescent="0.25">
      <c r="D1729" s="78" t="s">
        <v>12335</v>
      </c>
      <c r="F1729" s="1003"/>
      <c r="G1729" s="10"/>
      <c r="H1729" s="538"/>
      <c r="I1729" s="789"/>
      <c r="J1729" s="790"/>
      <c r="K1729" s="789"/>
      <c r="L1729" s="791"/>
    </row>
    <row r="1730" spans="3:12" s="767" customFormat="1" x14ac:dyDescent="0.25">
      <c r="D1730" s="186" t="s">
        <v>12320</v>
      </c>
      <c r="F1730" s="1003" t="s">
        <v>3</v>
      </c>
      <c r="G1730" s="10">
        <f>0.271*L1730+0.001</f>
        <v>0.38040000000000002</v>
      </c>
      <c r="H1730" s="538"/>
      <c r="I1730" s="789" t="s">
        <v>10149</v>
      </c>
      <c r="J1730" s="790">
        <v>1.2849999999999999</v>
      </c>
      <c r="K1730" s="789" t="s">
        <v>10150</v>
      </c>
      <c r="L1730" s="791">
        <v>1.4</v>
      </c>
    </row>
    <row r="1731" spans="3:12" s="767" customFormat="1" x14ac:dyDescent="0.25">
      <c r="D1731" s="186"/>
      <c r="F1731" s="1003"/>
      <c r="G1731" s="10"/>
      <c r="H1731" s="538"/>
      <c r="I1731" s="789"/>
      <c r="J1731" s="790"/>
      <c r="K1731" s="789"/>
      <c r="L1731" s="791"/>
    </row>
    <row r="1732" spans="3:12" s="767" customFormat="1" x14ac:dyDescent="0.25">
      <c r="C1732" s="3" t="s">
        <v>11506</v>
      </c>
      <c r="D1732" s="186"/>
      <c r="F1732" s="1003"/>
      <c r="G1732" s="10"/>
      <c r="H1732" s="538"/>
      <c r="I1732" s="789"/>
      <c r="J1732" s="790"/>
      <c r="K1732" s="789"/>
      <c r="L1732" s="791"/>
    </row>
    <row r="1733" spans="3:12" s="767" customFormat="1" x14ac:dyDescent="0.25">
      <c r="C1733" s="100" t="s">
        <v>140</v>
      </c>
      <c r="F1733" s="74" t="s">
        <v>3</v>
      </c>
      <c r="G1733" s="153">
        <f>0.012*3.14*2*0.08*1.25</f>
        <v>7.536000000000001E-3</v>
      </c>
      <c r="H1733" s="538"/>
      <c r="I1733" s="789"/>
      <c r="J1733" s="790"/>
      <c r="K1733" s="789"/>
      <c r="L1733" s="791"/>
    </row>
    <row r="1734" spans="3:12" s="767" customFormat="1" ht="17.25" x14ac:dyDescent="0.25">
      <c r="C1734" s="100" t="s">
        <v>23</v>
      </c>
      <c r="F1734" s="74" t="s">
        <v>596</v>
      </c>
      <c r="G1734" s="153">
        <f>G1733*2</f>
        <v>1.5072000000000002E-2</v>
      </c>
      <c r="H1734" s="538"/>
      <c r="I1734" s="789"/>
      <c r="J1734" s="790"/>
      <c r="K1734" s="789"/>
      <c r="L1734" s="791"/>
    </row>
    <row r="1735" spans="3:12" s="767" customFormat="1" x14ac:dyDescent="0.25">
      <c r="C1735" s="100" t="s">
        <v>142</v>
      </c>
      <c r="F1735" s="74" t="s">
        <v>3</v>
      </c>
      <c r="G1735" s="153">
        <f>G1733/4</f>
        <v>1.8840000000000003E-3</v>
      </c>
      <c r="H1735" s="538"/>
      <c r="I1735" s="789"/>
      <c r="J1735" s="790"/>
      <c r="K1735" s="789"/>
      <c r="L1735" s="791"/>
    </row>
    <row r="1736" spans="3:12" s="767" customFormat="1" x14ac:dyDescent="0.25">
      <c r="C1736" s="186" t="s">
        <v>12334</v>
      </c>
      <c r="D1736" s="186"/>
      <c r="F1736" s="1003" t="s">
        <v>3</v>
      </c>
      <c r="G1736" s="10">
        <f>J1741*0.011*2*1.25</f>
        <v>3.85E-2</v>
      </c>
      <c r="H1736" s="538"/>
      <c r="I1736" s="789"/>
      <c r="J1736" s="790"/>
      <c r="K1736" s="789"/>
      <c r="L1736" s="791"/>
    </row>
    <row r="1737" spans="3:12" s="767" customFormat="1" x14ac:dyDescent="0.25">
      <c r="C1737" s="186" t="s">
        <v>143</v>
      </c>
      <c r="D1737" s="186"/>
      <c r="F1737" s="1003" t="s">
        <v>3</v>
      </c>
      <c r="G1737" s="10">
        <f>G1736*0.7</f>
        <v>2.6949999999999998E-2</v>
      </c>
      <c r="H1737" s="538"/>
      <c r="I1737" s="789"/>
      <c r="J1737" s="790"/>
      <c r="K1737" s="789"/>
      <c r="L1737" s="791"/>
    </row>
    <row r="1738" spans="3:12" s="767" customFormat="1" x14ac:dyDescent="0.25">
      <c r="C1738" s="186" t="s">
        <v>8</v>
      </c>
      <c r="D1738" s="186"/>
      <c r="F1738" s="1003" t="s">
        <v>3</v>
      </c>
      <c r="G1738" s="10">
        <f>G1736*0.7</f>
        <v>2.6949999999999998E-2</v>
      </c>
      <c r="H1738" s="538"/>
      <c r="I1738" s="789"/>
      <c r="J1738" s="790"/>
      <c r="K1738" s="789"/>
      <c r="L1738" s="791"/>
    </row>
    <row r="1739" spans="3:12" s="767" customFormat="1" x14ac:dyDescent="0.25">
      <c r="C1739" s="186" t="s">
        <v>12</v>
      </c>
      <c r="D1739" s="186"/>
      <c r="F1739" s="1003" t="s">
        <v>3</v>
      </c>
      <c r="G1739" s="10">
        <f>0.3*(G1738+G1737+G1736)</f>
        <v>2.7719999999999998E-2</v>
      </c>
      <c r="H1739" s="538"/>
      <c r="I1739" s="789"/>
      <c r="J1739" s="790"/>
      <c r="K1739" s="789"/>
      <c r="L1739" s="791"/>
    </row>
    <row r="1740" spans="3:12" s="767" customFormat="1" x14ac:dyDescent="0.25">
      <c r="D1740" s="78" t="s">
        <v>12336</v>
      </c>
      <c r="F1740" s="1003"/>
      <c r="G1740" s="10"/>
      <c r="H1740" s="538"/>
      <c r="I1740" s="789"/>
      <c r="J1740" s="790"/>
      <c r="K1740" s="789"/>
      <c r="L1740" s="791"/>
    </row>
    <row r="1741" spans="3:12" s="767" customFormat="1" x14ac:dyDescent="0.25">
      <c r="D1741" s="186" t="s">
        <v>12320</v>
      </c>
      <c r="F1741" s="1003" t="s">
        <v>3</v>
      </c>
      <c r="G1741" s="10">
        <f>0.271*L1741+0.001</f>
        <v>0.40750000000000003</v>
      </c>
      <c r="H1741" s="538"/>
      <c r="I1741" s="789" t="s">
        <v>10149</v>
      </c>
      <c r="J1741" s="790">
        <v>1.4</v>
      </c>
      <c r="K1741" s="789" t="s">
        <v>10150</v>
      </c>
      <c r="L1741" s="791">
        <v>1.5</v>
      </c>
    </row>
    <row r="1742" spans="3:12" s="767" customFormat="1" x14ac:dyDescent="0.25">
      <c r="D1742" s="186"/>
      <c r="F1742" s="1003"/>
      <c r="G1742" s="10"/>
      <c r="H1742" s="538"/>
      <c r="I1742" s="789"/>
      <c r="J1742" s="790"/>
      <c r="K1742" s="789"/>
      <c r="L1742" s="791"/>
    </row>
    <row r="1743" spans="3:12" s="767" customFormat="1" x14ac:dyDescent="0.25">
      <c r="C1743" s="3" t="s">
        <v>11507</v>
      </c>
      <c r="D1743" s="186"/>
      <c r="F1743" s="1003"/>
      <c r="G1743" s="10"/>
      <c r="H1743" s="538"/>
      <c r="I1743" s="789"/>
      <c r="J1743" s="790"/>
      <c r="K1743" s="789"/>
      <c r="L1743" s="791"/>
    </row>
    <row r="1744" spans="3:12" s="767" customFormat="1" x14ac:dyDescent="0.25">
      <c r="C1744" s="100" t="s">
        <v>140</v>
      </c>
      <c r="F1744" s="74" t="s">
        <v>3</v>
      </c>
      <c r="G1744" s="153">
        <f>0.008*3.14*2*0.08*1.25</f>
        <v>5.0239999999999998E-3</v>
      </c>
      <c r="H1744" s="538"/>
      <c r="I1744" s="789"/>
      <c r="J1744" s="790"/>
      <c r="K1744" s="789"/>
      <c r="L1744" s="791"/>
    </row>
    <row r="1745" spans="3:12" s="767" customFormat="1" ht="17.25" x14ac:dyDescent="0.25">
      <c r="C1745" s="100" t="s">
        <v>23</v>
      </c>
      <c r="F1745" s="74" t="s">
        <v>596</v>
      </c>
      <c r="G1745" s="153">
        <f>G1744*2</f>
        <v>1.0048E-2</v>
      </c>
      <c r="H1745" s="538"/>
      <c r="I1745" s="789"/>
      <c r="J1745" s="790"/>
      <c r="K1745" s="789"/>
      <c r="L1745" s="791"/>
    </row>
    <row r="1746" spans="3:12" s="767" customFormat="1" x14ac:dyDescent="0.25">
      <c r="C1746" s="100" t="s">
        <v>142</v>
      </c>
      <c r="F1746" s="74" t="s">
        <v>3</v>
      </c>
      <c r="G1746" s="153">
        <f>G1744/4</f>
        <v>1.256E-3</v>
      </c>
      <c r="H1746" s="538"/>
      <c r="I1746" s="789"/>
      <c r="J1746" s="790"/>
      <c r="K1746" s="789"/>
      <c r="L1746" s="791"/>
    </row>
    <row r="1747" spans="3:12" s="767" customFormat="1" x14ac:dyDescent="0.25">
      <c r="C1747" s="186" t="s">
        <v>12334</v>
      </c>
      <c r="D1747" s="186"/>
      <c r="F1747" s="1003" t="s">
        <v>3</v>
      </c>
      <c r="G1747" s="10">
        <f>J1752*0.011*2*1.25</f>
        <v>5.2112499999999999E-2</v>
      </c>
      <c r="H1747" s="538"/>
      <c r="I1747" s="789"/>
      <c r="J1747" s="790"/>
      <c r="K1747" s="789"/>
      <c r="L1747" s="791"/>
    </row>
    <row r="1748" spans="3:12" s="767" customFormat="1" x14ac:dyDescent="0.25">
      <c r="C1748" s="186" t="s">
        <v>143</v>
      </c>
      <c r="D1748" s="186"/>
      <c r="F1748" s="1003" t="s">
        <v>3</v>
      </c>
      <c r="G1748" s="10">
        <f>G1747*0.7</f>
        <v>3.6478749999999997E-2</v>
      </c>
      <c r="H1748" s="538"/>
      <c r="I1748" s="789"/>
      <c r="J1748" s="790"/>
      <c r="K1748" s="789"/>
      <c r="L1748" s="791"/>
    </row>
    <row r="1749" spans="3:12" s="767" customFormat="1" x14ac:dyDescent="0.25">
      <c r="C1749" s="186" t="s">
        <v>8</v>
      </c>
      <c r="D1749" s="186"/>
      <c r="F1749" s="1003" t="s">
        <v>3</v>
      </c>
      <c r="G1749" s="10">
        <f>G1747*0.7</f>
        <v>3.6478749999999997E-2</v>
      </c>
      <c r="H1749" s="538"/>
      <c r="I1749" s="789"/>
      <c r="J1749" s="790"/>
      <c r="K1749" s="789"/>
      <c r="L1749" s="791"/>
    </row>
    <row r="1750" spans="3:12" s="767" customFormat="1" x14ac:dyDescent="0.25">
      <c r="C1750" s="186" t="s">
        <v>12</v>
      </c>
      <c r="D1750" s="186"/>
      <c r="F1750" s="1003" t="s">
        <v>3</v>
      </c>
      <c r="G1750" s="10">
        <f>0.3*(G1749+G1748+G1747)</f>
        <v>3.7520999999999992E-2</v>
      </c>
      <c r="H1750" s="538"/>
      <c r="I1750" s="789"/>
      <c r="J1750" s="790"/>
      <c r="K1750" s="789"/>
      <c r="L1750" s="791"/>
    </row>
    <row r="1751" spans="3:12" s="767" customFormat="1" x14ac:dyDescent="0.25">
      <c r="D1751" s="78" t="s">
        <v>12338</v>
      </c>
      <c r="F1751" s="1003"/>
      <c r="G1751" s="10"/>
      <c r="H1751" s="538"/>
      <c r="I1751" s="789"/>
      <c r="J1751" s="790"/>
      <c r="K1751" s="789"/>
      <c r="L1751" s="791"/>
    </row>
    <row r="1752" spans="3:12" s="767" customFormat="1" x14ac:dyDescent="0.25">
      <c r="D1752" s="186" t="s">
        <v>12337</v>
      </c>
      <c r="F1752" s="1003" t="s">
        <v>3</v>
      </c>
      <c r="G1752" s="10">
        <f>0.173*L1752</f>
        <v>0.35464999999999997</v>
      </c>
      <c r="H1752" s="538"/>
      <c r="I1752" s="789" t="s">
        <v>10149</v>
      </c>
      <c r="J1752" s="790">
        <v>1.895</v>
      </c>
      <c r="K1752" s="789" t="s">
        <v>10150</v>
      </c>
      <c r="L1752" s="791">
        <v>2.0499999999999998</v>
      </c>
    </row>
    <row r="1753" spans="3:12" s="767" customFormat="1" x14ac:dyDescent="0.25">
      <c r="D1753" s="186"/>
      <c r="F1753" s="995"/>
      <c r="G1753" s="10"/>
      <c r="H1753" s="538"/>
      <c r="I1753" s="789"/>
      <c r="J1753" s="790"/>
      <c r="K1753" s="789"/>
      <c r="L1753" s="791"/>
    </row>
    <row r="1754" spans="3:12" s="767" customFormat="1" x14ac:dyDescent="0.25">
      <c r="C1754" s="3" t="s">
        <v>11508</v>
      </c>
      <c r="D1754" s="186"/>
      <c r="F1754" s="995"/>
      <c r="G1754" s="10"/>
      <c r="H1754" s="538"/>
      <c r="I1754" s="789"/>
      <c r="J1754" s="790"/>
      <c r="K1754" s="789"/>
      <c r="L1754" s="791"/>
    </row>
    <row r="1755" spans="3:12" s="767" customFormat="1" x14ac:dyDescent="0.25">
      <c r="C1755" s="100" t="s">
        <v>140</v>
      </c>
      <c r="F1755" s="74" t="s">
        <v>3</v>
      </c>
      <c r="G1755" s="153">
        <f>0.008*3.14*2*0.08*1.25</f>
        <v>5.0239999999999998E-3</v>
      </c>
      <c r="H1755" s="538"/>
      <c r="I1755" s="789"/>
      <c r="J1755" s="790"/>
      <c r="K1755" s="789"/>
      <c r="L1755" s="791"/>
    </row>
    <row r="1756" spans="3:12" s="767" customFormat="1" ht="17.25" x14ac:dyDescent="0.25">
      <c r="C1756" s="100" t="s">
        <v>23</v>
      </c>
      <c r="F1756" s="74" t="s">
        <v>596</v>
      </c>
      <c r="G1756" s="153">
        <f>G1755*2</f>
        <v>1.0048E-2</v>
      </c>
      <c r="H1756" s="538"/>
      <c r="I1756" s="789"/>
      <c r="J1756" s="790"/>
      <c r="K1756" s="789"/>
      <c r="L1756" s="791"/>
    </row>
    <row r="1757" spans="3:12" s="767" customFormat="1" x14ac:dyDescent="0.25">
      <c r="C1757" s="100" t="s">
        <v>142</v>
      </c>
      <c r="F1757" s="74" t="s">
        <v>3</v>
      </c>
      <c r="G1757" s="153">
        <f>G1755/4</f>
        <v>1.256E-3</v>
      </c>
      <c r="H1757" s="538"/>
      <c r="I1757" s="789"/>
      <c r="J1757" s="790"/>
      <c r="K1757" s="789"/>
      <c r="L1757" s="791"/>
    </row>
    <row r="1758" spans="3:12" s="767" customFormat="1" x14ac:dyDescent="0.25">
      <c r="C1758" s="186" t="s">
        <v>12334</v>
      </c>
      <c r="D1758" s="186"/>
      <c r="F1758" s="1003" t="s">
        <v>3</v>
      </c>
      <c r="G1758" s="10">
        <f>J1763*0.011*2*1.25</f>
        <v>2.9700000000000001E-2</v>
      </c>
      <c r="H1758" s="538"/>
      <c r="I1758" s="789"/>
      <c r="J1758" s="790"/>
      <c r="K1758" s="789"/>
      <c r="L1758" s="791"/>
    </row>
    <row r="1759" spans="3:12" s="767" customFormat="1" x14ac:dyDescent="0.25">
      <c r="C1759" s="186" t="s">
        <v>143</v>
      </c>
      <c r="D1759" s="186"/>
      <c r="F1759" s="1003" t="s">
        <v>3</v>
      </c>
      <c r="G1759" s="10">
        <f>G1758*0.7</f>
        <v>2.0789999999999999E-2</v>
      </c>
      <c r="H1759" s="538"/>
      <c r="I1759" s="789"/>
      <c r="J1759" s="790"/>
      <c r="K1759" s="789"/>
      <c r="L1759" s="791"/>
    </row>
    <row r="1760" spans="3:12" s="767" customFormat="1" x14ac:dyDescent="0.25">
      <c r="C1760" s="186" t="s">
        <v>8</v>
      </c>
      <c r="D1760" s="186"/>
      <c r="F1760" s="1003" t="s">
        <v>3</v>
      </c>
      <c r="G1760" s="10">
        <f>G1758*0.7</f>
        <v>2.0789999999999999E-2</v>
      </c>
      <c r="H1760" s="538"/>
      <c r="I1760" s="789"/>
      <c r="J1760" s="790"/>
      <c r="K1760" s="789"/>
      <c r="L1760" s="791"/>
    </row>
    <row r="1761" spans="3:12" s="767" customFormat="1" x14ac:dyDescent="0.25">
      <c r="C1761" s="186" t="s">
        <v>12</v>
      </c>
      <c r="D1761" s="186"/>
      <c r="F1761" s="1003" t="s">
        <v>3</v>
      </c>
      <c r="G1761" s="10">
        <f>0.3*(G1760+G1759+G1758)</f>
        <v>2.1383999999999997E-2</v>
      </c>
      <c r="H1761" s="538"/>
      <c r="I1761" s="789"/>
      <c r="J1761" s="790"/>
      <c r="K1761" s="789"/>
      <c r="L1761" s="791"/>
    </row>
    <row r="1762" spans="3:12" s="767" customFormat="1" x14ac:dyDescent="0.25">
      <c r="D1762" s="78" t="s">
        <v>12338</v>
      </c>
      <c r="F1762" s="1003"/>
      <c r="G1762" s="10"/>
      <c r="H1762" s="538"/>
      <c r="I1762" s="789"/>
      <c r="J1762" s="790"/>
      <c r="K1762" s="789"/>
      <c r="L1762" s="791"/>
    </row>
    <row r="1763" spans="3:12" s="767" customFormat="1" x14ac:dyDescent="0.25">
      <c r="D1763" s="186" t="s">
        <v>12337</v>
      </c>
      <c r="F1763" s="1003" t="s">
        <v>3</v>
      </c>
      <c r="G1763" s="10">
        <f>0.173*L1763</f>
        <v>0.20759999999999998</v>
      </c>
      <c r="H1763" s="538"/>
      <c r="I1763" s="789" t="s">
        <v>10149</v>
      </c>
      <c r="J1763" s="790">
        <v>1.08</v>
      </c>
      <c r="K1763" s="789" t="s">
        <v>10150</v>
      </c>
      <c r="L1763" s="791">
        <v>1.2</v>
      </c>
    </row>
    <row r="1764" spans="3:12" s="767" customFormat="1" x14ac:dyDescent="0.25">
      <c r="C1764" s="3"/>
      <c r="D1764" s="186"/>
      <c r="F1764" s="1003"/>
      <c r="G1764" s="10"/>
      <c r="H1764" s="538"/>
      <c r="I1764" s="789"/>
      <c r="J1764" s="790"/>
      <c r="K1764" s="789"/>
      <c r="L1764" s="791"/>
    </row>
    <row r="1765" spans="3:12" s="767" customFormat="1" x14ac:dyDescent="0.25">
      <c r="C1765" s="3" t="s">
        <v>11509</v>
      </c>
      <c r="D1765" s="186"/>
      <c r="F1765" s="995" t="s">
        <v>2180</v>
      </c>
      <c r="G1765" s="10"/>
      <c r="H1765" s="538"/>
      <c r="I1765" s="789"/>
      <c r="J1765" s="790"/>
      <c r="K1765" s="789"/>
      <c r="L1765" s="791"/>
    </row>
    <row r="1766" spans="3:12" s="767" customFormat="1" x14ac:dyDescent="0.25">
      <c r="D1766" s="78" t="s">
        <v>12339</v>
      </c>
      <c r="F1766" s="1003"/>
      <c r="G1766" s="10"/>
      <c r="H1766" s="538"/>
      <c r="I1766" s="789"/>
      <c r="J1766" s="790"/>
      <c r="K1766" s="789"/>
      <c r="L1766" s="791"/>
    </row>
    <row r="1767" spans="3:12" s="767" customFormat="1" x14ac:dyDescent="0.25">
      <c r="D1767" s="100" t="s">
        <v>140</v>
      </c>
      <c r="F1767" s="74" t="s">
        <v>3</v>
      </c>
      <c r="G1767" s="153">
        <f>0.006*3.14*2*0.08*1.25</f>
        <v>3.7680000000000005E-3</v>
      </c>
      <c r="H1767" s="538"/>
      <c r="I1767" s="789"/>
      <c r="J1767" s="790"/>
      <c r="K1767" s="789"/>
      <c r="L1767" s="791"/>
    </row>
    <row r="1768" spans="3:12" s="767" customFormat="1" ht="17.25" x14ac:dyDescent="0.25">
      <c r="D1768" s="100" t="s">
        <v>23</v>
      </c>
      <c r="F1768" s="74" t="s">
        <v>596</v>
      </c>
      <c r="G1768" s="153">
        <f>G1767*2</f>
        <v>7.536000000000001E-3</v>
      </c>
      <c r="H1768" s="538"/>
      <c r="I1768" s="789"/>
      <c r="J1768" s="790"/>
      <c r="K1768" s="789"/>
      <c r="L1768" s="791"/>
    </row>
    <row r="1769" spans="3:12" s="767" customFormat="1" x14ac:dyDescent="0.25">
      <c r="D1769" s="100" t="s">
        <v>142</v>
      </c>
      <c r="F1769" s="74" t="s">
        <v>3</v>
      </c>
      <c r="G1769" s="153">
        <f>G1767/4</f>
        <v>9.4200000000000013E-4</v>
      </c>
      <c r="H1769" s="538"/>
      <c r="I1769" s="789"/>
      <c r="J1769" s="790"/>
      <c r="K1769" s="789"/>
      <c r="L1769" s="791"/>
    </row>
    <row r="1770" spans="3:12" s="767" customFormat="1" x14ac:dyDescent="0.25">
      <c r="D1770" s="186" t="s">
        <v>12334</v>
      </c>
      <c r="E1770" s="186"/>
      <c r="F1770" s="1003" t="s">
        <v>3</v>
      </c>
      <c r="G1770" s="10">
        <f>J1775*0.011*2*1.25</f>
        <v>1.7875000000000002E-2</v>
      </c>
      <c r="H1770" s="538"/>
      <c r="I1770" s="789"/>
      <c r="J1770" s="790"/>
      <c r="K1770" s="789"/>
      <c r="L1770" s="791"/>
    </row>
    <row r="1771" spans="3:12" s="767" customFormat="1" x14ac:dyDescent="0.25">
      <c r="D1771" s="186" t="s">
        <v>143</v>
      </c>
      <c r="E1771" s="186"/>
      <c r="F1771" s="1003" t="s">
        <v>3</v>
      </c>
      <c r="G1771" s="10">
        <f>G1770*0.7</f>
        <v>1.2512500000000001E-2</v>
      </c>
      <c r="H1771" s="538"/>
      <c r="I1771" s="789"/>
      <c r="J1771" s="790"/>
      <c r="K1771" s="789"/>
      <c r="L1771" s="791"/>
    </row>
    <row r="1772" spans="3:12" s="767" customFormat="1" x14ac:dyDescent="0.25">
      <c r="D1772" s="186" t="s">
        <v>8</v>
      </c>
      <c r="E1772" s="186"/>
      <c r="F1772" s="1003" t="s">
        <v>3</v>
      </c>
      <c r="G1772" s="10">
        <f>G1770*0.7</f>
        <v>1.2512500000000001E-2</v>
      </c>
      <c r="H1772" s="538"/>
      <c r="I1772" s="789"/>
      <c r="J1772" s="790"/>
      <c r="K1772" s="789"/>
      <c r="L1772" s="791"/>
    </row>
    <row r="1773" spans="3:12" s="767" customFormat="1" x14ac:dyDescent="0.25">
      <c r="D1773" s="186" t="s">
        <v>12</v>
      </c>
      <c r="E1773" s="186"/>
      <c r="F1773" s="1003" t="s">
        <v>3</v>
      </c>
      <c r="G1773" s="10">
        <f>0.3*(G1772+G1771+G1770)</f>
        <v>1.2870000000000001E-2</v>
      </c>
      <c r="H1773" s="538"/>
      <c r="I1773" s="789"/>
      <c r="J1773" s="790"/>
      <c r="K1773" s="789"/>
      <c r="L1773" s="791"/>
    </row>
    <row r="1774" spans="3:12" s="767" customFormat="1" x14ac:dyDescent="0.25">
      <c r="D1774" s="186"/>
      <c r="E1774" s="3" t="s">
        <v>12340</v>
      </c>
      <c r="F1774" s="1003"/>
      <c r="G1774" s="10"/>
      <c r="H1774" s="538"/>
      <c r="I1774" s="789"/>
      <c r="J1774" s="790"/>
      <c r="K1774" s="789"/>
      <c r="L1774" s="791"/>
    </row>
    <row r="1775" spans="3:12" s="767" customFormat="1" x14ac:dyDescent="0.25">
      <c r="D1775" s="186"/>
      <c r="E1775" s="186" t="s">
        <v>12341</v>
      </c>
      <c r="F1775" s="1003" t="s">
        <v>3</v>
      </c>
      <c r="G1775" s="10">
        <f>0.123* L1775</f>
        <v>9.2249999999999999E-2</v>
      </c>
      <c r="H1775" s="538"/>
      <c r="I1775" s="789" t="s">
        <v>10149</v>
      </c>
      <c r="J1775" s="790">
        <v>0.65</v>
      </c>
      <c r="K1775" s="789" t="s">
        <v>10150</v>
      </c>
      <c r="L1775" s="791">
        <v>0.75</v>
      </c>
    </row>
    <row r="1776" spans="3:12" s="767" customFormat="1" x14ac:dyDescent="0.25">
      <c r="D1776" s="186"/>
      <c r="F1776" s="1003"/>
      <c r="G1776" s="10"/>
      <c r="H1776" s="538"/>
      <c r="I1776" s="789"/>
      <c r="J1776" s="790"/>
      <c r="K1776" s="789"/>
      <c r="L1776" s="791"/>
    </row>
    <row r="1777" spans="3:12" s="767" customFormat="1" x14ac:dyDescent="0.25">
      <c r="C1777" s="3" t="s">
        <v>11510</v>
      </c>
      <c r="D1777" s="186"/>
      <c r="F1777" s="995"/>
      <c r="G1777" s="10"/>
      <c r="H1777" s="538"/>
      <c r="I1777" s="789"/>
      <c r="J1777" s="790"/>
      <c r="K1777" s="789"/>
      <c r="L1777" s="791"/>
    </row>
    <row r="1778" spans="3:12" s="767" customFormat="1" x14ac:dyDescent="0.25">
      <c r="C1778" s="100" t="s">
        <v>140</v>
      </c>
      <c r="F1778" s="74" t="s">
        <v>3</v>
      </c>
      <c r="G1778" s="153">
        <f>0.008*3.14*2*0.08*1.25</f>
        <v>5.0239999999999998E-3</v>
      </c>
      <c r="H1778" s="538"/>
      <c r="I1778" s="789"/>
      <c r="J1778" s="790"/>
      <c r="K1778" s="789"/>
      <c r="L1778" s="791"/>
    </row>
    <row r="1779" spans="3:12" s="767" customFormat="1" ht="17.25" x14ac:dyDescent="0.25">
      <c r="C1779" s="100" t="s">
        <v>23</v>
      </c>
      <c r="F1779" s="74" t="s">
        <v>596</v>
      </c>
      <c r="G1779" s="153">
        <f>G1778*2</f>
        <v>1.0048E-2</v>
      </c>
      <c r="H1779" s="538"/>
      <c r="I1779" s="789"/>
      <c r="J1779" s="790"/>
      <c r="K1779" s="789"/>
      <c r="L1779" s="791"/>
    </row>
    <row r="1780" spans="3:12" s="767" customFormat="1" x14ac:dyDescent="0.25">
      <c r="C1780" s="100" t="s">
        <v>142</v>
      </c>
      <c r="F1780" s="74" t="s">
        <v>3</v>
      </c>
      <c r="G1780" s="153">
        <f>G1778/4</f>
        <v>1.256E-3</v>
      </c>
      <c r="H1780" s="538"/>
      <c r="I1780" s="789"/>
      <c r="J1780" s="790"/>
      <c r="K1780" s="789"/>
      <c r="L1780" s="791"/>
    </row>
    <row r="1781" spans="3:12" s="767" customFormat="1" x14ac:dyDescent="0.25">
      <c r="C1781" s="186" t="s">
        <v>12334</v>
      </c>
      <c r="D1781" s="186"/>
      <c r="F1781" s="1003" t="s">
        <v>3</v>
      </c>
      <c r="G1781" s="10">
        <f>J1786*0.011*2*1.25</f>
        <v>2.5162499999999997E-2</v>
      </c>
      <c r="H1781" s="538"/>
      <c r="I1781" s="789"/>
      <c r="J1781" s="790"/>
      <c r="K1781" s="789"/>
      <c r="L1781" s="791"/>
    </row>
    <row r="1782" spans="3:12" s="767" customFormat="1" x14ac:dyDescent="0.25">
      <c r="C1782" s="186" t="s">
        <v>143</v>
      </c>
      <c r="D1782" s="186"/>
      <c r="F1782" s="1003" t="s">
        <v>3</v>
      </c>
      <c r="G1782" s="10">
        <f>G1781*0.7</f>
        <v>1.7613749999999997E-2</v>
      </c>
      <c r="H1782" s="538"/>
      <c r="I1782" s="789"/>
      <c r="J1782" s="790"/>
      <c r="K1782" s="789"/>
      <c r="L1782" s="791"/>
    </row>
    <row r="1783" spans="3:12" s="767" customFormat="1" x14ac:dyDescent="0.25">
      <c r="C1783" s="186" t="s">
        <v>8</v>
      </c>
      <c r="D1783" s="186"/>
      <c r="F1783" s="1003" t="s">
        <v>3</v>
      </c>
      <c r="G1783" s="10">
        <f>G1781*0.7</f>
        <v>1.7613749999999997E-2</v>
      </c>
      <c r="H1783" s="538"/>
      <c r="I1783" s="789"/>
      <c r="J1783" s="790"/>
      <c r="K1783" s="789"/>
      <c r="L1783" s="791"/>
    </row>
    <row r="1784" spans="3:12" s="767" customFormat="1" x14ac:dyDescent="0.25">
      <c r="C1784" s="186" t="s">
        <v>12</v>
      </c>
      <c r="D1784" s="186"/>
      <c r="F1784" s="1003" t="s">
        <v>3</v>
      </c>
      <c r="G1784" s="10">
        <f>0.3*(G1783+G1782+G1781)</f>
        <v>1.8116999999999998E-2</v>
      </c>
      <c r="H1784" s="538"/>
      <c r="I1784" s="789"/>
      <c r="J1784" s="790"/>
      <c r="K1784" s="789"/>
      <c r="L1784" s="791"/>
    </row>
    <row r="1785" spans="3:12" s="767" customFormat="1" x14ac:dyDescent="0.25">
      <c r="D1785" s="78" t="s">
        <v>12342</v>
      </c>
      <c r="F1785" s="1003"/>
      <c r="G1785" s="10"/>
      <c r="H1785" s="538"/>
      <c r="I1785" s="789"/>
      <c r="J1785" s="790"/>
      <c r="K1785" s="789"/>
      <c r="L1785" s="791"/>
    </row>
    <row r="1786" spans="3:12" s="767" customFormat="1" x14ac:dyDescent="0.25">
      <c r="D1786" s="186" t="s">
        <v>12337</v>
      </c>
      <c r="F1786" s="1003" t="s">
        <v>3</v>
      </c>
      <c r="G1786" s="10">
        <f>0.173*L1786</f>
        <v>0.17299999999999999</v>
      </c>
      <c r="H1786" s="538"/>
      <c r="I1786" s="789" t="s">
        <v>10149</v>
      </c>
      <c r="J1786" s="790">
        <v>0.91500000000000004</v>
      </c>
      <c r="K1786" s="789" t="s">
        <v>10150</v>
      </c>
      <c r="L1786" s="791">
        <v>1</v>
      </c>
    </row>
    <row r="1787" spans="3:12" s="767" customFormat="1" x14ac:dyDescent="0.25">
      <c r="C1787" s="3"/>
      <c r="D1787" s="186"/>
      <c r="F1787" s="1003"/>
      <c r="G1787" s="10"/>
      <c r="H1787" s="538"/>
      <c r="I1787" s="789"/>
      <c r="J1787" s="790"/>
      <c r="K1787" s="789"/>
      <c r="L1787" s="791"/>
    </row>
    <row r="1788" spans="3:12" s="767" customFormat="1" x14ac:dyDescent="0.25">
      <c r="C1788" s="3" t="s">
        <v>11511</v>
      </c>
      <c r="D1788" s="186"/>
      <c r="F1788" s="995"/>
      <c r="G1788" s="10"/>
      <c r="H1788" s="538"/>
      <c r="I1788" s="789"/>
      <c r="J1788" s="790"/>
      <c r="K1788" s="789"/>
      <c r="L1788" s="791"/>
    </row>
    <row r="1789" spans="3:12" s="767" customFormat="1" x14ac:dyDescent="0.25">
      <c r="C1789" s="100" t="s">
        <v>140</v>
      </c>
      <c r="F1789" s="74" t="s">
        <v>3</v>
      </c>
      <c r="G1789" s="153">
        <f>0.008*3.14*2*0.08*1.25</f>
        <v>5.0239999999999998E-3</v>
      </c>
      <c r="H1789" s="538"/>
      <c r="I1789" s="789"/>
      <c r="J1789" s="790"/>
      <c r="K1789" s="789"/>
      <c r="L1789" s="791"/>
    </row>
    <row r="1790" spans="3:12" s="767" customFormat="1" ht="17.25" x14ac:dyDescent="0.25">
      <c r="C1790" s="100" t="s">
        <v>23</v>
      </c>
      <c r="F1790" s="74" t="s">
        <v>596</v>
      </c>
      <c r="G1790" s="153">
        <f>G1789*2</f>
        <v>1.0048E-2</v>
      </c>
      <c r="H1790" s="538"/>
      <c r="I1790" s="789"/>
      <c r="J1790" s="790"/>
      <c r="K1790" s="789"/>
      <c r="L1790" s="791"/>
    </row>
    <row r="1791" spans="3:12" s="767" customFormat="1" x14ac:dyDescent="0.25">
      <c r="C1791" s="100" t="s">
        <v>142</v>
      </c>
      <c r="F1791" s="74" t="s">
        <v>3</v>
      </c>
      <c r="G1791" s="153">
        <f>G1789/4</f>
        <v>1.256E-3</v>
      </c>
      <c r="H1791" s="538"/>
      <c r="I1791" s="789"/>
      <c r="J1791" s="790"/>
      <c r="K1791" s="789"/>
      <c r="L1791" s="791"/>
    </row>
    <row r="1792" spans="3:12" s="767" customFormat="1" x14ac:dyDescent="0.25">
      <c r="C1792" s="186" t="s">
        <v>12334</v>
      </c>
      <c r="D1792" s="186"/>
      <c r="F1792" s="1003" t="s">
        <v>3</v>
      </c>
      <c r="G1792" s="10">
        <f>(J1797+J1799)*0.011*2*1.25</f>
        <v>1.7819999999999999E-2</v>
      </c>
      <c r="H1792" s="538"/>
      <c r="I1792" s="789"/>
      <c r="J1792" s="790"/>
      <c r="K1792" s="789"/>
      <c r="L1792" s="791"/>
    </row>
    <row r="1793" spans="3:12" s="767" customFormat="1" x14ac:dyDescent="0.25">
      <c r="C1793" s="186" t="s">
        <v>143</v>
      </c>
      <c r="D1793" s="186"/>
      <c r="F1793" s="1003" t="s">
        <v>3</v>
      </c>
      <c r="G1793" s="10">
        <f>G1792*0.7</f>
        <v>1.2473999999999999E-2</v>
      </c>
      <c r="H1793" s="538"/>
      <c r="I1793" s="789"/>
      <c r="J1793" s="790"/>
      <c r="K1793" s="789"/>
      <c r="L1793" s="791"/>
    </row>
    <row r="1794" spans="3:12" s="767" customFormat="1" x14ac:dyDescent="0.25">
      <c r="C1794" s="186" t="s">
        <v>8</v>
      </c>
      <c r="D1794" s="186"/>
      <c r="F1794" s="1003" t="s">
        <v>3</v>
      </c>
      <c r="G1794" s="10">
        <f>G1792*0.7</f>
        <v>1.2473999999999999E-2</v>
      </c>
      <c r="H1794" s="538"/>
      <c r="I1794" s="789"/>
      <c r="J1794" s="790"/>
      <c r="K1794" s="789"/>
      <c r="L1794" s="791"/>
    </row>
    <row r="1795" spans="3:12" s="767" customFormat="1" x14ac:dyDescent="0.25">
      <c r="C1795" s="186" t="s">
        <v>12</v>
      </c>
      <c r="D1795" s="186"/>
      <c r="F1795" s="1003" t="s">
        <v>3</v>
      </c>
      <c r="G1795" s="10">
        <f>0.3*(G1794+G1793+G1792)</f>
        <v>1.28304E-2</v>
      </c>
      <c r="H1795" s="538"/>
      <c r="I1795" s="789"/>
      <c r="J1795" s="790"/>
      <c r="K1795" s="789"/>
      <c r="L1795" s="791"/>
    </row>
    <row r="1796" spans="3:12" s="767" customFormat="1" x14ac:dyDescent="0.25">
      <c r="D1796" s="78" t="s">
        <v>12343</v>
      </c>
      <c r="F1796" s="1003"/>
      <c r="G1796" s="10"/>
      <c r="H1796" s="538"/>
      <c r="I1796" s="789"/>
      <c r="J1796" s="790"/>
      <c r="K1796" s="789"/>
      <c r="L1796" s="791"/>
    </row>
    <row r="1797" spans="3:12" s="767" customFormat="1" x14ac:dyDescent="0.25">
      <c r="D1797" s="186" t="s">
        <v>12337</v>
      </c>
      <c r="F1797" s="1003" t="s">
        <v>3</v>
      </c>
      <c r="G1797" s="10">
        <f>0.173*L1797</f>
        <v>5.1899999999999995E-2</v>
      </c>
      <c r="H1797" s="538"/>
      <c r="I1797" s="789" t="s">
        <v>10149</v>
      </c>
      <c r="J1797" s="790">
        <v>0.248</v>
      </c>
      <c r="K1797" s="789" t="s">
        <v>10150</v>
      </c>
      <c r="L1797" s="791">
        <v>0.3</v>
      </c>
    </row>
    <row r="1798" spans="3:12" s="767" customFormat="1" x14ac:dyDescent="0.25">
      <c r="D1798" s="78" t="s">
        <v>12344</v>
      </c>
      <c r="F1798" s="1003"/>
      <c r="G1798" s="10"/>
      <c r="H1798" s="538"/>
      <c r="I1798" s="789"/>
      <c r="J1798" s="790"/>
      <c r="K1798" s="789"/>
      <c r="L1798" s="791"/>
    </row>
    <row r="1799" spans="3:12" s="767" customFormat="1" x14ac:dyDescent="0.25">
      <c r="D1799" s="186" t="s">
        <v>12337</v>
      </c>
      <c r="F1799" s="1003" t="s">
        <v>3</v>
      </c>
      <c r="G1799" s="10">
        <f>0.173*L1799</f>
        <v>7.9579999999999998E-2</v>
      </c>
      <c r="H1799" s="538"/>
      <c r="I1799" s="789" t="s">
        <v>10149</v>
      </c>
      <c r="J1799" s="790">
        <v>0.4</v>
      </c>
      <c r="K1799" s="789" t="s">
        <v>10150</v>
      </c>
      <c r="L1799" s="791">
        <v>0.46</v>
      </c>
    </row>
    <row r="1800" spans="3:12" s="767" customFormat="1" x14ac:dyDescent="0.25">
      <c r="C1800" s="3"/>
      <c r="D1800" s="186"/>
      <c r="F1800" s="1003"/>
      <c r="G1800" s="10"/>
      <c r="H1800" s="538"/>
      <c r="I1800" s="789"/>
      <c r="J1800" s="790"/>
      <c r="K1800" s="789"/>
      <c r="L1800" s="791"/>
    </row>
    <row r="1801" spans="3:12" s="767" customFormat="1" x14ac:dyDescent="0.25">
      <c r="C1801" s="3" t="s">
        <v>11512</v>
      </c>
      <c r="D1801" s="186"/>
      <c r="F1801" s="995"/>
      <c r="G1801" s="10"/>
      <c r="H1801" s="538"/>
      <c r="I1801" s="789"/>
      <c r="J1801" s="790"/>
      <c r="K1801" s="789"/>
      <c r="L1801" s="791"/>
    </row>
    <row r="1802" spans="3:12" s="767" customFormat="1" x14ac:dyDescent="0.25">
      <c r="C1802" s="100" t="s">
        <v>140</v>
      </c>
      <c r="F1802" s="74" t="s">
        <v>3</v>
      </c>
      <c r="G1802" s="153">
        <f>0.008*3.14*2*0.08*1.25</f>
        <v>5.0239999999999998E-3</v>
      </c>
      <c r="H1802" s="538"/>
      <c r="I1802" s="789"/>
      <c r="J1802" s="790"/>
      <c r="K1802" s="789"/>
      <c r="L1802" s="791"/>
    </row>
    <row r="1803" spans="3:12" s="767" customFormat="1" ht="17.25" x14ac:dyDescent="0.25">
      <c r="C1803" s="100" t="s">
        <v>23</v>
      </c>
      <c r="F1803" s="74" t="s">
        <v>596</v>
      </c>
      <c r="G1803" s="153">
        <f>G1802*2</f>
        <v>1.0048E-2</v>
      </c>
      <c r="H1803" s="538"/>
      <c r="I1803" s="789"/>
      <c r="J1803" s="790"/>
      <c r="K1803" s="789"/>
      <c r="L1803" s="791"/>
    </row>
    <row r="1804" spans="3:12" s="767" customFormat="1" x14ac:dyDescent="0.25">
      <c r="C1804" s="100" t="s">
        <v>142</v>
      </c>
      <c r="F1804" s="74" t="s">
        <v>3</v>
      </c>
      <c r="G1804" s="153">
        <f>G1802/4</f>
        <v>1.256E-3</v>
      </c>
      <c r="H1804" s="538"/>
      <c r="I1804" s="789"/>
      <c r="J1804" s="790"/>
      <c r="K1804" s="789"/>
      <c r="L1804" s="791"/>
    </row>
    <row r="1805" spans="3:12" s="767" customFormat="1" x14ac:dyDescent="0.25">
      <c r="C1805" s="186" t="s">
        <v>12334</v>
      </c>
      <c r="D1805" s="186"/>
      <c r="F1805" s="1003" t="s">
        <v>3</v>
      </c>
      <c r="G1805" s="10">
        <f>(J1810+J1812)*0.011*2*1.25</f>
        <v>1.1742499999999999E-2</v>
      </c>
      <c r="H1805" s="538"/>
      <c r="I1805" s="789"/>
      <c r="J1805" s="790"/>
      <c r="K1805" s="789"/>
      <c r="L1805" s="791"/>
    </row>
    <row r="1806" spans="3:12" s="767" customFormat="1" x14ac:dyDescent="0.25">
      <c r="C1806" s="186" t="s">
        <v>143</v>
      </c>
      <c r="D1806" s="186"/>
      <c r="F1806" s="1003" t="s">
        <v>3</v>
      </c>
      <c r="G1806" s="10">
        <f>G1805*0.7</f>
        <v>8.2197499999999996E-3</v>
      </c>
      <c r="H1806" s="538"/>
      <c r="I1806" s="789"/>
      <c r="J1806" s="790"/>
      <c r="K1806" s="789"/>
      <c r="L1806" s="791"/>
    </row>
    <row r="1807" spans="3:12" s="767" customFormat="1" x14ac:dyDescent="0.25">
      <c r="C1807" s="186" t="s">
        <v>8</v>
      </c>
      <c r="D1807" s="186"/>
      <c r="F1807" s="1003" t="s">
        <v>3</v>
      </c>
      <c r="G1807" s="10">
        <f>G1805*0.7</f>
        <v>8.2197499999999996E-3</v>
      </c>
      <c r="H1807" s="538"/>
      <c r="I1807" s="789"/>
      <c r="J1807" s="790"/>
      <c r="K1807" s="789"/>
      <c r="L1807" s="791"/>
    </row>
    <row r="1808" spans="3:12" s="767" customFormat="1" x14ac:dyDescent="0.25">
      <c r="C1808" s="186" t="s">
        <v>12</v>
      </c>
      <c r="D1808" s="186"/>
      <c r="F1808" s="1003" t="s">
        <v>3</v>
      </c>
      <c r="G1808" s="10">
        <f>0.3*(G1807+G1806+G1805)</f>
        <v>8.4545999999999996E-3</v>
      </c>
      <c r="H1808" s="538"/>
      <c r="I1808" s="789"/>
      <c r="J1808" s="790"/>
      <c r="K1808" s="789"/>
      <c r="L1808" s="791"/>
    </row>
    <row r="1809" spans="3:12" s="767" customFormat="1" x14ac:dyDescent="0.25">
      <c r="D1809" s="78" t="s">
        <v>12345</v>
      </c>
      <c r="F1809" s="1003"/>
      <c r="G1809" s="10"/>
      <c r="H1809" s="538"/>
      <c r="I1809" s="789"/>
      <c r="J1809" s="790"/>
      <c r="K1809" s="789"/>
      <c r="L1809" s="791"/>
    </row>
    <row r="1810" spans="3:12" s="767" customFormat="1" x14ac:dyDescent="0.25">
      <c r="D1810" s="186" t="s">
        <v>12337</v>
      </c>
      <c r="F1810" s="1003" t="s">
        <v>3</v>
      </c>
      <c r="G1810" s="10">
        <f>0.173*L1810</f>
        <v>7.7850000000000003E-2</v>
      </c>
      <c r="H1810" s="538"/>
      <c r="I1810" s="789" t="s">
        <v>10149</v>
      </c>
      <c r="J1810" s="790">
        <v>0.375</v>
      </c>
      <c r="K1810" s="789" t="s">
        <v>10150</v>
      </c>
      <c r="L1810" s="791">
        <v>0.45</v>
      </c>
    </row>
    <row r="1811" spans="3:12" s="767" customFormat="1" x14ac:dyDescent="0.25">
      <c r="D1811" s="78" t="s">
        <v>12346</v>
      </c>
      <c r="F1811" s="1003"/>
      <c r="G1811" s="10"/>
      <c r="H1811" s="538"/>
      <c r="I1811" s="789"/>
      <c r="J1811" s="790"/>
      <c r="K1811" s="789"/>
      <c r="L1811" s="791"/>
    </row>
    <row r="1812" spans="3:12" s="767" customFormat="1" x14ac:dyDescent="0.25">
      <c r="D1812" s="186" t="s">
        <v>12320</v>
      </c>
      <c r="F1812" s="1003" t="s">
        <v>3</v>
      </c>
      <c r="G1812" s="10">
        <f>0.271*L1812</f>
        <v>1.626E-2</v>
      </c>
      <c r="H1812" s="538"/>
      <c r="I1812" s="789" t="s">
        <v>10149</v>
      </c>
      <c r="J1812" s="790">
        <v>5.1999999999999998E-2</v>
      </c>
      <c r="K1812" s="789" t="s">
        <v>10150</v>
      </c>
      <c r="L1812" s="791">
        <v>0.06</v>
      </c>
    </row>
    <row r="1813" spans="3:12" s="767" customFormat="1" x14ac:dyDescent="0.25">
      <c r="D1813" s="186"/>
      <c r="F1813" s="1003"/>
      <c r="G1813" s="10"/>
      <c r="H1813" s="538"/>
      <c r="I1813" s="789"/>
      <c r="J1813" s="790"/>
      <c r="K1813" s="789"/>
      <c r="L1813" s="791"/>
    </row>
    <row r="1814" spans="3:12" s="767" customFormat="1" x14ac:dyDescent="0.25">
      <c r="C1814" s="3" t="s">
        <v>11513</v>
      </c>
      <c r="D1814" s="186"/>
      <c r="F1814" s="1003"/>
      <c r="G1814" s="10"/>
      <c r="H1814" s="538"/>
      <c r="I1814" s="789"/>
      <c r="J1814" s="790"/>
      <c r="K1814" s="789"/>
      <c r="L1814" s="791"/>
    </row>
    <row r="1815" spans="3:12" s="767" customFormat="1" x14ac:dyDescent="0.25">
      <c r="C1815" s="100" t="s">
        <v>140</v>
      </c>
      <c r="F1815" s="74" t="s">
        <v>3</v>
      </c>
      <c r="G1815" s="153">
        <f>0.008*3.14*2*0.08*1.25</f>
        <v>5.0239999999999998E-3</v>
      </c>
      <c r="H1815" s="538"/>
      <c r="I1815" s="789"/>
      <c r="J1815" s="790"/>
      <c r="K1815" s="789"/>
      <c r="L1815" s="791"/>
    </row>
    <row r="1816" spans="3:12" s="767" customFormat="1" ht="17.25" x14ac:dyDescent="0.25">
      <c r="C1816" s="100" t="s">
        <v>23</v>
      </c>
      <c r="F1816" s="74" t="s">
        <v>596</v>
      </c>
      <c r="G1816" s="153">
        <f>G1815*2</f>
        <v>1.0048E-2</v>
      </c>
      <c r="H1816" s="538"/>
      <c r="I1816" s="789"/>
      <c r="J1816" s="790"/>
      <c r="K1816" s="789"/>
      <c r="L1816" s="791"/>
    </row>
    <row r="1817" spans="3:12" s="767" customFormat="1" x14ac:dyDescent="0.25">
      <c r="C1817" s="100" t="s">
        <v>142</v>
      </c>
      <c r="F1817" s="74" t="s">
        <v>3</v>
      </c>
      <c r="G1817" s="153">
        <f>G1815/4</f>
        <v>1.256E-3</v>
      </c>
      <c r="H1817" s="538"/>
      <c r="I1817" s="789"/>
      <c r="J1817" s="790"/>
      <c r="K1817" s="789"/>
      <c r="L1817" s="791"/>
    </row>
    <row r="1818" spans="3:12" s="767" customFormat="1" x14ac:dyDescent="0.25">
      <c r="C1818" s="186" t="s">
        <v>12334</v>
      </c>
      <c r="D1818" s="186"/>
      <c r="F1818" s="1003" t="s">
        <v>3</v>
      </c>
      <c r="G1818" s="10">
        <f>(J1823)*0.011*2*1.25</f>
        <v>3.1624999999999993E-2</v>
      </c>
      <c r="H1818" s="538"/>
      <c r="I1818" s="789"/>
      <c r="J1818" s="790"/>
      <c r="K1818" s="789"/>
      <c r="L1818" s="791"/>
    </row>
    <row r="1819" spans="3:12" s="767" customFormat="1" x14ac:dyDescent="0.25">
      <c r="C1819" s="186" t="s">
        <v>143</v>
      </c>
      <c r="D1819" s="186"/>
      <c r="F1819" s="1003" t="s">
        <v>3</v>
      </c>
      <c r="G1819" s="10">
        <f>G1818*0.7</f>
        <v>2.2137499999999994E-2</v>
      </c>
      <c r="H1819" s="538"/>
      <c r="I1819" s="789"/>
      <c r="J1819" s="790"/>
      <c r="K1819" s="789"/>
      <c r="L1819" s="791"/>
    </row>
    <row r="1820" spans="3:12" s="767" customFormat="1" x14ac:dyDescent="0.25">
      <c r="C1820" s="186" t="s">
        <v>8</v>
      </c>
      <c r="D1820" s="186"/>
      <c r="F1820" s="1003" t="s">
        <v>3</v>
      </c>
      <c r="G1820" s="10">
        <f>G1818*0.7</f>
        <v>2.2137499999999994E-2</v>
      </c>
      <c r="H1820" s="538"/>
      <c r="I1820" s="789"/>
      <c r="J1820" s="790"/>
      <c r="K1820" s="789"/>
      <c r="L1820" s="791"/>
    </row>
    <row r="1821" spans="3:12" s="767" customFormat="1" x14ac:dyDescent="0.25">
      <c r="C1821" s="186" t="s">
        <v>12</v>
      </c>
      <c r="D1821" s="186"/>
      <c r="F1821" s="1003" t="s">
        <v>3</v>
      </c>
      <c r="G1821" s="10">
        <f>0.3*(G1820+G1819+G1818)</f>
        <v>2.2769999999999995E-2</v>
      </c>
      <c r="H1821" s="538"/>
      <c r="I1821" s="789"/>
      <c r="J1821" s="790"/>
      <c r="K1821" s="789"/>
      <c r="L1821" s="791"/>
    </row>
    <row r="1822" spans="3:12" s="767" customFormat="1" x14ac:dyDescent="0.25">
      <c r="D1822" s="78" t="s">
        <v>12347</v>
      </c>
      <c r="F1822" s="1003"/>
      <c r="G1822" s="10"/>
      <c r="H1822" s="538"/>
      <c r="I1822" s="789"/>
      <c r="J1822" s="790"/>
      <c r="K1822" s="789"/>
      <c r="L1822" s="791"/>
    </row>
    <row r="1823" spans="3:12" s="767" customFormat="1" x14ac:dyDescent="0.25">
      <c r="D1823" s="186" t="s">
        <v>12337</v>
      </c>
      <c r="F1823" s="1003" t="s">
        <v>3</v>
      </c>
      <c r="G1823" s="10">
        <f>0.173*L1823</f>
        <v>0.21625</v>
      </c>
      <c r="H1823" s="538"/>
      <c r="I1823" s="789" t="s">
        <v>10149</v>
      </c>
      <c r="J1823" s="790">
        <v>1.1499999999999999</v>
      </c>
      <c r="K1823" s="789" t="s">
        <v>10150</v>
      </c>
      <c r="L1823" s="791">
        <v>1.25</v>
      </c>
    </row>
    <row r="1824" spans="3:12" s="767" customFormat="1" x14ac:dyDescent="0.25">
      <c r="D1824" s="186"/>
      <c r="F1824" s="1003"/>
      <c r="G1824" s="10"/>
      <c r="H1824" s="538"/>
      <c r="I1824" s="789"/>
      <c r="J1824" s="790"/>
      <c r="K1824" s="789"/>
      <c r="L1824" s="791"/>
    </row>
    <row r="1825" spans="3:12" s="767" customFormat="1" x14ac:dyDescent="0.25">
      <c r="C1825" s="3" t="s">
        <v>11514</v>
      </c>
      <c r="D1825" s="186"/>
      <c r="F1825" s="995"/>
      <c r="G1825" s="10"/>
      <c r="H1825" s="538"/>
      <c r="I1825" s="789"/>
      <c r="J1825" s="790"/>
      <c r="K1825" s="789"/>
      <c r="L1825" s="791"/>
    </row>
    <row r="1826" spans="3:12" s="767" customFormat="1" x14ac:dyDescent="0.25">
      <c r="C1826" s="100" t="s">
        <v>140</v>
      </c>
      <c r="F1826" s="74" t="s">
        <v>3</v>
      </c>
      <c r="G1826" s="153">
        <f>0.008*3.14*2*0.08*1.25</f>
        <v>5.0239999999999998E-3</v>
      </c>
      <c r="H1826" s="538"/>
      <c r="I1826" s="789"/>
      <c r="J1826" s="790"/>
      <c r="K1826" s="789"/>
      <c r="L1826" s="791"/>
    </row>
    <row r="1827" spans="3:12" s="767" customFormat="1" ht="17.25" x14ac:dyDescent="0.25">
      <c r="C1827" s="100" t="s">
        <v>23</v>
      </c>
      <c r="F1827" s="74" t="s">
        <v>596</v>
      </c>
      <c r="G1827" s="153">
        <f>G1826*2</f>
        <v>1.0048E-2</v>
      </c>
      <c r="H1827" s="538"/>
      <c r="I1827" s="789"/>
      <c r="J1827" s="790"/>
      <c r="K1827" s="789"/>
      <c r="L1827" s="791"/>
    </row>
    <row r="1828" spans="3:12" s="767" customFormat="1" x14ac:dyDescent="0.25">
      <c r="C1828" s="100" t="s">
        <v>142</v>
      </c>
      <c r="F1828" s="74" t="s">
        <v>3</v>
      </c>
      <c r="G1828" s="153">
        <f>G1826/4</f>
        <v>1.256E-3</v>
      </c>
      <c r="H1828" s="538"/>
      <c r="I1828" s="789"/>
      <c r="J1828" s="790"/>
      <c r="K1828" s="789"/>
      <c r="L1828" s="791"/>
    </row>
    <row r="1829" spans="3:12" s="767" customFormat="1" x14ac:dyDescent="0.25">
      <c r="C1829" s="186" t="s">
        <v>12334</v>
      </c>
      <c r="D1829" s="186"/>
      <c r="F1829" s="1003" t="s">
        <v>3</v>
      </c>
      <c r="G1829" s="10">
        <f>(J1834)*0.011*2*1.25</f>
        <v>2.2000000000000002E-2</v>
      </c>
      <c r="H1829" s="538"/>
      <c r="I1829" s="789"/>
      <c r="J1829" s="790"/>
      <c r="K1829" s="789"/>
      <c r="L1829" s="791"/>
    </row>
    <row r="1830" spans="3:12" s="767" customFormat="1" x14ac:dyDescent="0.25">
      <c r="C1830" s="186" t="s">
        <v>143</v>
      </c>
      <c r="D1830" s="186"/>
      <c r="F1830" s="1003" t="s">
        <v>3</v>
      </c>
      <c r="G1830" s="10">
        <f>G1829*0.7</f>
        <v>1.54E-2</v>
      </c>
      <c r="H1830" s="538"/>
      <c r="I1830" s="789"/>
      <c r="J1830" s="790"/>
      <c r="K1830" s="789"/>
      <c r="L1830" s="791"/>
    </row>
    <row r="1831" spans="3:12" s="767" customFormat="1" x14ac:dyDescent="0.25">
      <c r="C1831" s="186" t="s">
        <v>8</v>
      </c>
      <c r="D1831" s="186"/>
      <c r="F1831" s="1003" t="s">
        <v>3</v>
      </c>
      <c r="G1831" s="10">
        <f>G1829*0.7</f>
        <v>1.54E-2</v>
      </c>
      <c r="H1831" s="538"/>
      <c r="I1831" s="789"/>
      <c r="J1831" s="790"/>
      <c r="K1831" s="789"/>
      <c r="L1831" s="791"/>
    </row>
    <row r="1832" spans="3:12" s="767" customFormat="1" x14ac:dyDescent="0.25">
      <c r="C1832" s="186" t="s">
        <v>12</v>
      </c>
      <c r="D1832" s="186"/>
      <c r="F1832" s="1003" t="s">
        <v>3</v>
      </c>
      <c r="G1832" s="10">
        <f>0.3*(G1831+G1830+G1829)</f>
        <v>1.584E-2</v>
      </c>
      <c r="H1832" s="538"/>
      <c r="I1832" s="789"/>
      <c r="J1832" s="790"/>
      <c r="K1832" s="789"/>
      <c r="L1832" s="791"/>
    </row>
    <row r="1833" spans="3:12" s="767" customFormat="1" x14ac:dyDescent="0.25">
      <c r="D1833" s="78" t="s">
        <v>12348</v>
      </c>
      <c r="F1833" s="1003"/>
      <c r="G1833" s="10"/>
      <c r="H1833" s="538"/>
      <c r="I1833" s="789"/>
      <c r="J1833" s="790"/>
      <c r="K1833" s="789"/>
      <c r="L1833" s="791"/>
    </row>
    <row r="1834" spans="3:12" s="767" customFormat="1" x14ac:dyDescent="0.25">
      <c r="D1834" s="186" t="s">
        <v>12337</v>
      </c>
      <c r="F1834" s="1003" t="s">
        <v>3</v>
      </c>
      <c r="G1834" s="10">
        <f>0.173*L1834</f>
        <v>0.15570000000000001</v>
      </c>
      <c r="H1834" s="538"/>
      <c r="I1834" s="789" t="s">
        <v>10149</v>
      </c>
      <c r="J1834" s="790">
        <v>0.8</v>
      </c>
      <c r="K1834" s="789" t="s">
        <v>10150</v>
      </c>
      <c r="L1834" s="791">
        <v>0.9</v>
      </c>
    </row>
    <row r="1835" spans="3:12" s="767" customFormat="1" x14ac:dyDescent="0.25">
      <c r="D1835" s="186"/>
      <c r="F1835" s="1003"/>
      <c r="G1835" s="10"/>
      <c r="H1835" s="538"/>
      <c r="I1835" s="789"/>
      <c r="J1835" s="790"/>
      <c r="K1835" s="789"/>
      <c r="L1835" s="791"/>
    </row>
    <row r="1836" spans="3:12" s="767" customFormat="1" x14ac:dyDescent="0.25">
      <c r="C1836" s="3" t="s">
        <v>11515</v>
      </c>
      <c r="D1836" s="186"/>
      <c r="F1836" s="995"/>
      <c r="G1836" s="10"/>
      <c r="H1836" s="538"/>
      <c r="I1836" s="789"/>
      <c r="J1836" s="790"/>
      <c r="K1836" s="789"/>
      <c r="L1836" s="791"/>
    </row>
    <row r="1837" spans="3:12" s="767" customFormat="1" x14ac:dyDescent="0.25">
      <c r="C1837" s="100" t="s">
        <v>140</v>
      </c>
      <c r="F1837" s="74" t="s">
        <v>3</v>
      </c>
      <c r="G1837" s="153">
        <f>0.012*3.14*2*0.08*1.25</f>
        <v>7.536000000000001E-3</v>
      </c>
      <c r="H1837" s="538"/>
      <c r="I1837" s="789"/>
      <c r="J1837" s="790"/>
      <c r="K1837" s="789"/>
      <c r="L1837" s="791"/>
    </row>
    <row r="1838" spans="3:12" s="767" customFormat="1" ht="17.25" x14ac:dyDescent="0.25">
      <c r="C1838" s="100" t="s">
        <v>23</v>
      </c>
      <c r="F1838" s="74" t="s">
        <v>596</v>
      </c>
      <c r="G1838" s="153">
        <f>G1837*2</f>
        <v>1.5072000000000002E-2</v>
      </c>
      <c r="H1838" s="538"/>
      <c r="I1838" s="789"/>
      <c r="J1838" s="790"/>
      <c r="K1838" s="789"/>
      <c r="L1838" s="791"/>
    </row>
    <row r="1839" spans="3:12" s="767" customFormat="1" x14ac:dyDescent="0.25">
      <c r="C1839" s="100" t="s">
        <v>142</v>
      </c>
      <c r="F1839" s="74" t="s">
        <v>3</v>
      </c>
      <c r="G1839" s="153">
        <f>G1837/4</f>
        <v>1.8840000000000003E-3</v>
      </c>
      <c r="H1839" s="538"/>
      <c r="I1839" s="789"/>
      <c r="J1839" s="790"/>
      <c r="K1839" s="789"/>
      <c r="L1839" s="791"/>
    </row>
    <row r="1840" spans="3:12" s="767" customFormat="1" x14ac:dyDescent="0.25">
      <c r="C1840" s="186" t="s">
        <v>12334</v>
      </c>
      <c r="D1840" s="186"/>
      <c r="F1840" s="1003" t="s">
        <v>3</v>
      </c>
      <c r="G1840" s="10">
        <f>(J1845)*0.011*2*1.25</f>
        <v>1.7325E-2</v>
      </c>
      <c r="H1840" s="538"/>
      <c r="I1840" s="789"/>
      <c r="J1840" s="790"/>
      <c r="K1840" s="789"/>
      <c r="L1840" s="791"/>
    </row>
    <row r="1841" spans="3:12" s="767" customFormat="1" x14ac:dyDescent="0.25">
      <c r="C1841" s="186" t="s">
        <v>143</v>
      </c>
      <c r="D1841" s="186"/>
      <c r="F1841" s="1003" t="s">
        <v>3</v>
      </c>
      <c r="G1841" s="10">
        <f>G1840*0.7</f>
        <v>1.2127499999999999E-2</v>
      </c>
      <c r="H1841" s="538"/>
      <c r="I1841" s="789"/>
      <c r="J1841" s="790"/>
      <c r="K1841" s="789"/>
      <c r="L1841" s="791"/>
    </row>
    <row r="1842" spans="3:12" s="767" customFormat="1" x14ac:dyDescent="0.25">
      <c r="C1842" s="186" t="s">
        <v>8</v>
      </c>
      <c r="D1842" s="186"/>
      <c r="F1842" s="1003" t="s">
        <v>3</v>
      </c>
      <c r="G1842" s="10">
        <f>G1840*0.7</f>
        <v>1.2127499999999999E-2</v>
      </c>
      <c r="H1842" s="538"/>
      <c r="I1842" s="789"/>
      <c r="J1842" s="790"/>
      <c r="K1842" s="789"/>
      <c r="L1842" s="791"/>
    </row>
    <row r="1843" spans="3:12" s="767" customFormat="1" x14ac:dyDescent="0.25">
      <c r="C1843" s="186" t="s">
        <v>12</v>
      </c>
      <c r="D1843" s="186"/>
      <c r="F1843" s="1003" t="s">
        <v>3</v>
      </c>
      <c r="G1843" s="10">
        <f>0.3*(G1842+G1841+G1840)</f>
        <v>1.2473999999999999E-2</v>
      </c>
      <c r="H1843" s="538"/>
      <c r="I1843" s="789"/>
      <c r="J1843" s="790"/>
      <c r="K1843" s="789"/>
      <c r="L1843" s="791"/>
    </row>
    <row r="1844" spans="3:12" s="767" customFormat="1" x14ac:dyDescent="0.25">
      <c r="D1844" s="78" t="s">
        <v>12349</v>
      </c>
      <c r="F1844" s="1003"/>
      <c r="G1844" s="10"/>
      <c r="H1844" s="538"/>
      <c r="I1844" s="789"/>
      <c r="J1844" s="790"/>
      <c r="K1844" s="789"/>
      <c r="L1844" s="791"/>
    </row>
    <row r="1845" spans="3:12" s="767" customFormat="1" x14ac:dyDescent="0.25">
      <c r="D1845" s="186" t="s">
        <v>12320</v>
      </c>
      <c r="F1845" s="1003" t="s">
        <v>3</v>
      </c>
      <c r="G1845" s="10">
        <f>0.271*L1845</f>
        <v>0.18970000000000001</v>
      </c>
      <c r="H1845" s="538"/>
      <c r="I1845" s="789" t="s">
        <v>10149</v>
      </c>
      <c r="J1845" s="790">
        <v>0.63</v>
      </c>
      <c r="K1845" s="789" t="s">
        <v>10150</v>
      </c>
      <c r="L1845" s="791">
        <v>0.7</v>
      </c>
    </row>
    <row r="1846" spans="3:12" s="767" customFormat="1" x14ac:dyDescent="0.25">
      <c r="D1846" s="186"/>
      <c r="F1846" s="1003"/>
      <c r="G1846" s="10"/>
      <c r="H1846" s="538"/>
      <c r="I1846" s="789"/>
      <c r="J1846" s="790"/>
      <c r="K1846" s="789"/>
      <c r="L1846" s="791"/>
    </row>
    <row r="1847" spans="3:12" s="767" customFormat="1" x14ac:dyDescent="0.25">
      <c r="C1847" s="3" t="s">
        <v>11516</v>
      </c>
      <c r="D1847" s="186"/>
      <c r="F1847" s="995"/>
      <c r="G1847" s="10"/>
      <c r="H1847" s="538"/>
      <c r="I1847" s="789"/>
      <c r="J1847" s="790"/>
      <c r="K1847" s="789"/>
      <c r="L1847" s="791"/>
    </row>
    <row r="1848" spans="3:12" s="767" customFormat="1" x14ac:dyDescent="0.25">
      <c r="C1848" s="100" t="s">
        <v>140</v>
      </c>
      <c r="F1848" s="74" t="s">
        <v>3</v>
      </c>
      <c r="G1848" s="153">
        <f>0.012*3.14*2*0.08*1.25</f>
        <v>7.536000000000001E-3</v>
      </c>
      <c r="H1848" s="538"/>
      <c r="I1848" s="789"/>
      <c r="J1848" s="790"/>
      <c r="K1848" s="789"/>
      <c r="L1848" s="791"/>
    </row>
    <row r="1849" spans="3:12" s="767" customFormat="1" ht="17.25" x14ac:dyDescent="0.25">
      <c r="C1849" s="100" t="s">
        <v>23</v>
      </c>
      <c r="F1849" s="74" t="s">
        <v>596</v>
      </c>
      <c r="G1849" s="153">
        <f>G1848*2</f>
        <v>1.5072000000000002E-2</v>
      </c>
      <c r="H1849" s="538"/>
      <c r="I1849" s="789"/>
      <c r="J1849" s="790"/>
      <c r="K1849" s="789"/>
      <c r="L1849" s="791"/>
    </row>
    <row r="1850" spans="3:12" s="767" customFormat="1" x14ac:dyDescent="0.25">
      <c r="C1850" s="100" t="s">
        <v>142</v>
      </c>
      <c r="F1850" s="74" t="s">
        <v>3</v>
      </c>
      <c r="G1850" s="153">
        <f>G1848/4</f>
        <v>1.8840000000000003E-3</v>
      </c>
      <c r="H1850" s="538"/>
      <c r="I1850" s="789"/>
      <c r="J1850" s="790"/>
      <c r="K1850" s="789"/>
      <c r="L1850" s="791"/>
    </row>
    <row r="1851" spans="3:12" s="767" customFormat="1" x14ac:dyDescent="0.25">
      <c r="C1851" s="186" t="s">
        <v>12334</v>
      </c>
      <c r="D1851" s="186"/>
      <c r="F1851" s="1003" t="s">
        <v>3</v>
      </c>
      <c r="G1851" s="10">
        <f>(J1856)*0.011*2*1.25</f>
        <v>4.2624999999999996E-2</v>
      </c>
      <c r="H1851" s="538"/>
      <c r="I1851" s="789"/>
      <c r="J1851" s="790"/>
      <c r="K1851" s="789"/>
      <c r="L1851" s="791"/>
    </row>
    <row r="1852" spans="3:12" s="767" customFormat="1" x14ac:dyDescent="0.25">
      <c r="C1852" s="186" t="s">
        <v>143</v>
      </c>
      <c r="D1852" s="186"/>
      <c r="F1852" s="1003" t="s">
        <v>3</v>
      </c>
      <c r="G1852" s="10">
        <f>G1851*0.7</f>
        <v>2.9837499999999996E-2</v>
      </c>
      <c r="H1852" s="538"/>
      <c r="I1852" s="789"/>
      <c r="J1852" s="790"/>
      <c r="K1852" s="789"/>
      <c r="L1852" s="791"/>
    </row>
    <row r="1853" spans="3:12" s="767" customFormat="1" x14ac:dyDescent="0.25">
      <c r="C1853" s="186" t="s">
        <v>8</v>
      </c>
      <c r="D1853" s="186"/>
      <c r="F1853" s="1003" t="s">
        <v>3</v>
      </c>
      <c r="G1853" s="10">
        <f>G1851*0.7</f>
        <v>2.9837499999999996E-2</v>
      </c>
      <c r="H1853" s="538"/>
      <c r="I1853" s="789"/>
      <c r="J1853" s="790"/>
      <c r="K1853" s="789"/>
      <c r="L1853" s="791"/>
    </row>
    <row r="1854" spans="3:12" s="767" customFormat="1" x14ac:dyDescent="0.25">
      <c r="C1854" s="186" t="s">
        <v>12</v>
      </c>
      <c r="D1854" s="186"/>
      <c r="F1854" s="1003" t="s">
        <v>3</v>
      </c>
      <c r="G1854" s="10">
        <f>0.3*(G1853+G1852+G1851)</f>
        <v>3.0689999999999995E-2</v>
      </c>
      <c r="H1854" s="538"/>
      <c r="I1854" s="789"/>
      <c r="J1854" s="790"/>
      <c r="K1854" s="789"/>
      <c r="L1854" s="791"/>
    </row>
    <row r="1855" spans="3:12" s="767" customFormat="1" x14ac:dyDescent="0.25">
      <c r="D1855" s="78" t="s">
        <v>12350</v>
      </c>
      <c r="F1855" s="1003"/>
      <c r="G1855" s="10"/>
      <c r="H1855" s="538"/>
      <c r="I1855" s="789"/>
      <c r="J1855" s="790"/>
      <c r="K1855" s="789"/>
      <c r="L1855" s="791"/>
    </row>
    <row r="1856" spans="3:12" s="767" customFormat="1" x14ac:dyDescent="0.25">
      <c r="D1856" s="186" t="s">
        <v>12320</v>
      </c>
      <c r="F1856" s="1003" t="s">
        <v>3</v>
      </c>
      <c r="G1856" s="10">
        <f>0.271*L1856</f>
        <v>0.44714999999999999</v>
      </c>
      <c r="H1856" s="538"/>
      <c r="I1856" s="789" t="s">
        <v>10149</v>
      </c>
      <c r="J1856" s="790">
        <v>1.55</v>
      </c>
      <c r="K1856" s="789" t="s">
        <v>10150</v>
      </c>
      <c r="L1856" s="791">
        <v>1.65</v>
      </c>
    </row>
    <row r="1857" spans="3:12" s="767" customFormat="1" x14ac:dyDescent="0.25">
      <c r="D1857" s="186"/>
      <c r="F1857" s="1003"/>
      <c r="G1857" s="10"/>
      <c r="H1857" s="538"/>
      <c r="I1857" s="789"/>
      <c r="J1857" s="790"/>
      <c r="K1857" s="789"/>
      <c r="L1857" s="791"/>
    </row>
    <row r="1858" spans="3:12" s="767" customFormat="1" x14ac:dyDescent="0.25">
      <c r="C1858" s="3" t="s">
        <v>11517</v>
      </c>
      <c r="D1858" s="186"/>
      <c r="F1858" s="995"/>
      <c r="G1858" s="10"/>
      <c r="H1858" s="538"/>
      <c r="I1858" s="789"/>
      <c r="J1858" s="790"/>
      <c r="K1858" s="789"/>
      <c r="L1858" s="791"/>
    </row>
    <row r="1859" spans="3:12" s="767" customFormat="1" x14ac:dyDescent="0.25">
      <c r="C1859" s="100" t="s">
        <v>140</v>
      </c>
      <c r="F1859" s="74" t="s">
        <v>3</v>
      </c>
      <c r="G1859" s="153">
        <f>0.012*3.14*2*0.08*1.25</f>
        <v>7.536000000000001E-3</v>
      </c>
      <c r="H1859" s="538"/>
      <c r="I1859" s="789"/>
      <c r="J1859" s="790"/>
      <c r="K1859" s="789"/>
      <c r="L1859" s="791"/>
    </row>
    <row r="1860" spans="3:12" s="767" customFormat="1" ht="17.25" x14ac:dyDescent="0.25">
      <c r="C1860" s="100" t="s">
        <v>23</v>
      </c>
      <c r="F1860" s="74" t="s">
        <v>596</v>
      </c>
      <c r="G1860" s="153">
        <f>G1859*2</f>
        <v>1.5072000000000002E-2</v>
      </c>
      <c r="H1860" s="538"/>
      <c r="I1860" s="789"/>
      <c r="J1860" s="790"/>
      <c r="K1860" s="789"/>
      <c r="L1860" s="791"/>
    </row>
    <row r="1861" spans="3:12" s="767" customFormat="1" x14ac:dyDescent="0.25">
      <c r="C1861" s="100" t="s">
        <v>142</v>
      </c>
      <c r="F1861" s="74" t="s">
        <v>3</v>
      </c>
      <c r="G1861" s="153">
        <f>G1859/4</f>
        <v>1.8840000000000003E-3</v>
      </c>
      <c r="H1861" s="538"/>
      <c r="I1861" s="789"/>
      <c r="J1861" s="790"/>
      <c r="K1861" s="789"/>
      <c r="L1861" s="791"/>
    </row>
    <row r="1862" spans="3:12" s="767" customFormat="1" x14ac:dyDescent="0.25">
      <c r="C1862" s="186" t="s">
        <v>12334</v>
      </c>
      <c r="D1862" s="186"/>
      <c r="F1862" s="1003" t="s">
        <v>3</v>
      </c>
      <c r="G1862" s="10">
        <f>(J1867)*0.011*2*1.25</f>
        <v>2.7775000000000001E-2</v>
      </c>
      <c r="H1862" s="538"/>
      <c r="I1862" s="789"/>
      <c r="J1862" s="790"/>
      <c r="K1862" s="789"/>
      <c r="L1862" s="791"/>
    </row>
    <row r="1863" spans="3:12" s="767" customFormat="1" x14ac:dyDescent="0.25">
      <c r="C1863" s="186" t="s">
        <v>143</v>
      </c>
      <c r="D1863" s="186"/>
      <c r="F1863" s="1003" t="s">
        <v>3</v>
      </c>
      <c r="G1863" s="10">
        <f>G1862*0.7</f>
        <v>1.9442499999999998E-2</v>
      </c>
      <c r="H1863" s="538"/>
      <c r="I1863" s="789"/>
      <c r="J1863" s="790"/>
      <c r="K1863" s="789"/>
      <c r="L1863" s="791"/>
    </row>
    <row r="1864" spans="3:12" s="767" customFormat="1" x14ac:dyDescent="0.25">
      <c r="C1864" s="186" t="s">
        <v>8</v>
      </c>
      <c r="D1864" s="186"/>
      <c r="F1864" s="1003" t="s">
        <v>3</v>
      </c>
      <c r="G1864" s="10">
        <f>G1862*0.7</f>
        <v>1.9442499999999998E-2</v>
      </c>
      <c r="H1864" s="538"/>
      <c r="I1864" s="789"/>
      <c r="J1864" s="790"/>
      <c r="K1864" s="789"/>
      <c r="L1864" s="791"/>
    </row>
    <row r="1865" spans="3:12" s="767" customFormat="1" x14ac:dyDescent="0.25">
      <c r="C1865" s="186" t="s">
        <v>12</v>
      </c>
      <c r="D1865" s="186"/>
      <c r="F1865" s="1003" t="s">
        <v>3</v>
      </c>
      <c r="G1865" s="10">
        <f>0.3*(G1864+G1863+G1862)</f>
        <v>1.9997999999999998E-2</v>
      </c>
      <c r="H1865" s="538"/>
      <c r="I1865" s="789"/>
      <c r="J1865" s="790"/>
      <c r="K1865" s="789"/>
      <c r="L1865" s="791"/>
    </row>
    <row r="1866" spans="3:12" s="767" customFormat="1" x14ac:dyDescent="0.25">
      <c r="D1866" s="78" t="s">
        <v>12351</v>
      </c>
      <c r="F1866" s="1003"/>
      <c r="G1866" s="10"/>
      <c r="H1866" s="538"/>
      <c r="I1866" s="789"/>
      <c r="J1866" s="790"/>
      <c r="K1866" s="789"/>
      <c r="L1866" s="791"/>
    </row>
    <row r="1867" spans="3:12" s="767" customFormat="1" x14ac:dyDescent="0.25">
      <c r="D1867" s="186" t="s">
        <v>12320</v>
      </c>
      <c r="F1867" s="1003" t="s">
        <v>3</v>
      </c>
      <c r="G1867" s="10">
        <f>0.271*L1867+0.002</f>
        <v>0.30010000000000003</v>
      </c>
      <c r="H1867" s="538"/>
      <c r="I1867" s="789" t="s">
        <v>10149</v>
      </c>
      <c r="J1867" s="790">
        <v>1.01</v>
      </c>
      <c r="K1867" s="789" t="s">
        <v>10150</v>
      </c>
      <c r="L1867" s="791">
        <v>1.1000000000000001</v>
      </c>
    </row>
    <row r="1868" spans="3:12" s="767" customFormat="1" x14ac:dyDescent="0.25">
      <c r="D1868" s="186"/>
      <c r="F1868" s="1003"/>
      <c r="G1868" s="10"/>
      <c r="H1868" s="538"/>
      <c r="I1868" s="789"/>
      <c r="J1868" s="790"/>
      <c r="K1868" s="789"/>
      <c r="L1868" s="791"/>
    </row>
    <row r="1869" spans="3:12" s="767" customFormat="1" x14ac:dyDescent="0.25">
      <c r="C1869" s="3" t="s">
        <v>11518</v>
      </c>
      <c r="D1869" s="186"/>
      <c r="F1869" s="995"/>
      <c r="G1869" s="10"/>
      <c r="H1869" s="538"/>
      <c r="I1869" s="789"/>
      <c r="J1869" s="790"/>
      <c r="K1869" s="789"/>
      <c r="L1869" s="791"/>
    </row>
    <row r="1870" spans="3:12" s="767" customFormat="1" x14ac:dyDescent="0.25">
      <c r="C1870" s="100" t="s">
        <v>140</v>
      </c>
      <c r="F1870" s="74" t="s">
        <v>3</v>
      </c>
      <c r="G1870" s="153">
        <f>0.008*3.14*2*0.08*1.25</f>
        <v>5.0239999999999998E-3</v>
      </c>
      <c r="H1870" s="538"/>
      <c r="I1870" s="789"/>
      <c r="J1870" s="790"/>
      <c r="K1870" s="789"/>
      <c r="L1870" s="791"/>
    </row>
    <row r="1871" spans="3:12" s="767" customFormat="1" ht="17.25" x14ac:dyDescent="0.25">
      <c r="C1871" s="100" t="s">
        <v>23</v>
      </c>
      <c r="F1871" s="74" t="s">
        <v>596</v>
      </c>
      <c r="G1871" s="153">
        <f>G1870*2</f>
        <v>1.0048E-2</v>
      </c>
      <c r="H1871" s="538"/>
      <c r="I1871" s="789"/>
      <c r="J1871" s="790"/>
      <c r="K1871" s="789"/>
      <c r="L1871" s="791"/>
    </row>
    <row r="1872" spans="3:12" s="767" customFormat="1" x14ac:dyDescent="0.25">
      <c r="C1872" s="100" t="s">
        <v>142</v>
      </c>
      <c r="F1872" s="74" t="s">
        <v>3</v>
      </c>
      <c r="G1872" s="153">
        <f>G1870/4</f>
        <v>1.256E-3</v>
      </c>
      <c r="H1872" s="538"/>
      <c r="I1872" s="789"/>
      <c r="J1872" s="790"/>
      <c r="K1872" s="789"/>
      <c r="L1872" s="791"/>
    </row>
    <row r="1873" spans="3:12" s="767" customFormat="1" x14ac:dyDescent="0.25">
      <c r="C1873" s="186" t="s">
        <v>12334</v>
      </c>
      <c r="D1873" s="186"/>
      <c r="F1873" s="1003" t="s">
        <v>3</v>
      </c>
      <c r="G1873" s="10">
        <f>(J1878)*0.011*2*1.25</f>
        <v>2.6124999999999999E-2</v>
      </c>
      <c r="H1873" s="538"/>
      <c r="I1873" s="789"/>
      <c r="J1873" s="790"/>
      <c r="K1873" s="789"/>
      <c r="L1873" s="791"/>
    </row>
    <row r="1874" spans="3:12" s="767" customFormat="1" x14ac:dyDescent="0.25">
      <c r="C1874" s="186" t="s">
        <v>143</v>
      </c>
      <c r="D1874" s="186"/>
      <c r="F1874" s="1003" t="s">
        <v>3</v>
      </c>
      <c r="G1874" s="10">
        <f>G1873*0.7</f>
        <v>1.8287499999999998E-2</v>
      </c>
      <c r="H1874" s="538"/>
      <c r="I1874" s="789"/>
      <c r="J1874" s="790"/>
      <c r="K1874" s="789"/>
      <c r="L1874" s="791"/>
    </row>
    <row r="1875" spans="3:12" s="767" customFormat="1" x14ac:dyDescent="0.25">
      <c r="C1875" s="186" t="s">
        <v>8</v>
      </c>
      <c r="D1875" s="186"/>
      <c r="F1875" s="1003" t="s">
        <v>3</v>
      </c>
      <c r="G1875" s="10">
        <f>G1873*0.7</f>
        <v>1.8287499999999998E-2</v>
      </c>
      <c r="H1875" s="538"/>
      <c r="I1875" s="789"/>
      <c r="J1875" s="790"/>
      <c r="K1875" s="789"/>
      <c r="L1875" s="791"/>
    </row>
    <row r="1876" spans="3:12" s="767" customFormat="1" x14ac:dyDescent="0.25">
      <c r="C1876" s="186" t="s">
        <v>12</v>
      </c>
      <c r="D1876" s="186"/>
      <c r="F1876" s="1003" t="s">
        <v>3</v>
      </c>
      <c r="G1876" s="10">
        <f>0.3*(G1875+G1874+G1873)</f>
        <v>1.8809999999999997E-2</v>
      </c>
      <c r="H1876" s="538"/>
      <c r="I1876" s="789"/>
      <c r="J1876" s="790"/>
      <c r="K1876" s="789"/>
      <c r="L1876" s="791"/>
    </row>
    <row r="1877" spans="3:12" s="767" customFormat="1" x14ac:dyDescent="0.25">
      <c r="D1877" s="78" t="s">
        <v>12352</v>
      </c>
      <c r="F1877" s="1003"/>
      <c r="G1877" s="10"/>
      <c r="H1877" s="538"/>
      <c r="I1877" s="789"/>
      <c r="J1877" s="790"/>
      <c r="K1877" s="789"/>
      <c r="L1877" s="791"/>
    </row>
    <row r="1878" spans="3:12" s="767" customFormat="1" x14ac:dyDescent="0.25">
      <c r="D1878" s="186" t="s">
        <v>12337</v>
      </c>
      <c r="F1878" s="1003" t="s">
        <v>3</v>
      </c>
      <c r="G1878" s="10">
        <f>0.173* L1878</f>
        <v>0.18165000000000001</v>
      </c>
      <c r="H1878" s="538"/>
      <c r="I1878" s="789" t="s">
        <v>10149</v>
      </c>
      <c r="J1878" s="790">
        <v>0.95</v>
      </c>
      <c r="K1878" s="789" t="s">
        <v>10150</v>
      </c>
      <c r="L1878" s="791">
        <v>1.05</v>
      </c>
    </row>
    <row r="1879" spans="3:12" s="767" customFormat="1" x14ac:dyDescent="0.25">
      <c r="D1879" s="186"/>
      <c r="F1879" s="1003"/>
      <c r="G1879" s="10"/>
      <c r="H1879" s="538"/>
      <c r="I1879" s="789"/>
      <c r="J1879" s="790"/>
      <c r="K1879" s="789"/>
      <c r="L1879" s="791"/>
    </row>
    <row r="1880" spans="3:12" s="767" customFormat="1" x14ac:dyDescent="0.25">
      <c r="C1880" s="3" t="s">
        <v>11519</v>
      </c>
      <c r="D1880" s="186"/>
      <c r="F1880" s="995"/>
      <c r="G1880" s="10"/>
      <c r="H1880" s="538"/>
      <c r="I1880" s="789"/>
      <c r="J1880" s="790"/>
      <c r="K1880" s="789"/>
      <c r="L1880" s="791"/>
    </row>
    <row r="1881" spans="3:12" s="767" customFormat="1" x14ac:dyDescent="0.25">
      <c r="C1881" s="100" t="s">
        <v>140</v>
      </c>
      <c r="F1881" s="74" t="s">
        <v>3</v>
      </c>
      <c r="G1881" s="153">
        <f>0.008*3.14*2*0.08*1.25</f>
        <v>5.0239999999999998E-3</v>
      </c>
      <c r="H1881" s="538"/>
      <c r="I1881" s="789"/>
      <c r="J1881" s="790"/>
      <c r="K1881" s="789"/>
      <c r="L1881" s="791"/>
    </row>
    <row r="1882" spans="3:12" s="767" customFormat="1" ht="17.25" x14ac:dyDescent="0.25">
      <c r="C1882" s="100" t="s">
        <v>23</v>
      </c>
      <c r="F1882" s="74" t="s">
        <v>596</v>
      </c>
      <c r="G1882" s="153">
        <f>G1881*2</f>
        <v>1.0048E-2</v>
      </c>
      <c r="H1882" s="538"/>
      <c r="I1882" s="789"/>
      <c r="J1882" s="790"/>
      <c r="K1882" s="789"/>
      <c r="L1882" s="791"/>
    </row>
    <row r="1883" spans="3:12" s="767" customFormat="1" x14ac:dyDescent="0.25">
      <c r="C1883" s="100" t="s">
        <v>142</v>
      </c>
      <c r="F1883" s="74" t="s">
        <v>3</v>
      </c>
      <c r="G1883" s="153">
        <f>G1881/4</f>
        <v>1.256E-3</v>
      </c>
      <c r="H1883" s="538"/>
      <c r="I1883" s="789"/>
      <c r="J1883" s="790"/>
      <c r="K1883" s="789"/>
      <c r="L1883" s="791"/>
    </row>
    <row r="1884" spans="3:12" s="767" customFormat="1" x14ac:dyDescent="0.25">
      <c r="C1884" s="186" t="s">
        <v>12334</v>
      </c>
      <c r="D1884" s="186"/>
      <c r="F1884" s="1003" t="s">
        <v>3</v>
      </c>
      <c r="G1884" s="10">
        <f>(J1889)*0.011*2*1.25</f>
        <v>3.0249999999999999E-2</v>
      </c>
      <c r="H1884" s="538"/>
      <c r="I1884" s="789"/>
      <c r="J1884" s="790"/>
      <c r="K1884" s="789"/>
      <c r="L1884" s="791"/>
    </row>
    <row r="1885" spans="3:12" s="767" customFormat="1" x14ac:dyDescent="0.25">
      <c r="C1885" s="186" t="s">
        <v>143</v>
      </c>
      <c r="D1885" s="186"/>
      <c r="F1885" s="1003" t="s">
        <v>3</v>
      </c>
      <c r="G1885" s="10">
        <f>G1884*0.7</f>
        <v>2.1174999999999999E-2</v>
      </c>
      <c r="H1885" s="538"/>
      <c r="I1885" s="789"/>
      <c r="J1885" s="790"/>
      <c r="K1885" s="789"/>
      <c r="L1885" s="791"/>
    </row>
    <row r="1886" spans="3:12" s="767" customFormat="1" x14ac:dyDescent="0.25">
      <c r="C1886" s="186" t="s">
        <v>8</v>
      </c>
      <c r="D1886" s="186"/>
      <c r="F1886" s="1003" t="s">
        <v>3</v>
      </c>
      <c r="G1886" s="10">
        <f>G1884*0.7</f>
        <v>2.1174999999999999E-2</v>
      </c>
      <c r="H1886" s="538"/>
      <c r="I1886" s="789"/>
      <c r="J1886" s="790"/>
      <c r="K1886" s="789"/>
      <c r="L1886" s="791"/>
    </row>
    <row r="1887" spans="3:12" s="767" customFormat="1" x14ac:dyDescent="0.25">
      <c r="C1887" s="186" t="s">
        <v>12</v>
      </c>
      <c r="D1887" s="186"/>
      <c r="F1887" s="1003" t="s">
        <v>3</v>
      </c>
      <c r="G1887" s="10">
        <f>0.3*(G1886+G1885+G1884)</f>
        <v>2.1779999999999997E-2</v>
      </c>
      <c r="H1887" s="538"/>
      <c r="I1887" s="789"/>
      <c r="J1887" s="790"/>
      <c r="K1887" s="789"/>
      <c r="L1887" s="791"/>
    </row>
    <row r="1888" spans="3:12" s="767" customFormat="1" x14ac:dyDescent="0.25">
      <c r="D1888" s="78" t="s">
        <v>12353</v>
      </c>
      <c r="F1888" s="1003"/>
      <c r="G1888" s="10"/>
      <c r="H1888" s="538"/>
      <c r="I1888" s="789"/>
      <c r="J1888" s="790"/>
      <c r="K1888" s="789"/>
      <c r="L1888" s="791"/>
    </row>
    <row r="1889" spans="3:12" s="767" customFormat="1" x14ac:dyDescent="0.25">
      <c r="D1889" s="186" t="s">
        <v>12337</v>
      </c>
      <c r="F1889" s="1003" t="s">
        <v>3</v>
      </c>
      <c r="G1889" s="10">
        <f>0.173* L1889</f>
        <v>0.20759999999999998</v>
      </c>
      <c r="H1889" s="538"/>
      <c r="I1889" s="789" t="s">
        <v>10149</v>
      </c>
      <c r="J1889" s="790">
        <v>1.1000000000000001</v>
      </c>
      <c r="K1889" s="789" t="s">
        <v>10150</v>
      </c>
      <c r="L1889" s="791">
        <v>1.2</v>
      </c>
    </row>
    <row r="1890" spans="3:12" s="767" customFormat="1" x14ac:dyDescent="0.25">
      <c r="C1890" s="942"/>
      <c r="F1890" s="954"/>
      <c r="G1890" s="777"/>
      <c r="H1890" s="538"/>
      <c r="I1890" s="789"/>
      <c r="J1890" s="790"/>
      <c r="K1890" s="789"/>
      <c r="L1890" s="791"/>
    </row>
    <row r="1891" spans="3:12" s="767" customFormat="1" x14ac:dyDescent="0.25">
      <c r="C1891" s="3" t="s">
        <v>11520</v>
      </c>
      <c r="F1891" s="954"/>
      <c r="G1891" s="777"/>
      <c r="H1891" s="538"/>
      <c r="I1891" s="789"/>
      <c r="J1891" s="790"/>
      <c r="K1891" s="789"/>
      <c r="L1891" s="791"/>
    </row>
    <row r="1892" spans="3:12" s="767" customFormat="1" x14ac:dyDescent="0.25">
      <c r="C1892" s="100" t="s">
        <v>140</v>
      </c>
      <c r="F1892" s="74" t="s">
        <v>3</v>
      </c>
      <c r="G1892" s="153">
        <f>0.025*3.14*0.08*1.25</f>
        <v>7.8500000000000011E-3</v>
      </c>
      <c r="H1892" s="538"/>
      <c r="I1892" s="789"/>
      <c r="J1892" s="790"/>
      <c r="K1892" s="789"/>
      <c r="L1892" s="791"/>
    </row>
    <row r="1893" spans="3:12" s="767" customFormat="1" ht="17.25" x14ac:dyDescent="0.25">
      <c r="C1893" s="100" t="s">
        <v>23</v>
      </c>
      <c r="F1893" s="74" t="s">
        <v>596</v>
      </c>
      <c r="G1893" s="153">
        <f>G1892*2</f>
        <v>1.5700000000000002E-2</v>
      </c>
      <c r="H1893" s="538"/>
      <c r="I1893" s="789"/>
      <c r="J1893" s="790"/>
      <c r="K1893" s="789"/>
      <c r="L1893" s="791"/>
    </row>
    <row r="1894" spans="3:12" s="767" customFormat="1" x14ac:dyDescent="0.25">
      <c r="C1894" s="100" t="s">
        <v>142</v>
      </c>
      <c r="F1894" s="74" t="s">
        <v>3</v>
      </c>
      <c r="G1894" s="153">
        <f>G1892/4</f>
        <v>1.9625000000000003E-3</v>
      </c>
      <c r="H1894" s="538"/>
      <c r="I1894" s="789"/>
      <c r="J1894" s="790"/>
      <c r="K1894" s="789"/>
      <c r="L1894" s="791"/>
    </row>
    <row r="1895" spans="3:12" s="767" customFormat="1" x14ac:dyDescent="0.25">
      <c r="C1895" s="186" t="s">
        <v>12334</v>
      </c>
      <c r="D1895" s="186"/>
      <c r="F1895" s="1003" t="s">
        <v>3</v>
      </c>
      <c r="G1895" s="10">
        <f>0.1*0.1*2*0.15*2*1.3</f>
        <v>7.8000000000000014E-3</v>
      </c>
      <c r="H1895" s="538"/>
      <c r="I1895" s="789"/>
      <c r="J1895" s="790"/>
      <c r="K1895" s="789"/>
      <c r="L1895" s="791"/>
    </row>
    <row r="1896" spans="3:12" s="767" customFormat="1" x14ac:dyDescent="0.25">
      <c r="C1896" s="186" t="s">
        <v>8</v>
      </c>
      <c r="D1896" s="186"/>
      <c r="F1896" s="1003" t="s">
        <v>3</v>
      </c>
      <c r="G1896" s="10">
        <f>G1895*0.7</f>
        <v>5.4600000000000004E-3</v>
      </c>
      <c r="H1896" s="538"/>
      <c r="I1896" s="789"/>
      <c r="J1896" s="790"/>
      <c r="K1896" s="789"/>
      <c r="L1896" s="791"/>
    </row>
    <row r="1897" spans="3:12" s="767" customFormat="1" x14ac:dyDescent="0.25">
      <c r="C1897" s="186" t="s">
        <v>12</v>
      </c>
      <c r="D1897" s="186"/>
      <c r="F1897" s="1003" t="s">
        <v>3</v>
      </c>
      <c r="G1897" s="10">
        <f>0.3*(G1896+G1895)</f>
        <v>3.9779999999999998E-3</v>
      </c>
      <c r="H1897" s="538"/>
      <c r="I1897" s="789"/>
      <c r="J1897" s="790"/>
      <c r="K1897" s="789"/>
      <c r="L1897" s="791"/>
    </row>
    <row r="1898" spans="3:12" s="767" customFormat="1" x14ac:dyDescent="0.25">
      <c r="C1898" s="186"/>
      <c r="D1898" s="78" t="s">
        <v>12354</v>
      </c>
      <c r="F1898" s="1003"/>
      <c r="G1898" s="10"/>
      <c r="H1898" s="538"/>
      <c r="I1898" s="789"/>
      <c r="J1898" s="790"/>
      <c r="K1898" s="789"/>
      <c r="L1898" s="791"/>
    </row>
    <row r="1899" spans="3:12" s="767" customFormat="1" x14ac:dyDescent="0.25">
      <c r="C1899" s="942"/>
      <c r="D1899" s="186" t="s">
        <v>12355</v>
      </c>
      <c r="F1899" s="954" t="s">
        <v>3</v>
      </c>
      <c r="G1899" s="777">
        <f>0.419* L1899+0.001</f>
        <v>8.48E-2</v>
      </c>
      <c r="H1899" s="538"/>
      <c r="I1899" s="789" t="s">
        <v>10149</v>
      </c>
      <c r="J1899" s="790">
        <v>0.106</v>
      </c>
      <c r="K1899" s="789" t="s">
        <v>10150</v>
      </c>
      <c r="L1899" s="791">
        <v>0.2</v>
      </c>
    </row>
    <row r="1900" spans="3:12" s="767" customFormat="1" x14ac:dyDescent="0.25">
      <c r="C1900" s="942"/>
      <c r="D1900" s="186"/>
      <c r="F1900" s="954"/>
      <c r="G1900" s="777"/>
      <c r="H1900" s="538"/>
      <c r="I1900" s="789"/>
      <c r="J1900" s="790"/>
      <c r="K1900" s="789"/>
      <c r="L1900" s="791"/>
    </row>
    <row r="1901" spans="3:12" s="767" customFormat="1" x14ac:dyDescent="0.25">
      <c r="C1901" s="3" t="s">
        <v>11541</v>
      </c>
      <c r="D1901" s="186"/>
      <c r="F1901" s="954"/>
      <c r="G1901" s="777"/>
      <c r="H1901" s="538"/>
      <c r="I1901" s="789"/>
      <c r="J1901" s="790"/>
      <c r="K1901" s="789"/>
      <c r="L1901" s="791"/>
    </row>
    <row r="1902" spans="3:12" s="767" customFormat="1" x14ac:dyDescent="0.25">
      <c r="C1902" s="942" t="s">
        <v>3394</v>
      </c>
      <c r="D1902" s="619"/>
      <c r="F1902" s="827" t="s">
        <v>3</v>
      </c>
      <c r="G1902" s="777">
        <f>0.008*3.14*5*0.08*1.25</f>
        <v>1.256E-2</v>
      </c>
      <c r="H1902" s="538"/>
      <c r="I1902" s="789"/>
      <c r="J1902" s="790"/>
      <c r="K1902" s="789"/>
      <c r="L1902" s="791"/>
    </row>
    <row r="1903" spans="3:12" s="767" customFormat="1" ht="17.25" x14ac:dyDescent="0.25">
      <c r="C1903" s="834" t="s">
        <v>121</v>
      </c>
      <c r="D1903" s="619"/>
      <c r="F1903" s="827" t="s">
        <v>596</v>
      </c>
      <c r="G1903" s="777">
        <f>G1902*1.1</f>
        <v>1.3816000000000002E-2</v>
      </c>
      <c r="H1903" s="538"/>
      <c r="I1903" s="789"/>
      <c r="J1903" s="790"/>
      <c r="K1903" s="789"/>
      <c r="L1903" s="791"/>
    </row>
    <row r="1904" spans="3:12" s="767" customFormat="1" x14ac:dyDescent="0.25">
      <c r="C1904" s="186" t="s">
        <v>9044</v>
      </c>
      <c r="D1904" s="186"/>
      <c r="F1904" s="1003" t="s">
        <v>3</v>
      </c>
      <c r="G1904" s="10">
        <f>(J1908+J1910+J1912)*0.011*2*1.2</f>
        <v>1.8348E-2</v>
      </c>
      <c r="H1904" s="538"/>
      <c r="I1904" s="789"/>
      <c r="J1904" s="790"/>
      <c r="K1904" s="789"/>
      <c r="L1904" s="791"/>
    </row>
    <row r="1905" spans="3:19" s="767" customFormat="1" x14ac:dyDescent="0.25">
      <c r="C1905" s="186" t="s">
        <v>8</v>
      </c>
      <c r="D1905" s="186"/>
      <c r="F1905" s="1003" t="s">
        <v>3</v>
      </c>
      <c r="G1905" s="10">
        <f>G1904*0.7</f>
        <v>1.2843599999999998E-2</v>
      </c>
      <c r="H1905" s="538"/>
      <c r="I1905" s="789"/>
      <c r="J1905" s="790"/>
      <c r="K1905" s="789"/>
      <c r="L1905" s="791"/>
    </row>
    <row r="1906" spans="3:19" s="767" customFormat="1" x14ac:dyDescent="0.25">
      <c r="C1906" s="186" t="s">
        <v>12</v>
      </c>
      <c r="D1906" s="186"/>
      <c r="F1906" s="1003" t="s">
        <v>3</v>
      </c>
      <c r="G1906" s="10">
        <f>0.3*(G1905+G1904)</f>
        <v>9.3574799999999996E-3</v>
      </c>
      <c r="H1906" s="538"/>
      <c r="I1906" s="789"/>
      <c r="J1906" s="790"/>
      <c r="K1906" s="789"/>
      <c r="L1906" s="791"/>
    </row>
    <row r="1907" spans="3:19" s="767" customFormat="1" x14ac:dyDescent="0.25">
      <c r="C1907" s="942"/>
      <c r="D1907" s="78" t="s">
        <v>12356</v>
      </c>
      <c r="F1907" s="954"/>
      <c r="G1907" s="777"/>
      <c r="H1907" s="538"/>
      <c r="I1907" s="789"/>
      <c r="J1907" s="790"/>
      <c r="K1907" s="789"/>
      <c r="L1907" s="791"/>
    </row>
    <row r="1908" spans="3:19" s="767" customFormat="1" x14ac:dyDescent="0.25">
      <c r="C1908" s="942"/>
      <c r="D1908" s="186" t="s">
        <v>12359</v>
      </c>
      <c r="F1908" s="954" t="s">
        <v>3</v>
      </c>
      <c r="G1908" s="777">
        <f>0.173*L1908</f>
        <v>4.3249999999999997E-2</v>
      </c>
      <c r="H1908" s="538"/>
      <c r="I1908" s="789" t="s">
        <v>10149</v>
      </c>
      <c r="J1908" s="790">
        <v>0.18</v>
      </c>
      <c r="K1908" s="789" t="s">
        <v>10150</v>
      </c>
      <c r="L1908" s="791">
        <v>0.25</v>
      </c>
    </row>
    <row r="1909" spans="3:19" s="767" customFormat="1" x14ac:dyDescent="0.25">
      <c r="C1909" s="942"/>
      <c r="D1909" s="78" t="s">
        <v>12357</v>
      </c>
      <c r="F1909" s="954"/>
      <c r="G1909" s="777"/>
      <c r="H1909" s="538"/>
      <c r="I1909" s="789"/>
      <c r="J1909" s="790"/>
      <c r="K1909" s="789"/>
      <c r="L1909" s="791"/>
    </row>
    <row r="1910" spans="3:19" s="767" customFormat="1" x14ac:dyDescent="0.25">
      <c r="C1910" s="942"/>
      <c r="D1910" s="186" t="s">
        <v>12359</v>
      </c>
      <c r="F1910" s="954" t="s">
        <v>3</v>
      </c>
      <c r="G1910" s="777">
        <f>0.173* L1910</f>
        <v>8.6499999999999994E-2</v>
      </c>
      <c r="H1910" s="538"/>
      <c r="I1910" s="789" t="s">
        <v>10149</v>
      </c>
      <c r="J1910" s="790">
        <v>0.46</v>
      </c>
      <c r="K1910" s="789" t="s">
        <v>10150</v>
      </c>
      <c r="L1910" s="791">
        <v>0.5</v>
      </c>
    </row>
    <row r="1911" spans="3:19" s="767" customFormat="1" x14ac:dyDescent="0.25">
      <c r="C1911" s="942"/>
      <c r="D1911" s="78" t="s">
        <v>12358</v>
      </c>
      <c r="F1911" s="954"/>
      <c r="G1911" s="777"/>
      <c r="H1911" s="538"/>
      <c r="I1911" s="789"/>
      <c r="J1911" s="790"/>
      <c r="K1911" s="789"/>
      <c r="L1911" s="791"/>
    </row>
    <row r="1912" spans="3:19" s="767" customFormat="1" x14ac:dyDescent="0.25">
      <c r="C1912" s="942"/>
      <c r="D1912" s="186" t="s">
        <v>12359</v>
      </c>
      <c r="F1912" s="954" t="s">
        <v>3</v>
      </c>
      <c r="G1912" s="777">
        <f>0.173*L1912</f>
        <v>1.5569999999999999E-2</v>
      </c>
      <c r="H1912" s="538"/>
      <c r="I1912" s="789" t="s">
        <v>10149</v>
      </c>
      <c r="J1912" s="790">
        <v>5.5E-2</v>
      </c>
      <c r="K1912" s="789" t="s">
        <v>10150</v>
      </c>
      <c r="L1912" s="791">
        <v>0.09</v>
      </c>
    </row>
    <row r="1913" spans="3:19" s="767" customFormat="1" x14ac:dyDescent="0.25">
      <c r="C1913" s="942"/>
      <c r="F1913" s="954"/>
      <c r="G1913" s="777"/>
      <c r="H1913" s="538"/>
      <c r="I1913" s="789"/>
      <c r="J1913" s="790"/>
      <c r="K1913" s="789"/>
      <c r="L1913" s="791"/>
    </row>
    <row r="1914" spans="3:19" s="767" customFormat="1" x14ac:dyDescent="0.25">
      <c r="C1914" s="3" t="s">
        <v>11801</v>
      </c>
      <c r="F1914" s="954"/>
      <c r="G1914" s="777"/>
      <c r="H1914" s="538"/>
      <c r="I1914" s="789"/>
      <c r="J1914" s="790"/>
      <c r="K1914" s="789"/>
      <c r="L1914" s="791"/>
    </row>
    <row r="1915" spans="3:19" s="767" customFormat="1" x14ac:dyDescent="0.25">
      <c r="C1915" s="942" t="s">
        <v>12331</v>
      </c>
      <c r="F1915" s="954" t="s">
        <v>195</v>
      </c>
      <c r="G1915" s="777">
        <f>L1915</f>
        <v>2.6</v>
      </c>
      <c r="H1915" s="538"/>
      <c r="I1915" s="789" t="s">
        <v>10149</v>
      </c>
      <c r="J1915" s="790">
        <v>2.5</v>
      </c>
      <c r="K1915" s="789" t="s">
        <v>10150</v>
      </c>
      <c r="L1915" s="791">
        <v>2.6</v>
      </c>
    </row>
    <row r="1916" spans="3:19" s="767" customFormat="1" x14ac:dyDescent="0.25">
      <c r="C1916" s="942" t="s">
        <v>12332</v>
      </c>
      <c r="F1916" s="954" t="s">
        <v>3</v>
      </c>
      <c r="G1916" s="777">
        <f>0.00153*L1916</f>
        <v>6.1200000000000002E-4</v>
      </c>
      <c r="H1916" s="538"/>
      <c r="I1916" s="789" t="s">
        <v>10149</v>
      </c>
      <c r="J1916" s="790">
        <v>0.35</v>
      </c>
      <c r="K1916" s="789" t="s">
        <v>10150</v>
      </c>
      <c r="L1916" s="791">
        <v>0.4</v>
      </c>
    </row>
    <row r="1917" spans="3:19" s="767" customFormat="1" x14ac:dyDescent="0.25">
      <c r="C1917" s="942" t="s">
        <v>5415</v>
      </c>
      <c r="F1917" s="954" t="s">
        <v>3</v>
      </c>
      <c r="G1917" s="777">
        <v>0.01</v>
      </c>
      <c r="H1917" s="538"/>
      <c r="I1917" s="789"/>
      <c r="J1917" s="790"/>
      <c r="K1917" s="789"/>
      <c r="L1917" s="791"/>
    </row>
    <row r="1918" spans="3:19" s="767" customFormat="1" x14ac:dyDescent="0.25">
      <c r="C1918" s="942" t="s">
        <v>672</v>
      </c>
      <c r="F1918" s="954" t="s">
        <v>3</v>
      </c>
      <c r="G1918" s="777">
        <f>G1917*2</f>
        <v>0.02</v>
      </c>
      <c r="H1918" s="538"/>
      <c r="I1918" s="789"/>
      <c r="J1918" s="790"/>
      <c r="K1918" s="789"/>
      <c r="L1918" s="791"/>
    </row>
    <row r="1919" spans="3:19" s="767" customFormat="1" x14ac:dyDescent="0.25">
      <c r="C1919" s="942"/>
      <c r="F1919" s="954"/>
      <c r="G1919" s="777"/>
      <c r="H1919" s="538"/>
      <c r="I1919" s="789"/>
      <c r="J1919" s="942"/>
      <c r="M1919" s="954"/>
      <c r="N1919" s="777"/>
      <c r="P1919" s="789"/>
      <c r="Q1919" s="790"/>
      <c r="R1919" s="789"/>
      <c r="S1919" s="791"/>
    </row>
    <row r="1920" spans="3:19" s="767" customFormat="1" x14ac:dyDescent="0.25">
      <c r="C1920" s="3" t="s">
        <v>11542</v>
      </c>
      <c r="F1920" s="954"/>
      <c r="G1920" s="777"/>
      <c r="H1920" s="538"/>
      <c r="I1920" s="789"/>
      <c r="J1920" s="942"/>
      <c r="M1920" s="954"/>
      <c r="N1920" s="777"/>
      <c r="P1920" s="789"/>
      <c r="Q1920" s="790"/>
      <c r="R1920" s="789"/>
      <c r="S1920" s="791"/>
    </row>
    <row r="1921" spans="1:19" s="767" customFormat="1" x14ac:dyDescent="0.25">
      <c r="C1921" s="942" t="s">
        <v>8</v>
      </c>
      <c r="F1921" s="954" t="s">
        <v>3</v>
      </c>
      <c r="G1921" s="777">
        <f>0.7*G1923</f>
        <v>1.4196E-2</v>
      </c>
      <c r="H1921" s="538"/>
      <c r="I1921" s="789"/>
      <c r="J1921" s="942"/>
      <c r="M1921" s="954"/>
      <c r="N1921" s="777"/>
      <c r="P1921" s="789"/>
      <c r="Q1921" s="790"/>
      <c r="R1921" s="789"/>
      <c r="S1921" s="791"/>
    </row>
    <row r="1922" spans="1:19" s="767" customFormat="1" x14ac:dyDescent="0.25">
      <c r="C1922" s="942" t="s">
        <v>566</v>
      </c>
      <c r="F1922" s="954" t="s">
        <v>3</v>
      </c>
      <c r="G1922" s="777">
        <f>0.3*G1921</f>
        <v>4.2588000000000001E-3</v>
      </c>
      <c r="H1922" s="538"/>
      <c r="I1922" s="789"/>
      <c r="J1922" s="942"/>
      <c r="M1922" s="954"/>
      <c r="N1922" s="777"/>
      <c r="P1922" s="789"/>
      <c r="Q1922" s="790"/>
      <c r="R1922" s="789"/>
      <c r="S1922" s="791"/>
    </row>
    <row r="1923" spans="1:19" s="767" customFormat="1" x14ac:dyDescent="0.25">
      <c r="C1923" s="942" t="s">
        <v>72</v>
      </c>
      <c r="F1923" s="954" t="s">
        <v>3</v>
      </c>
      <c r="G1923" s="777">
        <f>0.52*0.1*0.15*2*1.3</f>
        <v>2.0280000000000003E-2</v>
      </c>
      <c r="H1923" s="538"/>
      <c r="I1923" s="789"/>
      <c r="J1923" s="942"/>
      <c r="M1923" s="954"/>
      <c r="N1923" s="777"/>
      <c r="P1923" s="789"/>
      <c r="Q1923" s="790"/>
      <c r="R1923" s="789"/>
      <c r="S1923" s="791"/>
    </row>
    <row r="1924" spans="1:19" s="767" customFormat="1" x14ac:dyDescent="0.25">
      <c r="C1924" s="942" t="s">
        <v>11</v>
      </c>
      <c r="F1924" s="954" t="s">
        <v>3</v>
      </c>
      <c r="G1924" s="777">
        <f>0.3*G1923</f>
        <v>6.0840000000000009E-3</v>
      </c>
      <c r="H1924" s="538"/>
      <c r="I1924" s="789"/>
      <c r="J1924" s="942"/>
      <c r="M1924" s="954"/>
      <c r="N1924" s="777"/>
      <c r="P1924" s="789"/>
      <c r="Q1924" s="790"/>
      <c r="R1924" s="789"/>
      <c r="S1924" s="791"/>
    </row>
    <row r="1925" spans="1:19" s="767" customFormat="1" x14ac:dyDescent="0.25">
      <c r="C1925" s="942" t="s">
        <v>6576</v>
      </c>
      <c r="F1925" s="954" t="s">
        <v>3</v>
      </c>
      <c r="G1925" s="777">
        <v>2.5000000000000001E-2</v>
      </c>
      <c r="H1925" s="538"/>
      <c r="I1925" s="789"/>
      <c r="J1925" s="942"/>
      <c r="M1925" s="954"/>
      <c r="N1925" s="777"/>
      <c r="P1925" s="789"/>
      <c r="Q1925" s="790"/>
      <c r="R1925" s="789"/>
      <c r="S1925" s="791"/>
    </row>
    <row r="1926" spans="1:19" s="767" customFormat="1" x14ac:dyDescent="0.25">
      <c r="C1926" s="942"/>
      <c r="D1926" s="3" t="s">
        <v>12360</v>
      </c>
      <c r="F1926" s="954"/>
      <c r="G1926" s="777"/>
      <c r="H1926" s="538"/>
      <c r="I1926" s="789"/>
      <c r="J1926" s="942"/>
      <c r="M1926" s="954"/>
      <c r="N1926" s="777"/>
      <c r="P1926" s="789"/>
      <c r="Q1926" s="790"/>
      <c r="R1926" s="789"/>
      <c r="S1926" s="791"/>
    </row>
    <row r="1927" spans="1:19" s="767" customFormat="1" x14ac:dyDescent="0.25">
      <c r="C1927" s="942"/>
      <c r="D1927" s="767" t="s">
        <v>10272</v>
      </c>
      <c r="F1927" s="954" t="s">
        <v>3</v>
      </c>
      <c r="G1927" s="777">
        <f>0.655*0.07*1.5*8*1.15</f>
        <v>0.63273000000000013</v>
      </c>
      <c r="H1927" s="538"/>
      <c r="I1927" s="789"/>
      <c r="J1927" s="942"/>
      <c r="M1927" s="954"/>
      <c r="N1927" s="777"/>
      <c r="P1927" s="789"/>
      <c r="Q1927" s="790"/>
      <c r="R1927" s="789"/>
      <c r="S1927" s="791"/>
    </row>
    <row r="1928" spans="1:19" s="767" customFormat="1" x14ac:dyDescent="0.25">
      <c r="A1928" s="539"/>
      <c r="B1928" s="539"/>
      <c r="C1928" s="1004"/>
      <c r="D1928" s="539"/>
      <c r="E1928" s="539"/>
      <c r="F1928" s="957"/>
      <c r="G1928" s="778"/>
      <c r="H1928" s="540"/>
      <c r="I1928" s="789"/>
      <c r="J1928" s="942"/>
      <c r="M1928" s="954"/>
      <c r="N1928" s="777"/>
      <c r="P1928" s="789"/>
      <c r="Q1928" s="790"/>
      <c r="R1928" s="789"/>
      <c r="S1928" s="791"/>
    </row>
    <row r="1929" spans="1:19" s="767" customFormat="1" x14ac:dyDescent="0.25">
      <c r="C1929" s="942"/>
      <c r="F1929" s="954"/>
      <c r="G1929" s="777"/>
      <c r="H1929" s="631" t="s">
        <v>12397</v>
      </c>
      <c r="I1929" s="789"/>
      <c r="J1929" s="942"/>
      <c r="M1929" s="954"/>
      <c r="N1929" s="777"/>
      <c r="P1929" s="789"/>
      <c r="Q1929" s="790"/>
      <c r="R1929" s="789"/>
      <c r="S1929" s="791"/>
    </row>
    <row r="1930" spans="1:19" s="767" customFormat="1" x14ac:dyDescent="0.25">
      <c r="C1930" s="942"/>
      <c r="F1930" s="954"/>
      <c r="G1930" s="777"/>
      <c r="H1930" s="538"/>
      <c r="I1930" s="1008" t="s">
        <v>12398</v>
      </c>
      <c r="J1930" s="942"/>
      <c r="M1930" s="954"/>
      <c r="N1930" s="777"/>
      <c r="P1930" s="789"/>
      <c r="Q1930" s="790"/>
      <c r="R1930" s="789"/>
      <c r="S1930" s="791"/>
    </row>
    <row r="1931" spans="1:19" s="767" customFormat="1" x14ac:dyDescent="0.25">
      <c r="C1931" s="744" t="s">
        <v>12395</v>
      </c>
      <c r="F1931" s="954"/>
      <c r="G1931" s="777"/>
      <c r="H1931" s="538"/>
      <c r="I1931" s="789"/>
      <c r="J1931" s="942"/>
      <c r="M1931" s="954"/>
      <c r="N1931" s="777"/>
      <c r="P1931" s="789"/>
      <c r="Q1931" s="790"/>
      <c r="R1931" s="789"/>
      <c r="S1931" s="791"/>
    </row>
    <row r="1932" spans="1:19" s="767" customFormat="1" x14ac:dyDescent="0.25">
      <c r="C1932" s="942" t="s">
        <v>12396</v>
      </c>
      <c r="F1932" s="954" t="s">
        <v>3</v>
      </c>
      <c r="G1932" s="777">
        <f>0.1*0.1*1*2.7*1.12</f>
        <v>3.024000000000001E-2</v>
      </c>
      <c r="H1932" s="538"/>
      <c r="I1932" s="789"/>
      <c r="J1932" s="942"/>
      <c r="M1932" s="954"/>
      <c r="N1932" s="777"/>
      <c r="P1932" s="789"/>
      <c r="Q1932" s="790"/>
      <c r="R1932" s="789"/>
      <c r="S1932" s="791"/>
    </row>
    <row r="1933" spans="1:19" s="767" customFormat="1" x14ac:dyDescent="0.25">
      <c r="C1933" s="942"/>
      <c r="F1933" s="954"/>
      <c r="G1933" s="777"/>
      <c r="H1933" s="538"/>
      <c r="I1933" s="789"/>
      <c r="J1933" s="942"/>
      <c r="M1933" s="954"/>
      <c r="N1933" s="777"/>
      <c r="P1933" s="789"/>
      <c r="Q1933" s="790"/>
      <c r="R1933" s="789"/>
      <c r="S1933" s="791"/>
    </row>
    <row r="1934" spans="1:19" s="767" customFormat="1" x14ac:dyDescent="0.25">
      <c r="C1934" s="3" t="s">
        <v>11521</v>
      </c>
      <c r="F1934" s="954"/>
      <c r="G1934" s="777"/>
      <c r="H1934" s="538"/>
      <c r="I1934" s="789"/>
      <c r="J1934" s="942"/>
      <c r="M1934" s="954"/>
      <c r="N1934" s="777"/>
      <c r="P1934" s="789"/>
      <c r="Q1934" s="790"/>
      <c r="R1934" s="789"/>
      <c r="S1934" s="791"/>
    </row>
    <row r="1935" spans="1:19" s="767" customFormat="1" x14ac:dyDescent="0.25">
      <c r="C1935" s="100" t="s">
        <v>140</v>
      </c>
      <c r="F1935" s="74" t="s">
        <v>3</v>
      </c>
      <c r="G1935" s="153">
        <f>0.018*3.14*2*0.08*1.25</f>
        <v>1.1304E-2</v>
      </c>
      <c r="H1935" s="538"/>
      <c r="I1935" s="789"/>
      <c r="J1935" s="942"/>
      <c r="M1935" s="954"/>
      <c r="N1935" s="777"/>
      <c r="P1935" s="789"/>
      <c r="Q1935" s="790"/>
      <c r="R1935" s="789"/>
      <c r="S1935" s="791"/>
    </row>
    <row r="1936" spans="1:19" s="767" customFormat="1" ht="17.25" x14ac:dyDescent="0.25">
      <c r="C1936" s="100" t="s">
        <v>23</v>
      </c>
      <c r="F1936" s="74" t="s">
        <v>596</v>
      </c>
      <c r="G1936" s="153">
        <f>G1935*2</f>
        <v>2.2608E-2</v>
      </c>
      <c r="H1936" s="538"/>
      <c r="I1936" s="789"/>
      <c r="J1936" s="942"/>
      <c r="M1936" s="954"/>
      <c r="N1936" s="777"/>
      <c r="P1936" s="789"/>
      <c r="Q1936" s="790"/>
      <c r="R1936" s="789"/>
      <c r="S1936" s="791"/>
    </row>
    <row r="1937" spans="3:19" s="767" customFormat="1" x14ac:dyDescent="0.25">
      <c r="C1937" s="100" t="s">
        <v>142</v>
      </c>
      <c r="F1937" s="74" t="s">
        <v>3</v>
      </c>
      <c r="G1937" s="153">
        <f>G1935/4</f>
        <v>2.826E-3</v>
      </c>
      <c r="H1937" s="538"/>
      <c r="I1937" s="789"/>
      <c r="J1937" s="942"/>
      <c r="M1937" s="954"/>
      <c r="N1937" s="777"/>
      <c r="P1937" s="789"/>
      <c r="Q1937" s="790"/>
      <c r="R1937" s="789"/>
      <c r="S1937" s="791"/>
    </row>
    <row r="1938" spans="3:19" s="767" customFormat="1" x14ac:dyDescent="0.25">
      <c r="C1938" s="186" t="s">
        <v>11374</v>
      </c>
      <c r="D1938" s="186"/>
      <c r="F1938" s="1005" t="s">
        <v>3</v>
      </c>
      <c r="G1938" s="10">
        <f>J1942*0.02*2*1.1</f>
        <v>1.6280000000000003E-2</v>
      </c>
      <c r="H1938" s="538"/>
      <c r="I1938" s="789"/>
      <c r="J1938" s="942"/>
      <c r="M1938" s="954"/>
      <c r="N1938" s="777"/>
      <c r="P1938" s="789"/>
      <c r="Q1938" s="790"/>
      <c r="R1938" s="789"/>
      <c r="S1938" s="791"/>
    </row>
    <row r="1939" spans="3:19" s="767" customFormat="1" x14ac:dyDescent="0.25">
      <c r="C1939" s="186" t="s">
        <v>8</v>
      </c>
      <c r="D1939" s="186"/>
      <c r="F1939" s="1005" t="s">
        <v>3</v>
      </c>
      <c r="G1939" s="10">
        <f>G1938*0.7</f>
        <v>1.1396000000000002E-2</v>
      </c>
      <c r="H1939" s="538"/>
      <c r="I1939" s="789"/>
      <c r="J1939" s="942"/>
      <c r="M1939" s="954"/>
      <c r="N1939" s="777"/>
      <c r="P1939" s="789"/>
      <c r="Q1939" s="790"/>
      <c r="R1939" s="789"/>
      <c r="S1939" s="791"/>
    </row>
    <row r="1940" spans="3:19" s="767" customFormat="1" x14ac:dyDescent="0.25">
      <c r="C1940" s="186" t="s">
        <v>12</v>
      </c>
      <c r="D1940" s="186"/>
      <c r="F1940" s="1005" t="s">
        <v>3</v>
      </c>
      <c r="G1940" s="10">
        <f>0.3*(G1939+G1938)</f>
        <v>8.3028000000000008E-3</v>
      </c>
      <c r="H1940" s="538"/>
      <c r="I1940" s="789"/>
      <c r="J1940" s="942"/>
      <c r="M1940" s="954"/>
      <c r="N1940" s="777"/>
      <c r="P1940" s="789"/>
      <c r="Q1940" s="790"/>
      <c r="R1940" s="789"/>
      <c r="S1940" s="791"/>
    </row>
    <row r="1941" spans="3:19" s="767" customFormat="1" x14ac:dyDescent="0.25">
      <c r="C1941" s="942"/>
      <c r="D1941" s="3" t="s">
        <v>12380</v>
      </c>
      <c r="F1941" s="954"/>
      <c r="G1941" s="777"/>
      <c r="H1941" s="538"/>
      <c r="I1941" s="789"/>
      <c r="J1941" s="942"/>
      <c r="M1941" s="954"/>
      <c r="N1941" s="777"/>
      <c r="P1941" s="789"/>
      <c r="Q1941" s="790"/>
      <c r="R1941" s="789"/>
      <c r="S1941" s="791"/>
    </row>
    <row r="1942" spans="3:19" s="767" customFormat="1" x14ac:dyDescent="0.25">
      <c r="C1942" s="942"/>
      <c r="D1942" s="767" t="s">
        <v>12381</v>
      </c>
      <c r="F1942" s="954" t="s">
        <v>3</v>
      </c>
      <c r="G1942" s="777">
        <f>0.419*L1942+0.003</f>
        <v>0.19993</v>
      </c>
      <c r="H1942" s="538"/>
      <c r="I1942" s="789" t="s">
        <v>10149</v>
      </c>
      <c r="J1942" s="790">
        <v>0.37</v>
      </c>
      <c r="K1942" s="789" t="s">
        <v>10150</v>
      </c>
      <c r="L1942" s="791">
        <v>0.47</v>
      </c>
      <c r="M1942" s="954"/>
      <c r="N1942" s="777"/>
      <c r="P1942" s="789"/>
      <c r="Q1942" s="790"/>
      <c r="R1942" s="789"/>
      <c r="S1942" s="791"/>
    </row>
    <row r="1943" spans="3:19" s="767" customFormat="1" x14ac:dyDescent="0.25">
      <c r="C1943" s="942"/>
      <c r="F1943" s="954"/>
      <c r="G1943" s="777"/>
      <c r="H1943" s="538"/>
      <c r="I1943" s="789"/>
      <c r="J1943" s="942"/>
      <c r="M1943" s="954"/>
      <c r="N1943" s="777"/>
      <c r="P1943" s="789"/>
      <c r="Q1943" s="790"/>
      <c r="R1943" s="789"/>
      <c r="S1943" s="791"/>
    </row>
    <row r="1944" spans="3:19" s="767" customFormat="1" x14ac:dyDescent="0.25">
      <c r="C1944" s="3" t="s">
        <v>11522</v>
      </c>
      <c r="F1944" s="954"/>
      <c r="G1944" s="777"/>
      <c r="H1944" s="538"/>
      <c r="I1944" s="789"/>
      <c r="J1944" s="942"/>
      <c r="M1944" s="954"/>
      <c r="N1944" s="777"/>
      <c r="P1944" s="789"/>
      <c r="Q1944" s="790"/>
      <c r="R1944" s="789"/>
      <c r="S1944" s="791"/>
    </row>
    <row r="1945" spans="3:19" s="767" customFormat="1" x14ac:dyDescent="0.25">
      <c r="C1945" s="100" t="s">
        <v>140</v>
      </c>
      <c r="F1945" s="74" t="s">
        <v>3</v>
      </c>
      <c r="G1945" s="153">
        <f>0.008*3.14*2*0.08*1.25</f>
        <v>5.0239999999999998E-3</v>
      </c>
      <c r="H1945" s="538"/>
      <c r="I1945" s="789"/>
      <c r="J1945" s="942"/>
      <c r="M1945" s="954"/>
      <c r="N1945" s="777"/>
      <c r="P1945" s="789"/>
      <c r="Q1945" s="790"/>
      <c r="R1945" s="789"/>
      <c r="S1945" s="791"/>
    </row>
    <row r="1946" spans="3:19" s="767" customFormat="1" ht="17.25" x14ac:dyDescent="0.25">
      <c r="C1946" s="100" t="s">
        <v>23</v>
      </c>
      <c r="F1946" s="74" t="s">
        <v>596</v>
      </c>
      <c r="G1946" s="153">
        <f>G1945*2</f>
        <v>1.0048E-2</v>
      </c>
      <c r="H1946" s="538"/>
      <c r="I1946" s="789"/>
      <c r="J1946" s="942"/>
      <c r="M1946" s="954"/>
      <c r="N1946" s="777"/>
      <c r="P1946" s="789"/>
      <c r="Q1946" s="790"/>
      <c r="R1946" s="789"/>
      <c r="S1946" s="791"/>
    </row>
    <row r="1947" spans="3:19" s="767" customFormat="1" x14ac:dyDescent="0.25">
      <c r="C1947" s="100" t="s">
        <v>142</v>
      </c>
      <c r="F1947" s="74" t="s">
        <v>3</v>
      </c>
      <c r="G1947" s="153">
        <f>G1945/4</f>
        <v>1.256E-3</v>
      </c>
      <c r="H1947" s="538"/>
      <c r="I1947" s="789"/>
      <c r="J1947" s="942"/>
      <c r="M1947" s="954"/>
      <c r="N1947" s="777"/>
      <c r="P1947" s="789"/>
      <c r="Q1947" s="790"/>
      <c r="R1947" s="789"/>
      <c r="S1947" s="791"/>
    </row>
    <row r="1948" spans="3:19" s="767" customFormat="1" x14ac:dyDescent="0.25">
      <c r="C1948" s="186" t="s">
        <v>12334</v>
      </c>
      <c r="D1948" s="186"/>
      <c r="F1948" s="1005" t="s">
        <v>3</v>
      </c>
      <c r="G1948" s="10">
        <f>J1953*0.011*2*1.1</f>
        <v>1.8391999999999999E-2</v>
      </c>
      <c r="H1948" s="538"/>
      <c r="I1948" s="789"/>
      <c r="J1948" s="942"/>
      <c r="M1948" s="954"/>
      <c r="N1948" s="777"/>
      <c r="P1948" s="789"/>
      <c r="Q1948" s="790"/>
      <c r="R1948" s="789"/>
      <c r="S1948" s="791"/>
    </row>
    <row r="1949" spans="3:19" s="767" customFormat="1" x14ac:dyDescent="0.25">
      <c r="C1949" s="186" t="s">
        <v>8</v>
      </c>
      <c r="D1949" s="186"/>
      <c r="F1949" s="1005" t="s">
        <v>3</v>
      </c>
      <c r="G1949" s="10">
        <f>G1948*0.7</f>
        <v>1.2874399999999998E-2</v>
      </c>
      <c r="H1949" s="538"/>
      <c r="I1949" s="789"/>
      <c r="J1949" s="942"/>
      <c r="M1949" s="954"/>
      <c r="N1949" s="777"/>
      <c r="P1949" s="789"/>
      <c r="Q1949" s="790"/>
      <c r="R1949" s="789"/>
      <c r="S1949" s="791"/>
    </row>
    <row r="1950" spans="3:19" s="767" customFormat="1" x14ac:dyDescent="0.25">
      <c r="C1950" s="186" t="s">
        <v>143</v>
      </c>
      <c r="D1950" s="186"/>
      <c r="F1950" s="1005" t="s">
        <v>3</v>
      </c>
      <c r="G1950" s="10">
        <f>G1949</f>
        <v>1.2874399999999998E-2</v>
      </c>
      <c r="H1950" s="538"/>
      <c r="I1950" s="789"/>
      <c r="J1950" s="942"/>
      <c r="M1950" s="954"/>
      <c r="N1950" s="777"/>
      <c r="P1950" s="789"/>
      <c r="Q1950" s="790"/>
      <c r="R1950" s="789"/>
      <c r="S1950" s="791"/>
    </row>
    <row r="1951" spans="3:19" s="767" customFormat="1" x14ac:dyDescent="0.25">
      <c r="C1951" s="186" t="s">
        <v>12</v>
      </c>
      <c r="D1951" s="186"/>
      <c r="F1951" s="1005" t="s">
        <v>3</v>
      </c>
      <c r="G1951" s="10">
        <f>0.3*(G1949+G1948+G1950)</f>
        <v>1.3242239999999997E-2</v>
      </c>
      <c r="H1951" s="538"/>
      <c r="I1951" s="789"/>
      <c r="J1951" s="942"/>
      <c r="M1951" s="954"/>
      <c r="N1951" s="777"/>
      <c r="P1951" s="789"/>
      <c r="Q1951" s="790"/>
      <c r="R1951" s="789"/>
      <c r="S1951" s="791"/>
    </row>
    <row r="1952" spans="3:19" s="767" customFormat="1" x14ac:dyDescent="0.25">
      <c r="C1952" s="186"/>
      <c r="D1952" s="3" t="s">
        <v>12382</v>
      </c>
      <c r="F1952" s="1005"/>
      <c r="G1952" s="10"/>
      <c r="H1952" s="538"/>
      <c r="I1952" s="789"/>
      <c r="J1952" s="942"/>
      <c r="M1952" s="954"/>
      <c r="N1952" s="777"/>
      <c r="P1952" s="789"/>
      <c r="Q1952" s="790"/>
      <c r="R1952" s="789"/>
      <c r="S1952" s="791"/>
    </row>
    <row r="1953" spans="3:19" s="767" customFormat="1" x14ac:dyDescent="0.25">
      <c r="C1953" s="942"/>
      <c r="D1953" s="767" t="s">
        <v>11317</v>
      </c>
      <c r="F1953" s="954" t="s">
        <v>3</v>
      </c>
      <c r="G1953" s="777">
        <f>0.173*L1953+0.003</f>
        <v>0.15004999999999999</v>
      </c>
      <c r="H1953" s="538"/>
      <c r="I1953" s="789" t="s">
        <v>10149</v>
      </c>
      <c r="J1953" s="790">
        <v>0.76</v>
      </c>
      <c r="K1953" s="789" t="s">
        <v>10150</v>
      </c>
      <c r="L1953" s="791">
        <v>0.85</v>
      </c>
      <c r="M1953" s="954"/>
      <c r="N1953" s="777"/>
      <c r="P1953" s="789"/>
      <c r="Q1953" s="790"/>
      <c r="R1953" s="789"/>
      <c r="S1953" s="791"/>
    </row>
    <row r="1954" spans="3:19" s="767" customFormat="1" x14ac:dyDescent="0.25">
      <c r="C1954" s="942"/>
      <c r="F1954" s="954"/>
      <c r="G1954" s="777"/>
      <c r="H1954" s="538"/>
      <c r="I1954" s="789"/>
      <c r="J1954" s="942"/>
      <c r="M1954" s="954"/>
      <c r="N1954" s="777"/>
      <c r="P1954" s="789"/>
      <c r="Q1954" s="790"/>
      <c r="R1954" s="789"/>
      <c r="S1954" s="791"/>
    </row>
    <row r="1955" spans="3:19" s="767" customFormat="1" x14ac:dyDescent="0.25">
      <c r="C1955" s="3" t="s">
        <v>11523</v>
      </c>
      <c r="F1955" s="954"/>
      <c r="G1955" s="777"/>
      <c r="H1955" s="538"/>
      <c r="I1955" s="789"/>
      <c r="J1955" s="942"/>
      <c r="M1955" s="954"/>
      <c r="N1955" s="777"/>
      <c r="P1955" s="789"/>
      <c r="Q1955" s="790"/>
      <c r="R1955" s="789"/>
      <c r="S1955" s="791"/>
    </row>
    <row r="1956" spans="3:19" s="767" customFormat="1" x14ac:dyDescent="0.25">
      <c r="C1956" s="100" t="s">
        <v>140</v>
      </c>
      <c r="F1956" s="74" t="s">
        <v>3</v>
      </c>
      <c r="G1956" s="153">
        <f>0.008*3.14*2*0.08*1.25</f>
        <v>5.0239999999999998E-3</v>
      </c>
      <c r="H1956" s="538"/>
      <c r="I1956" s="789"/>
      <c r="J1956" s="942"/>
      <c r="M1956" s="954"/>
      <c r="N1956" s="777"/>
      <c r="P1956" s="789"/>
      <c r="Q1956" s="790"/>
      <c r="R1956" s="789"/>
      <c r="S1956" s="791"/>
    </row>
    <row r="1957" spans="3:19" s="767" customFormat="1" ht="17.25" x14ac:dyDescent="0.25">
      <c r="C1957" s="100" t="s">
        <v>23</v>
      </c>
      <c r="F1957" s="74" t="s">
        <v>596</v>
      </c>
      <c r="G1957" s="153">
        <f>G1956*2</f>
        <v>1.0048E-2</v>
      </c>
      <c r="H1957" s="538"/>
      <c r="I1957" s="789"/>
      <c r="J1957" s="942"/>
      <c r="M1957" s="954"/>
      <c r="N1957" s="777"/>
      <c r="P1957" s="789"/>
      <c r="Q1957" s="790"/>
      <c r="R1957" s="789"/>
      <c r="S1957" s="791"/>
    </row>
    <row r="1958" spans="3:19" s="767" customFormat="1" x14ac:dyDescent="0.25">
      <c r="C1958" s="100" t="s">
        <v>142</v>
      </c>
      <c r="F1958" s="74" t="s">
        <v>3</v>
      </c>
      <c r="G1958" s="153">
        <f>G1956/4</f>
        <v>1.256E-3</v>
      </c>
      <c r="H1958" s="538"/>
      <c r="I1958" s="789"/>
      <c r="J1958" s="942"/>
      <c r="M1958" s="954"/>
      <c r="N1958" s="777"/>
      <c r="P1958" s="789"/>
      <c r="Q1958" s="790"/>
      <c r="R1958" s="789"/>
      <c r="S1958" s="791"/>
    </row>
    <row r="1959" spans="3:19" s="767" customFormat="1" x14ac:dyDescent="0.25">
      <c r="C1959" s="186" t="s">
        <v>12334</v>
      </c>
      <c r="D1959" s="186"/>
      <c r="F1959" s="1005" t="s">
        <v>3</v>
      </c>
      <c r="G1959" s="10">
        <f>J1964*0.011*2*1.1</f>
        <v>1.6456000000000002E-2</v>
      </c>
      <c r="H1959" s="538"/>
      <c r="I1959" s="789"/>
      <c r="J1959" s="942"/>
      <c r="M1959" s="954"/>
      <c r="N1959" s="777"/>
      <c r="P1959" s="789"/>
      <c r="Q1959" s="790"/>
      <c r="R1959" s="789"/>
      <c r="S1959" s="791"/>
    </row>
    <row r="1960" spans="3:19" s="767" customFormat="1" x14ac:dyDescent="0.25">
      <c r="C1960" s="186" t="s">
        <v>8</v>
      </c>
      <c r="D1960" s="186"/>
      <c r="F1960" s="1005" t="s">
        <v>3</v>
      </c>
      <c r="G1960" s="10">
        <f>G1959*0.7</f>
        <v>1.15192E-2</v>
      </c>
      <c r="H1960" s="538"/>
      <c r="I1960" s="789"/>
      <c r="J1960" s="942"/>
      <c r="M1960" s="954"/>
      <c r="N1960" s="777"/>
      <c r="P1960" s="789"/>
      <c r="Q1960" s="790"/>
      <c r="R1960" s="789"/>
      <c r="S1960" s="791"/>
    </row>
    <row r="1961" spans="3:19" s="767" customFormat="1" x14ac:dyDescent="0.25">
      <c r="C1961" s="186" t="s">
        <v>143</v>
      </c>
      <c r="D1961" s="186"/>
      <c r="F1961" s="1005" t="s">
        <v>3</v>
      </c>
      <c r="G1961" s="10">
        <f>G1960</f>
        <v>1.15192E-2</v>
      </c>
      <c r="H1961" s="538"/>
      <c r="I1961" s="789"/>
      <c r="J1961" s="942"/>
      <c r="M1961" s="954"/>
      <c r="N1961" s="777"/>
      <c r="P1961" s="789"/>
      <c r="Q1961" s="790"/>
      <c r="R1961" s="789"/>
      <c r="S1961" s="791"/>
    </row>
    <row r="1962" spans="3:19" s="767" customFormat="1" x14ac:dyDescent="0.25">
      <c r="C1962" s="186" t="s">
        <v>12</v>
      </c>
      <c r="D1962" s="186"/>
      <c r="F1962" s="1005" t="s">
        <v>3</v>
      </c>
      <c r="G1962" s="10">
        <f>0.3*(G1960+G1959+G1961)</f>
        <v>1.1848319999999999E-2</v>
      </c>
      <c r="H1962" s="538"/>
      <c r="I1962" s="789"/>
      <c r="J1962" s="942"/>
      <c r="M1962" s="954"/>
      <c r="N1962" s="777"/>
      <c r="P1962" s="789"/>
      <c r="Q1962" s="790"/>
      <c r="R1962" s="789"/>
      <c r="S1962" s="791"/>
    </row>
    <row r="1963" spans="3:19" s="767" customFormat="1" x14ac:dyDescent="0.25">
      <c r="C1963" s="186"/>
      <c r="D1963" s="3" t="s">
        <v>12383</v>
      </c>
      <c r="F1963" s="1005"/>
      <c r="G1963" s="10"/>
      <c r="H1963" s="538"/>
      <c r="I1963" s="789"/>
      <c r="J1963" s="942"/>
      <c r="M1963" s="954"/>
      <c r="N1963" s="777"/>
      <c r="P1963" s="789"/>
      <c r="Q1963" s="790"/>
      <c r="R1963" s="789"/>
      <c r="S1963" s="791"/>
    </row>
    <row r="1964" spans="3:19" s="767" customFormat="1" x14ac:dyDescent="0.25">
      <c r="C1964" s="942"/>
      <c r="D1964" s="767" t="s">
        <v>11317</v>
      </c>
      <c r="F1964" s="954" t="s">
        <v>3</v>
      </c>
      <c r="G1964" s="777">
        <f>0.173*L1964</f>
        <v>0.13147999999999999</v>
      </c>
      <c r="H1964" s="538"/>
      <c r="I1964" s="789" t="s">
        <v>10149</v>
      </c>
      <c r="J1964" s="790">
        <v>0.68</v>
      </c>
      <c r="K1964" s="789" t="s">
        <v>10150</v>
      </c>
      <c r="L1964" s="791">
        <v>0.76</v>
      </c>
      <c r="M1964" s="954"/>
      <c r="N1964" s="777"/>
      <c r="P1964" s="789"/>
      <c r="Q1964" s="790"/>
      <c r="R1964" s="789"/>
      <c r="S1964" s="791"/>
    </row>
    <row r="1965" spans="3:19" s="767" customFormat="1" x14ac:dyDescent="0.25">
      <c r="C1965" s="942"/>
      <c r="F1965" s="954"/>
      <c r="G1965" s="777"/>
      <c r="H1965" s="538"/>
      <c r="I1965" s="789"/>
      <c r="J1965" s="942"/>
      <c r="M1965" s="954"/>
      <c r="N1965" s="777"/>
      <c r="P1965" s="789"/>
      <c r="Q1965" s="790"/>
      <c r="R1965" s="789"/>
      <c r="S1965" s="791"/>
    </row>
    <row r="1966" spans="3:19" s="767" customFormat="1" x14ac:dyDescent="0.25">
      <c r="C1966" s="3" t="s">
        <v>11524</v>
      </c>
      <c r="F1966" s="954"/>
      <c r="G1966" s="777"/>
      <c r="H1966" s="538"/>
      <c r="I1966" s="789"/>
      <c r="J1966" s="942"/>
      <c r="M1966" s="954"/>
      <c r="N1966" s="777"/>
      <c r="P1966" s="789"/>
      <c r="Q1966" s="790"/>
      <c r="R1966" s="789"/>
      <c r="S1966" s="791"/>
    </row>
    <row r="1967" spans="3:19" s="767" customFormat="1" x14ac:dyDescent="0.25">
      <c r="C1967" s="100" t="s">
        <v>140</v>
      </c>
      <c r="F1967" s="954" t="s">
        <v>3</v>
      </c>
      <c r="G1967" s="153">
        <f>0.008*3.14*2*0.08*1.25</f>
        <v>5.0239999999999998E-3</v>
      </c>
      <c r="H1967" s="538"/>
      <c r="I1967" s="789"/>
      <c r="J1967" s="942"/>
      <c r="M1967" s="954"/>
      <c r="N1967" s="777"/>
      <c r="P1967" s="789"/>
      <c r="Q1967" s="790"/>
      <c r="R1967" s="789"/>
      <c r="S1967" s="791"/>
    </row>
    <row r="1968" spans="3:19" s="767" customFormat="1" ht="17.25" x14ac:dyDescent="0.25">
      <c r="C1968" s="100" t="s">
        <v>23</v>
      </c>
      <c r="F1968" s="74" t="s">
        <v>596</v>
      </c>
      <c r="G1968" s="153">
        <f>G1967*2</f>
        <v>1.0048E-2</v>
      </c>
      <c r="H1968" s="538"/>
      <c r="I1968" s="789"/>
      <c r="J1968" s="942"/>
      <c r="M1968" s="954"/>
      <c r="N1968" s="777"/>
      <c r="P1968" s="789"/>
      <c r="Q1968" s="790"/>
      <c r="R1968" s="789"/>
      <c r="S1968" s="791"/>
    </row>
    <row r="1969" spans="1:19" s="767" customFormat="1" x14ac:dyDescent="0.25">
      <c r="C1969" s="100" t="s">
        <v>142</v>
      </c>
      <c r="F1969" s="74" t="s">
        <v>3</v>
      </c>
      <c r="G1969" s="153">
        <f>G1967/4</f>
        <v>1.256E-3</v>
      </c>
      <c r="H1969" s="538"/>
      <c r="I1969" s="789"/>
      <c r="J1969" s="942"/>
      <c r="M1969" s="954"/>
      <c r="N1969" s="777"/>
      <c r="P1969" s="789"/>
      <c r="Q1969" s="790"/>
      <c r="R1969" s="789"/>
      <c r="S1969" s="791"/>
    </row>
    <row r="1970" spans="1:19" s="767" customFormat="1" x14ac:dyDescent="0.25">
      <c r="C1970" s="186" t="s">
        <v>12334</v>
      </c>
      <c r="D1970" s="186"/>
      <c r="F1970" s="1005" t="s">
        <v>3</v>
      </c>
      <c r="G1970" s="10">
        <f>J1975*0.011*2*1.1</f>
        <v>2.9524000000000002E-2</v>
      </c>
      <c r="H1970" s="538"/>
      <c r="I1970" s="789"/>
      <c r="J1970" s="942"/>
      <c r="M1970" s="954"/>
      <c r="N1970" s="777"/>
      <c r="P1970" s="789"/>
      <c r="Q1970" s="790"/>
      <c r="R1970" s="789"/>
      <c r="S1970" s="791"/>
    </row>
    <row r="1971" spans="1:19" s="767" customFormat="1" x14ac:dyDescent="0.25">
      <c r="C1971" s="186" t="s">
        <v>8</v>
      </c>
      <c r="D1971" s="186"/>
      <c r="F1971" s="1005" t="s">
        <v>3</v>
      </c>
      <c r="G1971" s="10">
        <f>G1970*0.7</f>
        <v>2.0666799999999999E-2</v>
      </c>
      <c r="H1971" s="538"/>
      <c r="I1971" s="789"/>
      <c r="J1971" s="942"/>
      <c r="M1971" s="954"/>
      <c r="N1971" s="777"/>
      <c r="P1971" s="789"/>
      <c r="Q1971" s="790"/>
      <c r="R1971" s="789"/>
      <c r="S1971" s="791"/>
    </row>
    <row r="1972" spans="1:19" s="767" customFormat="1" x14ac:dyDescent="0.25">
      <c r="C1972" s="186" t="s">
        <v>143</v>
      </c>
      <c r="D1972" s="186"/>
      <c r="F1972" s="1005" t="s">
        <v>3</v>
      </c>
      <c r="G1972" s="10">
        <f>G1971</f>
        <v>2.0666799999999999E-2</v>
      </c>
      <c r="H1972" s="538"/>
      <c r="I1972" s="789"/>
      <c r="J1972" s="942"/>
      <c r="M1972" s="954"/>
      <c r="N1972" s="777"/>
      <c r="P1972" s="789"/>
      <c r="Q1972" s="790"/>
      <c r="R1972" s="789"/>
      <c r="S1972" s="791"/>
    </row>
    <row r="1973" spans="1:19" s="767" customFormat="1" x14ac:dyDescent="0.25">
      <c r="C1973" s="186" t="s">
        <v>12</v>
      </c>
      <c r="D1973" s="186"/>
      <c r="F1973" s="1005" t="s">
        <v>3</v>
      </c>
      <c r="G1973" s="10">
        <f>0.3*(G1971+G1970+G1972)</f>
        <v>2.1257279999999996E-2</v>
      </c>
      <c r="H1973" s="538"/>
      <c r="I1973" s="789"/>
      <c r="J1973" s="942"/>
      <c r="M1973" s="954"/>
      <c r="N1973" s="777"/>
      <c r="P1973" s="789"/>
      <c r="Q1973" s="790"/>
      <c r="R1973" s="789"/>
      <c r="S1973" s="791"/>
    </row>
    <row r="1974" spans="1:19" s="767" customFormat="1" x14ac:dyDescent="0.25">
      <c r="C1974" s="186"/>
      <c r="D1974" s="3" t="s">
        <v>12384</v>
      </c>
      <c r="F1974" s="1005"/>
      <c r="G1974" s="10"/>
      <c r="H1974" s="538"/>
      <c r="I1974" s="789"/>
      <c r="J1974" s="942"/>
      <c r="M1974" s="954"/>
      <c r="N1974" s="777"/>
      <c r="P1974" s="789"/>
      <c r="Q1974" s="790"/>
      <c r="R1974" s="789"/>
      <c r="S1974" s="791"/>
    </row>
    <row r="1975" spans="1:19" s="767" customFormat="1" x14ac:dyDescent="0.25">
      <c r="A1975" s="539"/>
      <c r="B1975" s="539"/>
      <c r="C1975" s="1004"/>
      <c r="D1975" s="539" t="s">
        <v>11317</v>
      </c>
      <c r="E1975" s="539"/>
      <c r="F1975" s="957" t="s">
        <v>3</v>
      </c>
      <c r="G1975" s="778">
        <f>0.173*L1975</f>
        <v>0.23008999999999999</v>
      </c>
      <c r="H1975" s="540"/>
      <c r="I1975" s="789" t="s">
        <v>10149</v>
      </c>
      <c r="J1975" s="790">
        <v>1.22</v>
      </c>
      <c r="K1975" s="789" t="s">
        <v>10150</v>
      </c>
      <c r="L1975" s="791">
        <v>1.33</v>
      </c>
      <c r="M1975" s="954"/>
      <c r="N1975" s="777"/>
      <c r="P1975" s="789"/>
      <c r="Q1975" s="790"/>
      <c r="R1975" s="789"/>
      <c r="S1975" s="791"/>
    </row>
    <row r="1976" spans="1:19" s="767" customFormat="1" x14ac:dyDescent="0.25">
      <c r="C1976" s="942"/>
      <c r="F1976" s="954"/>
      <c r="G1976" s="777"/>
      <c r="H1976" s="631" t="s">
        <v>12448</v>
      </c>
      <c r="I1976" s="789"/>
      <c r="J1976" s="942"/>
      <c r="M1976" s="954"/>
      <c r="N1976" s="777"/>
      <c r="P1976" s="789"/>
      <c r="Q1976" s="790"/>
      <c r="R1976" s="789"/>
      <c r="S1976" s="791"/>
    </row>
    <row r="1977" spans="1:19" s="767" customFormat="1" x14ac:dyDescent="0.25">
      <c r="C1977" s="3" t="s">
        <v>12385</v>
      </c>
      <c r="F1977" s="954"/>
      <c r="G1977" s="777"/>
      <c r="H1977" s="538"/>
      <c r="I1977" s="789"/>
      <c r="J1977" s="942"/>
      <c r="M1977" s="954"/>
      <c r="N1977" s="777"/>
      <c r="P1977" s="789"/>
      <c r="Q1977" s="790"/>
      <c r="R1977" s="789"/>
      <c r="S1977" s="791"/>
    </row>
    <row r="1978" spans="1:19" s="767" customFormat="1" x14ac:dyDescent="0.25">
      <c r="C1978" s="100" t="s">
        <v>140</v>
      </c>
      <c r="F1978" s="74" t="s">
        <v>3</v>
      </c>
      <c r="G1978" s="153">
        <f>0.01*3.14*2*0.08*1.25</f>
        <v>6.2800000000000009E-3</v>
      </c>
      <c r="H1978" s="538"/>
      <c r="I1978" s="789"/>
      <c r="J1978" s="942"/>
      <c r="M1978" s="954"/>
      <c r="N1978" s="777"/>
      <c r="P1978" s="789"/>
      <c r="Q1978" s="790"/>
      <c r="R1978" s="789"/>
      <c r="S1978" s="791"/>
    </row>
    <row r="1979" spans="1:19" s="767" customFormat="1" ht="17.25" x14ac:dyDescent="0.25">
      <c r="C1979" s="100" t="s">
        <v>23</v>
      </c>
      <c r="F1979" s="74" t="s">
        <v>596</v>
      </c>
      <c r="G1979" s="153">
        <f>G1978*2</f>
        <v>1.2560000000000002E-2</v>
      </c>
      <c r="H1979" s="538"/>
      <c r="I1979" s="789"/>
      <c r="J1979" s="942"/>
      <c r="M1979" s="954"/>
      <c r="N1979" s="777"/>
      <c r="P1979" s="789"/>
      <c r="Q1979" s="790"/>
      <c r="R1979" s="789"/>
      <c r="S1979" s="791"/>
    </row>
    <row r="1980" spans="1:19" s="767" customFormat="1" x14ac:dyDescent="0.25">
      <c r="C1980" s="100" t="s">
        <v>142</v>
      </c>
      <c r="F1980" s="74" t="s">
        <v>3</v>
      </c>
      <c r="G1980" s="153">
        <f>G1978/4</f>
        <v>1.5700000000000002E-3</v>
      </c>
      <c r="H1980" s="538"/>
      <c r="I1980" s="789"/>
      <c r="J1980" s="942"/>
      <c r="M1980" s="954"/>
      <c r="N1980" s="777"/>
      <c r="P1980" s="789"/>
      <c r="Q1980" s="790"/>
      <c r="R1980" s="789"/>
      <c r="S1980" s="791"/>
    </row>
    <row r="1981" spans="1:19" s="767" customFormat="1" x14ac:dyDescent="0.25">
      <c r="C1981" s="186" t="s">
        <v>9044</v>
      </c>
      <c r="D1981" s="186"/>
      <c r="F1981" s="1006" t="s">
        <v>3</v>
      </c>
      <c r="G1981" s="10">
        <f>J1988*0.011*2*1.3</f>
        <v>3.8610000000000003E-3</v>
      </c>
      <c r="H1981" s="538"/>
      <c r="I1981" s="789"/>
      <c r="J1981" s="942"/>
      <c r="M1981" s="954"/>
      <c r="N1981" s="777"/>
      <c r="P1981" s="789"/>
      <c r="Q1981" s="790"/>
      <c r="R1981" s="789"/>
      <c r="S1981" s="791"/>
    </row>
    <row r="1982" spans="1:19" s="767" customFormat="1" x14ac:dyDescent="0.25">
      <c r="C1982" s="186" t="s">
        <v>8</v>
      </c>
      <c r="D1982" s="186"/>
      <c r="F1982" s="1006" t="s">
        <v>3</v>
      </c>
      <c r="G1982" s="10">
        <f>G1981*0.7</f>
        <v>2.7027000000000002E-3</v>
      </c>
      <c r="H1982" s="538"/>
      <c r="I1982" s="789"/>
      <c r="J1982" s="942"/>
      <c r="M1982" s="954"/>
      <c r="N1982" s="777"/>
      <c r="P1982" s="789"/>
      <c r="Q1982" s="790"/>
      <c r="R1982" s="789"/>
      <c r="S1982" s="791"/>
    </row>
    <row r="1983" spans="1:19" s="767" customFormat="1" x14ac:dyDescent="0.25">
      <c r="C1983" s="186" t="s">
        <v>12</v>
      </c>
      <c r="D1983" s="186"/>
      <c r="F1983" s="1006" t="s">
        <v>3</v>
      </c>
      <c r="G1983" s="10">
        <f>0.3*(G1981+G1982)</f>
        <v>1.96911E-3</v>
      </c>
      <c r="H1983" s="538"/>
      <c r="I1983" s="789"/>
      <c r="J1983" s="942"/>
      <c r="M1983" s="954"/>
      <c r="N1983" s="777"/>
      <c r="P1983" s="789"/>
      <c r="Q1983" s="790"/>
      <c r="R1983" s="789"/>
      <c r="S1983" s="791"/>
    </row>
    <row r="1984" spans="1:19" s="767" customFormat="1" x14ac:dyDescent="0.25">
      <c r="C1984" s="834" t="s">
        <v>1021</v>
      </c>
      <c r="D1984" s="834"/>
      <c r="E1984" s="834"/>
      <c r="F1984" s="827" t="s">
        <v>3</v>
      </c>
      <c r="G1984" s="777">
        <f>G1982</f>
        <v>2.7027000000000002E-3</v>
      </c>
      <c r="H1984" s="538"/>
      <c r="I1984" s="789"/>
      <c r="J1984" s="942"/>
      <c r="M1984" s="954"/>
      <c r="N1984" s="777"/>
      <c r="P1984" s="789"/>
      <c r="Q1984" s="790"/>
      <c r="R1984" s="789"/>
      <c r="S1984" s="791"/>
    </row>
    <row r="1985" spans="3:19" s="767" customFormat="1" x14ac:dyDescent="0.25">
      <c r="C1985" s="834" t="s">
        <v>661</v>
      </c>
      <c r="D1985" s="834"/>
      <c r="E1985" s="834"/>
      <c r="F1985" s="827" t="s">
        <v>3</v>
      </c>
      <c r="G1985" s="777">
        <f>G1984*0.26</f>
        <v>7.0270200000000004E-4</v>
      </c>
      <c r="H1985" s="538"/>
      <c r="I1985" s="789"/>
      <c r="J1985" s="942"/>
      <c r="M1985" s="954"/>
      <c r="N1985" s="777"/>
      <c r="P1985" s="789"/>
      <c r="Q1985" s="790"/>
      <c r="R1985" s="789"/>
      <c r="S1985" s="791"/>
    </row>
    <row r="1986" spans="3:19" s="767" customFormat="1" x14ac:dyDescent="0.25">
      <c r="C1986" s="834" t="s">
        <v>1993</v>
      </c>
      <c r="D1986" s="834"/>
      <c r="E1986" s="834"/>
      <c r="F1986" s="827" t="s">
        <v>3</v>
      </c>
      <c r="G1986" s="777">
        <f>G1984*0.12+0.001</f>
        <v>1.324324E-3</v>
      </c>
      <c r="H1986" s="538"/>
      <c r="I1986" s="789"/>
      <c r="J1986" s="942"/>
      <c r="M1986" s="954"/>
      <c r="N1986" s="777"/>
      <c r="P1986" s="789"/>
      <c r="Q1986" s="790"/>
      <c r="R1986" s="789"/>
      <c r="S1986" s="791"/>
    </row>
    <row r="1987" spans="3:19" s="767" customFormat="1" x14ac:dyDescent="0.25">
      <c r="C1987" s="942"/>
      <c r="D1987" s="3" t="s">
        <v>11796</v>
      </c>
      <c r="F1987" s="954"/>
      <c r="G1987" s="777"/>
      <c r="H1987" s="538"/>
      <c r="I1987" s="789"/>
      <c r="J1987" s="942"/>
      <c r="M1987" s="954"/>
      <c r="N1987" s="777"/>
      <c r="P1987" s="789"/>
      <c r="Q1987" s="790"/>
      <c r="R1987" s="789"/>
      <c r="S1987" s="791"/>
    </row>
    <row r="1988" spans="3:19" s="767" customFormat="1" x14ac:dyDescent="0.25">
      <c r="C1988" s="942"/>
      <c r="D1988" s="767" t="s">
        <v>7607</v>
      </c>
      <c r="F1988" s="954" t="s">
        <v>3</v>
      </c>
      <c r="G1988" s="777">
        <f>0.252*L1988</f>
        <v>5.04E-2</v>
      </c>
      <c r="H1988" s="538"/>
      <c r="I1988" s="789" t="s">
        <v>10149</v>
      </c>
      <c r="J1988" s="790">
        <v>0.13500000000000001</v>
      </c>
      <c r="K1988" s="789" t="s">
        <v>10150</v>
      </c>
      <c r="L1988" s="791">
        <v>0.2</v>
      </c>
      <c r="M1988" s="954"/>
      <c r="N1988" s="777"/>
      <c r="P1988" s="789"/>
      <c r="Q1988" s="790"/>
      <c r="R1988" s="789"/>
      <c r="S1988" s="791"/>
    </row>
    <row r="1989" spans="3:19" s="767" customFormat="1" x14ac:dyDescent="0.25">
      <c r="C1989" s="942"/>
      <c r="F1989" s="954"/>
      <c r="G1989" s="777"/>
      <c r="H1989" s="538"/>
      <c r="I1989" s="789"/>
      <c r="J1989" s="942"/>
      <c r="M1989" s="954"/>
      <c r="N1989" s="777"/>
      <c r="P1989" s="789"/>
      <c r="Q1989" s="790"/>
      <c r="R1989" s="789"/>
      <c r="S1989" s="791"/>
    </row>
    <row r="1990" spans="3:19" s="767" customFormat="1" x14ac:dyDescent="0.25">
      <c r="C1990" s="3" t="s">
        <v>11525</v>
      </c>
      <c r="F1990" s="954"/>
      <c r="G1990" s="777"/>
      <c r="H1990" s="538"/>
      <c r="I1990" s="789"/>
      <c r="J1990" s="942"/>
      <c r="M1990" s="954"/>
      <c r="N1990" s="777"/>
      <c r="P1990" s="789"/>
      <c r="Q1990" s="790"/>
      <c r="R1990" s="789"/>
      <c r="S1990" s="791"/>
    </row>
    <row r="1991" spans="3:19" s="767" customFormat="1" x14ac:dyDescent="0.25">
      <c r="C1991" s="100" t="s">
        <v>140</v>
      </c>
      <c r="F1991" s="954" t="s">
        <v>3</v>
      </c>
      <c r="G1991" s="153">
        <f>0.008*3.14*2*0.08*1.25</f>
        <v>5.0239999999999998E-3</v>
      </c>
      <c r="H1991" s="538"/>
      <c r="I1991" s="789"/>
      <c r="J1991" s="942"/>
      <c r="M1991" s="954"/>
      <c r="N1991" s="777"/>
      <c r="P1991" s="789"/>
      <c r="Q1991" s="790"/>
      <c r="R1991" s="789"/>
      <c r="S1991" s="791"/>
    </row>
    <row r="1992" spans="3:19" s="767" customFormat="1" ht="17.25" x14ac:dyDescent="0.25">
      <c r="C1992" s="100" t="s">
        <v>23</v>
      </c>
      <c r="F1992" s="74" t="s">
        <v>596</v>
      </c>
      <c r="G1992" s="153">
        <f>G1991*2</f>
        <v>1.0048E-2</v>
      </c>
      <c r="H1992" s="538"/>
      <c r="I1992" s="789"/>
      <c r="J1992" s="942"/>
      <c r="M1992" s="954"/>
      <c r="N1992" s="777"/>
      <c r="P1992" s="789"/>
      <c r="Q1992" s="790"/>
      <c r="R1992" s="789"/>
      <c r="S1992" s="791"/>
    </row>
    <row r="1993" spans="3:19" s="767" customFormat="1" x14ac:dyDescent="0.25">
      <c r="C1993" s="100" t="s">
        <v>142</v>
      </c>
      <c r="F1993" s="74" t="s">
        <v>3</v>
      </c>
      <c r="G1993" s="153">
        <f>G1991/4</f>
        <v>1.256E-3</v>
      </c>
      <c r="H1993" s="538"/>
      <c r="I1993" s="789"/>
      <c r="J1993" s="942"/>
      <c r="M1993" s="954"/>
      <c r="N1993" s="777"/>
      <c r="P1993" s="789"/>
      <c r="Q1993" s="790"/>
      <c r="R1993" s="789"/>
      <c r="S1993" s="791"/>
    </row>
    <row r="1994" spans="3:19" s="767" customFormat="1" x14ac:dyDescent="0.25">
      <c r="C1994" s="186" t="s">
        <v>12334</v>
      </c>
      <c r="D1994" s="186"/>
      <c r="F1994" s="1006" t="s">
        <v>3</v>
      </c>
      <c r="G1994" s="10">
        <f>J1999*0.011*2*1.1</f>
        <v>4.598E-2</v>
      </c>
      <c r="H1994" s="538"/>
      <c r="I1994" s="789"/>
      <c r="J1994" s="942"/>
      <c r="M1994" s="954"/>
      <c r="N1994" s="777"/>
      <c r="P1994" s="789"/>
      <c r="Q1994" s="790"/>
      <c r="R1994" s="789"/>
      <c r="S1994" s="791"/>
    </row>
    <row r="1995" spans="3:19" s="767" customFormat="1" x14ac:dyDescent="0.25">
      <c r="C1995" s="186" t="s">
        <v>8</v>
      </c>
      <c r="D1995" s="186"/>
      <c r="F1995" s="1006" t="s">
        <v>3</v>
      </c>
      <c r="G1995" s="10">
        <f>G1994*0.7</f>
        <v>3.2185999999999999E-2</v>
      </c>
      <c r="H1995" s="538"/>
      <c r="I1995" s="789"/>
      <c r="J1995" s="942"/>
      <c r="M1995" s="954"/>
      <c r="N1995" s="777"/>
      <c r="P1995" s="789"/>
      <c r="Q1995" s="790"/>
      <c r="R1995" s="789"/>
      <c r="S1995" s="791"/>
    </row>
    <row r="1996" spans="3:19" s="767" customFormat="1" x14ac:dyDescent="0.25">
      <c r="C1996" s="186" t="s">
        <v>143</v>
      </c>
      <c r="D1996" s="186"/>
      <c r="F1996" s="1006" t="s">
        <v>3</v>
      </c>
      <c r="G1996" s="10">
        <f>G1995</f>
        <v>3.2185999999999999E-2</v>
      </c>
      <c r="H1996" s="538"/>
      <c r="I1996" s="789"/>
      <c r="J1996" s="942"/>
      <c r="M1996" s="954"/>
      <c r="N1996" s="777"/>
      <c r="P1996" s="789"/>
      <c r="Q1996" s="790"/>
      <c r="R1996" s="789"/>
      <c r="S1996" s="791"/>
    </row>
    <row r="1997" spans="3:19" s="767" customFormat="1" x14ac:dyDescent="0.25">
      <c r="C1997" s="186" t="s">
        <v>12</v>
      </c>
      <c r="D1997" s="186"/>
      <c r="F1997" s="1006" t="s">
        <v>3</v>
      </c>
      <c r="G1997" s="10">
        <f>0.3*(G1995+G1994+G1996)</f>
        <v>3.3105599999999999E-2</v>
      </c>
      <c r="H1997" s="538"/>
      <c r="I1997" s="789"/>
      <c r="J1997" s="942"/>
      <c r="M1997" s="954"/>
      <c r="N1997" s="777"/>
      <c r="P1997" s="789"/>
      <c r="Q1997" s="790"/>
      <c r="R1997" s="789"/>
      <c r="S1997" s="791"/>
    </row>
    <row r="1998" spans="3:19" s="767" customFormat="1" x14ac:dyDescent="0.25">
      <c r="C1998" s="186"/>
      <c r="D1998" s="3" t="s">
        <v>12399</v>
      </c>
      <c r="F1998" s="1006"/>
      <c r="G1998" s="10"/>
      <c r="H1998" s="538"/>
      <c r="I1998" s="789"/>
      <c r="J1998" s="942"/>
      <c r="M1998" s="954"/>
      <c r="N1998" s="777"/>
      <c r="P1998" s="789"/>
      <c r="Q1998" s="790"/>
      <c r="R1998" s="789"/>
      <c r="S1998" s="791"/>
    </row>
    <row r="1999" spans="3:19" s="767" customFormat="1" x14ac:dyDescent="0.25">
      <c r="D1999" s="767" t="s">
        <v>12400</v>
      </c>
      <c r="F1999" s="1006" t="s">
        <v>3</v>
      </c>
      <c r="G1999" s="10">
        <f>0.173*L1999</f>
        <v>0.34599999999999997</v>
      </c>
      <c r="H1999" s="538"/>
      <c r="I1999" s="789" t="s">
        <v>10149</v>
      </c>
      <c r="J1999" s="790">
        <v>1.9</v>
      </c>
      <c r="K1999" s="789" t="s">
        <v>10150</v>
      </c>
      <c r="L1999" s="791">
        <v>2</v>
      </c>
      <c r="M1999" s="954"/>
      <c r="N1999" s="777"/>
      <c r="P1999" s="789"/>
      <c r="Q1999" s="790"/>
      <c r="R1999" s="789"/>
      <c r="S1999" s="791"/>
    </row>
    <row r="2000" spans="3:19" s="767" customFormat="1" x14ac:dyDescent="0.25">
      <c r="F2000" s="954"/>
      <c r="G2000" s="777"/>
      <c r="H2000" s="538"/>
      <c r="I2000" s="789"/>
      <c r="J2000" s="942"/>
      <c r="M2000" s="954"/>
      <c r="N2000" s="777"/>
      <c r="P2000" s="789"/>
      <c r="Q2000" s="790"/>
      <c r="R2000" s="789"/>
      <c r="S2000" s="791"/>
    </row>
    <row r="2001" spans="3:19" s="767" customFormat="1" x14ac:dyDescent="0.25">
      <c r="C2001" s="3" t="s">
        <v>11526</v>
      </c>
      <c r="F2001" s="954"/>
      <c r="G2001" s="777"/>
      <c r="H2001" s="538"/>
      <c r="I2001" s="789"/>
      <c r="J2001" s="942"/>
      <c r="M2001" s="954"/>
      <c r="N2001" s="777"/>
      <c r="P2001" s="789"/>
      <c r="Q2001" s="790"/>
      <c r="R2001" s="789"/>
      <c r="S2001" s="791"/>
    </row>
    <row r="2002" spans="3:19" s="767" customFormat="1" x14ac:dyDescent="0.25">
      <c r="C2002" s="100" t="s">
        <v>140</v>
      </c>
      <c r="F2002" s="954" t="s">
        <v>3</v>
      </c>
      <c r="G2002" s="153">
        <f>0.008*3.14*2*0.08*1.25</f>
        <v>5.0239999999999998E-3</v>
      </c>
      <c r="H2002" s="538"/>
      <c r="I2002" s="789"/>
      <c r="J2002" s="942"/>
      <c r="M2002" s="954"/>
      <c r="N2002" s="777"/>
      <c r="P2002" s="789"/>
      <c r="Q2002" s="790"/>
      <c r="R2002" s="789"/>
      <c r="S2002" s="791"/>
    </row>
    <row r="2003" spans="3:19" s="767" customFormat="1" ht="17.25" x14ac:dyDescent="0.25">
      <c r="C2003" s="100" t="s">
        <v>23</v>
      </c>
      <c r="F2003" s="74" t="s">
        <v>596</v>
      </c>
      <c r="G2003" s="153">
        <f>G2002*2</f>
        <v>1.0048E-2</v>
      </c>
      <c r="H2003" s="538"/>
      <c r="I2003" s="789"/>
      <c r="J2003" s="942"/>
      <c r="M2003" s="954"/>
      <c r="N2003" s="777"/>
      <c r="P2003" s="789"/>
      <c r="Q2003" s="790"/>
      <c r="R2003" s="789"/>
      <c r="S2003" s="791"/>
    </row>
    <row r="2004" spans="3:19" s="767" customFormat="1" x14ac:dyDescent="0.25">
      <c r="C2004" s="100" t="s">
        <v>142</v>
      </c>
      <c r="F2004" s="74" t="s">
        <v>3</v>
      </c>
      <c r="G2004" s="153">
        <f>G2002/4</f>
        <v>1.256E-3</v>
      </c>
      <c r="H2004" s="538"/>
      <c r="I2004" s="789"/>
      <c r="J2004" s="942"/>
      <c r="M2004" s="954"/>
      <c r="N2004" s="777"/>
      <c r="P2004" s="789"/>
      <c r="Q2004" s="790"/>
      <c r="R2004" s="789"/>
      <c r="S2004" s="791"/>
    </row>
    <row r="2005" spans="3:19" s="767" customFormat="1" x14ac:dyDescent="0.25">
      <c r="C2005" s="186" t="s">
        <v>12334</v>
      </c>
      <c r="D2005" s="186"/>
      <c r="F2005" s="1006" t="s">
        <v>3</v>
      </c>
      <c r="G2005" s="10">
        <f>J2010*0.011*2*1.1</f>
        <v>2.7104000000000003E-2</v>
      </c>
      <c r="H2005" s="538"/>
      <c r="I2005" s="789"/>
      <c r="J2005" s="942"/>
      <c r="M2005" s="954"/>
      <c r="N2005" s="777"/>
      <c r="P2005" s="789"/>
      <c r="Q2005" s="790"/>
      <c r="R2005" s="789"/>
      <c r="S2005" s="791"/>
    </row>
    <row r="2006" spans="3:19" s="767" customFormat="1" x14ac:dyDescent="0.25">
      <c r="C2006" s="186" t="s">
        <v>8</v>
      </c>
      <c r="D2006" s="186"/>
      <c r="F2006" s="1006" t="s">
        <v>3</v>
      </c>
      <c r="G2006" s="10">
        <f>G2005*0.7</f>
        <v>1.8972800000000001E-2</v>
      </c>
      <c r="H2006" s="538"/>
      <c r="I2006" s="789"/>
      <c r="J2006" s="942"/>
      <c r="M2006" s="954"/>
      <c r="N2006" s="777"/>
      <c r="P2006" s="789"/>
      <c r="Q2006" s="790"/>
      <c r="R2006" s="789"/>
      <c r="S2006" s="791"/>
    </row>
    <row r="2007" spans="3:19" s="767" customFormat="1" x14ac:dyDescent="0.25">
      <c r="C2007" s="186" t="s">
        <v>143</v>
      </c>
      <c r="D2007" s="186"/>
      <c r="F2007" s="1006" t="s">
        <v>3</v>
      </c>
      <c r="G2007" s="10">
        <f>G2006</f>
        <v>1.8972800000000001E-2</v>
      </c>
      <c r="H2007" s="538"/>
      <c r="I2007" s="789"/>
      <c r="J2007" s="942"/>
      <c r="M2007" s="954"/>
      <c r="N2007" s="777"/>
      <c r="P2007" s="789"/>
      <c r="Q2007" s="790"/>
      <c r="R2007" s="789"/>
      <c r="S2007" s="791"/>
    </row>
    <row r="2008" spans="3:19" s="767" customFormat="1" x14ac:dyDescent="0.25">
      <c r="C2008" s="186" t="s">
        <v>12</v>
      </c>
      <c r="D2008" s="186"/>
      <c r="F2008" s="1006" t="s">
        <v>3</v>
      </c>
      <c r="G2008" s="10">
        <f>0.3*(G2006+G2005+G2007)</f>
        <v>1.9514879999999998E-2</v>
      </c>
      <c r="H2008" s="538"/>
      <c r="I2008" s="789"/>
      <c r="J2008" s="942"/>
      <c r="M2008" s="954"/>
      <c r="N2008" s="777"/>
      <c r="P2008" s="789"/>
      <c r="Q2008" s="790"/>
      <c r="R2008" s="789"/>
      <c r="S2008" s="791"/>
    </row>
    <row r="2009" spans="3:19" s="767" customFormat="1" x14ac:dyDescent="0.25">
      <c r="C2009" s="186"/>
      <c r="D2009" s="3" t="s">
        <v>12401</v>
      </c>
      <c r="F2009" s="1006"/>
      <c r="G2009" s="10"/>
      <c r="H2009" s="538"/>
      <c r="I2009" s="789"/>
      <c r="J2009" s="942"/>
      <c r="M2009" s="954"/>
      <c r="N2009" s="777"/>
      <c r="P2009" s="789"/>
      <c r="Q2009" s="790"/>
      <c r="R2009" s="789"/>
      <c r="S2009" s="791"/>
    </row>
    <row r="2010" spans="3:19" s="767" customFormat="1" x14ac:dyDescent="0.25">
      <c r="D2010" s="767" t="s">
        <v>12400</v>
      </c>
      <c r="F2010" s="1006" t="s">
        <v>3</v>
      </c>
      <c r="G2010" s="10">
        <f>0.173*L2010</f>
        <v>0.21451999999999999</v>
      </c>
      <c r="H2010" s="538"/>
      <c r="I2010" s="789" t="s">
        <v>10149</v>
      </c>
      <c r="J2010" s="790">
        <v>1.1200000000000001</v>
      </c>
      <c r="K2010" s="789" t="s">
        <v>10150</v>
      </c>
      <c r="L2010" s="791">
        <v>1.24</v>
      </c>
      <c r="M2010" s="954"/>
      <c r="N2010" s="777"/>
      <c r="P2010" s="789"/>
      <c r="Q2010" s="790"/>
      <c r="R2010" s="789"/>
      <c r="S2010" s="791"/>
    </row>
    <row r="2011" spans="3:19" s="767" customFormat="1" x14ac:dyDescent="0.25">
      <c r="C2011" s="942"/>
      <c r="F2011" s="954"/>
      <c r="G2011" s="777"/>
      <c r="H2011" s="538"/>
      <c r="I2011" s="789"/>
      <c r="J2011" s="942"/>
      <c r="M2011" s="954"/>
      <c r="N2011" s="777"/>
      <c r="P2011" s="789"/>
      <c r="Q2011" s="790"/>
      <c r="R2011" s="789"/>
      <c r="S2011" s="791"/>
    </row>
    <row r="2012" spans="3:19" s="767" customFormat="1" x14ac:dyDescent="0.25">
      <c r="C2012" s="3" t="s">
        <v>11532</v>
      </c>
      <c r="F2012" s="954"/>
      <c r="G2012" s="777"/>
      <c r="H2012" s="538"/>
      <c r="I2012" s="789"/>
      <c r="J2012" s="942"/>
      <c r="M2012" s="954"/>
      <c r="N2012" s="777"/>
      <c r="P2012" s="789"/>
      <c r="Q2012" s="790"/>
      <c r="R2012" s="789"/>
      <c r="S2012" s="791"/>
    </row>
    <row r="2013" spans="3:19" s="767" customFormat="1" x14ac:dyDescent="0.25">
      <c r="C2013" s="100" t="s">
        <v>140</v>
      </c>
      <c r="F2013" s="954" t="s">
        <v>3</v>
      </c>
      <c r="G2013" s="153">
        <f>0.008*3.14*2*0.08*1.25</f>
        <v>5.0239999999999998E-3</v>
      </c>
      <c r="H2013" s="538"/>
      <c r="I2013" s="789"/>
      <c r="J2013" s="942"/>
      <c r="M2013" s="954"/>
      <c r="N2013" s="777"/>
      <c r="P2013" s="789"/>
      <c r="Q2013" s="790"/>
      <c r="R2013" s="789"/>
      <c r="S2013" s="791"/>
    </row>
    <row r="2014" spans="3:19" s="767" customFormat="1" ht="17.25" x14ac:dyDescent="0.25">
      <c r="C2014" s="100" t="s">
        <v>23</v>
      </c>
      <c r="F2014" s="74" t="s">
        <v>596</v>
      </c>
      <c r="G2014" s="153">
        <f>G2013*2</f>
        <v>1.0048E-2</v>
      </c>
      <c r="H2014" s="538"/>
      <c r="I2014" s="789"/>
      <c r="J2014" s="942"/>
      <c r="M2014" s="954"/>
      <c r="N2014" s="777"/>
      <c r="P2014" s="789"/>
      <c r="Q2014" s="790"/>
      <c r="R2014" s="789"/>
      <c r="S2014" s="791"/>
    </row>
    <row r="2015" spans="3:19" s="767" customFormat="1" x14ac:dyDescent="0.25">
      <c r="C2015" s="100" t="s">
        <v>142</v>
      </c>
      <c r="F2015" s="74" t="s">
        <v>3</v>
      </c>
      <c r="G2015" s="153">
        <f>G2013/4</f>
        <v>1.256E-3</v>
      </c>
      <c r="H2015" s="538"/>
      <c r="I2015" s="789"/>
      <c r="J2015" s="942"/>
      <c r="M2015" s="954"/>
      <c r="N2015" s="777"/>
      <c r="P2015" s="789"/>
      <c r="Q2015" s="790"/>
      <c r="R2015" s="789"/>
      <c r="S2015" s="791"/>
    </row>
    <row r="2016" spans="3:19" s="767" customFormat="1" x14ac:dyDescent="0.25">
      <c r="C2016" s="186" t="s">
        <v>9037</v>
      </c>
      <c r="D2016" s="186"/>
      <c r="F2016" s="1006" t="s">
        <v>3</v>
      </c>
      <c r="G2016" s="10">
        <f>J2020*0.011*2*1.1</f>
        <v>4.2664599999999997E-2</v>
      </c>
      <c r="H2016" s="538"/>
      <c r="I2016" s="789"/>
      <c r="J2016" s="942"/>
      <c r="M2016" s="954"/>
      <c r="N2016" s="777"/>
      <c r="P2016" s="789"/>
      <c r="Q2016" s="790"/>
      <c r="R2016" s="789"/>
      <c r="S2016" s="791"/>
    </row>
    <row r="2017" spans="3:19" s="767" customFormat="1" x14ac:dyDescent="0.25">
      <c r="C2017" s="186" t="s">
        <v>8</v>
      </c>
      <c r="D2017" s="186"/>
      <c r="F2017" s="1006" t="s">
        <v>3</v>
      </c>
      <c r="G2017" s="10">
        <f>G2016*0.7</f>
        <v>2.9865219999999994E-2</v>
      </c>
      <c r="H2017" s="538"/>
      <c r="I2017" s="789"/>
      <c r="J2017" s="942"/>
      <c r="M2017" s="954"/>
      <c r="N2017" s="777"/>
      <c r="P2017" s="789"/>
      <c r="Q2017" s="790"/>
      <c r="R2017" s="789"/>
      <c r="S2017" s="791"/>
    </row>
    <row r="2018" spans="3:19" s="767" customFormat="1" x14ac:dyDescent="0.25">
      <c r="C2018" s="186" t="s">
        <v>12</v>
      </c>
      <c r="D2018" s="186"/>
      <c r="F2018" s="1006" t="s">
        <v>3</v>
      </c>
      <c r="G2018" s="10">
        <f>0.3*(G2017+G2016)</f>
        <v>2.1758945999999998E-2</v>
      </c>
      <c r="H2018" s="538"/>
      <c r="I2018" s="789"/>
      <c r="J2018" s="942"/>
      <c r="M2018" s="954"/>
      <c r="N2018" s="777"/>
      <c r="P2018" s="789"/>
      <c r="Q2018" s="790"/>
      <c r="R2018" s="789"/>
      <c r="S2018" s="791"/>
    </row>
    <row r="2019" spans="3:19" s="767" customFormat="1" x14ac:dyDescent="0.25">
      <c r="C2019" s="186"/>
      <c r="D2019" s="3" t="s">
        <v>12404</v>
      </c>
      <c r="F2019" s="1006"/>
      <c r="G2019" s="10"/>
      <c r="H2019" s="538"/>
      <c r="I2019" s="789"/>
      <c r="J2019" s="942"/>
      <c r="M2019" s="954"/>
      <c r="N2019" s="777"/>
      <c r="P2019" s="789"/>
      <c r="Q2019" s="790"/>
      <c r="R2019" s="789"/>
      <c r="S2019" s="791"/>
    </row>
    <row r="2020" spans="3:19" s="767" customFormat="1" x14ac:dyDescent="0.25">
      <c r="D2020" s="767" t="s">
        <v>12403</v>
      </c>
      <c r="F2020" s="1006" t="s">
        <v>3</v>
      </c>
      <c r="G2020" s="10">
        <f>0.196*L2020+0.002</f>
        <v>0.36460000000000004</v>
      </c>
      <c r="H2020" s="538"/>
      <c r="I2020" s="789" t="s">
        <v>10149</v>
      </c>
      <c r="J2020" s="790">
        <v>1.7629999999999999</v>
      </c>
      <c r="K2020" s="789" t="s">
        <v>10150</v>
      </c>
      <c r="L2020" s="791">
        <v>1.85</v>
      </c>
      <c r="M2020" s="954"/>
      <c r="N2020" s="777"/>
      <c r="P2020" s="789"/>
      <c r="Q2020" s="790"/>
      <c r="R2020" s="789"/>
      <c r="S2020" s="791"/>
    </row>
    <row r="2021" spans="3:19" s="767" customFormat="1" x14ac:dyDescent="0.25">
      <c r="C2021" s="942"/>
      <c r="F2021" s="954"/>
      <c r="G2021" s="777"/>
      <c r="H2021" s="538"/>
      <c r="I2021" s="789"/>
      <c r="J2021" s="942"/>
      <c r="M2021" s="954"/>
      <c r="N2021" s="777"/>
      <c r="P2021" s="789"/>
      <c r="Q2021" s="790"/>
      <c r="R2021" s="789"/>
      <c r="S2021" s="791"/>
    </row>
    <row r="2022" spans="3:19" s="767" customFormat="1" x14ac:dyDescent="0.25">
      <c r="C2022" s="3" t="s">
        <v>11536</v>
      </c>
      <c r="F2022" s="954"/>
      <c r="G2022" s="777"/>
      <c r="H2022" s="538"/>
      <c r="I2022" s="789"/>
      <c r="J2022" s="942"/>
      <c r="M2022" s="954"/>
      <c r="N2022" s="777"/>
      <c r="P2022" s="789"/>
      <c r="Q2022" s="790"/>
      <c r="R2022" s="789"/>
      <c r="S2022" s="791"/>
    </row>
    <row r="2023" spans="3:19" s="767" customFormat="1" x14ac:dyDescent="0.25">
      <c r="C2023" s="100" t="s">
        <v>140</v>
      </c>
      <c r="F2023" s="954" t="s">
        <v>3</v>
      </c>
      <c r="G2023" s="153">
        <f>0.008*3.14*0.08*1.25</f>
        <v>2.5119999999999999E-3</v>
      </c>
      <c r="H2023" s="538"/>
      <c r="I2023" s="789"/>
      <c r="J2023" s="942"/>
      <c r="M2023" s="954"/>
      <c r="N2023" s="777"/>
      <c r="P2023" s="789"/>
      <c r="Q2023" s="790"/>
      <c r="R2023" s="789"/>
      <c r="S2023" s="791"/>
    </row>
    <row r="2024" spans="3:19" s="767" customFormat="1" ht="17.25" x14ac:dyDescent="0.25">
      <c r="C2024" s="100" t="s">
        <v>23</v>
      </c>
      <c r="F2024" s="74" t="s">
        <v>596</v>
      </c>
      <c r="G2024" s="153">
        <f>G2023*2</f>
        <v>5.0239999999999998E-3</v>
      </c>
      <c r="H2024" s="538"/>
      <c r="I2024" s="789"/>
      <c r="J2024" s="942"/>
      <c r="M2024" s="954"/>
      <c r="N2024" s="777"/>
      <c r="P2024" s="789"/>
      <c r="Q2024" s="790"/>
      <c r="R2024" s="789"/>
      <c r="S2024" s="791"/>
    </row>
    <row r="2025" spans="3:19" s="767" customFormat="1" x14ac:dyDescent="0.25">
      <c r="C2025" s="100" t="s">
        <v>142</v>
      </c>
      <c r="F2025" s="74" t="s">
        <v>3</v>
      </c>
      <c r="G2025" s="153">
        <f>G2023/4</f>
        <v>6.2799999999999998E-4</v>
      </c>
      <c r="H2025" s="538"/>
      <c r="I2025" s="789"/>
      <c r="J2025" s="942"/>
      <c r="M2025" s="954"/>
      <c r="N2025" s="777"/>
      <c r="P2025" s="789"/>
      <c r="Q2025" s="790"/>
      <c r="R2025" s="789"/>
      <c r="S2025" s="791"/>
    </row>
    <row r="2026" spans="3:19" s="767" customFormat="1" x14ac:dyDescent="0.25">
      <c r="C2026" s="186" t="s">
        <v>1783</v>
      </c>
      <c r="D2026" s="186"/>
      <c r="F2026" s="1006" t="s">
        <v>3</v>
      </c>
      <c r="G2026" s="10">
        <f>J2030*0.011*2*1.1</f>
        <v>1.089E-2</v>
      </c>
      <c r="H2026" s="538"/>
      <c r="I2026" s="789"/>
      <c r="J2026" s="942"/>
      <c r="M2026" s="954"/>
      <c r="N2026" s="777"/>
      <c r="P2026" s="789"/>
      <c r="Q2026" s="790"/>
      <c r="R2026" s="789"/>
      <c r="S2026" s="791"/>
    </row>
    <row r="2027" spans="3:19" s="767" customFormat="1" x14ac:dyDescent="0.25">
      <c r="C2027" s="186" t="s">
        <v>8</v>
      </c>
      <c r="D2027" s="186"/>
      <c r="F2027" s="1006" t="s">
        <v>3</v>
      </c>
      <c r="G2027" s="10">
        <f>G2026*0.7</f>
        <v>7.6229999999999996E-3</v>
      </c>
      <c r="H2027" s="538"/>
      <c r="I2027" s="789"/>
      <c r="J2027" s="942"/>
      <c r="M2027" s="954"/>
      <c r="N2027" s="777"/>
      <c r="P2027" s="789"/>
      <c r="Q2027" s="790"/>
      <c r="R2027" s="789"/>
      <c r="S2027" s="791"/>
    </row>
    <row r="2028" spans="3:19" s="767" customFormat="1" x14ac:dyDescent="0.25">
      <c r="C2028" s="186" t="s">
        <v>12</v>
      </c>
      <c r="D2028" s="186"/>
      <c r="F2028" s="1006" t="s">
        <v>3</v>
      </c>
      <c r="G2028" s="10">
        <f>0.3*(G2027+G2026)</f>
        <v>5.5539000000000005E-3</v>
      </c>
      <c r="H2028" s="538"/>
      <c r="I2028" s="789"/>
      <c r="J2028" s="942"/>
      <c r="M2028" s="954"/>
      <c r="N2028" s="777"/>
      <c r="P2028" s="789"/>
      <c r="Q2028" s="790"/>
      <c r="R2028" s="789"/>
      <c r="S2028" s="791"/>
    </row>
    <row r="2029" spans="3:19" s="767" customFormat="1" x14ac:dyDescent="0.25">
      <c r="C2029" s="186"/>
      <c r="D2029" s="3" t="s">
        <v>12405</v>
      </c>
      <c r="F2029" s="1006"/>
      <c r="G2029" s="10"/>
      <c r="H2029" s="538"/>
      <c r="I2029" s="789"/>
      <c r="J2029" s="942"/>
      <c r="M2029" s="954"/>
      <c r="N2029" s="777"/>
      <c r="P2029" s="789"/>
      <c r="Q2029" s="790"/>
      <c r="R2029" s="789"/>
      <c r="S2029" s="791"/>
    </row>
    <row r="2030" spans="3:19" s="767" customFormat="1" x14ac:dyDescent="0.25">
      <c r="D2030" s="767" t="s">
        <v>12403</v>
      </c>
      <c r="F2030" s="1006" t="s">
        <v>3</v>
      </c>
      <c r="G2030" s="10">
        <f>0.196*L2030+0.002</f>
        <v>0.1</v>
      </c>
      <c r="H2030" s="538"/>
      <c r="I2030" s="789" t="s">
        <v>10149</v>
      </c>
      <c r="J2030" s="790">
        <v>0.45</v>
      </c>
      <c r="K2030" s="789" t="s">
        <v>10150</v>
      </c>
      <c r="L2030" s="791">
        <v>0.5</v>
      </c>
      <c r="M2030" s="954"/>
      <c r="N2030" s="777"/>
      <c r="P2030" s="789"/>
      <c r="Q2030" s="790"/>
      <c r="R2030" s="789"/>
      <c r="S2030" s="791"/>
    </row>
    <row r="2031" spans="3:19" s="767" customFormat="1" x14ac:dyDescent="0.25">
      <c r="C2031" s="942"/>
      <c r="F2031" s="954"/>
      <c r="G2031" s="777"/>
      <c r="H2031" s="538"/>
      <c r="I2031" s="789"/>
      <c r="J2031" s="942"/>
      <c r="M2031" s="954"/>
      <c r="N2031" s="777"/>
      <c r="P2031" s="789"/>
      <c r="Q2031" s="790"/>
      <c r="R2031" s="789"/>
      <c r="S2031" s="791"/>
    </row>
    <row r="2032" spans="3:19" s="767" customFormat="1" x14ac:dyDescent="0.25">
      <c r="C2032" s="3" t="s">
        <v>11535</v>
      </c>
      <c r="F2032" s="954"/>
      <c r="G2032" s="777"/>
      <c r="H2032" s="538"/>
      <c r="I2032" s="789"/>
      <c r="J2032" s="942"/>
      <c r="M2032" s="954"/>
      <c r="N2032" s="777"/>
      <c r="P2032" s="789"/>
      <c r="Q2032" s="790"/>
      <c r="R2032" s="789"/>
      <c r="S2032" s="791"/>
    </row>
    <row r="2033" spans="3:19" s="767" customFormat="1" x14ac:dyDescent="0.25">
      <c r="C2033" s="100" t="s">
        <v>140</v>
      </c>
      <c r="F2033" s="954" t="s">
        <v>3</v>
      </c>
      <c r="G2033" s="153">
        <f>0.008*3.14*2*0.08*1.25</f>
        <v>5.0239999999999998E-3</v>
      </c>
      <c r="H2033" s="538"/>
      <c r="I2033" s="789"/>
      <c r="J2033" s="942"/>
      <c r="M2033" s="954"/>
      <c r="N2033" s="777"/>
      <c r="P2033" s="789"/>
      <c r="Q2033" s="790"/>
      <c r="R2033" s="789"/>
      <c r="S2033" s="791"/>
    </row>
    <row r="2034" spans="3:19" s="767" customFormat="1" ht="17.25" x14ac:dyDescent="0.25">
      <c r="C2034" s="100" t="s">
        <v>23</v>
      </c>
      <c r="F2034" s="74" t="s">
        <v>596</v>
      </c>
      <c r="G2034" s="153">
        <f>G2033*2</f>
        <v>1.0048E-2</v>
      </c>
      <c r="H2034" s="538"/>
      <c r="I2034" s="789"/>
      <c r="J2034" s="942"/>
      <c r="M2034" s="954"/>
      <c r="N2034" s="777"/>
      <c r="P2034" s="789"/>
      <c r="Q2034" s="790"/>
      <c r="R2034" s="789"/>
      <c r="S2034" s="791"/>
    </row>
    <row r="2035" spans="3:19" s="767" customFormat="1" x14ac:dyDescent="0.25">
      <c r="C2035" s="100" t="s">
        <v>142</v>
      </c>
      <c r="F2035" s="74" t="s">
        <v>3</v>
      </c>
      <c r="G2035" s="153">
        <f>G2033/4</f>
        <v>1.256E-3</v>
      </c>
      <c r="H2035" s="538"/>
      <c r="I2035" s="789"/>
      <c r="J2035" s="942"/>
      <c r="M2035" s="954"/>
      <c r="N2035" s="777"/>
      <c r="P2035" s="789"/>
      <c r="Q2035" s="790"/>
      <c r="R2035" s="789"/>
      <c r="S2035" s="791"/>
    </row>
    <row r="2036" spans="3:19" s="767" customFormat="1" x14ac:dyDescent="0.25">
      <c r="C2036" s="186"/>
      <c r="D2036" s="3" t="s">
        <v>12405</v>
      </c>
      <c r="F2036" s="1006"/>
      <c r="G2036" s="10"/>
      <c r="H2036" s="538"/>
      <c r="I2036" s="789"/>
      <c r="J2036" s="942"/>
      <c r="M2036" s="954"/>
      <c r="N2036" s="777"/>
      <c r="P2036" s="789"/>
      <c r="Q2036" s="790"/>
      <c r="R2036" s="789"/>
      <c r="S2036" s="791"/>
    </row>
    <row r="2037" spans="3:19" s="767" customFormat="1" x14ac:dyDescent="0.25">
      <c r="D2037" s="767" t="s">
        <v>12403</v>
      </c>
      <c r="F2037" s="1006" t="s">
        <v>3</v>
      </c>
      <c r="G2037" s="10">
        <f>0.196*L2037+0.002</f>
        <v>6.08E-2</v>
      </c>
      <c r="H2037" s="538"/>
      <c r="I2037" s="789" t="s">
        <v>10149</v>
      </c>
      <c r="J2037" s="790">
        <v>0.27600000000000002</v>
      </c>
      <c r="K2037" s="789" t="s">
        <v>10150</v>
      </c>
      <c r="L2037" s="791">
        <v>0.3</v>
      </c>
      <c r="M2037" s="954"/>
      <c r="N2037" s="777"/>
      <c r="P2037" s="789"/>
      <c r="Q2037" s="790"/>
      <c r="R2037" s="789"/>
      <c r="S2037" s="791"/>
    </row>
    <row r="2038" spans="3:19" s="767" customFormat="1" x14ac:dyDescent="0.25">
      <c r="C2038" s="942"/>
      <c r="F2038" s="954"/>
      <c r="G2038" s="777"/>
      <c r="H2038" s="538"/>
      <c r="I2038" s="789"/>
      <c r="J2038" s="942"/>
      <c r="M2038" s="954"/>
      <c r="N2038" s="777"/>
      <c r="P2038" s="789"/>
      <c r="Q2038" s="790"/>
      <c r="R2038" s="789"/>
      <c r="S2038" s="791"/>
    </row>
    <row r="2039" spans="3:19" s="767" customFormat="1" x14ac:dyDescent="0.25">
      <c r="C2039" s="3" t="s">
        <v>11537</v>
      </c>
      <c r="F2039" s="954"/>
      <c r="G2039" s="777"/>
      <c r="H2039" s="538"/>
      <c r="I2039" s="789"/>
      <c r="J2039" s="942"/>
      <c r="M2039" s="954"/>
      <c r="N2039" s="777"/>
      <c r="P2039" s="789"/>
      <c r="Q2039" s="790"/>
      <c r="R2039" s="789"/>
      <c r="S2039" s="791"/>
    </row>
    <row r="2040" spans="3:19" s="767" customFormat="1" x14ac:dyDescent="0.25">
      <c r="C2040" s="263" t="s">
        <v>3394</v>
      </c>
      <c r="D2040" s="263"/>
      <c r="E2040" s="813"/>
      <c r="F2040" s="875" t="s">
        <v>3</v>
      </c>
      <c r="G2040" s="876">
        <f>(0.008*3.14*5)*0.08*1.3</f>
        <v>1.30624E-2</v>
      </c>
      <c r="H2040" s="538"/>
      <c r="I2040" s="789"/>
      <c r="J2040" s="942"/>
      <c r="M2040" s="954"/>
      <c r="N2040" s="777"/>
      <c r="P2040" s="789"/>
      <c r="Q2040" s="790"/>
      <c r="R2040" s="789"/>
      <c r="S2040" s="791"/>
    </row>
    <row r="2041" spans="3:19" s="767" customFormat="1" ht="17.25" x14ac:dyDescent="0.25">
      <c r="C2041" s="263" t="s">
        <v>121</v>
      </c>
      <c r="D2041" s="263"/>
      <c r="E2041" s="813"/>
      <c r="F2041" s="875" t="s">
        <v>10568</v>
      </c>
      <c r="G2041" s="876">
        <f>G2040*1.1</f>
        <v>1.4368640000000002E-2</v>
      </c>
      <c r="H2041" s="538"/>
      <c r="I2041" s="789"/>
      <c r="J2041" s="942"/>
      <c r="M2041" s="954"/>
      <c r="N2041" s="777"/>
      <c r="P2041" s="789"/>
      <c r="Q2041" s="790"/>
      <c r="R2041" s="789"/>
      <c r="S2041" s="791"/>
    </row>
    <row r="2042" spans="3:19" s="767" customFormat="1" x14ac:dyDescent="0.25">
      <c r="C2042" s="186" t="s">
        <v>12406</v>
      </c>
      <c r="D2042" s="186"/>
      <c r="F2042" s="1006" t="s">
        <v>3</v>
      </c>
      <c r="G2042" s="10">
        <f>(J2046+J2048+J2050)*0.011*2*1.1</f>
        <v>2.15138E-2</v>
      </c>
      <c r="H2042" s="538"/>
      <c r="I2042" s="789"/>
      <c r="J2042" s="942"/>
      <c r="M2042" s="954"/>
      <c r="N2042" s="777"/>
      <c r="P2042" s="789"/>
      <c r="Q2042" s="790"/>
      <c r="R2042" s="789"/>
      <c r="S2042" s="791"/>
    </row>
    <row r="2043" spans="3:19" s="767" customFormat="1" x14ac:dyDescent="0.25">
      <c r="C2043" s="186" t="s">
        <v>8</v>
      </c>
      <c r="D2043" s="186"/>
      <c r="F2043" s="1006" t="s">
        <v>3</v>
      </c>
      <c r="G2043" s="10">
        <f>G2042*0.7</f>
        <v>1.5059659999999999E-2</v>
      </c>
      <c r="H2043" s="538"/>
      <c r="I2043" s="789"/>
      <c r="J2043" s="942"/>
      <c r="M2043" s="954"/>
      <c r="N2043" s="777"/>
      <c r="P2043" s="789"/>
      <c r="Q2043" s="790"/>
      <c r="R2043" s="789"/>
      <c r="S2043" s="791"/>
    </row>
    <row r="2044" spans="3:19" s="767" customFormat="1" x14ac:dyDescent="0.25">
      <c r="C2044" s="186" t="s">
        <v>12</v>
      </c>
      <c r="D2044" s="186"/>
      <c r="F2044" s="1006" t="s">
        <v>3</v>
      </c>
      <c r="G2044" s="10">
        <f>0.3*(G2043+G2042)</f>
        <v>1.0972038E-2</v>
      </c>
      <c r="H2044" s="538"/>
      <c r="I2044" s="789"/>
      <c r="J2044" s="942"/>
      <c r="M2044" s="954"/>
      <c r="N2044" s="777"/>
      <c r="P2044" s="789"/>
      <c r="Q2044" s="790"/>
      <c r="R2044" s="789"/>
      <c r="S2044" s="791"/>
    </row>
    <row r="2045" spans="3:19" s="767" customFormat="1" x14ac:dyDescent="0.25">
      <c r="C2045" s="942"/>
      <c r="D2045" s="3" t="s">
        <v>12428</v>
      </c>
      <c r="F2045" s="954"/>
      <c r="G2045" s="777"/>
      <c r="H2045" s="538"/>
      <c r="I2045" s="789"/>
      <c r="J2045" s="942"/>
      <c r="M2045" s="954"/>
      <c r="N2045" s="777"/>
      <c r="P2045" s="789"/>
      <c r="Q2045" s="790"/>
      <c r="R2045" s="789"/>
      <c r="S2045" s="791"/>
    </row>
    <row r="2046" spans="3:19" s="767" customFormat="1" x14ac:dyDescent="0.25">
      <c r="C2046" s="942"/>
      <c r="D2046" s="767" t="s">
        <v>12359</v>
      </c>
      <c r="F2046" s="954" t="s">
        <v>3</v>
      </c>
      <c r="G2046" s="777">
        <f>0.173*L2046</f>
        <v>3.4599999999999999E-2</v>
      </c>
      <c r="H2046" s="538"/>
      <c r="I2046" s="789" t="s">
        <v>10149</v>
      </c>
      <c r="J2046" s="790">
        <v>0.157</v>
      </c>
      <c r="K2046" s="789" t="s">
        <v>10150</v>
      </c>
      <c r="L2046" s="791">
        <v>0.2</v>
      </c>
      <c r="M2046" s="954"/>
      <c r="N2046" s="777"/>
      <c r="P2046" s="789"/>
      <c r="Q2046" s="790"/>
      <c r="R2046" s="789"/>
      <c r="S2046" s="791"/>
    </row>
    <row r="2047" spans="3:19" s="767" customFormat="1" x14ac:dyDescent="0.25">
      <c r="C2047" s="942"/>
      <c r="D2047" s="3" t="s">
        <v>12429</v>
      </c>
      <c r="F2047" s="954"/>
      <c r="G2047" s="777"/>
      <c r="H2047" s="538"/>
      <c r="I2047" s="789"/>
      <c r="J2047" s="942"/>
      <c r="M2047" s="954"/>
      <c r="N2047" s="777"/>
      <c r="P2047" s="789"/>
      <c r="Q2047" s="790"/>
      <c r="R2047" s="789"/>
      <c r="S2047" s="791"/>
    </row>
    <row r="2048" spans="3:19" s="767" customFormat="1" x14ac:dyDescent="0.25">
      <c r="C2048" s="942"/>
      <c r="D2048" s="767" t="s">
        <v>12359</v>
      </c>
      <c r="F2048" s="954" t="s">
        <v>3</v>
      </c>
      <c r="G2048" s="777">
        <f>0.173*L2048</f>
        <v>0.12109999999999999</v>
      </c>
      <c r="H2048" s="538"/>
      <c r="I2048" s="789" t="s">
        <v>10149</v>
      </c>
      <c r="J2048" s="790">
        <v>0.65200000000000002</v>
      </c>
      <c r="K2048" s="789" t="s">
        <v>10150</v>
      </c>
      <c r="L2048" s="791">
        <v>0.7</v>
      </c>
      <c r="M2048" s="954"/>
      <c r="N2048" s="777"/>
      <c r="P2048" s="789"/>
      <c r="Q2048" s="790"/>
      <c r="R2048" s="789"/>
      <c r="S2048" s="791"/>
    </row>
    <row r="2049" spans="3:19" s="767" customFormat="1" x14ac:dyDescent="0.25">
      <c r="C2049" s="942"/>
      <c r="D2049" s="3" t="s">
        <v>12430</v>
      </c>
      <c r="F2049" s="954"/>
      <c r="G2049" s="777"/>
      <c r="H2049" s="538"/>
      <c r="I2049" s="789"/>
      <c r="J2049" s="942"/>
      <c r="L2049" s="791"/>
      <c r="M2049" s="954"/>
      <c r="N2049" s="777"/>
      <c r="P2049" s="789"/>
      <c r="Q2049" s="790"/>
      <c r="R2049" s="789"/>
      <c r="S2049" s="791"/>
    </row>
    <row r="2050" spans="3:19" s="767" customFormat="1" x14ac:dyDescent="0.25">
      <c r="C2050" s="942"/>
      <c r="D2050" s="767" t="s">
        <v>12359</v>
      </c>
      <c r="F2050" s="954" t="s">
        <v>3</v>
      </c>
      <c r="G2050" s="777">
        <f>0.173*L2050</f>
        <v>1.7299999999999999E-2</v>
      </c>
      <c r="H2050" s="538"/>
      <c r="I2050" s="789" t="s">
        <v>10149</v>
      </c>
      <c r="J2050" s="790">
        <v>0.08</v>
      </c>
      <c r="K2050" s="789" t="s">
        <v>10150</v>
      </c>
      <c r="L2050" s="791">
        <v>0.1</v>
      </c>
      <c r="M2050" s="954"/>
      <c r="N2050" s="777"/>
      <c r="P2050" s="789"/>
      <c r="Q2050" s="790"/>
      <c r="R2050" s="789"/>
      <c r="S2050" s="791"/>
    </row>
    <row r="2051" spans="3:19" s="767" customFormat="1" x14ac:dyDescent="0.25">
      <c r="C2051" s="942"/>
      <c r="F2051" s="954"/>
      <c r="G2051" s="777"/>
      <c r="H2051" s="538"/>
      <c r="I2051" s="789"/>
      <c r="J2051" s="942"/>
      <c r="L2051" s="791"/>
      <c r="M2051" s="954"/>
      <c r="N2051" s="777"/>
      <c r="P2051" s="789"/>
      <c r="Q2051" s="790"/>
      <c r="R2051" s="789"/>
      <c r="S2051" s="791"/>
    </row>
    <row r="2052" spans="3:19" s="767" customFormat="1" x14ac:dyDescent="0.25">
      <c r="C2052" s="3" t="s">
        <v>11538</v>
      </c>
      <c r="F2052" s="954"/>
      <c r="G2052" s="777"/>
      <c r="H2052" s="538"/>
      <c r="I2052" s="789"/>
      <c r="J2052" s="942"/>
      <c r="L2052" s="791"/>
      <c r="M2052" s="954"/>
      <c r="N2052" s="777"/>
      <c r="P2052" s="789"/>
      <c r="Q2052" s="790"/>
      <c r="R2052" s="789"/>
      <c r="S2052" s="791"/>
    </row>
    <row r="2053" spans="3:19" s="767" customFormat="1" x14ac:dyDescent="0.25">
      <c r="C2053" s="100" t="s">
        <v>140</v>
      </c>
      <c r="F2053" s="954" t="s">
        <v>3</v>
      </c>
      <c r="G2053" s="153">
        <f>0.008*3.14*2*0.08*1.25</f>
        <v>5.0239999999999998E-3</v>
      </c>
      <c r="H2053" s="538"/>
      <c r="I2053" s="789"/>
      <c r="J2053" s="942"/>
      <c r="M2053" s="954"/>
      <c r="N2053" s="777"/>
      <c r="P2053" s="789"/>
      <c r="Q2053" s="790"/>
      <c r="R2053" s="789"/>
      <c r="S2053" s="791"/>
    </row>
    <row r="2054" spans="3:19" s="767" customFormat="1" ht="17.25" x14ac:dyDescent="0.25">
      <c r="C2054" s="100" t="s">
        <v>23</v>
      </c>
      <c r="F2054" s="74" t="s">
        <v>596</v>
      </c>
      <c r="G2054" s="153">
        <f>G2053*2</f>
        <v>1.0048E-2</v>
      </c>
      <c r="H2054" s="538"/>
      <c r="I2054" s="789"/>
      <c r="J2054" s="942"/>
      <c r="M2054" s="954"/>
      <c r="N2054" s="777"/>
      <c r="P2054" s="789"/>
      <c r="Q2054" s="790"/>
      <c r="R2054" s="789"/>
      <c r="S2054" s="791"/>
    </row>
    <row r="2055" spans="3:19" s="767" customFormat="1" x14ac:dyDescent="0.25">
      <c r="C2055" s="100" t="s">
        <v>142</v>
      </c>
      <c r="F2055" s="74" t="s">
        <v>3</v>
      </c>
      <c r="G2055" s="153">
        <f>G2053/4</f>
        <v>1.256E-3</v>
      </c>
      <c r="H2055" s="538"/>
      <c r="I2055" s="789"/>
      <c r="J2055" s="942"/>
      <c r="M2055" s="954"/>
      <c r="N2055" s="777"/>
      <c r="P2055" s="789"/>
      <c r="Q2055" s="790"/>
      <c r="R2055" s="789"/>
      <c r="S2055" s="791"/>
    </row>
    <row r="2056" spans="3:19" s="767" customFormat="1" x14ac:dyDescent="0.25">
      <c r="C2056" s="186" t="s">
        <v>12334</v>
      </c>
      <c r="D2056" s="186"/>
      <c r="F2056" s="1009" t="s">
        <v>3</v>
      </c>
      <c r="G2056" s="10">
        <f>J2061*0.011*2*1.15</f>
        <v>1.7709999999999997E-2</v>
      </c>
      <c r="H2056" s="538"/>
      <c r="I2056" s="789"/>
      <c r="J2056" s="942"/>
      <c r="M2056" s="954"/>
      <c r="N2056" s="777"/>
      <c r="P2056" s="789"/>
      <c r="Q2056" s="790"/>
      <c r="R2056" s="789"/>
      <c r="S2056" s="791"/>
    </row>
    <row r="2057" spans="3:19" s="767" customFormat="1" x14ac:dyDescent="0.25">
      <c r="C2057" s="186" t="s">
        <v>8</v>
      </c>
      <c r="D2057" s="186"/>
      <c r="F2057" s="1009" t="s">
        <v>3</v>
      </c>
      <c r="G2057" s="10">
        <f>G2056*0.7</f>
        <v>1.2396999999999997E-2</v>
      </c>
      <c r="H2057" s="538"/>
      <c r="I2057" s="789"/>
      <c r="J2057" s="942"/>
      <c r="M2057" s="954"/>
      <c r="N2057" s="777"/>
      <c r="P2057" s="789"/>
      <c r="Q2057" s="790"/>
      <c r="R2057" s="789"/>
      <c r="S2057" s="791"/>
    </row>
    <row r="2058" spans="3:19" s="767" customFormat="1" x14ac:dyDescent="0.25">
      <c r="C2058" s="186" t="s">
        <v>143</v>
      </c>
      <c r="D2058" s="186"/>
      <c r="F2058" s="1009" t="s">
        <v>3</v>
      </c>
      <c r="G2058" s="10">
        <f>G2057</f>
        <v>1.2396999999999997E-2</v>
      </c>
      <c r="H2058" s="538"/>
      <c r="I2058" s="789"/>
      <c r="J2058" s="942"/>
      <c r="M2058" s="954"/>
      <c r="N2058" s="777"/>
      <c r="P2058" s="789"/>
      <c r="Q2058" s="790"/>
      <c r="R2058" s="789"/>
      <c r="S2058" s="791"/>
    </row>
    <row r="2059" spans="3:19" s="767" customFormat="1" x14ac:dyDescent="0.25">
      <c r="C2059" s="186" t="s">
        <v>12</v>
      </c>
      <c r="D2059" s="186"/>
      <c r="F2059" s="1009" t="s">
        <v>3</v>
      </c>
      <c r="G2059" s="10">
        <f>0.3*(G2057+G2056+G2058)</f>
        <v>1.2751199999999997E-2</v>
      </c>
      <c r="H2059" s="538"/>
      <c r="I2059" s="789"/>
      <c r="J2059" s="942"/>
      <c r="M2059" s="954"/>
      <c r="N2059" s="777"/>
      <c r="P2059" s="789"/>
      <c r="Q2059" s="790"/>
      <c r="R2059" s="789"/>
      <c r="S2059" s="791"/>
    </row>
    <row r="2060" spans="3:19" s="767" customFormat="1" x14ac:dyDescent="0.25">
      <c r="C2060" s="186"/>
      <c r="D2060" s="3" t="s">
        <v>12433</v>
      </c>
      <c r="F2060" s="1009"/>
      <c r="G2060" s="10"/>
      <c r="H2060" s="538"/>
      <c r="I2060" s="789"/>
      <c r="J2060" s="942"/>
      <c r="M2060" s="954"/>
      <c r="N2060" s="777"/>
      <c r="P2060" s="789"/>
      <c r="Q2060" s="790"/>
      <c r="R2060" s="789"/>
      <c r="S2060" s="791"/>
    </row>
    <row r="2061" spans="3:19" s="767" customFormat="1" x14ac:dyDescent="0.25">
      <c r="D2061" s="767" t="s">
        <v>11317</v>
      </c>
      <c r="F2061" s="1009" t="s">
        <v>3</v>
      </c>
      <c r="G2061" s="10">
        <f>0.173*L2061+0.002</f>
        <v>0.1404</v>
      </c>
      <c r="H2061" s="538"/>
      <c r="I2061" s="789" t="s">
        <v>10149</v>
      </c>
      <c r="J2061" s="790">
        <v>0.7</v>
      </c>
      <c r="K2061" s="789" t="s">
        <v>10150</v>
      </c>
      <c r="L2061" s="791">
        <v>0.8</v>
      </c>
      <c r="M2061" s="954"/>
      <c r="N2061" s="777"/>
      <c r="P2061" s="789"/>
      <c r="Q2061" s="790"/>
      <c r="R2061" s="789"/>
      <c r="S2061" s="791"/>
    </row>
    <row r="2062" spans="3:19" s="767" customFormat="1" x14ac:dyDescent="0.25">
      <c r="C2062" s="942"/>
      <c r="F2062" s="954"/>
      <c r="G2062" s="777"/>
      <c r="H2062" s="538"/>
      <c r="I2062" s="789"/>
      <c r="J2062" s="942"/>
      <c r="L2062" s="791"/>
      <c r="M2062" s="954"/>
      <c r="N2062" s="777"/>
      <c r="P2062" s="789"/>
      <c r="Q2062" s="790"/>
      <c r="R2062" s="789"/>
      <c r="S2062" s="791"/>
    </row>
    <row r="2063" spans="3:19" s="767" customFormat="1" x14ac:dyDescent="0.25">
      <c r="C2063" s="3" t="s">
        <v>11546</v>
      </c>
      <c r="F2063" s="954"/>
      <c r="G2063" s="777"/>
      <c r="H2063" s="538"/>
      <c r="I2063" s="789"/>
      <c r="J2063" s="942"/>
      <c r="L2063" s="791"/>
      <c r="M2063" s="954"/>
      <c r="N2063" s="777"/>
      <c r="P2063" s="789"/>
      <c r="Q2063" s="790"/>
      <c r="R2063" s="789"/>
      <c r="S2063" s="791"/>
    </row>
    <row r="2064" spans="3:19" s="767" customFormat="1" x14ac:dyDescent="0.25">
      <c r="C2064" s="100" t="s">
        <v>140</v>
      </c>
      <c r="F2064" s="954" t="s">
        <v>3</v>
      </c>
      <c r="G2064" s="153">
        <f>0.008*3.14*2*0.08*1.25</f>
        <v>5.0239999999999998E-3</v>
      </c>
      <c r="H2064" s="538"/>
      <c r="I2064" s="789"/>
      <c r="J2064" s="942"/>
      <c r="M2064" s="954"/>
      <c r="N2064" s="777"/>
      <c r="P2064" s="789"/>
      <c r="Q2064" s="790"/>
      <c r="R2064" s="789"/>
      <c r="S2064" s="791"/>
    </row>
    <row r="2065" spans="1:19" s="767" customFormat="1" ht="17.25" x14ac:dyDescent="0.25">
      <c r="C2065" s="100" t="s">
        <v>23</v>
      </c>
      <c r="F2065" s="74" t="s">
        <v>596</v>
      </c>
      <c r="G2065" s="153">
        <f>G2064*2</f>
        <v>1.0048E-2</v>
      </c>
      <c r="H2065" s="538"/>
      <c r="I2065" s="789"/>
      <c r="J2065" s="942"/>
      <c r="M2065" s="954"/>
      <c r="N2065" s="777"/>
      <c r="P2065" s="789"/>
      <c r="Q2065" s="790"/>
      <c r="R2065" s="789"/>
      <c r="S2065" s="791"/>
    </row>
    <row r="2066" spans="1:19" s="767" customFormat="1" x14ac:dyDescent="0.25">
      <c r="C2066" s="100" t="s">
        <v>142</v>
      </c>
      <c r="F2066" s="74" t="s">
        <v>3</v>
      </c>
      <c r="G2066" s="153">
        <f>G2064/4</f>
        <v>1.256E-3</v>
      </c>
      <c r="H2066" s="538"/>
      <c r="I2066" s="789"/>
      <c r="J2066" s="942"/>
      <c r="M2066" s="954"/>
      <c r="N2066" s="777"/>
      <c r="P2066" s="789"/>
      <c r="Q2066" s="790"/>
      <c r="R2066" s="789"/>
      <c r="S2066" s="791"/>
    </row>
    <row r="2067" spans="1:19" s="767" customFormat="1" x14ac:dyDescent="0.25">
      <c r="C2067" s="186" t="s">
        <v>12334</v>
      </c>
      <c r="D2067" s="186"/>
      <c r="F2067" s="1009" t="s">
        <v>3</v>
      </c>
      <c r="G2067" s="10">
        <f>J2073*0.011*2*1.15</f>
        <v>2.9853999999999995E-2</v>
      </c>
      <c r="H2067" s="538"/>
      <c r="I2067" s="789"/>
      <c r="J2067" s="942"/>
      <c r="M2067" s="954"/>
      <c r="N2067" s="777"/>
      <c r="P2067" s="789"/>
      <c r="Q2067" s="790"/>
      <c r="R2067" s="789"/>
      <c r="S2067" s="791"/>
    </row>
    <row r="2068" spans="1:19" s="767" customFormat="1" x14ac:dyDescent="0.25">
      <c r="C2068" s="186" t="s">
        <v>12406</v>
      </c>
      <c r="D2068" s="186"/>
      <c r="F2068" s="1009" t="s">
        <v>3</v>
      </c>
      <c r="G2068" s="10">
        <f>J2075*0.011*2*1.15</f>
        <v>3.8961999999999998E-3</v>
      </c>
      <c r="H2068" s="538"/>
      <c r="I2068" s="789"/>
      <c r="J2068" s="942"/>
      <c r="M2068" s="954"/>
      <c r="N2068" s="777"/>
      <c r="P2068" s="789"/>
      <c r="Q2068" s="790"/>
      <c r="R2068" s="789"/>
      <c r="S2068" s="791"/>
    </row>
    <row r="2069" spans="1:19" s="767" customFormat="1" x14ac:dyDescent="0.25">
      <c r="C2069" s="186" t="s">
        <v>8</v>
      </c>
      <c r="D2069" s="186"/>
      <c r="F2069" s="1009" t="s">
        <v>3</v>
      </c>
      <c r="G2069" s="10">
        <f>G2067*0.7</f>
        <v>2.0897799999999994E-2</v>
      </c>
      <c r="H2069" s="538"/>
      <c r="I2069" s="789"/>
      <c r="J2069" s="942"/>
      <c r="M2069" s="954"/>
      <c r="N2069" s="777"/>
      <c r="P2069" s="789"/>
      <c r="Q2069" s="790"/>
      <c r="R2069" s="789"/>
      <c r="S2069" s="791"/>
    </row>
    <row r="2070" spans="1:19" s="767" customFormat="1" x14ac:dyDescent="0.25">
      <c r="C2070" s="186" t="s">
        <v>143</v>
      </c>
      <c r="D2070" s="186"/>
      <c r="F2070" s="1009" t="s">
        <v>3</v>
      </c>
      <c r="G2070" s="10">
        <f>G2069</f>
        <v>2.0897799999999994E-2</v>
      </c>
      <c r="H2070" s="538"/>
      <c r="I2070" s="789"/>
      <c r="J2070" s="942"/>
      <c r="M2070" s="954"/>
      <c r="N2070" s="777"/>
      <c r="P2070" s="789"/>
      <c r="Q2070" s="790"/>
      <c r="R2070" s="789"/>
      <c r="S2070" s="791"/>
    </row>
    <row r="2071" spans="1:19" s="767" customFormat="1" x14ac:dyDescent="0.25">
      <c r="C2071" s="186" t="s">
        <v>12</v>
      </c>
      <c r="D2071" s="186"/>
      <c r="F2071" s="1009" t="s">
        <v>3</v>
      </c>
      <c r="G2071" s="10">
        <f>0.3*(G2069+G2067+G2070)</f>
        <v>2.1494879999999994E-2</v>
      </c>
      <c r="H2071" s="538"/>
      <c r="I2071" s="789"/>
      <c r="J2071" s="942"/>
      <c r="M2071" s="954"/>
      <c r="N2071" s="777"/>
      <c r="P2071" s="789"/>
      <c r="Q2071" s="790"/>
      <c r="R2071" s="789"/>
      <c r="S2071" s="791"/>
    </row>
    <row r="2072" spans="1:19" s="767" customFormat="1" x14ac:dyDescent="0.25">
      <c r="C2072" s="186"/>
      <c r="D2072" s="3" t="s">
        <v>12445</v>
      </c>
      <c r="F2072" s="1009"/>
      <c r="G2072" s="10"/>
      <c r="H2072" s="538"/>
      <c r="I2072" s="789"/>
      <c r="J2072" s="942"/>
      <c r="M2072" s="954"/>
      <c r="N2072" s="777"/>
      <c r="P2072" s="789"/>
      <c r="Q2072" s="790"/>
      <c r="R2072" s="789"/>
      <c r="S2072" s="791"/>
    </row>
    <row r="2073" spans="1:19" s="767" customFormat="1" x14ac:dyDescent="0.25">
      <c r="D2073" s="767" t="s">
        <v>11317</v>
      </c>
      <c r="F2073" s="1009" t="s">
        <v>3</v>
      </c>
      <c r="G2073" s="10">
        <f>0.196*L2073</f>
        <v>0.25480000000000003</v>
      </c>
      <c r="H2073" s="538"/>
      <c r="I2073" s="789" t="s">
        <v>10149</v>
      </c>
      <c r="J2073" s="790">
        <v>1.18</v>
      </c>
      <c r="K2073" s="789" t="s">
        <v>10150</v>
      </c>
      <c r="L2073" s="791">
        <v>1.3</v>
      </c>
      <c r="M2073" s="954"/>
      <c r="N2073" s="777"/>
      <c r="P2073" s="789"/>
      <c r="Q2073" s="790"/>
      <c r="R2073" s="789"/>
      <c r="S2073" s="791"/>
    </row>
    <row r="2074" spans="1:19" s="767" customFormat="1" x14ac:dyDescent="0.25">
      <c r="C2074" s="942"/>
      <c r="D2074" s="3" t="s">
        <v>12446</v>
      </c>
      <c r="F2074" s="954"/>
      <c r="G2074" s="777"/>
      <c r="H2074" s="538"/>
      <c r="I2074" s="789"/>
      <c r="J2074" s="942"/>
      <c r="L2074" s="791"/>
      <c r="M2074" s="954"/>
      <c r="N2074" s="777"/>
      <c r="P2074" s="789"/>
      <c r="Q2074" s="790"/>
      <c r="R2074" s="789"/>
      <c r="S2074" s="791"/>
    </row>
    <row r="2075" spans="1:19" s="767" customFormat="1" x14ac:dyDescent="0.25">
      <c r="C2075" s="942"/>
      <c r="D2075" s="767" t="s">
        <v>12312</v>
      </c>
      <c r="F2075" s="954" t="s">
        <v>3</v>
      </c>
      <c r="G2075" s="777">
        <f>0.196*L2075</f>
        <v>3.9200000000000006E-2</v>
      </c>
      <c r="H2075" s="538"/>
      <c r="I2075" s="789" t="s">
        <v>10149</v>
      </c>
      <c r="J2075" s="790">
        <v>0.154</v>
      </c>
      <c r="K2075" s="789" t="s">
        <v>10150</v>
      </c>
      <c r="L2075" s="791">
        <v>0.2</v>
      </c>
      <c r="M2075" s="954"/>
      <c r="N2075" s="777"/>
      <c r="P2075" s="789"/>
      <c r="Q2075" s="790"/>
      <c r="R2075" s="789"/>
      <c r="S2075" s="791"/>
    </row>
    <row r="2076" spans="1:19" s="767" customFormat="1" x14ac:dyDescent="0.25">
      <c r="C2076" s="942"/>
      <c r="D2076" s="3" t="s">
        <v>12447</v>
      </c>
      <c r="F2076" s="954"/>
      <c r="G2076" s="777"/>
      <c r="H2076" s="538"/>
      <c r="I2076" s="789"/>
      <c r="J2076" s="942"/>
      <c r="L2076" s="791"/>
      <c r="M2076" s="954"/>
      <c r="N2076" s="777"/>
      <c r="P2076" s="789"/>
      <c r="Q2076" s="790"/>
      <c r="R2076" s="789"/>
      <c r="S2076" s="791"/>
    </row>
    <row r="2077" spans="1:19" s="767" customFormat="1" x14ac:dyDescent="0.25">
      <c r="C2077" s="942"/>
      <c r="D2077" s="767" t="s">
        <v>12312</v>
      </c>
      <c r="F2077" s="954" t="s">
        <v>3</v>
      </c>
      <c r="G2077" s="777">
        <f>0.196*L2077</f>
        <v>1.47E-2</v>
      </c>
      <c r="H2077" s="538"/>
      <c r="I2077" s="789" t="s">
        <v>10149</v>
      </c>
      <c r="J2077" s="790">
        <v>6.5000000000000002E-2</v>
      </c>
      <c r="K2077" s="789" t="s">
        <v>10150</v>
      </c>
      <c r="L2077" s="791">
        <v>7.4999999999999997E-2</v>
      </c>
      <c r="M2077" s="954"/>
      <c r="N2077" s="777"/>
      <c r="P2077" s="789"/>
      <c r="Q2077" s="790"/>
      <c r="R2077" s="789"/>
      <c r="S2077" s="791"/>
    </row>
    <row r="2078" spans="1:19" s="767" customFormat="1" x14ac:dyDescent="0.25">
      <c r="A2078" s="539"/>
      <c r="B2078" s="539"/>
      <c r="C2078" s="1004"/>
      <c r="D2078" s="539"/>
      <c r="E2078" s="539"/>
      <c r="F2078" s="957"/>
      <c r="G2078" s="778"/>
      <c r="H2078" s="540"/>
      <c r="I2078" s="789"/>
      <c r="J2078" s="942"/>
      <c r="L2078" s="791"/>
      <c r="M2078" s="954"/>
      <c r="N2078" s="777"/>
      <c r="P2078" s="789"/>
      <c r="Q2078" s="790"/>
      <c r="R2078" s="789"/>
      <c r="S2078" s="791"/>
    </row>
    <row r="2079" spans="1:19" s="767" customFormat="1" x14ac:dyDescent="0.25">
      <c r="C2079" s="942"/>
      <c r="F2079" s="954"/>
      <c r="G2079" s="777"/>
      <c r="H2079" s="631" t="s">
        <v>12467</v>
      </c>
      <c r="I2079" s="789"/>
      <c r="J2079" s="942"/>
      <c r="L2079" s="791"/>
      <c r="M2079" s="954"/>
      <c r="N2079" s="777"/>
      <c r="P2079" s="789"/>
      <c r="Q2079" s="790"/>
      <c r="R2079" s="789"/>
      <c r="S2079" s="791"/>
    </row>
    <row r="2080" spans="1:19" s="767" customFormat="1" x14ac:dyDescent="0.25">
      <c r="C2080" s="942"/>
      <c r="F2080" s="954"/>
      <c r="G2080" s="777"/>
      <c r="H2080" s="538"/>
      <c r="I2080" s="789"/>
      <c r="J2080" s="942"/>
      <c r="L2080" s="791"/>
      <c r="M2080" s="954"/>
      <c r="N2080" s="777"/>
      <c r="P2080" s="789"/>
      <c r="Q2080" s="790"/>
      <c r="R2080" s="789"/>
      <c r="S2080" s="791"/>
    </row>
    <row r="2081" spans="3:19" s="767" customFormat="1" x14ac:dyDescent="0.25">
      <c r="C2081" s="3" t="s">
        <v>11553</v>
      </c>
      <c r="F2081" s="954"/>
      <c r="G2081" s="777"/>
      <c r="H2081" s="538"/>
      <c r="I2081" s="789"/>
      <c r="J2081" s="942"/>
      <c r="L2081" s="791"/>
      <c r="M2081" s="954"/>
      <c r="N2081" s="777"/>
      <c r="P2081" s="789"/>
      <c r="Q2081" s="790"/>
      <c r="R2081" s="789"/>
      <c r="S2081" s="791"/>
    </row>
    <row r="2082" spans="3:19" s="767" customFormat="1" x14ac:dyDescent="0.25">
      <c r="C2082" s="100" t="s">
        <v>140</v>
      </c>
      <c r="F2082" s="954" t="s">
        <v>3</v>
      </c>
      <c r="G2082" s="153">
        <f>0.008*3.14*2*0.08*1.25</f>
        <v>5.0239999999999998E-3</v>
      </c>
      <c r="H2082" s="538"/>
      <c r="I2082" s="789"/>
      <c r="J2082" s="942"/>
      <c r="L2082" s="791"/>
      <c r="M2082" s="954"/>
      <c r="N2082" s="777"/>
      <c r="P2082" s="789"/>
      <c r="Q2082" s="790"/>
      <c r="R2082" s="789"/>
      <c r="S2082" s="791"/>
    </row>
    <row r="2083" spans="3:19" s="767" customFormat="1" ht="17.25" x14ac:dyDescent="0.25">
      <c r="C2083" s="100" t="s">
        <v>23</v>
      </c>
      <c r="F2083" s="74" t="s">
        <v>596</v>
      </c>
      <c r="G2083" s="153">
        <f>G2082*2</f>
        <v>1.0048E-2</v>
      </c>
      <c r="H2083" s="538"/>
      <c r="I2083" s="789"/>
      <c r="J2083" s="942"/>
      <c r="L2083" s="791"/>
      <c r="M2083" s="954"/>
      <c r="N2083" s="777"/>
      <c r="P2083" s="789"/>
      <c r="Q2083" s="790"/>
      <c r="R2083" s="789"/>
      <c r="S2083" s="791"/>
    </row>
    <row r="2084" spans="3:19" s="767" customFormat="1" x14ac:dyDescent="0.25">
      <c r="C2084" s="100" t="s">
        <v>142</v>
      </c>
      <c r="F2084" s="74" t="s">
        <v>3</v>
      </c>
      <c r="G2084" s="153">
        <f>G2082/4</f>
        <v>1.256E-3</v>
      </c>
      <c r="H2084" s="538"/>
      <c r="I2084" s="789"/>
      <c r="J2084" s="942"/>
      <c r="L2084" s="791"/>
      <c r="M2084" s="954"/>
      <c r="N2084" s="777"/>
      <c r="P2084" s="789"/>
      <c r="Q2084" s="790"/>
      <c r="R2084" s="789"/>
      <c r="S2084" s="791"/>
    </row>
    <row r="2085" spans="3:19" s="767" customFormat="1" x14ac:dyDescent="0.25">
      <c r="C2085" s="186" t="s">
        <v>5441</v>
      </c>
      <c r="D2085" s="186"/>
      <c r="F2085" s="1026" t="s">
        <v>3</v>
      </c>
      <c r="G2085" s="10">
        <f>J2089*0.011*2*1.15</f>
        <v>2.6564999999999998E-2</v>
      </c>
      <c r="H2085" s="538"/>
      <c r="I2085" s="789"/>
      <c r="J2085" s="942"/>
      <c r="L2085" s="791"/>
      <c r="M2085" s="954"/>
      <c r="N2085" s="777"/>
      <c r="P2085" s="789"/>
      <c r="Q2085" s="790"/>
      <c r="R2085" s="789"/>
      <c r="S2085" s="791"/>
    </row>
    <row r="2086" spans="3:19" s="767" customFormat="1" x14ac:dyDescent="0.25">
      <c r="C2086" s="186" t="s">
        <v>8</v>
      </c>
      <c r="D2086" s="186"/>
      <c r="F2086" s="1026" t="s">
        <v>3</v>
      </c>
      <c r="G2086" s="10">
        <f>G2085*0.7</f>
        <v>1.8595499999999997E-2</v>
      </c>
      <c r="H2086" s="538"/>
      <c r="I2086" s="789"/>
      <c r="J2086" s="942"/>
      <c r="L2086" s="791"/>
      <c r="M2086" s="954"/>
      <c r="N2086" s="777"/>
      <c r="P2086" s="789"/>
      <c r="Q2086" s="790"/>
      <c r="R2086" s="789"/>
      <c r="S2086" s="791"/>
    </row>
    <row r="2087" spans="3:19" s="767" customFormat="1" x14ac:dyDescent="0.25">
      <c r="C2087" s="186" t="s">
        <v>12</v>
      </c>
      <c r="D2087" s="186"/>
      <c r="F2087" s="1026" t="s">
        <v>3</v>
      </c>
      <c r="G2087" s="10">
        <f>0.3*(G2086+G2085)</f>
        <v>1.3548149999999997E-2</v>
      </c>
      <c r="H2087" s="538"/>
      <c r="I2087" s="789"/>
      <c r="J2087" s="942"/>
      <c r="L2087" s="791"/>
      <c r="M2087" s="954"/>
      <c r="N2087" s="777"/>
      <c r="P2087" s="789"/>
      <c r="Q2087" s="790"/>
      <c r="R2087" s="789"/>
      <c r="S2087" s="791"/>
    </row>
    <row r="2088" spans="3:19" s="767" customFormat="1" x14ac:dyDescent="0.25">
      <c r="C2088" s="942"/>
      <c r="D2088" s="3" t="s">
        <v>12452</v>
      </c>
      <c r="F2088" s="954"/>
      <c r="G2088" s="777"/>
      <c r="H2088" s="538"/>
      <c r="I2088" s="789"/>
      <c r="J2088" s="942"/>
      <c r="L2088" s="791"/>
      <c r="M2088" s="954"/>
      <c r="N2088" s="777"/>
      <c r="P2088" s="789"/>
      <c r="Q2088" s="790"/>
      <c r="R2088" s="789"/>
      <c r="S2088" s="791"/>
    </row>
    <row r="2089" spans="3:19" s="767" customFormat="1" x14ac:dyDescent="0.25">
      <c r="C2089" s="942"/>
      <c r="D2089" s="767" t="s">
        <v>5007</v>
      </c>
      <c r="F2089" s="954" t="s">
        <v>3</v>
      </c>
      <c r="G2089" s="777">
        <f>0.196*L2089</f>
        <v>0.22539999999999999</v>
      </c>
      <c r="H2089" s="538"/>
      <c r="I2089" s="789" t="s">
        <v>10149</v>
      </c>
      <c r="J2089" s="790">
        <v>1.05</v>
      </c>
      <c r="K2089" s="789" t="s">
        <v>10150</v>
      </c>
      <c r="L2089" s="791">
        <v>1.1499999999999999</v>
      </c>
      <c r="M2089" s="954"/>
      <c r="N2089" s="777"/>
      <c r="P2089" s="789"/>
      <c r="Q2089" s="790"/>
      <c r="R2089" s="789"/>
      <c r="S2089" s="791"/>
    </row>
    <row r="2090" spans="3:19" s="767" customFormat="1" x14ac:dyDescent="0.25">
      <c r="C2090" s="942"/>
      <c r="F2090" s="954"/>
      <c r="G2090" s="777"/>
      <c r="H2090" s="538"/>
      <c r="I2090" s="789"/>
      <c r="J2090" s="942"/>
      <c r="L2090" s="791"/>
      <c r="M2090" s="954"/>
      <c r="N2090" s="777"/>
      <c r="P2090" s="789"/>
      <c r="Q2090" s="790"/>
      <c r="R2090" s="789"/>
      <c r="S2090" s="791"/>
    </row>
    <row r="2091" spans="3:19" s="767" customFormat="1" x14ac:dyDescent="0.25">
      <c r="C2091" s="3" t="s">
        <v>11554</v>
      </c>
      <c r="F2091" s="954"/>
      <c r="G2091" s="777"/>
      <c r="H2091" s="538"/>
      <c r="I2091" s="789"/>
      <c r="J2091" s="942"/>
      <c r="L2091" s="791"/>
      <c r="M2091" s="954"/>
      <c r="N2091" s="777"/>
      <c r="P2091" s="789"/>
      <c r="Q2091" s="790"/>
      <c r="R2091" s="789"/>
      <c r="S2091" s="791"/>
    </row>
    <row r="2092" spans="3:19" s="767" customFormat="1" x14ac:dyDescent="0.25">
      <c r="C2092" s="263" t="s">
        <v>3394</v>
      </c>
      <c r="D2092" s="263"/>
      <c r="E2092" s="813"/>
      <c r="F2092" s="875" t="s">
        <v>3</v>
      </c>
      <c r="G2092" s="876">
        <f>(0.008*3.14*5)*0.08*1.3</f>
        <v>1.30624E-2</v>
      </c>
      <c r="H2092" s="538"/>
      <c r="I2092" s="789"/>
      <c r="J2092" s="942"/>
      <c r="L2092" s="791"/>
      <c r="M2092" s="954"/>
      <c r="N2092" s="777"/>
      <c r="P2092" s="789"/>
      <c r="Q2092" s="790"/>
      <c r="R2092" s="789"/>
      <c r="S2092" s="791"/>
    </row>
    <row r="2093" spans="3:19" s="767" customFormat="1" ht="17.25" x14ac:dyDescent="0.25">
      <c r="C2093" s="263" t="s">
        <v>121</v>
      </c>
      <c r="D2093" s="263"/>
      <c r="E2093" s="813"/>
      <c r="F2093" s="875" t="s">
        <v>10568</v>
      </c>
      <c r="G2093" s="876">
        <f>G2092*1.1</f>
        <v>1.4368640000000002E-2</v>
      </c>
      <c r="H2093" s="538"/>
      <c r="I2093" s="789"/>
      <c r="J2093" s="942"/>
      <c r="L2093" s="791"/>
      <c r="M2093" s="954"/>
      <c r="N2093" s="777"/>
      <c r="P2093" s="789"/>
      <c r="Q2093" s="790"/>
      <c r="R2093" s="789"/>
      <c r="S2093" s="791"/>
    </row>
    <row r="2094" spans="3:19" s="767" customFormat="1" x14ac:dyDescent="0.25">
      <c r="C2094" s="942" t="s">
        <v>8</v>
      </c>
      <c r="F2094" s="954" t="s">
        <v>3</v>
      </c>
      <c r="G2094" s="777">
        <f>G2096*0.65</f>
        <v>1.1886875000000002E-2</v>
      </c>
      <c r="H2094" s="538"/>
      <c r="I2094" s="789"/>
      <c r="J2094" s="942"/>
      <c r="L2094" s="791"/>
      <c r="M2094" s="954"/>
      <c r="N2094" s="777"/>
      <c r="P2094" s="789"/>
      <c r="Q2094" s="790"/>
      <c r="R2094" s="789"/>
      <c r="S2094" s="791"/>
    </row>
    <row r="2095" spans="3:19" s="767" customFormat="1" x14ac:dyDescent="0.25">
      <c r="C2095" s="942" t="s">
        <v>12</v>
      </c>
      <c r="F2095" s="954" t="s">
        <v>3</v>
      </c>
      <c r="G2095" s="777">
        <f>0.3*G2094</f>
        <v>3.5660625000000002E-3</v>
      </c>
      <c r="H2095" s="538"/>
      <c r="I2095" s="789"/>
      <c r="J2095" s="942"/>
      <c r="L2095" s="791"/>
      <c r="M2095" s="954"/>
      <c r="N2095" s="777"/>
      <c r="P2095" s="789"/>
      <c r="Q2095" s="790"/>
      <c r="R2095" s="789"/>
      <c r="S2095" s="791"/>
    </row>
    <row r="2096" spans="3:19" s="767" customFormat="1" x14ac:dyDescent="0.25">
      <c r="C2096" s="942" t="s">
        <v>72</v>
      </c>
      <c r="F2096" s="954" t="s">
        <v>3</v>
      </c>
      <c r="G2096" s="777">
        <f>0.011*J2099*2*1.25</f>
        <v>1.8287500000000002E-2</v>
      </c>
      <c r="H2096" s="538"/>
      <c r="I2096" s="789"/>
      <c r="J2096" s="942"/>
      <c r="L2096" s="791"/>
      <c r="M2096" s="954"/>
      <c r="N2096" s="777"/>
      <c r="P2096" s="789"/>
      <c r="Q2096" s="790"/>
      <c r="R2096" s="789"/>
      <c r="S2096" s="791"/>
    </row>
    <row r="2097" spans="3:19" s="767" customFormat="1" x14ac:dyDescent="0.25">
      <c r="C2097" s="942" t="s">
        <v>11</v>
      </c>
      <c r="F2097" s="954" t="s">
        <v>3</v>
      </c>
      <c r="G2097" s="777">
        <f>0.3*G2096</f>
        <v>5.4862500000000007E-3</v>
      </c>
      <c r="H2097" s="538"/>
      <c r="I2097" s="789"/>
      <c r="J2097" s="942"/>
      <c r="L2097" s="791"/>
      <c r="M2097" s="954"/>
      <c r="N2097" s="777"/>
      <c r="P2097" s="789"/>
      <c r="Q2097" s="790"/>
      <c r="R2097" s="789"/>
      <c r="S2097" s="791"/>
    </row>
    <row r="2098" spans="3:19" s="767" customFormat="1" x14ac:dyDescent="0.25">
      <c r="C2098" s="942"/>
      <c r="D2098" s="3" t="s">
        <v>12453</v>
      </c>
      <c r="F2098" s="954"/>
      <c r="G2098" s="777"/>
      <c r="H2098" s="538"/>
      <c r="I2098" s="789"/>
      <c r="J2098" s="942"/>
      <c r="L2098" s="791"/>
      <c r="M2098" s="954"/>
      <c r="N2098" s="777"/>
      <c r="P2098" s="789"/>
      <c r="Q2098" s="790"/>
      <c r="R2098" s="789"/>
      <c r="S2098" s="791"/>
    </row>
    <row r="2099" spans="3:19" s="767" customFormat="1" x14ac:dyDescent="0.25">
      <c r="C2099" s="942"/>
      <c r="D2099" s="767" t="s">
        <v>12458</v>
      </c>
      <c r="F2099" s="954" t="s">
        <v>3</v>
      </c>
      <c r="G2099" s="777">
        <f>0.222* L2099</f>
        <v>0.16650000000000001</v>
      </c>
      <c r="H2099" s="538"/>
      <c r="I2099" s="789" t="s">
        <v>10149</v>
      </c>
      <c r="J2099" s="790">
        <v>0.66500000000000004</v>
      </c>
      <c r="K2099" s="789" t="s">
        <v>10150</v>
      </c>
      <c r="L2099" s="791">
        <v>0.75</v>
      </c>
      <c r="M2099" s="954"/>
      <c r="N2099" s="777"/>
      <c r="P2099" s="789"/>
      <c r="Q2099" s="790"/>
      <c r="R2099" s="789"/>
      <c r="S2099" s="791"/>
    </row>
    <row r="2100" spans="3:19" s="767" customFormat="1" x14ac:dyDescent="0.25">
      <c r="C2100" s="942"/>
      <c r="F2100" s="954"/>
      <c r="G2100" s="777"/>
      <c r="H2100" s="538"/>
      <c r="I2100" s="789"/>
      <c r="J2100" s="942"/>
      <c r="L2100" s="791"/>
      <c r="M2100" s="954"/>
      <c r="N2100" s="777"/>
      <c r="P2100" s="789"/>
      <c r="Q2100" s="790"/>
      <c r="R2100" s="789"/>
      <c r="S2100" s="791"/>
    </row>
    <row r="2101" spans="3:19" s="767" customFormat="1" x14ac:dyDescent="0.25">
      <c r="C2101" s="3" t="s">
        <v>11555</v>
      </c>
      <c r="F2101" s="954"/>
      <c r="G2101" s="777"/>
      <c r="H2101" s="538"/>
      <c r="I2101" s="789"/>
      <c r="J2101" s="942"/>
      <c r="L2101" s="791"/>
      <c r="M2101" s="954"/>
      <c r="N2101" s="777"/>
      <c r="P2101" s="789"/>
      <c r="Q2101" s="790"/>
      <c r="R2101" s="789"/>
      <c r="S2101" s="791"/>
    </row>
    <row r="2102" spans="3:19" s="767" customFormat="1" x14ac:dyDescent="0.25">
      <c r="C2102" s="100" t="s">
        <v>140</v>
      </c>
      <c r="F2102" s="954" t="s">
        <v>3</v>
      </c>
      <c r="G2102" s="153">
        <f>0.008*3.14*0.08*1.25</f>
        <v>2.5119999999999999E-3</v>
      </c>
      <c r="H2102" s="538"/>
      <c r="I2102" s="789"/>
      <c r="J2102" s="942"/>
      <c r="L2102" s="791"/>
      <c r="M2102" s="954"/>
      <c r="N2102" s="777"/>
      <c r="P2102" s="789"/>
      <c r="Q2102" s="790"/>
      <c r="R2102" s="789"/>
      <c r="S2102" s="791"/>
    </row>
    <row r="2103" spans="3:19" s="767" customFormat="1" ht="17.25" x14ac:dyDescent="0.25">
      <c r="C2103" s="100" t="s">
        <v>23</v>
      </c>
      <c r="F2103" s="74" t="s">
        <v>596</v>
      </c>
      <c r="G2103" s="153">
        <f>G2102*2</f>
        <v>5.0239999999999998E-3</v>
      </c>
      <c r="H2103" s="538"/>
      <c r="I2103" s="789"/>
      <c r="J2103" s="942"/>
      <c r="L2103" s="791"/>
      <c r="M2103" s="954"/>
      <c r="N2103" s="777"/>
      <c r="P2103" s="789"/>
      <c r="Q2103" s="790"/>
      <c r="R2103" s="789"/>
      <c r="S2103" s="791"/>
    </row>
    <row r="2104" spans="3:19" s="767" customFormat="1" x14ac:dyDescent="0.25">
      <c r="C2104" s="100" t="s">
        <v>142</v>
      </c>
      <c r="F2104" s="74" t="s">
        <v>3</v>
      </c>
      <c r="G2104" s="153">
        <f>G2102/4</f>
        <v>6.2799999999999998E-4</v>
      </c>
      <c r="H2104" s="538"/>
      <c r="I2104" s="789"/>
      <c r="J2104" s="942"/>
      <c r="L2104" s="791"/>
      <c r="M2104" s="954"/>
      <c r="N2104" s="777"/>
      <c r="P2104" s="789"/>
      <c r="Q2104" s="790"/>
      <c r="R2104" s="789"/>
      <c r="S2104" s="791"/>
    </row>
    <row r="2105" spans="3:19" s="767" customFormat="1" x14ac:dyDescent="0.25">
      <c r="C2105" s="186" t="s">
        <v>5441</v>
      </c>
      <c r="D2105" s="186"/>
      <c r="F2105" s="1029" t="s">
        <v>3</v>
      </c>
      <c r="G2105" s="10">
        <f>(J2109+J2111)*0.011*2*1.15</f>
        <v>2.7450499999999996E-2</v>
      </c>
      <c r="H2105" s="538"/>
      <c r="I2105" s="789"/>
      <c r="J2105" s="942"/>
      <c r="L2105" s="791"/>
      <c r="M2105" s="954"/>
      <c r="N2105" s="777"/>
      <c r="P2105" s="789"/>
      <c r="Q2105" s="790"/>
      <c r="R2105" s="789"/>
      <c r="S2105" s="791"/>
    </row>
    <row r="2106" spans="3:19" s="767" customFormat="1" x14ac:dyDescent="0.25">
      <c r="C2106" s="186" t="s">
        <v>8</v>
      </c>
      <c r="D2106" s="186"/>
      <c r="F2106" s="1029" t="s">
        <v>3</v>
      </c>
      <c r="G2106" s="10">
        <f>G2105*0.7</f>
        <v>1.9215349999999996E-2</v>
      </c>
      <c r="H2106" s="538"/>
      <c r="I2106" s="789"/>
      <c r="J2106" s="942"/>
      <c r="L2106" s="791"/>
      <c r="M2106" s="954"/>
      <c r="N2106" s="777"/>
      <c r="P2106" s="789"/>
      <c r="Q2106" s="790"/>
      <c r="R2106" s="789"/>
      <c r="S2106" s="791"/>
    </row>
    <row r="2107" spans="3:19" s="767" customFormat="1" x14ac:dyDescent="0.25">
      <c r="C2107" s="186" t="s">
        <v>12</v>
      </c>
      <c r="D2107" s="186"/>
      <c r="F2107" s="1029" t="s">
        <v>3</v>
      </c>
      <c r="G2107" s="10">
        <f>0.3*(G2106+G2105)</f>
        <v>1.3999754999999997E-2</v>
      </c>
      <c r="H2107" s="538"/>
      <c r="I2107" s="789"/>
      <c r="J2107" s="942"/>
      <c r="L2107" s="791"/>
      <c r="M2107" s="954"/>
      <c r="N2107" s="777"/>
      <c r="P2107" s="789"/>
      <c r="Q2107" s="790"/>
      <c r="R2107" s="789"/>
      <c r="S2107" s="791"/>
    </row>
    <row r="2108" spans="3:19" s="767" customFormat="1" x14ac:dyDescent="0.25">
      <c r="C2108" s="942"/>
      <c r="D2108" s="3" t="s">
        <v>12454</v>
      </c>
      <c r="F2108" s="954"/>
      <c r="G2108" s="777"/>
      <c r="H2108" s="538"/>
      <c r="I2108" s="789"/>
      <c r="J2108" s="942"/>
      <c r="L2108" s="791"/>
      <c r="M2108" s="954"/>
      <c r="N2108" s="777"/>
      <c r="P2108" s="789"/>
      <c r="Q2108" s="790"/>
      <c r="R2108" s="789"/>
      <c r="S2108" s="791"/>
    </row>
    <row r="2109" spans="3:19" s="767" customFormat="1" x14ac:dyDescent="0.25">
      <c r="C2109" s="942"/>
      <c r="D2109" s="767" t="s">
        <v>12312</v>
      </c>
      <c r="F2109" s="954" t="s">
        <v>3</v>
      </c>
      <c r="G2109" s="777">
        <f>0.196*L2109</f>
        <v>0.20580000000000001</v>
      </c>
      <c r="H2109" s="538"/>
      <c r="I2109" s="789" t="s">
        <v>10149</v>
      </c>
      <c r="J2109" s="790">
        <v>0.95</v>
      </c>
      <c r="K2109" s="789" t="s">
        <v>10150</v>
      </c>
      <c r="L2109" s="791">
        <v>1.05</v>
      </c>
      <c r="M2109" s="954"/>
      <c r="N2109" s="777"/>
      <c r="P2109" s="789"/>
      <c r="Q2109" s="790"/>
      <c r="R2109" s="789"/>
      <c r="S2109" s="791"/>
    </row>
    <row r="2110" spans="3:19" s="767" customFormat="1" x14ac:dyDescent="0.25">
      <c r="C2110" s="942"/>
      <c r="D2110" s="3" t="s">
        <v>12455</v>
      </c>
      <c r="F2110" s="954"/>
      <c r="G2110" s="777"/>
      <c r="H2110" s="538"/>
      <c r="I2110" s="789"/>
      <c r="J2110" s="942"/>
      <c r="L2110" s="791"/>
      <c r="M2110" s="954"/>
      <c r="N2110" s="777"/>
      <c r="P2110" s="789"/>
      <c r="Q2110" s="790"/>
      <c r="R2110" s="789"/>
      <c r="S2110" s="791"/>
    </row>
    <row r="2111" spans="3:19" s="767" customFormat="1" x14ac:dyDescent="0.25">
      <c r="C2111" s="942"/>
      <c r="D2111" s="767" t="s">
        <v>12312</v>
      </c>
      <c r="F2111" s="954" t="s">
        <v>3</v>
      </c>
      <c r="G2111" s="777">
        <f>0.196*L2111</f>
        <v>3.9200000000000006E-2</v>
      </c>
      <c r="H2111" s="538"/>
      <c r="I2111" s="789" t="s">
        <v>10149</v>
      </c>
      <c r="J2111" s="790">
        <v>0.13500000000000001</v>
      </c>
      <c r="K2111" s="789" t="s">
        <v>10150</v>
      </c>
      <c r="L2111" s="791">
        <v>0.2</v>
      </c>
      <c r="M2111" s="954"/>
      <c r="N2111" s="777"/>
      <c r="P2111" s="789"/>
      <c r="Q2111" s="790"/>
      <c r="R2111" s="789"/>
      <c r="S2111" s="791"/>
    </row>
    <row r="2112" spans="3:19" s="767" customFormat="1" x14ac:dyDescent="0.25">
      <c r="C2112" s="942"/>
      <c r="F2112" s="954"/>
      <c r="G2112" s="777"/>
      <c r="H2112" s="538"/>
      <c r="I2112" s="789"/>
      <c r="J2112" s="942"/>
      <c r="L2112" s="791"/>
      <c r="M2112" s="954"/>
      <c r="N2112" s="777"/>
      <c r="P2112" s="789"/>
      <c r="Q2112" s="790"/>
      <c r="R2112" s="789"/>
      <c r="S2112" s="791"/>
    </row>
    <row r="2113" spans="3:19" s="767" customFormat="1" x14ac:dyDescent="0.25">
      <c r="C2113" s="3" t="s">
        <v>11556</v>
      </c>
      <c r="F2113" s="954"/>
      <c r="G2113" s="777"/>
      <c r="H2113" s="538"/>
      <c r="I2113" s="789"/>
      <c r="J2113" s="942"/>
      <c r="L2113" s="791"/>
      <c r="M2113" s="954"/>
      <c r="N2113" s="777"/>
      <c r="P2113" s="789"/>
      <c r="Q2113" s="790"/>
      <c r="R2113" s="789"/>
      <c r="S2113" s="791"/>
    </row>
    <row r="2114" spans="3:19" s="767" customFormat="1" x14ac:dyDescent="0.25">
      <c r="C2114" s="100" t="s">
        <v>140</v>
      </c>
      <c r="F2114" s="954" t="s">
        <v>3</v>
      </c>
      <c r="G2114" s="153">
        <f>0.008*3.14*2*0.08*1.25</f>
        <v>5.0239999999999998E-3</v>
      </c>
      <c r="H2114" s="538"/>
      <c r="I2114" s="789"/>
      <c r="J2114" s="942"/>
      <c r="L2114" s="791"/>
      <c r="M2114" s="954"/>
      <c r="N2114" s="777"/>
      <c r="P2114" s="789"/>
      <c r="Q2114" s="790"/>
      <c r="R2114" s="789"/>
      <c r="S2114" s="791"/>
    </row>
    <row r="2115" spans="3:19" s="767" customFormat="1" ht="17.25" x14ac:dyDescent="0.25">
      <c r="C2115" s="100" t="s">
        <v>23</v>
      </c>
      <c r="F2115" s="74" t="s">
        <v>596</v>
      </c>
      <c r="G2115" s="153">
        <f>G2114*2</f>
        <v>1.0048E-2</v>
      </c>
      <c r="H2115" s="538"/>
      <c r="I2115" s="789"/>
      <c r="J2115" s="942"/>
      <c r="L2115" s="791"/>
      <c r="M2115" s="954"/>
      <c r="N2115" s="777"/>
      <c r="P2115" s="789"/>
      <c r="Q2115" s="790"/>
      <c r="R2115" s="789"/>
      <c r="S2115" s="791"/>
    </row>
    <row r="2116" spans="3:19" s="767" customFormat="1" x14ac:dyDescent="0.25">
      <c r="C2116" s="100" t="s">
        <v>142</v>
      </c>
      <c r="F2116" s="74" t="s">
        <v>3</v>
      </c>
      <c r="G2116" s="153">
        <f>G2114/4</f>
        <v>1.256E-3</v>
      </c>
      <c r="H2116" s="538"/>
      <c r="I2116" s="789"/>
      <c r="J2116" s="942"/>
      <c r="L2116" s="791"/>
      <c r="M2116" s="954"/>
      <c r="N2116" s="777"/>
      <c r="P2116" s="789"/>
      <c r="Q2116" s="790"/>
      <c r="R2116" s="789"/>
      <c r="S2116" s="791"/>
    </row>
    <row r="2117" spans="3:19" s="767" customFormat="1" x14ac:dyDescent="0.25">
      <c r="C2117" s="186" t="s">
        <v>5441</v>
      </c>
      <c r="D2117" s="186"/>
      <c r="F2117" s="1029" t="s">
        <v>3</v>
      </c>
      <c r="G2117" s="10">
        <f>(J2121)*0.011*2*1.15</f>
        <v>3.2889999999999996E-2</v>
      </c>
      <c r="H2117" s="538"/>
      <c r="I2117" s="789"/>
      <c r="J2117" s="942"/>
      <c r="L2117" s="791"/>
      <c r="M2117" s="954"/>
      <c r="N2117" s="777"/>
      <c r="P2117" s="789"/>
      <c r="Q2117" s="790"/>
      <c r="R2117" s="789"/>
      <c r="S2117" s="791"/>
    </row>
    <row r="2118" spans="3:19" s="767" customFormat="1" x14ac:dyDescent="0.25">
      <c r="C2118" s="186" t="s">
        <v>8</v>
      </c>
      <c r="D2118" s="186"/>
      <c r="F2118" s="1029" t="s">
        <v>3</v>
      </c>
      <c r="G2118" s="10">
        <f>G2117*0.7</f>
        <v>2.3022999999999995E-2</v>
      </c>
      <c r="H2118" s="538"/>
      <c r="I2118" s="789"/>
      <c r="J2118" s="942"/>
      <c r="L2118" s="791"/>
      <c r="M2118" s="954"/>
      <c r="N2118" s="777"/>
      <c r="P2118" s="789"/>
      <c r="Q2118" s="790"/>
      <c r="R2118" s="789"/>
      <c r="S2118" s="791"/>
    </row>
    <row r="2119" spans="3:19" s="767" customFormat="1" x14ac:dyDescent="0.25">
      <c r="C2119" s="186" t="s">
        <v>12</v>
      </c>
      <c r="D2119" s="186"/>
      <c r="F2119" s="1029" t="s">
        <v>3</v>
      </c>
      <c r="G2119" s="10">
        <f>0.3*(G2118+G2117)</f>
        <v>1.6773899999999998E-2</v>
      </c>
      <c r="H2119" s="538"/>
      <c r="I2119" s="789"/>
      <c r="J2119" s="942"/>
      <c r="L2119" s="791"/>
      <c r="M2119" s="954"/>
      <c r="N2119" s="777"/>
      <c r="P2119" s="789"/>
      <c r="Q2119" s="790"/>
      <c r="R2119" s="789"/>
      <c r="S2119" s="791"/>
    </row>
    <row r="2120" spans="3:19" s="767" customFormat="1" x14ac:dyDescent="0.25">
      <c r="D2120" s="3" t="s">
        <v>12456</v>
      </c>
      <c r="F2120" s="954"/>
      <c r="G2120" s="777"/>
      <c r="H2120" s="538"/>
      <c r="I2120" s="789"/>
      <c r="J2120" s="942"/>
      <c r="L2120" s="791"/>
      <c r="M2120" s="954"/>
      <c r="N2120" s="777"/>
      <c r="P2120" s="789"/>
      <c r="Q2120" s="790"/>
      <c r="R2120" s="789"/>
      <c r="S2120" s="791"/>
    </row>
    <row r="2121" spans="3:19" s="767" customFormat="1" x14ac:dyDescent="0.25">
      <c r="D2121" s="767" t="s">
        <v>12312</v>
      </c>
      <c r="F2121" s="954" t="s">
        <v>3</v>
      </c>
      <c r="G2121" s="777">
        <f>0.196*L2121</f>
        <v>0.28420000000000001</v>
      </c>
      <c r="H2121" s="538"/>
      <c r="I2121" s="789" t="s">
        <v>10149</v>
      </c>
      <c r="J2121" s="790">
        <v>1.3</v>
      </c>
      <c r="K2121" s="789" t="s">
        <v>10150</v>
      </c>
      <c r="L2121" s="791">
        <v>1.45</v>
      </c>
      <c r="M2121" s="954"/>
      <c r="N2121" s="777"/>
      <c r="P2121" s="789"/>
      <c r="Q2121" s="790"/>
      <c r="R2121" s="789"/>
      <c r="S2121" s="791"/>
    </row>
    <row r="2122" spans="3:19" s="767" customFormat="1" x14ac:dyDescent="0.25">
      <c r="F2122" s="954"/>
      <c r="G2122" s="777"/>
      <c r="H2122" s="538"/>
      <c r="I2122" s="789"/>
      <c r="J2122" s="942"/>
      <c r="L2122" s="791"/>
      <c r="M2122" s="954"/>
      <c r="N2122" s="777"/>
      <c r="P2122" s="789"/>
      <c r="Q2122" s="790"/>
      <c r="R2122" s="789"/>
      <c r="S2122" s="791"/>
    </row>
    <row r="2123" spans="3:19" s="767" customFormat="1" x14ac:dyDescent="0.25">
      <c r="C2123" s="3" t="s">
        <v>11557</v>
      </c>
      <c r="F2123" s="954"/>
      <c r="G2123" s="777"/>
      <c r="H2123" s="538"/>
      <c r="I2123" s="789"/>
      <c r="J2123" s="942"/>
      <c r="L2123" s="791"/>
      <c r="M2123" s="954"/>
      <c r="N2123" s="777"/>
      <c r="P2123" s="789"/>
      <c r="Q2123" s="790"/>
      <c r="R2123" s="789"/>
      <c r="S2123" s="791"/>
    </row>
    <row r="2124" spans="3:19" s="767" customFormat="1" x14ac:dyDescent="0.25">
      <c r="C2124" s="100" t="s">
        <v>140</v>
      </c>
      <c r="F2124" s="954" t="s">
        <v>3</v>
      </c>
      <c r="G2124" s="153">
        <f>0.008*3.14*2*0.08*1.25</f>
        <v>5.0239999999999998E-3</v>
      </c>
      <c r="H2124" s="538"/>
      <c r="I2124" s="789"/>
      <c r="J2124" s="942"/>
      <c r="L2124" s="791"/>
      <c r="M2124" s="954"/>
      <c r="N2124" s="777"/>
      <c r="P2124" s="789"/>
      <c r="Q2124" s="790"/>
      <c r="R2124" s="789"/>
      <c r="S2124" s="791"/>
    </row>
    <row r="2125" spans="3:19" s="767" customFormat="1" ht="17.25" x14ac:dyDescent="0.25">
      <c r="C2125" s="100" t="s">
        <v>23</v>
      </c>
      <c r="F2125" s="74" t="s">
        <v>596</v>
      </c>
      <c r="G2125" s="153">
        <f>G2124*2</f>
        <v>1.0048E-2</v>
      </c>
      <c r="H2125" s="538"/>
      <c r="I2125" s="789"/>
      <c r="J2125" s="942"/>
      <c r="L2125" s="791"/>
      <c r="M2125" s="954"/>
      <c r="N2125" s="777"/>
      <c r="P2125" s="789"/>
      <c r="Q2125" s="790"/>
      <c r="R2125" s="789"/>
      <c r="S2125" s="791"/>
    </row>
    <row r="2126" spans="3:19" s="767" customFormat="1" x14ac:dyDescent="0.25">
      <c r="C2126" s="100" t="s">
        <v>142</v>
      </c>
      <c r="F2126" s="74" t="s">
        <v>3</v>
      </c>
      <c r="G2126" s="153">
        <f>G2124/4</f>
        <v>1.256E-3</v>
      </c>
      <c r="H2126" s="538"/>
      <c r="I2126" s="789"/>
      <c r="J2126" s="942"/>
      <c r="L2126" s="791"/>
      <c r="M2126" s="954"/>
      <c r="N2126" s="777"/>
      <c r="P2126" s="789"/>
      <c r="Q2126" s="790"/>
      <c r="R2126" s="789"/>
      <c r="S2126" s="791"/>
    </row>
    <row r="2127" spans="3:19" s="767" customFormat="1" x14ac:dyDescent="0.25">
      <c r="C2127" s="186" t="s">
        <v>5441</v>
      </c>
      <c r="D2127" s="186"/>
      <c r="F2127" s="1029" t="s">
        <v>3</v>
      </c>
      <c r="G2127" s="10">
        <f>(J2131)*0.011*2*1.15</f>
        <v>4.9840999999999989E-2</v>
      </c>
      <c r="H2127" s="538"/>
      <c r="I2127" s="789"/>
      <c r="J2127" s="942"/>
      <c r="L2127" s="791"/>
      <c r="M2127" s="954"/>
      <c r="N2127" s="777"/>
      <c r="P2127" s="789"/>
      <c r="Q2127" s="790"/>
      <c r="R2127" s="789"/>
      <c r="S2127" s="791"/>
    </row>
    <row r="2128" spans="3:19" s="767" customFormat="1" x14ac:dyDescent="0.25">
      <c r="C2128" s="186" t="s">
        <v>8</v>
      </c>
      <c r="D2128" s="186"/>
      <c r="F2128" s="1029" t="s">
        <v>3</v>
      </c>
      <c r="G2128" s="10">
        <f>G2127*0.7</f>
        <v>3.4888699999999988E-2</v>
      </c>
      <c r="H2128" s="538"/>
      <c r="I2128" s="789"/>
      <c r="J2128" s="942"/>
      <c r="L2128" s="791"/>
      <c r="M2128" s="954"/>
      <c r="N2128" s="777"/>
      <c r="P2128" s="789"/>
      <c r="Q2128" s="790"/>
      <c r="R2128" s="789"/>
      <c r="S2128" s="791"/>
    </row>
    <row r="2129" spans="3:19" s="767" customFormat="1" x14ac:dyDescent="0.25">
      <c r="C2129" s="186" t="s">
        <v>12</v>
      </c>
      <c r="D2129" s="186"/>
      <c r="F2129" s="1029" t="s">
        <v>3</v>
      </c>
      <c r="G2129" s="10">
        <f>0.3*(G2128+G2127)</f>
        <v>2.5418909999999992E-2</v>
      </c>
      <c r="H2129" s="538"/>
      <c r="I2129" s="789"/>
      <c r="J2129" s="942"/>
      <c r="L2129" s="791"/>
      <c r="M2129" s="954"/>
      <c r="N2129" s="777"/>
      <c r="P2129" s="789"/>
      <c r="Q2129" s="790"/>
      <c r="R2129" s="789"/>
      <c r="S2129" s="791"/>
    </row>
    <row r="2130" spans="3:19" s="767" customFormat="1" x14ac:dyDescent="0.25">
      <c r="D2130" s="3" t="s">
        <v>12457</v>
      </c>
      <c r="F2130" s="954"/>
      <c r="G2130" s="777"/>
      <c r="H2130" s="538"/>
      <c r="I2130" s="789"/>
      <c r="J2130" s="942"/>
      <c r="L2130" s="791"/>
      <c r="M2130" s="954"/>
      <c r="N2130" s="777"/>
      <c r="P2130" s="789"/>
      <c r="Q2130" s="790"/>
      <c r="R2130" s="789"/>
      <c r="S2130" s="791"/>
    </row>
    <row r="2131" spans="3:19" s="767" customFormat="1" x14ac:dyDescent="0.25">
      <c r="D2131" s="767" t="s">
        <v>12312</v>
      </c>
      <c r="F2131" s="954" t="s">
        <v>3</v>
      </c>
      <c r="G2131" s="777">
        <f>0.196*L2131</f>
        <v>0.4214</v>
      </c>
      <c r="H2131" s="538"/>
      <c r="I2131" s="789" t="s">
        <v>10149</v>
      </c>
      <c r="J2131" s="790">
        <v>1.97</v>
      </c>
      <c r="K2131" s="789" t="s">
        <v>10150</v>
      </c>
      <c r="L2131" s="791">
        <v>2.15</v>
      </c>
      <c r="M2131" s="954"/>
      <c r="N2131" s="777"/>
      <c r="P2131" s="789"/>
      <c r="Q2131" s="790"/>
      <c r="R2131" s="789"/>
      <c r="S2131" s="791"/>
    </row>
    <row r="2132" spans="3:19" s="767" customFormat="1" x14ac:dyDescent="0.25">
      <c r="F2132" s="954"/>
      <c r="G2132" s="777"/>
      <c r="H2132" s="538"/>
      <c r="I2132" s="789"/>
      <c r="J2132" s="790"/>
      <c r="K2132" s="789"/>
      <c r="L2132" s="791"/>
      <c r="M2132" s="954"/>
      <c r="N2132" s="777"/>
      <c r="P2132" s="789"/>
      <c r="Q2132" s="790"/>
      <c r="R2132" s="789"/>
      <c r="S2132" s="791"/>
    </row>
    <row r="2133" spans="3:19" s="767" customFormat="1" x14ac:dyDescent="0.25">
      <c r="C2133" s="3" t="s">
        <v>11558</v>
      </c>
      <c r="F2133" s="954"/>
      <c r="G2133" s="777"/>
      <c r="H2133" s="538"/>
      <c r="I2133" s="789"/>
      <c r="J2133" s="942"/>
      <c r="L2133" s="791"/>
      <c r="M2133" s="954"/>
      <c r="N2133" s="777"/>
      <c r="P2133" s="789"/>
      <c r="Q2133" s="790"/>
      <c r="R2133" s="789"/>
      <c r="S2133" s="791"/>
    </row>
    <row r="2134" spans="3:19" s="767" customFormat="1" x14ac:dyDescent="0.25">
      <c r="C2134" s="263" t="s">
        <v>3394</v>
      </c>
      <c r="D2134" s="263"/>
      <c r="E2134" s="813"/>
      <c r="F2134" s="875" t="s">
        <v>3</v>
      </c>
      <c r="G2134" s="876">
        <f>(0.008*3.14*5)*0.08*1.3</f>
        <v>1.30624E-2</v>
      </c>
      <c r="H2134" s="538"/>
      <c r="I2134" s="789"/>
      <c r="J2134" s="942"/>
      <c r="L2134" s="791"/>
      <c r="M2134" s="954"/>
      <c r="N2134" s="777"/>
      <c r="P2134" s="789"/>
      <c r="Q2134" s="790"/>
      <c r="R2134" s="789"/>
      <c r="S2134" s="791"/>
    </row>
    <row r="2135" spans="3:19" s="767" customFormat="1" ht="17.25" x14ac:dyDescent="0.25">
      <c r="C2135" s="263" t="s">
        <v>121</v>
      </c>
      <c r="D2135" s="263"/>
      <c r="E2135" s="813"/>
      <c r="F2135" s="875" t="s">
        <v>10568</v>
      </c>
      <c r="G2135" s="876">
        <f>G2134*1.1</f>
        <v>1.4368640000000002E-2</v>
      </c>
      <c r="H2135" s="538"/>
      <c r="I2135" s="789"/>
      <c r="J2135" s="942"/>
      <c r="L2135" s="791"/>
      <c r="M2135" s="954"/>
      <c r="N2135" s="777"/>
      <c r="P2135" s="789"/>
      <c r="Q2135" s="790"/>
      <c r="R2135" s="789"/>
      <c r="S2135" s="791"/>
    </row>
    <row r="2136" spans="3:19" s="767" customFormat="1" x14ac:dyDescent="0.25">
      <c r="C2136" s="186" t="s">
        <v>152</v>
      </c>
      <c r="D2136" s="186"/>
      <c r="F2136" s="1029" t="s">
        <v>3</v>
      </c>
      <c r="G2136" s="10">
        <f>(J2140)*0.011*2*1.15</f>
        <v>8.9814999999999982E-3</v>
      </c>
      <c r="H2136" s="538"/>
      <c r="I2136" s="789"/>
      <c r="J2136" s="942"/>
      <c r="L2136" s="791"/>
      <c r="M2136" s="954"/>
      <c r="N2136" s="777"/>
      <c r="P2136" s="789"/>
      <c r="Q2136" s="790"/>
      <c r="R2136" s="789"/>
      <c r="S2136" s="791"/>
    </row>
    <row r="2137" spans="3:19" s="767" customFormat="1" x14ac:dyDescent="0.25">
      <c r="C2137" s="186" t="s">
        <v>8</v>
      </c>
      <c r="D2137" s="186"/>
      <c r="F2137" s="1029" t="s">
        <v>3</v>
      </c>
      <c r="G2137" s="10">
        <f>G2136*0.7</f>
        <v>6.287049999999998E-3</v>
      </c>
      <c r="H2137" s="538"/>
      <c r="I2137" s="789"/>
      <c r="J2137" s="942"/>
      <c r="L2137" s="791"/>
      <c r="M2137" s="954"/>
      <c r="N2137" s="777"/>
      <c r="P2137" s="789"/>
      <c r="Q2137" s="790"/>
      <c r="R2137" s="789"/>
      <c r="S2137" s="791"/>
    </row>
    <row r="2138" spans="3:19" s="767" customFormat="1" x14ac:dyDescent="0.25">
      <c r="C2138" s="186" t="s">
        <v>12</v>
      </c>
      <c r="D2138" s="186"/>
      <c r="F2138" s="1029" t="s">
        <v>3</v>
      </c>
      <c r="G2138" s="10">
        <f>0.3*(G2137+G2136)</f>
        <v>4.5805649999999982E-3</v>
      </c>
      <c r="H2138" s="538"/>
      <c r="I2138" s="789"/>
      <c r="J2138" s="942"/>
      <c r="L2138" s="791"/>
      <c r="M2138" s="954"/>
      <c r="N2138" s="777"/>
      <c r="P2138" s="789"/>
      <c r="Q2138" s="790"/>
      <c r="R2138" s="789"/>
      <c r="S2138" s="791"/>
    </row>
    <row r="2139" spans="3:19" s="767" customFormat="1" x14ac:dyDescent="0.25">
      <c r="C2139" s="942"/>
      <c r="D2139" s="3" t="s">
        <v>12453</v>
      </c>
      <c r="F2139" s="954"/>
      <c r="G2139" s="777"/>
      <c r="H2139" s="538"/>
      <c r="I2139" s="789"/>
      <c r="J2139" s="942"/>
      <c r="L2139" s="791"/>
      <c r="M2139" s="954"/>
      <c r="N2139" s="777"/>
      <c r="P2139" s="789"/>
      <c r="Q2139" s="790"/>
      <c r="R2139" s="789"/>
      <c r="S2139" s="791"/>
    </row>
    <row r="2140" spans="3:19" s="767" customFormat="1" x14ac:dyDescent="0.25">
      <c r="C2140" s="942"/>
      <c r="D2140" s="767" t="s">
        <v>3006</v>
      </c>
      <c r="F2140" s="954" t="s">
        <v>3</v>
      </c>
      <c r="G2140" s="777">
        <f>0.173*L2140</f>
        <v>7.2659999999999988E-2</v>
      </c>
      <c r="H2140" s="538"/>
      <c r="I2140" s="789" t="s">
        <v>10149</v>
      </c>
      <c r="J2140" s="790">
        <v>0.35499999999999998</v>
      </c>
      <c r="K2140" s="789" t="s">
        <v>10150</v>
      </c>
      <c r="L2140" s="791">
        <v>0.42</v>
      </c>
      <c r="M2140" s="954"/>
      <c r="N2140" s="777"/>
      <c r="P2140" s="789"/>
      <c r="Q2140" s="790"/>
      <c r="R2140" s="789"/>
      <c r="S2140" s="791"/>
    </row>
    <row r="2141" spans="3:19" s="767" customFormat="1" x14ac:dyDescent="0.25">
      <c r="C2141" s="942"/>
      <c r="F2141" s="954"/>
      <c r="G2141" s="777"/>
      <c r="H2141" s="538"/>
      <c r="I2141" s="789"/>
      <c r="J2141" s="942"/>
      <c r="L2141" s="791"/>
      <c r="M2141" s="954"/>
      <c r="N2141" s="777"/>
      <c r="P2141" s="789"/>
      <c r="Q2141" s="790"/>
      <c r="R2141" s="789"/>
      <c r="S2141" s="791"/>
    </row>
    <row r="2142" spans="3:19" s="767" customFormat="1" x14ac:dyDescent="0.25">
      <c r="C2142" s="3" t="s">
        <v>11559</v>
      </c>
      <c r="F2142" s="954"/>
      <c r="G2142" s="777"/>
      <c r="H2142" s="538"/>
      <c r="I2142" s="789"/>
      <c r="J2142" s="942"/>
      <c r="L2142" s="791"/>
      <c r="M2142" s="954"/>
      <c r="N2142" s="777"/>
      <c r="P2142" s="789"/>
      <c r="Q2142" s="790"/>
      <c r="R2142" s="789"/>
      <c r="S2142" s="791"/>
    </row>
    <row r="2143" spans="3:19" s="767" customFormat="1" x14ac:dyDescent="0.25">
      <c r="C2143" s="263" t="s">
        <v>3394</v>
      </c>
      <c r="D2143" s="263"/>
      <c r="E2143" s="813"/>
      <c r="F2143" s="875" t="s">
        <v>3</v>
      </c>
      <c r="G2143" s="876">
        <f>(0.008*3.14*5)*0.08*1.3</f>
        <v>1.30624E-2</v>
      </c>
      <c r="H2143" s="538"/>
      <c r="I2143" s="789"/>
      <c r="J2143" s="942"/>
      <c r="L2143" s="791"/>
      <c r="M2143" s="954"/>
      <c r="N2143" s="777"/>
      <c r="P2143" s="789"/>
      <c r="Q2143" s="790"/>
      <c r="R2143" s="789"/>
      <c r="S2143" s="791"/>
    </row>
    <row r="2144" spans="3:19" s="767" customFormat="1" ht="17.25" x14ac:dyDescent="0.25">
      <c r="C2144" s="263" t="s">
        <v>121</v>
      </c>
      <c r="D2144" s="263"/>
      <c r="E2144" s="813"/>
      <c r="F2144" s="875" t="s">
        <v>10568</v>
      </c>
      <c r="G2144" s="876">
        <f>G2143*1.1</f>
        <v>1.4368640000000002E-2</v>
      </c>
      <c r="H2144" s="538"/>
      <c r="I2144" s="789"/>
      <c r="J2144" s="942"/>
      <c r="L2144" s="791"/>
      <c r="M2144" s="954"/>
      <c r="N2144" s="777"/>
      <c r="P2144" s="789"/>
      <c r="Q2144" s="790"/>
      <c r="R2144" s="789"/>
      <c r="S2144" s="791"/>
    </row>
    <row r="2145" spans="3:19" s="767" customFormat="1" x14ac:dyDescent="0.25">
      <c r="C2145" s="186" t="s">
        <v>152</v>
      </c>
      <c r="D2145" s="186"/>
      <c r="F2145" s="1029" t="s">
        <v>3</v>
      </c>
      <c r="G2145" s="10">
        <f>(J2149)*0.011*2*1.15</f>
        <v>3.8455999999999997E-2</v>
      </c>
      <c r="H2145" s="538"/>
      <c r="I2145" s="789"/>
      <c r="J2145" s="942"/>
      <c r="L2145" s="791"/>
      <c r="M2145" s="954"/>
      <c r="N2145" s="777"/>
      <c r="P2145" s="789"/>
      <c r="Q2145" s="790"/>
      <c r="R2145" s="789"/>
      <c r="S2145" s="791"/>
    </row>
    <row r="2146" spans="3:19" s="767" customFormat="1" x14ac:dyDescent="0.25">
      <c r="C2146" s="186" t="s">
        <v>8</v>
      </c>
      <c r="D2146" s="186"/>
      <c r="F2146" s="1029" t="s">
        <v>3</v>
      </c>
      <c r="G2146" s="10">
        <f>G2145*0.7</f>
        <v>2.6919199999999997E-2</v>
      </c>
      <c r="H2146" s="538"/>
      <c r="I2146" s="789"/>
      <c r="J2146" s="942"/>
      <c r="L2146" s="791"/>
      <c r="M2146" s="954"/>
      <c r="N2146" s="777"/>
      <c r="P2146" s="789"/>
      <c r="Q2146" s="790"/>
      <c r="R2146" s="789"/>
      <c r="S2146" s="791"/>
    </row>
    <row r="2147" spans="3:19" s="767" customFormat="1" x14ac:dyDescent="0.25">
      <c r="C2147" s="186" t="s">
        <v>12</v>
      </c>
      <c r="D2147" s="186"/>
      <c r="F2147" s="1029" t="s">
        <v>3</v>
      </c>
      <c r="G2147" s="10">
        <f>0.3*(G2146+G2145)</f>
        <v>1.9612559999999998E-2</v>
      </c>
      <c r="H2147" s="538"/>
      <c r="I2147" s="789"/>
      <c r="J2147" s="942"/>
      <c r="L2147" s="791"/>
      <c r="M2147" s="954"/>
      <c r="N2147" s="777"/>
      <c r="P2147" s="789"/>
      <c r="Q2147" s="790"/>
      <c r="R2147" s="789"/>
      <c r="S2147" s="791"/>
    </row>
    <row r="2148" spans="3:19" s="767" customFormat="1" x14ac:dyDescent="0.25">
      <c r="C2148" s="942"/>
      <c r="D2148" s="3" t="s">
        <v>12459</v>
      </c>
      <c r="F2148" s="954"/>
      <c r="G2148" s="777"/>
      <c r="H2148" s="538"/>
      <c r="I2148" s="789"/>
      <c r="J2148" s="942"/>
      <c r="L2148" s="791"/>
      <c r="M2148" s="954"/>
      <c r="N2148" s="777"/>
      <c r="P2148" s="789"/>
      <c r="Q2148" s="790"/>
      <c r="R2148" s="789"/>
      <c r="S2148" s="791"/>
    </row>
    <row r="2149" spans="3:19" s="767" customFormat="1" x14ac:dyDescent="0.25">
      <c r="C2149" s="942"/>
      <c r="D2149" s="767" t="s">
        <v>10631</v>
      </c>
      <c r="F2149" s="954" t="s">
        <v>3</v>
      </c>
      <c r="G2149" s="777">
        <f>0.123*L2149</f>
        <v>0.20909999999999998</v>
      </c>
      <c r="H2149" s="538"/>
      <c r="I2149" s="789" t="s">
        <v>10149</v>
      </c>
      <c r="J2149" s="790">
        <v>1.52</v>
      </c>
      <c r="K2149" s="789" t="s">
        <v>10150</v>
      </c>
      <c r="L2149" s="791">
        <v>1.7</v>
      </c>
      <c r="M2149" s="954"/>
      <c r="N2149" s="777"/>
      <c r="P2149" s="789"/>
      <c r="Q2149" s="790"/>
      <c r="R2149" s="789"/>
      <c r="S2149" s="791"/>
    </row>
    <row r="2150" spans="3:19" s="767" customFormat="1" x14ac:dyDescent="0.25">
      <c r="F2150" s="954"/>
      <c r="G2150" s="777"/>
      <c r="H2150" s="538"/>
      <c r="I2150" s="789"/>
      <c r="J2150" s="942"/>
      <c r="L2150" s="791"/>
      <c r="M2150" s="954"/>
      <c r="N2150" s="777"/>
      <c r="P2150" s="789"/>
      <c r="Q2150" s="790"/>
      <c r="R2150" s="789"/>
      <c r="S2150" s="791"/>
    </row>
    <row r="2151" spans="3:19" s="767" customFormat="1" x14ac:dyDescent="0.25">
      <c r="C2151" s="3" t="s">
        <v>11560</v>
      </c>
      <c r="F2151" s="954"/>
      <c r="G2151" s="777"/>
      <c r="H2151" s="538"/>
      <c r="I2151" s="789"/>
      <c r="J2151" s="942"/>
      <c r="L2151" s="791"/>
      <c r="M2151" s="954"/>
      <c r="N2151" s="777"/>
      <c r="P2151" s="789"/>
      <c r="Q2151" s="790"/>
      <c r="R2151" s="789"/>
      <c r="S2151" s="791"/>
    </row>
    <row r="2152" spans="3:19" s="767" customFormat="1" x14ac:dyDescent="0.25">
      <c r="C2152" s="263" t="s">
        <v>3394</v>
      </c>
      <c r="D2152" s="263"/>
      <c r="E2152" s="813"/>
      <c r="F2152" s="875" t="s">
        <v>3</v>
      </c>
      <c r="G2152" s="876">
        <f>(0.006*3.14*2)*0.08*1.3</f>
        <v>3.9187200000000005E-3</v>
      </c>
      <c r="H2152" s="538"/>
      <c r="I2152" s="789"/>
      <c r="J2152" s="942"/>
      <c r="L2152" s="791"/>
      <c r="M2152" s="954"/>
      <c r="N2152" s="777"/>
      <c r="P2152" s="789"/>
      <c r="Q2152" s="790"/>
      <c r="R2152" s="789"/>
      <c r="S2152" s="791"/>
    </row>
    <row r="2153" spans="3:19" s="767" customFormat="1" ht="17.25" x14ac:dyDescent="0.25">
      <c r="C2153" s="263" t="s">
        <v>121</v>
      </c>
      <c r="D2153" s="263"/>
      <c r="E2153" s="813"/>
      <c r="F2153" s="875" t="s">
        <v>10568</v>
      </c>
      <c r="G2153" s="876">
        <f>G2152*1.1</f>
        <v>4.3105920000000011E-3</v>
      </c>
      <c r="H2153" s="538"/>
      <c r="I2153" s="789"/>
      <c r="J2153" s="942"/>
      <c r="L2153" s="791"/>
      <c r="M2153" s="954"/>
      <c r="N2153" s="777"/>
      <c r="P2153" s="789"/>
      <c r="Q2153" s="790"/>
      <c r="R2153" s="789"/>
      <c r="S2153" s="791"/>
    </row>
    <row r="2154" spans="3:19" s="767" customFormat="1" x14ac:dyDescent="0.25">
      <c r="C2154" s="186" t="s">
        <v>152</v>
      </c>
      <c r="D2154" s="186"/>
      <c r="F2154" s="1029" t="s">
        <v>3</v>
      </c>
      <c r="G2154" s="10">
        <f>(J2158)*0.011*2*1.15</f>
        <v>4.5286999999999994E-2</v>
      </c>
      <c r="H2154" s="538"/>
      <c r="I2154" s="789"/>
      <c r="J2154" s="942"/>
      <c r="L2154" s="791"/>
      <c r="M2154" s="954"/>
      <c r="N2154" s="777"/>
      <c r="P2154" s="789"/>
      <c r="Q2154" s="790"/>
      <c r="R2154" s="789"/>
      <c r="S2154" s="791"/>
    </row>
    <row r="2155" spans="3:19" s="767" customFormat="1" x14ac:dyDescent="0.25">
      <c r="C2155" s="186" t="s">
        <v>8</v>
      </c>
      <c r="D2155" s="186"/>
      <c r="F2155" s="1029" t="s">
        <v>3</v>
      </c>
      <c r="G2155" s="10">
        <f>G2154*0.7</f>
        <v>3.1700899999999997E-2</v>
      </c>
      <c r="H2155" s="538"/>
      <c r="I2155" s="789"/>
      <c r="J2155" s="942"/>
      <c r="L2155" s="791"/>
      <c r="M2155" s="954"/>
      <c r="N2155" s="777"/>
      <c r="P2155" s="789"/>
      <c r="Q2155" s="790"/>
      <c r="R2155" s="789"/>
      <c r="S2155" s="791"/>
    </row>
    <row r="2156" spans="3:19" s="767" customFormat="1" x14ac:dyDescent="0.25">
      <c r="C2156" s="186" t="s">
        <v>12</v>
      </c>
      <c r="D2156" s="186"/>
      <c r="F2156" s="1029" t="s">
        <v>3</v>
      </c>
      <c r="G2156" s="10">
        <f>0.3*(G2155+G2154)</f>
        <v>2.3096369999999998E-2</v>
      </c>
      <c r="H2156" s="538"/>
      <c r="I2156" s="789"/>
      <c r="J2156" s="942"/>
      <c r="L2156" s="791"/>
      <c r="M2156" s="954"/>
      <c r="N2156" s="777"/>
      <c r="P2156" s="789"/>
      <c r="Q2156" s="790"/>
      <c r="R2156" s="789"/>
      <c r="S2156" s="791"/>
    </row>
    <row r="2157" spans="3:19" s="767" customFormat="1" x14ac:dyDescent="0.25">
      <c r="C2157" s="942"/>
      <c r="D2157" s="3" t="s">
        <v>12460</v>
      </c>
      <c r="F2157" s="954"/>
      <c r="G2157" s="777"/>
      <c r="H2157" s="538"/>
      <c r="I2157" s="789"/>
      <c r="J2157" s="942"/>
      <c r="L2157" s="791"/>
      <c r="M2157" s="954"/>
      <c r="N2157" s="777"/>
      <c r="P2157" s="789"/>
      <c r="Q2157" s="790"/>
      <c r="R2157" s="789"/>
      <c r="S2157" s="791"/>
    </row>
    <row r="2158" spans="3:19" s="767" customFormat="1" x14ac:dyDescent="0.25">
      <c r="C2158" s="942"/>
      <c r="D2158" s="767" t="s">
        <v>10631</v>
      </c>
      <c r="F2158" s="954" t="s">
        <v>3</v>
      </c>
      <c r="G2158" s="777">
        <f>0.123*L2158</f>
        <v>0.23615999999999998</v>
      </c>
      <c r="H2158" s="538"/>
      <c r="I2158" s="789" t="s">
        <v>10149</v>
      </c>
      <c r="J2158" s="790">
        <v>1.79</v>
      </c>
      <c r="K2158" s="789" t="s">
        <v>10150</v>
      </c>
      <c r="L2158" s="791">
        <v>1.92</v>
      </c>
      <c r="M2158" s="954"/>
      <c r="N2158" s="777"/>
      <c r="P2158" s="789"/>
      <c r="Q2158" s="790"/>
      <c r="R2158" s="789"/>
      <c r="S2158" s="791"/>
    </row>
    <row r="2159" spans="3:19" s="767" customFormat="1" x14ac:dyDescent="0.25">
      <c r="F2159" s="954"/>
      <c r="G2159" s="777"/>
      <c r="H2159" s="538"/>
      <c r="I2159" s="789"/>
      <c r="J2159" s="942"/>
      <c r="L2159" s="791"/>
      <c r="M2159" s="954"/>
      <c r="N2159" s="777"/>
      <c r="P2159" s="789"/>
      <c r="Q2159" s="790"/>
      <c r="R2159" s="789"/>
      <c r="S2159" s="791"/>
    </row>
    <row r="2160" spans="3:19" s="767" customFormat="1" x14ac:dyDescent="0.25">
      <c r="C2160" s="3" t="s">
        <v>11561</v>
      </c>
      <c r="F2160" s="954"/>
      <c r="G2160" s="777"/>
      <c r="H2160" s="538"/>
      <c r="I2160" s="789"/>
      <c r="J2160" s="942"/>
      <c r="L2160" s="791"/>
      <c r="M2160" s="954"/>
      <c r="N2160" s="777"/>
      <c r="P2160" s="789"/>
      <c r="Q2160" s="790"/>
      <c r="R2160" s="789"/>
      <c r="S2160" s="791"/>
    </row>
    <row r="2161" spans="3:19" s="767" customFormat="1" x14ac:dyDescent="0.25">
      <c r="C2161" s="263" t="s">
        <v>3394</v>
      </c>
      <c r="D2161" s="263"/>
      <c r="E2161" s="813"/>
      <c r="F2161" s="875" t="s">
        <v>3</v>
      </c>
      <c r="G2161" s="876">
        <f>(0.006*3.14*2)*0.08*1.3</f>
        <v>3.9187200000000005E-3</v>
      </c>
      <c r="H2161" s="538"/>
      <c r="I2161" s="789"/>
      <c r="J2161" s="942"/>
      <c r="L2161" s="791"/>
      <c r="M2161" s="954"/>
      <c r="N2161" s="777"/>
      <c r="P2161" s="789"/>
      <c r="Q2161" s="790"/>
      <c r="R2161" s="789"/>
      <c r="S2161" s="791"/>
    </row>
    <row r="2162" spans="3:19" s="767" customFormat="1" ht="17.25" x14ac:dyDescent="0.25">
      <c r="C2162" s="263" t="s">
        <v>121</v>
      </c>
      <c r="D2162" s="263"/>
      <c r="E2162" s="813"/>
      <c r="F2162" s="875" t="s">
        <v>10568</v>
      </c>
      <c r="G2162" s="876">
        <f>G2161*1.1</f>
        <v>4.3105920000000011E-3</v>
      </c>
      <c r="H2162" s="538"/>
      <c r="I2162" s="789"/>
      <c r="J2162" s="942"/>
      <c r="L2162" s="791"/>
      <c r="M2162" s="954"/>
      <c r="N2162" s="777"/>
      <c r="P2162" s="789"/>
      <c r="Q2162" s="790"/>
      <c r="R2162" s="789"/>
      <c r="S2162" s="791"/>
    </row>
    <row r="2163" spans="3:19" s="767" customFormat="1" x14ac:dyDescent="0.25">
      <c r="C2163" s="186" t="s">
        <v>152</v>
      </c>
      <c r="D2163" s="186"/>
      <c r="F2163" s="1029" t="s">
        <v>3</v>
      </c>
      <c r="G2163" s="10">
        <f>(J2167)*0.011*2*1.15</f>
        <v>1.9986999999999998E-2</v>
      </c>
      <c r="H2163" s="538"/>
      <c r="I2163" s="789"/>
      <c r="J2163" s="942"/>
      <c r="L2163" s="791"/>
      <c r="M2163" s="954"/>
      <c r="N2163" s="777"/>
      <c r="P2163" s="789"/>
      <c r="Q2163" s="790"/>
      <c r="R2163" s="789"/>
      <c r="S2163" s="791"/>
    </row>
    <row r="2164" spans="3:19" s="767" customFormat="1" x14ac:dyDescent="0.25">
      <c r="C2164" s="186" t="s">
        <v>8</v>
      </c>
      <c r="D2164" s="186"/>
      <c r="F2164" s="1029" t="s">
        <v>3</v>
      </c>
      <c r="G2164" s="10">
        <f>G2163*0.7</f>
        <v>1.3990899999999997E-2</v>
      </c>
      <c r="H2164" s="538"/>
      <c r="I2164" s="789"/>
      <c r="J2164" s="942"/>
      <c r="L2164" s="791"/>
      <c r="M2164" s="954"/>
      <c r="N2164" s="777"/>
      <c r="P2164" s="789"/>
      <c r="Q2164" s="790"/>
      <c r="R2164" s="789"/>
      <c r="S2164" s="791"/>
    </row>
    <row r="2165" spans="3:19" s="767" customFormat="1" x14ac:dyDescent="0.25">
      <c r="C2165" s="186" t="s">
        <v>12</v>
      </c>
      <c r="D2165" s="186"/>
      <c r="F2165" s="1029" t="s">
        <v>3</v>
      </c>
      <c r="G2165" s="10">
        <f>0.3*(G2164+G2163)</f>
        <v>1.0193369999999997E-2</v>
      </c>
      <c r="H2165" s="538"/>
      <c r="I2165" s="789"/>
      <c r="J2165" s="942"/>
      <c r="L2165" s="791"/>
      <c r="M2165" s="954"/>
      <c r="N2165" s="777"/>
      <c r="P2165" s="789"/>
      <c r="Q2165" s="790"/>
      <c r="R2165" s="789"/>
      <c r="S2165" s="791"/>
    </row>
    <row r="2166" spans="3:19" s="767" customFormat="1" x14ac:dyDescent="0.25">
      <c r="C2166" s="942"/>
      <c r="D2166" s="3" t="s">
        <v>12461</v>
      </c>
      <c r="F2166" s="954"/>
      <c r="G2166" s="777"/>
      <c r="H2166" s="538"/>
      <c r="I2166" s="789"/>
      <c r="J2166" s="942"/>
      <c r="L2166" s="791"/>
      <c r="M2166" s="954"/>
      <c r="N2166" s="777"/>
      <c r="P2166" s="789"/>
      <c r="Q2166" s="790"/>
      <c r="R2166" s="789"/>
      <c r="S2166" s="791"/>
    </row>
    <row r="2167" spans="3:19" s="767" customFormat="1" x14ac:dyDescent="0.25">
      <c r="C2167" s="942"/>
      <c r="D2167" s="767" t="s">
        <v>10631</v>
      </c>
      <c r="F2167" s="954" t="s">
        <v>3</v>
      </c>
      <c r="G2167" s="777">
        <f>0.123*L2167</f>
        <v>0.10578</v>
      </c>
      <c r="H2167" s="538"/>
      <c r="I2167" s="789" t="s">
        <v>10149</v>
      </c>
      <c r="J2167" s="790">
        <v>0.79</v>
      </c>
      <c r="K2167" s="789" t="s">
        <v>10150</v>
      </c>
      <c r="L2167" s="791">
        <v>0.86</v>
      </c>
      <c r="M2167" s="954"/>
      <c r="N2167" s="777"/>
      <c r="P2167" s="789"/>
      <c r="Q2167" s="790"/>
      <c r="R2167" s="789"/>
      <c r="S2167" s="791"/>
    </row>
    <row r="2168" spans="3:19" s="767" customFormat="1" x14ac:dyDescent="0.25">
      <c r="C2168" s="942"/>
      <c r="F2168" s="954"/>
      <c r="G2168" s="777"/>
      <c r="H2168" s="538"/>
      <c r="I2168" s="789"/>
      <c r="J2168" s="1031" t="s">
        <v>12462</v>
      </c>
      <c r="L2168" s="791"/>
      <c r="M2168" s="954"/>
      <c r="N2168" s="777"/>
      <c r="P2168" s="789"/>
      <c r="Q2168" s="790"/>
      <c r="R2168" s="789"/>
      <c r="S2168" s="791"/>
    </row>
    <row r="2169" spans="3:19" s="767" customFormat="1" x14ac:dyDescent="0.25">
      <c r="C2169" s="3" t="s">
        <v>11562</v>
      </c>
      <c r="F2169" s="954"/>
      <c r="G2169" s="777"/>
      <c r="H2169" s="538"/>
      <c r="I2169" s="789"/>
      <c r="J2169" s="1031"/>
      <c r="L2169" s="791"/>
      <c r="M2169" s="954"/>
      <c r="N2169" s="777"/>
      <c r="P2169" s="789"/>
      <c r="Q2169" s="790"/>
      <c r="R2169" s="789"/>
      <c r="S2169" s="791"/>
    </row>
    <row r="2170" spans="3:19" s="767" customFormat="1" x14ac:dyDescent="0.25">
      <c r="C2170" s="263" t="s">
        <v>3394</v>
      </c>
      <c r="D2170" s="263"/>
      <c r="E2170" s="813"/>
      <c r="F2170" s="875" t="s">
        <v>3</v>
      </c>
      <c r="G2170" s="876">
        <f>(0.006*3.14*2)*0.08*1.3</f>
        <v>3.9187200000000005E-3</v>
      </c>
      <c r="H2170" s="538"/>
      <c r="I2170" s="789"/>
      <c r="J2170" s="942"/>
      <c r="L2170" s="791"/>
      <c r="M2170" s="954"/>
      <c r="N2170" s="777"/>
      <c r="P2170" s="789"/>
      <c r="Q2170" s="790"/>
      <c r="R2170" s="789"/>
      <c r="S2170" s="791"/>
    </row>
    <row r="2171" spans="3:19" s="767" customFormat="1" ht="17.25" x14ac:dyDescent="0.25">
      <c r="C2171" s="263" t="s">
        <v>121</v>
      </c>
      <c r="D2171" s="263"/>
      <c r="E2171" s="813"/>
      <c r="F2171" s="875" t="s">
        <v>10568</v>
      </c>
      <c r="G2171" s="876">
        <f>G2170*1.1</f>
        <v>4.3105920000000011E-3</v>
      </c>
      <c r="H2171" s="538"/>
      <c r="I2171" s="789"/>
      <c r="J2171" s="942"/>
      <c r="L2171" s="791"/>
      <c r="M2171" s="954"/>
      <c r="N2171" s="777"/>
      <c r="P2171" s="789"/>
      <c r="Q2171" s="790"/>
      <c r="R2171" s="789"/>
      <c r="S2171" s="791"/>
    </row>
    <row r="2172" spans="3:19" s="767" customFormat="1" x14ac:dyDescent="0.25">
      <c r="C2172" s="186" t="s">
        <v>152</v>
      </c>
      <c r="D2172" s="186"/>
      <c r="F2172" s="1029" t="s">
        <v>3</v>
      </c>
      <c r="G2172" s="10">
        <f>(J2176)*0.011*2*1.15</f>
        <v>4.2377499999999999E-2</v>
      </c>
      <c r="H2172" s="538"/>
      <c r="I2172" s="789"/>
      <c r="J2172" s="942"/>
      <c r="L2172" s="791"/>
      <c r="M2172" s="954"/>
      <c r="N2172" s="777"/>
      <c r="P2172" s="789"/>
      <c r="Q2172" s="790"/>
      <c r="R2172" s="789"/>
      <c r="S2172" s="791"/>
    </row>
    <row r="2173" spans="3:19" s="767" customFormat="1" x14ac:dyDescent="0.25">
      <c r="C2173" s="186" t="s">
        <v>8</v>
      </c>
      <c r="D2173" s="186"/>
      <c r="F2173" s="1029" t="s">
        <v>3</v>
      </c>
      <c r="G2173" s="10">
        <f>G2172*0.7</f>
        <v>2.9664249999999996E-2</v>
      </c>
      <c r="H2173" s="538"/>
      <c r="I2173" s="789"/>
      <c r="J2173" s="942"/>
      <c r="L2173" s="791"/>
      <c r="M2173" s="954"/>
      <c r="N2173" s="777"/>
      <c r="P2173" s="789"/>
      <c r="Q2173" s="790"/>
      <c r="R2173" s="789"/>
      <c r="S2173" s="791"/>
    </row>
    <row r="2174" spans="3:19" s="767" customFormat="1" x14ac:dyDescent="0.25">
      <c r="C2174" s="186" t="s">
        <v>12</v>
      </c>
      <c r="D2174" s="186"/>
      <c r="F2174" s="1029" t="s">
        <v>3</v>
      </c>
      <c r="G2174" s="10">
        <f>0.3*(G2173+G2172)</f>
        <v>2.1612524999999997E-2</v>
      </c>
      <c r="H2174" s="538"/>
      <c r="I2174" s="789"/>
      <c r="J2174" s="942"/>
      <c r="L2174" s="791"/>
      <c r="M2174" s="954"/>
      <c r="N2174" s="777"/>
      <c r="P2174" s="789"/>
      <c r="Q2174" s="790"/>
      <c r="R2174" s="789"/>
      <c r="S2174" s="791"/>
    </row>
    <row r="2175" spans="3:19" s="767" customFormat="1" x14ac:dyDescent="0.25">
      <c r="C2175" s="942"/>
      <c r="D2175" s="3" t="s">
        <v>12463</v>
      </c>
      <c r="F2175" s="954"/>
      <c r="G2175" s="777"/>
      <c r="H2175" s="538"/>
      <c r="I2175" s="789"/>
      <c r="J2175" s="942"/>
      <c r="L2175" s="791"/>
      <c r="M2175" s="954"/>
      <c r="N2175" s="777"/>
      <c r="P2175" s="789"/>
      <c r="Q2175" s="790"/>
      <c r="R2175" s="789"/>
      <c r="S2175" s="791"/>
    </row>
    <row r="2176" spans="3:19" s="767" customFormat="1" x14ac:dyDescent="0.25">
      <c r="C2176" s="942"/>
      <c r="D2176" s="767" t="s">
        <v>10631</v>
      </c>
      <c r="F2176" s="954" t="s">
        <v>3</v>
      </c>
      <c r="G2176" s="777">
        <f>0.123*L2176</f>
        <v>0.22509000000000001</v>
      </c>
      <c r="H2176" s="538"/>
      <c r="I2176" s="789" t="s">
        <v>10149</v>
      </c>
      <c r="J2176" s="790">
        <v>1.675</v>
      </c>
      <c r="K2176" s="789" t="s">
        <v>10150</v>
      </c>
      <c r="L2176" s="791">
        <v>1.83</v>
      </c>
      <c r="M2176" s="954"/>
      <c r="N2176" s="777"/>
      <c r="P2176" s="789"/>
      <c r="Q2176" s="790"/>
      <c r="R2176" s="789"/>
      <c r="S2176" s="791"/>
    </row>
    <row r="2177" spans="1:19" s="767" customFormat="1" x14ac:dyDescent="0.25">
      <c r="F2177" s="954"/>
      <c r="G2177" s="777"/>
      <c r="H2177" s="538"/>
      <c r="I2177" s="789"/>
      <c r="J2177" s="1031"/>
      <c r="L2177" s="791"/>
      <c r="M2177" s="954"/>
      <c r="N2177" s="777"/>
      <c r="P2177" s="789"/>
      <c r="Q2177" s="790"/>
      <c r="R2177" s="789"/>
      <c r="S2177" s="791"/>
    </row>
    <row r="2178" spans="1:19" s="767" customFormat="1" x14ac:dyDescent="0.25">
      <c r="C2178" s="3" t="s">
        <v>11563</v>
      </c>
      <c r="F2178" s="954"/>
      <c r="G2178" s="777"/>
      <c r="H2178" s="538"/>
      <c r="I2178" s="789"/>
      <c r="J2178" s="1031"/>
      <c r="L2178" s="791"/>
      <c r="M2178" s="954"/>
      <c r="N2178" s="777"/>
      <c r="P2178" s="789"/>
      <c r="Q2178" s="790"/>
      <c r="R2178" s="789"/>
      <c r="S2178" s="791"/>
    </row>
    <row r="2179" spans="1:19" s="767" customFormat="1" x14ac:dyDescent="0.25">
      <c r="C2179" s="263" t="s">
        <v>3394</v>
      </c>
      <c r="D2179" s="263"/>
      <c r="E2179" s="813"/>
      <c r="F2179" s="875" t="s">
        <v>3</v>
      </c>
      <c r="G2179" s="876">
        <f>(0.006*3.14*6)*0.08*1.3</f>
        <v>1.1756160000000002E-2</v>
      </c>
      <c r="H2179" s="538"/>
      <c r="I2179" s="789"/>
      <c r="J2179" s="942"/>
      <c r="L2179" s="791"/>
      <c r="M2179" s="954"/>
      <c r="N2179" s="777"/>
      <c r="P2179" s="789"/>
      <c r="Q2179" s="790"/>
      <c r="R2179" s="789"/>
      <c r="S2179" s="791"/>
    </row>
    <row r="2180" spans="1:19" s="767" customFormat="1" ht="17.25" x14ac:dyDescent="0.25">
      <c r="C2180" s="263" t="s">
        <v>121</v>
      </c>
      <c r="D2180" s="263"/>
      <c r="E2180" s="813"/>
      <c r="F2180" s="875" t="s">
        <v>10568</v>
      </c>
      <c r="G2180" s="876">
        <f>G2179*1.1</f>
        <v>1.2931776000000002E-2</v>
      </c>
      <c r="H2180" s="538"/>
      <c r="I2180" s="789"/>
      <c r="J2180" s="942"/>
      <c r="L2180" s="791"/>
      <c r="M2180" s="954"/>
      <c r="N2180" s="777"/>
      <c r="P2180" s="789"/>
      <c r="Q2180" s="790"/>
      <c r="R2180" s="789"/>
      <c r="S2180" s="791"/>
    </row>
    <row r="2181" spans="1:19" s="767" customFormat="1" x14ac:dyDescent="0.25">
      <c r="C2181" s="186" t="s">
        <v>152</v>
      </c>
      <c r="D2181" s="186"/>
      <c r="F2181" s="1029" t="s">
        <v>3</v>
      </c>
      <c r="G2181" s="10">
        <f>(J2185+J2187+J2189)*0.011*2*1.15</f>
        <v>2.9347999999999996E-2</v>
      </c>
      <c r="H2181" s="538"/>
      <c r="I2181" s="789"/>
      <c r="J2181" s="942"/>
      <c r="L2181" s="791"/>
      <c r="M2181" s="954"/>
      <c r="N2181" s="777"/>
      <c r="P2181" s="789"/>
      <c r="Q2181" s="790"/>
      <c r="R2181" s="789"/>
      <c r="S2181" s="791"/>
    </row>
    <row r="2182" spans="1:19" s="767" customFormat="1" x14ac:dyDescent="0.25">
      <c r="C2182" s="186" t="s">
        <v>8</v>
      </c>
      <c r="D2182" s="186"/>
      <c r="F2182" s="1029" t="s">
        <v>3</v>
      </c>
      <c r="G2182" s="10">
        <f>G2181*0.7</f>
        <v>2.0543599999999995E-2</v>
      </c>
      <c r="H2182" s="538"/>
      <c r="I2182" s="789"/>
      <c r="J2182" s="942"/>
      <c r="L2182" s="791"/>
      <c r="M2182" s="954"/>
      <c r="N2182" s="777"/>
      <c r="P2182" s="789"/>
      <c r="Q2182" s="790"/>
      <c r="R2182" s="789"/>
      <c r="S2182" s="791"/>
    </row>
    <row r="2183" spans="1:19" s="767" customFormat="1" x14ac:dyDescent="0.25">
      <c r="C2183" s="186" t="s">
        <v>12</v>
      </c>
      <c r="D2183" s="186"/>
      <c r="F2183" s="1029" t="s">
        <v>3</v>
      </c>
      <c r="G2183" s="10">
        <f>0.3*(G2182+G2181)</f>
        <v>1.4967479999999998E-2</v>
      </c>
      <c r="H2183" s="538"/>
      <c r="I2183" s="789"/>
      <c r="J2183" s="942"/>
      <c r="L2183" s="791"/>
      <c r="M2183" s="954"/>
      <c r="N2183" s="777"/>
      <c r="P2183" s="789"/>
      <c r="Q2183" s="790"/>
      <c r="R2183" s="789"/>
      <c r="S2183" s="791"/>
    </row>
    <row r="2184" spans="1:19" s="767" customFormat="1" x14ac:dyDescent="0.25">
      <c r="C2184" s="942"/>
      <c r="D2184" s="3" t="s">
        <v>12464</v>
      </c>
      <c r="F2184" s="954"/>
      <c r="G2184" s="777"/>
      <c r="H2184" s="538"/>
      <c r="I2184" s="789"/>
      <c r="J2184" s="942"/>
      <c r="L2184" s="791"/>
      <c r="M2184" s="954"/>
      <c r="N2184" s="777"/>
      <c r="P2184" s="789"/>
      <c r="Q2184" s="790"/>
      <c r="R2184" s="789"/>
      <c r="S2184" s="791"/>
    </row>
    <row r="2185" spans="1:19" s="767" customFormat="1" x14ac:dyDescent="0.25">
      <c r="C2185" s="942"/>
      <c r="D2185" s="767" t="s">
        <v>3006</v>
      </c>
      <c r="F2185" s="954" t="s">
        <v>3</v>
      </c>
      <c r="G2185" s="777">
        <f>0.123*L2185</f>
        <v>8.7329999999999991E-2</v>
      </c>
      <c r="H2185" s="538"/>
      <c r="I2185" s="789" t="s">
        <v>10149</v>
      </c>
      <c r="J2185" s="790">
        <v>0.63</v>
      </c>
      <c r="K2185" s="789" t="s">
        <v>10150</v>
      </c>
      <c r="L2185" s="791">
        <v>0.71</v>
      </c>
      <c r="M2185" s="954"/>
      <c r="N2185" s="777"/>
      <c r="P2185" s="789"/>
      <c r="Q2185" s="790"/>
      <c r="R2185" s="789"/>
      <c r="S2185" s="791"/>
    </row>
    <row r="2186" spans="1:19" s="767" customFormat="1" x14ac:dyDescent="0.25">
      <c r="D2186" s="3" t="s">
        <v>12465</v>
      </c>
      <c r="F2186" s="954"/>
      <c r="G2186" s="777"/>
      <c r="H2186" s="538"/>
      <c r="I2186" s="789"/>
      <c r="J2186" s="942"/>
      <c r="L2186" s="791"/>
      <c r="M2186" s="954"/>
      <c r="N2186" s="777"/>
      <c r="P2186" s="789"/>
      <c r="Q2186" s="790"/>
      <c r="R2186" s="789"/>
      <c r="S2186" s="791"/>
    </row>
    <row r="2187" spans="1:19" s="767" customFormat="1" x14ac:dyDescent="0.25">
      <c r="D2187" s="767" t="s">
        <v>3006</v>
      </c>
      <c r="F2187" s="954" t="s">
        <v>3</v>
      </c>
      <c r="G2187" s="777">
        <f>0.123*L2187</f>
        <v>6.1499999999999999E-2</v>
      </c>
      <c r="H2187" s="538"/>
      <c r="I2187" s="789" t="s">
        <v>10149</v>
      </c>
      <c r="J2187" s="790">
        <v>0.42499999999999999</v>
      </c>
      <c r="K2187" s="789" t="s">
        <v>10150</v>
      </c>
      <c r="L2187" s="791">
        <v>0.5</v>
      </c>
      <c r="M2187" s="954"/>
      <c r="N2187" s="777"/>
      <c r="P2187" s="789"/>
      <c r="Q2187" s="790"/>
      <c r="R2187" s="789"/>
      <c r="S2187" s="791"/>
    </row>
    <row r="2188" spans="1:19" s="767" customFormat="1" x14ac:dyDescent="0.25">
      <c r="D2188" s="3" t="s">
        <v>12466</v>
      </c>
      <c r="F2188" s="954"/>
      <c r="G2188" s="777"/>
      <c r="H2188" s="538"/>
      <c r="I2188" s="789"/>
      <c r="J2188" s="942"/>
      <c r="L2188" s="791"/>
      <c r="M2188" s="954"/>
      <c r="N2188" s="777"/>
      <c r="P2188" s="789"/>
      <c r="Q2188" s="790"/>
      <c r="R2188" s="789"/>
      <c r="S2188" s="791"/>
    </row>
    <row r="2189" spans="1:19" s="767" customFormat="1" x14ac:dyDescent="0.25">
      <c r="D2189" s="767" t="s">
        <v>3006</v>
      </c>
      <c r="F2189" s="954" t="s">
        <v>3</v>
      </c>
      <c r="G2189" s="777">
        <f>0.123*L2189</f>
        <v>1.8449999999999998E-2</v>
      </c>
      <c r="H2189" s="538"/>
      <c r="I2189" s="789" t="s">
        <v>10149</v>
      </c>
      <c r="J2189" s="790">
        <v>0.105</v>
      </c>
      <c r="K2189" s="789" t="s">
        <v>10150</v>
      </c>
      <c r="L2189" s="791">
        <v>0.15</v>
      </c>
      <c r="M2189" s="954"/>
      <c r="N2189" s="777"/>
      <c r="P2189" s="789"/>
      <c r="Q2189" s="790"/>
      <c r="R2189" s="789"/>
      <c r="S2189" s="791"/>
    </row>
    <row r="2190" spans="1:19" s="767" customFormat="1" x14ac:dyDescent="0.25">
      <c r="A2190" s="539"/>
      <c r="B2190" s="539"/>
      <c r="C2190" s="539"/>
      <c r="D2190" s="539"/>
      <c r="E2190" s="539"/>
      <c r="F2190" s="957"/>
      <c r="G2190" s="778"/>
      <c r="H2190" s="540"/>
      <c r="I2190" s="789"/>
      <c r="J2190" s="1031"/>
      <c r="L2190" s="791"/>
      <c r="M2190" s="954"/>
      <c r="N2190" s="777"/>
      <c r="P2190" s="789"/>
      <c r="Q2190" s="790"/>
      <c r="R2190" s="789"/>
      <c r="S2190" s="791"/>
    </row>
    <row r="2191" spans="1:19" s="767" customFormat="1" x14ac:dyDescent="0.25">
      <c r="F2191" s="954"/>
      <c r="G2191" s="777"/>
      <c r="H2191" s="631" t="s">
        <v>12504</v>
      </c>
      <c r="I2191" s="789"/>
      <c r="J2191" s="1031"/>
      <c r="L2191" s="791"/>
      <c r="M2191" s="954"/>
      <c r="N2191" s="777"/>
      <c r="P2191" s="789"/>
      <c r="Q2191" s="790"/>
      <c r="R2191" s="789"/>
      <c r="S2191" s="791"/>
    </row>
    <row r="2192" spans="1:19" s="767" customFormat="1" x14ac:dyDescent="0.25">
      <c r="C2192" s="3" t="s">
        <v>11564</v>
      </c>
      <c r="F2192" s="954"/>
      <c r="G2192" s="777"/>
      <c r="H2192" s="538"/>
      <c r="I2192" s="789"/>
      <c r="J2192" s="1031"/>
      <c r="L2192" s="791"/>
      <c r="M2192" s="954"/>
      <c r="N2192" s="777"/>
      <c r="P2192" s="789"/>
      <c r="Q2192" s="790"/>
      <c r="R2192" s="789"/>
      <c r="S2192" s="791"/>
    </row>
    <row r="2193" spans="3:19" s="767" customFormat="1" x14ac:dyDescent="0.25">
      <c r="C2193" s="263" t="s">
        <v>3394</v>
      </c>
      <c r="D2193" s="263"/>
      <c r="E2193" s="813"/>
      <c r="F2193" s="875" t="s">
        <v>3</v>
      </c>
      <c r="G2193" s="876">
        <f>(0.006*3.14*2)*0.08*1.3</f>
        <v>3.9187200000000005E-3</v>
      </c>
      <c r="H2193" s="538"/>
      <c r="I2193" s="789"/>
      <c r="J2193" s="1031"/>
      <c r="L2193" s="791"/>
      <c r="M2193" s="954"/>
      <c r="N2193" s="777"/>
      <c r="P2193" s="789"/>
      <c r="Q2193" s="790"/>
      <c r="R2193" s="789"/>
      <c r="S2193" s="791"/>
    </row>
    <row r="2194" spans="3:19" s="767" customFormat="1" ht="17.25" x14ac:dyDescent="0.25">
      <c r="C2194" s="263" t="s">
        <v>121</v>
      </c>
      <c r="D2194" s="263"/>
      <c r="E2194" s="813"/>
      <c r="F2194" s="875" t="s">
        <v>10568</v>
      </c>
      <c r="G2194" s="876">
        <f>G2193*1.1</f>
        <v>4.3105920000000011E-3</v>
      </c>
      <c r="H2194" s="538"/>
      <c r="I2194" s="789"/>
      <c r="J2194" s="1031"/>
      <c r="L2194" s="791"/>
      <c r="M2194" s="954"/>
      <c r="N2194" s="777"/>
      <c r="P2194" s="789"/>
      <c r="Q2194" s="790"/>
      <c r="R2194" s="789"/>
      <c r="S2194" s="791"/>
    </row>
    <row r="2195" spans="3:19" s="767" customFormat="1" x14ac:dyDescent="0.25">
      <c r="C2195" s="186" t="s">
        <v>152</v>
      </c>
      <c r="D2195" s="186"/>
      <c r="F2195" s="1030" t="s">
        <v>3</v>
      </c>
      <c r="G2195" s="10">
        <f>(J2199)*0.011*2*1.15</f>
        <v>3.7443999999999998E-2</v>
      </c>
      <c r="H2195" s="538"/>
      <c r="I2195" s="789"/>
      <c r="J2195" s="1031"/>
      <c r="L2195" s="791"/>
      <c r="M2195" s="954"/>
      <c r="N2195" s="777"/>
      <c r="P2195" s="789"/>
      <c r="Q2195" s="790"/>
      <c r="R2195" s="789"/>
      <c r="S2195" s="791"/>
    </row>
    <row r="2196" spans="3:19" s="767" customFormat="1" x14ac:dyDescent="0.25">
      <c r="C2196" s="186" t="s">
        <v>8</v>
      </c>
      <c r="D2196" s="186"/>
      <c r="F2196" s="1030" t="s">
        <v>3</v>
      </c>
      <c r="G2196" s="10">
        <f>G2195*0.7</f>
        <v>2.6210799999999996E-2</v>
      </c>
      <c r="H2196" s="538"/>
      <c r="I2196" s="789"/>
      <c r="J2196" s="1031"/>
      <c r="L2196" s="791"/>
      <c r="M2196" s="954"/>
      <c r="N2196" s="777"/>
      <c r="P2196" s="789"/>
      <c r="Q2196" s="790"/>
      <c r="R2196" s="789"/>
      <c r="S2196" s="791"/>
    </row>
    <row r="2197" spans="3:19" s="767" customFormat="1" x14ac:dyDescent="0.25">
      <c r="C2197" s="186" t="s">
        <v>12</v>
      </c>
      <c r="D2197" s="186"/>
      <c r="F2197" s="1030" t="s">
        <v>3</v>
      </c>
      <c r="G2197" s="10">
        <f>0.3*(G2196+G2195)</f>
        <v>1.9096439999999999E-2</v>
      </c>
      <c r="H2197" s="538"/>
      <c r="I2197" s="789"/>
      <c r="J2197" s="1031"/>
      <c r="L2197" s="791"/>
      <c r="M2197" s="954"/>
      <c r="N2197" s="777"/>
      <c r="P2197" s="789"/>
      <c r="Q2197" s="790"/>
      <c r="R2197" s="789"/>
      <c r="S2197" s="791"/>
    </row>
    <row r="2198" spans="3:19" s="767" customFormat="1" x14ac:dyDescent="0.25">
      <c r="C2198" s="942"/>
      <c r="D2198" s="3" t="s">
        <v>12468</v>
      </c>
      <c r="F2198" s="954"/>
      <c r="G2198" s="777"/>
      <c r="H2198" s="538"/>
      <c r="I2198" s="789"/>
      <c r="J2198" s="1031"/>
      <c r="L2198" s="791"/>
      <c r="M2198" s="954"/>
      <c r="N2198" s="777"/>
      <c r="P2198" s="789"/>
      <c r="Q2198" s="790"/>
      <c r="R2198" s="789"/>
      <c r="S2198" s="791"/>
    </row>
    <row r="2199" spans="3:19" s="767" customFormat="1" x14ac:dyDescent="0.25">
      <c r="C2199" s="942"/>
      <c r="D2199" s="767" t="s">
        <v>10631</v>
      </c>
      <c r="F2199" s="954" t="s">
        <v>3</v>
      </c>
      <c r="G2199" s="777">
        <f>0.123*L2199</f>
        <v>0.19803000000000001</v>
      </c>
      <c r="H2199" s="538"/>
      <c r="I2199" s="789" t="s">
        <v>10149</v>
      </c>
      <c r="J2199" s="790">
        <v>1.48</v>
      </c>
      <c r="K2199" s="789" t="s">
        <v>10150</v>
      </c>
      <c r="L2199" s="791">
        <v>1.61</v>
      </c>
      <c r="M2199" s="954"/>
      <c r="N2199" s="777"/>
      <c r="P2199" s="789"/>
      <c r="Q2199" s="790"/>
      <c r="R2199" s="789"/>
      <c r="S2199" s="791"/>
    </row>
    <row r="2200" spans="3:19" s="767" customFormat="1" x14ac:dyDescent="0.25">
      <c r="C2200" s="942"/>
      <c r="F2200" s="954"/>
      <c r="G2200" s="777"/>
      <c r="H2200" s="538"/>
      <c r="I2200" s="789"/>
      <c r="J2200" s="1031"/>
      <c r="L2200" s="791"/>
      <c r="M2200" s="954"/>
      <c r="N2200" s="777"/>
      <c r="P2200" s="789"/>
      <c r="Q2200" s="790"/>
      <c r="R2200" s="789"/>
      <c r="S2200" s="791"/>
    </row>
    <row r="2201" spans="3:19" s="767" customFormat="1" x14ac:dyDescent="0.25">
      <c r="C2201" s="3" t="s">
        <v>11565</v>
      </c>
      <c r="F2201" s="954"/>
      <c r="G2201" s="777"/>
      <c r="H2201" s="538"/>
      <c r="I2201" s="789"/>
      <c r="J2201" s="1031"/>
      <c r="L2201" s="791"/>
      <c r="M2201" s="954"/>
      <c r="N2201" s="777"/>
      <c r="P2201" s="789"/>
      <c r="Q2201" s="790"/>
      <c r="R2201" s="789"/>
      <c r="S2201" s="791"/>
    </row>
    <row r="2202" spans="3:19" s="767" customFormat="1" x14ac:dyDescent="0.25">
      <c r="C2202" s="263" t="s">
        <v>3394</v>
      </c>
      <c r="D2202" s="263"/>
      <c r="E2202" s="813"/>
      <c r="F2202" s="875" t="s">
        <v>3</v>
      </c>
      <c r="G2202" s="876">
        <f>(0.006*3.14*2)*0.08*1.3</f>
        <v>3.9187200000000005E-3</v>
      </c>
      <c r="H2202" s="538"/>
      <c r="I2202" s="789"/>
      <c r="J2202" s="1031"/>
      <c r="L2202" s="791"/>
      <c r="M2202" s="954"/>
      <c r="N2202" s="777"/>
      <c r="P2202" s="789"/>
      <c r="Q2202" s="790"/>
      <c r="R2202" s="789"/>
      <c r="S2202" s="791"/>
    </row>
    <row r="2203" spans="3:19" s="767" customFormat="1" ht="17.25" x14ac:dyDescent="0.25">
      <c r="C2203" s="263" t="s">
        <v>121</v>
      </c>
      <c r="D2203" s="263"/>
      <c r="E2203" s="813"/>
      <c r="F2203" s="875" t="s">
        <v>10568</v>
      </c>
      <c r="G2203" s="876">
        <f>G2202*1.1</f>
        <v>4.3105920000000011E-3</v>
      </c>
      <c r="H2203" s="538"/>
      <c r="I2203" s="789"/>
      <c r="J2203" s="1031"/>
      <c r="L2203" s="791"/>
      <c r="M2203" s="954"/>
      <c r="N2203" s="777"/>
      <c r="P2203" s="789"/>
      <c r="Q2203" s="790"/>
      <c r="R2203" s="789"/>
      <c r="S2203" s="791"/>
    </row>
    <row r="2204" spans="3:19" s="767" customFormat="1" x14ac:dyDescent="0.25">
      <c r="C2204" s="186" t="s">
        <v>152</v>
      </c>
      <c r="D2204" s="186"/>
      <c r="F2204" s="1030" t="s">
        <v>3</v>
      </c>
      <c r="G2204" s="10">
        <f>(J2208)*0.011*2*1.15</f>
        <v>2.1251999999999997E-2</v>
      </c>
      <c r="H2204" s="538"/>
      <c r="I2204" s="789"/>
      <c r="J2204" s="1031"/>
      <c r="L2204" s="791"/>
      <c r="M2204" s="954"/>
      <c r="N2204" s="777"/>
      <c r="P2204" s="789"/>
      <c r="Q2204" s="790"/>
      <c r="R2204" s="789"/>
      <c r="S2204" s="791"/>
    </row>
    <row r="2205" spans="3:19" s="767" customFormat="1" x14ac:dyDescent="0.25">
      <c r="C2205" s="186" t="s">
        <v>8</v>
      </c>
      <c r="D2205" s="186"/>
      <c r="F2205" s="1030" t="s">
        <v>3</v>
      </c>
      <c r="G2205" s="10">
        <f>G2204*0.7</f>
        <v>1.4876399999999996E-2</v>
      </c>
      <c r="H2205" s="538"/>
      <c r="I2205" s="789"/>
      <c r="J2205" s="1031"/>
      <c r="L2205" s="791"/>
      <c r="M2205" s="954"/>
      <c r="N2205" s="777"/>
      <c r="P2205" s="789"/>
      <c r="Q2205" s="790"/>
      <c r="R2205" s="789"/>
      <c r="S2205" s="791"/>
    </row>
    <row r="2206" spans="3:19" s="767" customFormat="1" x14ac:dyDescent="0.25">
      <c r="C2206" s="186" t="s">
        <v>12</v>
      </c>
      <c r="D2206" s="186"/>
      <c r="F2206" s="1030" t="s">
        <v>3</v>
      </c>
      <c r="G2206" s="10">
        <f>0.3*(G2205+G2204)</f>
        <v>1.0838519999999997E-2</v>
      </c>
      <c r="H2206" s="538"/>
      <c r="I2206" s="789"/>
      <c r="J2206" s="1031"/>
      <c r="L2206" s="791"/>
      <c r="M2206" s="954"/>
      <c r="N2206" s="777"/>
      <c r="P2206" s="789"/>
      <c r="Q2206" s="790"/>
      <c r="R2206" s="789"/>
      <c r="S2206" s="791"/>
    </row>
    <row r="2207" spans="3:19" s="767" customFormat="1" x14ac:dyDescent="0.25">
      <c r="C2207" s="942"/>
      <c r="D2207" s="3" t="s">
        <v>12469</v>
      </c>
      <c r="F2207" s="954"/>
      <c r="G2207" s="777"/>
      <c r="H2207" s="538"/>
      <c r="I2207" s="789"/>
      <c r="J2207" s="1031"/>
      <c r="L2207" s="791"/>
      <c r="M2207" s="954"/>
      <c r="N2207" s="777"/>
      <c r="P2207" s="789"/>
      <c r="Q2207" s="790"/>
      <c r="R2207" s="789"/>
      <c r="S2207" s="791"/>
    </row>
    <row r="2208" spans="3:19" s="767" customFormat="1" x14ac:dyDescent="0.25">
      <c r="C2208" s="942"/>
      <c r="D2208" s="767" t="s">
        <v>10631</v>
      </c>
      <c r="F2208" s="954" t="s">
        <v>3</v>
      </c>
      <c r="G2208" s="777">
        <f>0.123*L2208</f>
        <v>0.11685</v>
      </c>
      <c r="H2208" s="538"/>
      <c r="I2208" s="789" t="s">
        <v>10149</v>
      </c>
      <c r="J2208" s="790">
        <v>0.84</v>
      </c>
      <c r="K2208" s="789" t="s">
        <v>10150</v>
      </c>
      <c r="L2208" s="791">
        <v>0.95</v>
      </c>
      <c r="M2208" s="954"/>
      <c r="N2208" s="777"/>
      <c r="P2208" s="789"/>
      <c r="Q2208" s="790"/>
      <c r="R2208" s="789"/>
      <c r="S2208" s="791"/>
    </row>
    <row r="2209" spans="3:19" s="767" customFormat="1" x14ac:dyDescent="0.25">
      <c r="C2209" s="942"/>
      <c r="F2209" s="954"/>
      <c r="G2209" s="777"/>
      <c r="H2209" s="538"/>
      <c r="I2209" s="789"/>
      <c r="J2209" s="1031"/>
      <c r="L2209" s="791"/>
      <c r="M2209" s="954"/>
      <c r="N2209" s="777"/>
      <c r="P2209" s="789"/>
      <c r="Q2209" s="790"/>
      <c r="R2209" s="789"/>
      <c r="S2209" s="791"/>
    </row>
    <row r="2210" spans="3:19" s="767" customFormat="1" x14ac:dyDescent="0.25">
      <c r="C2210" s="54" t="s">
        <v>11566</v>
      </c>
      <c r="D2210" s="8"/>
      <c r="E2210" s="8"/>
      <c r="F2210" s="954"/>
      <c r="G2210" s="777"/>
      <c r="H2210" s="538"/>
      <c r="I2210" s="789"/>
      <c r="J2210" s="1031"/>
      <c r="L2210" s="791"/>
      <c r="M2210" s="954"/>
      <c r="N2210" s="777"/>
      <c r="P2210" s="789"/>
      <c r="Q2210" s="790"/>
      <c r="R2210" s="789"/>
      <c r="S2210" s="791"/>
    </row>
    <row r="2211" spans="3:19" s="767" customFormat="1" x14ac:dyDescent="0.25">
      <c r="C2211" s="263" t="s">
        <v>3394</v>
      </c>
      <c r="D2211" s="263"/>
      <c r="E2211" s="813"/>
      <c r="F2211" s="875" t="s">
        <v>3</v>
      </c>
      <c r="G2211" s="876">
        <f>(0.006*3.14*6)*0.08*1.3</f>
        <v>1.1756160000000002E-2</v>
      </c>
      <c r="H2211" s="538"/>
      <c r="I2211" s="789"/>
      <c r="J2211" s="1031"/>
      <c r="L2211" s="791"/>
      <c r="M2211" s="954"/>
      <c r="N2211" s="777"/>
      <c r="P2211" s="789"/>
      <c r="Q2211" s="790"/>
      <c r="R2211" s="789"/>
      <c r="S2211" s="791"/>
    </row>
    <row r="2212" spans="3:19" s="767" customFormat="1" ht="17.25" x14ac:dyDescent="0.25">
      <c r="C2212" s="263" t="s">
        <v>121</v>
      </c>
      <c r="D2212" s="263"/>
      <c r="E2212" s="813"/>
      <c r="F2212" s="875" t="s">
        <v>10568</v>
      </c>
      <c r="G2212" s="876">
        <f>G2211*1.1</f>
        <v>1.2931776000000002E-2</v>
      </c>
      <c r="H2212" s="538"/>
      <c r="I2212" s="789"/>
      <c r="J2212" s="1031"/>
      <c r="L2212" s="791"/>
      <c r="M2212" s="954"/>
      <c r="N2212" s="777"/>
      <c r="P2212" s="789"/>
      <c r="Q2212" s="790"/>
      <c r="R2212" s="789"/>
      <c r="S2212" s="791"/>
    </row>
    <row r="2213" spans="3:19" s="767" customFormat="1" x14ac:dyDescent="0.25">
      <c r="C2213" s="186" t="s">
        <v>152</v>
      </c>
      <c r="D2213" s="186"/>
      <c r="F2213" s="1030" t="s">
        <v>3</v>
      </c>
      <c r="G2213" s="10">
        <f>(J2217+J2219+J2221)*0.011*2*1.15</f>
        <v>4.1112499999999996E-2</v>
      </c>
      <c r="H2213" s="538"/>
      <c r="I2213" s="789"/>
      <c r="J2213" s="1031"/>
      <c r="L2213" s="791"/>
      <c r="M2213" s="954"/>
      <c r="N2213" s="777"/>
      <c r="P2213" s="789"/>
      <c r="Q2213" s="790"/>
      <c r="R2213" s="789"/>
      <c r="S2213" s="791"/>
    </row>
    <row r="2214" spans="3:19" s="767" customFormat="1" x14ac:dyDescent="0.25">
      <c r="C2214" s="186" t="s">
        <v>8</v>
      </c>
      <c r="D2214" s="186"/>
      <c r="F2214" s="1030" t="s">
        <v>3</v>
      </c>
      <c r="G2214" s="10">
        <f>G2213*0.7</f>
        <v>2.8778749999999995E-2</v>
      </c>
      <c r="H2214" s="538"/>
      <c r="I2214" s="789"/>
      <c r="J2214" s="1031"/>
      <c r="L2214" s="791"/>
      <c r="M2214" s="954"/>
      <c r="N2214" s="777"/>
      <c r="P2214" s="789"/>
      <c r="Q2214" s="790"/>
      <c r="R2214" s="789"/>
      <c r="S2214" s="791"/>
    </row>
    <row r="2215" spans="3:19" s="767" customFormat="1" x14ac:dyDescent="0.25">
      <c r="C2215" s="186" t="s">
        <v>12</v>
      </c>
      <c r="D2215" s="186"/>
      <c r="F2215" s="1030" t="s">
        <v>3</v>
      </c>
      <c r="G2215" s="10">
        <f>0.3*(G2214+G2213)</f>
        <v>2.0967374999999996E-2</v>
      </c>
      <c r="H2215" s="538"/>
      <c r="I2215" s="789"/>
      <c r="J2215" s="1031"/>
      <c r="L2215" s="791"/>
      <c r="M2215" s="954"/>
      <c r="N2215" s="777"/>
      <c r="P2215" s="789"/>
      <c r="Q2215" s="790"/>
      <c r="R2215" s="789"/>
      <c r="S2215" s="791"/>
    </row>
    <row r="2216" spans="3:19" s="767" customFormat="1" x14ac:dyDescent="0.25">
      <c r="C2216" s="942"/>
      <c r="D2216" s="3" t="s">
        <v>12470</v>
      </c>
      <c r="F2216" s="954"/>
      <c r="G2216" s="777"/>
      <c r="H2216" s="538"/>
      <c r="I2216" s="789"/>
      <c r="J2216" s="1031"/>
      <c r="L2216" s="791"/>
      <c r="M2216" s="954"/>
      <c r="N2216" s="777"/>
      <c r="P2216" s="789"/>
      <c r="Q2216" s="790"/>
      <c r="R2216" s="789"/>
      <c r="S2216" s="791"/>
    </row>
    <row r="2217" spans="3:19" s="767" customFormat="1" x14ac:dyDescent="0.25">
      <c r="C2217" s="942"/>
      <c r="D2217" s="767" t="s">
        <v>3006</v>
      </c>
      <c r="F2217" s="954" t="s">
        <v>3</v>
      </c>
      <c r="G2217" s="777">
        <f>0.173*L2217</f>
        <v>0.24219999999999997</v>
      </c>
      <c r="H2217" s="538"/>
      <c r="I2217" s="789" t="s">
        <v>10149</v>
      </c>
      <c r="J2217" s="790">
        <v>1.24</v>
      </c>
      <c r="K2217" s="789" t="s">
        <v>10150</v>
      </c>
      <c r="L2217" s="791">
        <v>1.4</v>
      </c>
      <c r="M2217" s="954"/>
      <c r="N2217" s="777"/>
      <c r="P2217" s="789"/>
      <c r="Q2217" s="790"/>
      <c r="R2217" s="789"/>
      <c r="S2217" s="791"/>
    </row>
    <row r="2218" spans="3:19" s="767" customFormat="1" x14ac:dyDescent="0.25">
      <c r="C2218" s="942"/>
      <c r="D2218" s="3" t="s">
        <v>12471</v>
      </c>
      <c r="F2218" s="954"/>
      <c r="G2218" s="777"/>
      <c r="H2218" s="538"/>
      <c r="I2218" s="789"/>
      <c r="J2218" s="1031"/>
      <c r="L2218" s="791"/>
      <c r="M2218" s="954"/>
      <c r="N2218" s="777"/>
      <c r="P2218" s="789"/>
      <c r="Q2218" s="790"/>
      <c r="R2218" s="789"/>
      <c r="S2218" s="791"/>
    </row>
    <row r="2219" spans="3:19" s="767" customFormat="1" x14ac:dyDescent="0.25">
      <c r="C2219" s="942"/>
      <c r="D2219" s="767" t="s">
        <v>3006</v>
      </c>
      <c r="F2219" s="954" t="s">
        <v>3</v>
      </c>
      <c r="G2219" s="777">
        <f t="shared" ref="G2219:G2221" si="0">0.173*L2219</f>
        <v>1.7299999999999999E-2</v>
      </c>
      <c r="H2219" s="538"/>
      <c r="I2219" s="789" t="s">
        <v>10149</v>
      </c>
      <c r="J2219" s="790">
        <v>7.0000000000000007E-2</v>
      </c>
      <c r="K2219" s="789" t="s">
        <v>10150</v>
      </c>
      <c r="L2219" s="791">
        <v>0.1</v>
      </c>
      <c r="M2219" s="954"/>
      <c r="N2219" s="777"/>
      <c r="P2219" s="789"/>
      <c r="Q2219" s="790"/>
      <c r="R2219" s="789"/>
      <c r="S2219" s="791"/>
    </row>
    <row r="2220" spans="3:19" s="767" customFormat="1" x14ac:dyDescent="0.25">
      <c r="C2220" s="942"/>
      <c r="D2220" s="3" t="s">
        <v>12472</v>
      </c>
      <c r="F2220" s="954"/>
      <c r="G2220" s="777"/>
      <c r="H2220" s="538"/>
      <c r="I2220" s="789"/>
      <c r="J2220" s="1031"/>
      <c r="L2220" s="791"/>
      <c r="M2220" s="954"/>
      <c r="N2220" s="777"/>
      <c r="P2220" s="789"/>
      <c r="Q2220" s="790"/>
      <c r="R2220" s="789"/>
      <c r="S2220" s="791"/>
    </row>
    <row r="2221" spans="3:19" s="767" customFormat="1" x14ac:dyDescent="0.25">
      <c r="C2221" s="942"/>
      <c r="D2221" s="767" t="s">
        <v>3006</v>
      </c>
      <c r="F2221" s="954" t="s">
        <v>3</v>
      </c>
      <c r="G2221" s="777">
        <f t="shared" si="0"/>
        <v>6.9199999999999998E-2</v>
      </c>
      <c r="H2221" s="538"/>
      <c r="I2221" s="789" t="s">
        <v>10149</v>
      </c>
      <c r="J2221" s="790">
        <v>0.315</v>
      </c>
      <c r="K2221" s="789" t="s">
        <v>10150</v>
      </c>
      <c r="L2221" s="791">
        <v>0.4</v>
      </c>
      <c r="M2221" s="954"/>
      <c r="N2221" s="777"/>
      <c r="P2221" s="789"/>
      <c r="Q2221" s="790"/>
      <c r="R2221" s="789"/>
      <c r="S2221" s="791"/>
    </row>
    <row r="2222" spans="3:19" s="767" customFormat="1" x14ac:dyDescent="0.25">
      <c r="F2222" s="954"/>
      <c r="G2222" s="777"/>
      <c r="H2222" s="538"/>
      <c r="I2222" s="789"/>
      <c r="J2222" s="1031"/>
      <c r="L2222" s="791"/>
      <c r="M2222" s="954"/>
      <c r="N2222" s="777"/>
      <c r="P2222" s="789"/>
      <c r="Q2222" s="790"/>
      <c r="R2222" s="789"/>
      <c r="S2222" s="791"/>
    </row>
    <row r="2223" spans="3:19" s="767" customFormat="1" x14ac:dyDescent="0.25">
      <c r="C2223" s="3" t="s">
        <v>11567</v>
      </c>
      <c r="F2223" s="954"/>
      <c r="G2223" s="777"/>
      <c r="H2223" s="538"/>
      <c r="I2223" s="789"/>
      <c r="J2223" s="1031"/>
      <c r="L2223" s="791"/>
      <c r="M2223" s="954"/>
      <c r="N2223" s="777"/>
      <c r="P2223" s="789"/>
      <c r="Q2223" s="790"/>
      <c r="R2223" s="789"/>
      <c r="S2223" s="791"/>
    </row>
    <row r="2224" spans="3:19" s="767" customFormat="1" x14ac:dyDescent="0.25">
      <c r="C2224" s="263" t="s">
        <v>3394</v>
      </c>
      <c r="D2224" s="263"/>
      <c r="E2224" s="813"/>
      <c r="F2224" s="875" t="s">
        <v>3</v>
      </c>
      <c r="G2224" s="876">
        <f>(0.006*3.14*2)*0.08*1.3</f>
        <v>3.9187200000000005E-3</v>
      </c>
      <c r="H2224" s="538"/>
      <c r="I2224" s="789"/>
      <c r="J2224" s="1031"/>
      <c r="L2224" s="791"/>
      <c r="M2224" s="954"/>
      <c r="N2224" s="777"/>
      <c r="P2224" s="789"/>
      <c r="Q2224" s="790"/>
      <c r="R2224" s="789"/>
      <c r="S2224" s="791"/>
    </row>
    <row r="2225" spans="3:19" s="767" customFormat="1" ht="17.25" x14ac:dyDescent="0.25">
      <c r="C2225" s="263" t="s">
        <v>121</v>
      </c>
      <c r="D2225" s="263"/>
      <c r="E2225" s="813"/>
      <c r="F2225" s="875" t="s">
        <v>10568</v>
      </c>
      <c r="G2225" s="876">
        <f>G2224*1.1</f>
        <v>4.3105920000000011E-3</v>
      </c>
      <c r="H2225" s="538"/>
      <c r="I2225" s="789"/>
      <c r="J2225" s="1031"/>
      <c r="L2225" s="791"/>
      <c r="M2225" s="954"/>
      <c r="N2225" s="777"/>
      <c r="P2225" s="789"/>
      <c r="Q2225" s="790"/>
      <c r="R2225" s="789"/>
      <c r="S2225" s="791"/>
    </row>
    <row r="2226" spans="3:19" s="767" customFormat="1" x14ac:dyDescent="0.25">
      <c r="C2226" s="186" t="s">
        <v>152</v>
      </c>
      <c r="D2226" s="186"/>
      <c r="F2226" s="1032" t="s">
        <v>3</v>
      </c>
      <c r="G2226" s="10">
        <f>(J2230)*0.011*2*1.15</f>
        <v>1.0372999999999997E-2</v>
      </c>
      <c r="H2226" s="538"/>
      <c r="I2226" s="789"/>
      <c r="J2226" s="1031"/>
      <c r="L2226" s="791"/>
      <c r="M2226" s="954"/>
      <c r="N2226" s="777"/>
      <c r="P2226" s="789"/>
      <c r="Q2226" s="790"/>
      <c r="R2226" s="789"/>
      <c r="S2226" s="791"/>
    </row>
    <row r="2227" spans="3:19" s="767" customFormat="1" x14ac:dyDescent="0.25">
      <c r="C2227" s="186" t="s">
        <v>8</v>
      </c>
      <c r="D2227" s="186"/>
      <c r="F2227" s="1032" t="s">
        <v>3</v>
      </c>
      <c r="G2227" s="10">
        <f>G2226*0.7</f>
        <v>7.2610999999999969E-3</v>
      </c>
      <c r="H2227" s="538"/>
      <c r="I2227" s="789"/>
      <c r="J2227" s="1031"/>
      <c r="L2227" s="791"/>
      <c r="M2227" s="954"/>
      <c r="N2227" s="777"/>
      <c r="P2227" s="789"/>
      <c r="Q2227" s="790"/>
      <c r="R2227" s="789"/>
      <c r="S2227" s="791"/>
    </row>
    <row r="2228" spans="3:19" s="767" customFormat="1" x14ac:dyDescent="0.25">
      <c r="C2228" s="186" t="s">
        <v>12</v>
      </c>
      <c r="D2228" s="186"/>
      <c r="F2228" s="1032" t="s">
        <v>3</v>
      </c>
      <c r="G2228" s="10">
        <f>0.3*(G2227+G2226)</f>
        <v>5.2902299999999973E-3</v>
      </c>
      <c r="H2228" s="538"/>
      <c r="I2228" s="789"/>
      <c r="J2228" s="1031"/>
      <c r="L2228" s="791"/>
      <c r="M2228" s="954"/>
      <c r="N2228" s="777"/>
      <c r="P2228" s="789"/>
      <c r="Q2228" s="790"/>
      <c r="R2228" s="789"/>
      <c r="S2228" s="791"/>
    </row>
    <row r="2229" spans="3:19" s="767" customFormat="1" x14ac:dyDescent="0.25">
      <c r="C2229" s="942"/>
      <c r="D2229" s="3" t="s">
        <v>12479</v>
      </c>
      <c r="F2229" s="954"/>
      <c r="G2229" s="777"/>
      <c r="H2229" s="538"/>
      <c r="I2229" s="789"/>
      <c r="J2229" s="1031"/>
      <c r="L2229" s="791"/>
      <c r="M2229" s="954"/>
      <c r="N2229" s="777"/>
      <c r="P2229" s="789"/>
      <c r="Q2229" s="790"/>
      <c r="R2229" s="789"/>
      <c r="S2229" s="791"/>
    </row>
    <row r="2230" spans="3:19" s="767" customFormat="1" x14ac:dyDescent="0.25">
      <c r="C2230" s="942"/>
      <c r="D2230" s="767" t="s">
        <v>3006</v>
      </c>
      <c r="F2230" s="954" t="s">
        <v>3</v>
      </c>
      <c r="G2230" s="777">
        <f>0.173*L2230</f>
        <v>8.6499999999999994E-2</v>
      </c>
      <c r="H2230" s="538"/>
      <c r="I2230" s="789" t="s">
        <v>10149</v>
      </c>
      <c r="J2230" s="790">
        <v>0.41</v>
      </c>
      <c r="K2230" s="789" t="s">
        <v>10150</v>
      </c>
      <c r="L2230" s="791">
        <v>0.5</v>
      </c>
      <c r="M2230" s="954"/>
      <c r="N2230" s="777"/>
      <c r="P2230" s="789"/>
      <c r="Q2230" s="790"/>
      <c r="R2230" s="789"/>
      <c r="S2230" s="791"/>
    </row>
    <row r="2231" spans="3:19" s="767" customFormat="1" x14ac:dyDescent="0.25">
      <c r="C2231" s="942"/>
      <c r="F2231" s="954"/>
      <c r="G2231" s="777"/>
      <c r="H2231" s="538"/>
      <c r="I2231" s="789"/>
      <c r="J2231" s="942"/>
      <c r="L2231" s="791"/>
      <c r="M2231" s="954"/>
      <c r="N2231" s="777"/>
      <c r="P2231" s="789"/>
      <c r="Q2231" s="790"/>
      <c r="R2231" s="789"/>
      <c r="S2231" s="791"/>
    </row>
    <row r="2232" spans="3:19" s="767" customFormat="1" x14ac:dyDescent="0.25">
      <c r="C2232" s="3" t="s">
        <v>11531</v>
      </c>
      <c r="F2232" s="954"/>
      <c r="G2232" s="777"/>
      <c r="H2232" s="538"/>
      <c r="I2232" s="789"/>
      <c r="J2232" s="942"/>
      <c r="L2232" s="791"/>
      <c r="M2232" s="954"/>
      <c r="N2232" s="777"/>
      <c r="P2232" s="789"/>
      <c r="Q2232" s="790"/>
      <c r="R2232" s="789"/>
      <c r="S2232" s="791"/>
    </row>
    <row r="2233" spans="3:19" s="767" customFormat="1" x14ac:dyDescent="0.25">
      <c r="C2233" s="834" t="s">
        <v>39</v>
      </c>
      <c r="F2233" s="827" t="s">
        <v>3</v>
      </c>
      <c r="G2233" s="785">
        <f>0.18*0.08*1.25</f>
        <v>1.7999999999999999E-2</v>
      </c>
      <c r="H2233" s="538"/>
      <c r="I2233" s="789"/>
      <c r="J2233" s="942"/>
      <c r="L2233" s="791"/>
      <c r="M2233" s="954"/>
      <c r="N2233" s="777"/>
      <c r="P2233" s="789"/>
      <c r="Q2233" s="790"/>
      <c r="R2233" s="789"/>
      <c r="S2233" s="791"/>
    </row>
    <row r="2234" spans="3:19" s="767" customFormat="1" ht="17.25" x14ac:dyDescent="0.25">
      <c r="C2234" s="834" t="s">
        <v>1055</v>
      </c>
      <c r="F2234" s="827" t="s">
        <v>596</v>
      </c>
      <c r="G2234" s="777">
        <f>1.5*G2233</f>
        <v>2.6999999999999996E-2</v>
      </c>
      <c r="H2234" s="538"/>
      <c r="I2234" s="789"/>
      <c r="J2234" s="942"/>
      <c r="L2234" s="791"/>
      <c r="M2234" s="954"/>
      <c r="N2234" s="777"/>
      <c r="P2234" s="789"/>
      <c r="Q2234" s="790"/>
      <c r="R2234" s="789"/>
      <c r="S2234" s="791"/>
    </row>
    <row r="2235" spans="3:19" s="767" customFormat="1" x14ac:dyDescent="0.25">
      <c r="C2235" s="942" t="s">
        <v>879</v>
      </c>
      <c r="F2235" s="954" t="s">
        <v>3</v>
      </c>
      <c r="G2235" s="777">
        <f>0.25*0.02*2*1.2</f>
        <v>1.2E-2</v>
      </c>
      <c r="H2235" s="538"/>
      <c r="I2235" s="789"/>
      <c r="J2235" s="942"/>
      <c r="L2235" s="791"/>
      <c r="M2235" s="954"/>
      <c r="N2235" s="777"/>
      <c r="P2235" s="789"/>
      <c r="Q2235" s="790"/>
      <c r="R2235" s="789"/>
      <c r="S2235" s="791"/>
    </row>
    <row r="2236" spans="3:19" s="767" customFormat="1" x14ac:dyDescent="0.25">
      <c r="C2236" s="942" t="s">
        <v>8</v>
      </c>
      <c r="F2236" s="954" t="s">
        <v>3</v>
      </c>
      <c r="G2236" s="777">
        <f>G2235*0.7</f>
        <v>8.3999999999999995E-3</v>
      </c>
      <c r="H2236" s="538"/>
      <c r="I2236" s="789"/>
      <c r="J2236" s="942"/>
      <c r="L2236" s="791"/>
      <c r="M2236" s="954"/>
      <c r="N2236" s="777"/>
      <c r="P2236" s="789"/>
      <c r="Q2236" s="790"/>
      <c r="R2236" s="789"/>
      <c r="S2236" s="791"/>
    </row>
    <row r="2237" spans="3:19" s="767" customFormat="1" x14ac:dyDescent="0.25">
      <c r="C2237" s="942" t="s">
        <v>12</v>
      </c>
      <c r="F2237" s="954" t="s">
        <v>3</v>
      </c>
      <c r="G2237" s="777">
        <f>(G2235+G2236)*0.3</f>
        <v>6.1200000000000004E-3</v>
      </c>
      <c r="H2237" s="538"/>
      <c r="I2237" s="789"/>
      <c r="J2237" s="942"/>
      <c r="L2237" s="791"/>
      <c r="M2237" s="954"/>
      <c r="N2237" s="777"/>
      <c r="P2237" s="789"/>
      <c r="Q2237" s="790"/>
      <c r="R2237" s="789"/>
      <c r="S2237" s="791"/>
    </row>
    <row r="2238" spans="3:19" s="767" customFormat="1" x14ac:dyDescent="0.25">
      <c r="C2238" s="942"/>
      <c r="D2238" s="3" t="s">
        <v>12480</v>
      </c>
      <c r="F2238" s="954"/>
      <c r="G2238" s="777"/>
      <c r="H2238" s="538"/>
      <c r="I2238" s="789"/>
      <c r="J2238" s="942"/>
      <c r="L2238" s="791"/>
      <c r="M2238" s="954"/>
      <c r="N2238" s="777"/>
      <c r="P2238" s="789"/>
      <c r="Q2238" s="790"/>
      <c r="R2238" s="789"/>
      <c r="S2238" s="791"/>
    </row>
    <row r="2239" spans="3:19" s="767" customFormat="1" x14ac:dyDescent="0.25">
      <c r="C2239" s="942"/>
      <c r="D2239" s="767" t="s">
        <v>12481</v>
      </c>
      <c r="F2239" s="954" t="s">
        <v>3</v>
      </c>
      <c r="G2239" s="777">
        <f>0.26*0.03*3*8*1.15</f>
        <v>0.21527999999999997</v>
      </c>
      <c r="H2239" s="538"/>
      <c r="I2239" s="789"/>
      <c r="J2239" s="942"/>
      <c r="L2239" s="791"/>
      <c r="M2239" s="954"/>
      <c r="N2239" s="777"/>
      <c r="P2239" s="789"/>
      <c r="Q2239" s="790"/>
      <c r="R2239" s="789"/>
      <c r="S2239" s="791"/>
    </row>
    <row r="2240" spans="3:19" s="767" customFormat="1" x14ac:dyDescent="0.25">
      <c r="C2240" s="942"/>
      <c r="F2240" s="954"/>
      <c r="G2240" s="777"/>
      <c r="H2240" s="538"/>
      <c r="I2240" s="789"/>
      <c r="J2240" s="942"/>
      <c r="L2240" s="791"/>
      <c r="M2240" s="954"/>
      <c r="N2240" s="777"/>
      <c r="P2240" s="789"/>
      <c r="Q2240" s="790"/>
      <c r="R2240" s="789"/>
      <c r="S2240" s="791"/>
    </row>
    <row r="2241" spans="3:19" s="767" customFormat="1" x14ac:dyDescent="0.25">
      <c r="C2241" s="3" t="s">
        <v>11479</v>
      </c>
      <c r="F2241" s="954"/>
      <c r="G2241" s="777"/>
      <c r="H2241" s="538"/>
      <c r="I2241" s="789"/>
      <c r="J2241" s="942"/>
      <c r="L2241" s="791"/>
      <c r="M2241" s="954"/>
      <c r="N2241" s="777"/>
      <c r="P2241" s="789"/>
      <c r="Q2241" s="790"/>
      <c r="R2241" s="789"/>
      <c r="S2241" s="791"/>
    </row>
    <row r="2242" spans="3:19" s="767" customFormat="1" x14ac:dyDescent="0.25">
      <c r="C2242" s="73" t="s">
        <v>595</v>
      </c>
      <c r="F2242" s="74" t="s">
        <v>3</v>
      </c>
      <c r="G2242" s="427">
        <f>0.065*3.14*2.5*0.05*1.18</f>
        <v>3.010475E-2</v>
      </c>
      <c r="H2242" s="538"/>
      <c r="I2242" s="789"/>
      <c r="J2242" s="942"/>
      <c r="L2242" s="791"/>
      <c r="M2242" s="954"/>
      <c r="N2242" s="777"/>
      <c r="P2242" s="789"/>
      <c r="Q2242" s="790"/>
      <c r="R2242" s="789"/>
      <c r="S2242" s="791"/>
    </row>
    <row r="2243" spans="3:19" s="767" customFormat="1" ht="17.25" x14ac:dyDescent="0.25">
      <c r="C2243" s="73" t="s">
        <v>168</v>
      </c>
      <c r="F2243" s="74" t="s">
        <v>596</v>
      </c>
      <c r="G2243" s="153">
        <f>1.08*G2242+0.001</f>
        <v>3.3513130000000002E-2</v>
      </c>
      <c r="H2243" s="538"/>
      <c r="I2243" s="789"/>
      <c r="J2243" s="942"/>
      <c r="L2243" s="791"/>
      <c r="M2243" s="954"/>
      <c r="N2243" s="777"/>
      <c r="P2243" s="789"/>
      <c r="Q2243" s="790"/>
      <c r="R2243" s="789"/>
      <c r="S2243" s="791"/>
    </row>
    <row r="2244" spans="3:19" s="767" customFormat="1" x14ac:dyDescent="0.25">
      <c r="C2244" s="942" t="s">
        <v>12483</v>
      </c>
      <c r="F2244" s="954" t="s">
        <v>3</v>
      </c>
      <c r="G2244" s="777">
        <f>0.038*0.2*2*1.3</f>
        <v>1.976E-2</v>
      </c>
      <c r="H2244" s="538"/>
      <c r="I2244" s="789"/>
      <c r="J2244" s="942"/>
      <c r="L2244" s="791"/>
      <c r="M2244" s="954"/>
      <c r="N2244" s="777"/>
      <c r="P2244" s="789"/>
      <c r="Q2244" s="790"/>
      <c r="R2244" s="789"/>
      <c r="S2244" s="791"/>
    </row>
    <row r="2245" spans="3:19" s="767" customFormat="1" x14ac:dyDescent="0.25">
      <c r="C2245" s="942" t="s">
        <v>8</v>
      </c>
      <c r="F2245" s="954" t="s">
        <v>3</v>
      </c>
      <c r="G2245" s="777">
        <f>G2244*0.65</f>
        <v>1.2844E-2</v>
      </c>
      <c r="H2245" s="538"/>
      <c r="I2245" s="789"/>
      <c r="J2245" s="942"/>
      <c r="L2245" s="791"/>
      <c r="M2245" s="954"/>
      <c r="N2245" s="777"/>
      <c r="P2245" s="789"/>
      <c r="Q2245" s="790"/>
      <c r="R2245" s="789"/>
      <c r="S2245" s="791"/>
    </row>
    <row r="2246" spans="3:19" s="767" customFormat="1" x14ac:dyDescent="0.25">
      <c r="C2246" s="942" t="s">
        <v>12</v>
      </c>
      <c r="F2246" s="954" t="s">
        <v>3</v>
      </c>
      <c r="G2246" s="777">
        <f>0.3*(G2245+G2244)</f>
        <v>9.7812000000000003E-3</v>
      </c>
      <c r="H2246" s="538"/>
      <c r="I2246" s="789"/>
      <c r="J2246" s="942"/>
      <c r="L2246" s="791"/>
      <c r="M2246" s="954"/>
      <c r="N2246" s="777"/>
      <c r="P2246" s="789"/>
      <c r="Q2246" s="790"/>
      <c r="R2246" s="789"/>
      <c r="S2246" s="791"/>
    </row>
    <row r="2247" spans="3:19" s="767" customFormat="1" x14ac:dyDescent="0.25">
      <c r="C2247" s="942"/>
      <c r="D2247" s="3" t="s">
        <v>12484</v>
      </c>
      <c r="F2247" s="954"/>
      <c r="G2247" s="777"/>
      <c r="H2247" s="538"/>
      <c r="I2247" s="789"/>
      <c r="J2247" s="942"/>
      <c r="L2247" s="791"/>
      <c r="M2247" s="954"/>
      <c r="N2247" s="777"/>
      <c r="P2247" s="789"/>
      <c r="Q2247" s="790"/>
      <c r="R2247" s="789"/>
      <c r="S2247" s="791"/>
    </row>
    <row r="2248" spans="3:19" s="767" customFormat="1" x14ac:dyDescent="0.25">
      <c r="C2248" s="942"/>
      <c r="D2248" s="767" t="s">
        <v>12485</v>
      </c>
      <c r="F2248" s="954" t="s">
        <v>3</v>
      </c>
      <c r="G2248" s="777">
        <f>0.17*0.045*4*2.7*1.14</f>
        <v>9.4186800000000001E-2</v>
      </c>
      <c r="H2248" s="538"/>
      <c r="I2248" s="789"/>
      <c r="J2248" s="942"/>
      <c r="L2248" s="791"/>
      <c r="M2248" s="954"/>
      <c r="N2248" s="777"/>
      <c r="P2248" s="789"/>
      <c r="Q2248" s="790"/>
      <c r="R2248" s="789"/>
      <c r="S2248" s="791"/>
    </row>
    <row r="2249" spans="3:19" s="767" customFormat="1" x14ac:dyDescent="0.25">
      <c r="C2249" s="942"/>
      <c r="D2249" s="3" t="s">
        <v>12486</v>
      </c>
      <c r="F2249" s="954"/>
      <c r="G2249" s="777"/>
      <c r="H2249" s="538"/>
      <c r="I2249" s="789"/>
      <c r="J2249" s="942"/>
      <c r="L2249" s="791"/>
      <c r="M2249" s="954"/>
      <c r="N2249" s="777"/>
      <c r="P2249" s="789"/>
      <c r="Q2249" s="790"/>
      <c r="R2249" s="789"/>
      <c r="S2249" s="791"/>
    </row>
    <row r="2250" spans="3:19" s="767" customFormat="1" x14ac:dyDescent="0.25">
      <c r="C2250" s="942"/>
      <c r="D2250" s="767" t="s">
        <v>12489</v>
      </c>
      <c r="F2250" s="954" t="s">
        <v>3</v>
      </c>
      <c r="G2250" s="777">
        <f>0.08</f>
        <v>0.08</v>
      </c>
      <c r="H2250" s="538"/>
      <c r="I2250" s="789" t="s">
        <v>10149</v>
      </c>
      <c r="J2250" s="790">
        <v>8.5000000000000006E-2</v>
      </c>
      <c r="K2250" s="789" t="s">
        <v>10150</v>
      </c>
      <c r="L2250" s="791">
        <v>0.1</v>
      </c>
      <c r="M2250" s="954"/>
      <c r="N2250" s="777"/>
      <c r="P2250" s="789"/>
      <c r="Q2250" s="790"/>
      <c r="R2250" s="789"/>
      <c r="S2250" s="791"/>
    </row>
    <row r="2251" spans="3:19" s="767" customFormat="1" x14ac:dyDescent="0.25">
      <c r="C2251" s="942"/>
      <c r="D2251" s="3" t="s">
        <v>12487</v>
      </c>
      <c r="F2251" s="954"/>
      <c r="G2251" s="777"/>
      <c r="H2251" s="538"/>
      <c r="I2251" s="789"/>
      <c r="J2251" s="942"/>
      <c r="L2251" s="791"/>
      <c r="M2251" s="954"/>
      <c r="N2251" s="777"/>
      <c r="P2251" s="789"/>
      <c r="Q2251" s="790"/>
      <c r="R2251" s="789"/>
      <c r="S2251" s="791"/>
    </row>
    <row r="2252" spans="3:19" s="767" customFormat="1" x14ac:dyDescent="0.25">
      <c r="C2252" s="942"/>
      <c r="D2252" s="767" t="s">
        <v>12488</v>
      </c>
      <c r="F2252" s="954" t="s">
        <v>3</v>
      </c>
      <c r="G2252" s="777">
        <v>0.04</v>
      </c>
      <c r="H2252" s="538"/>
      <c r="I2252" s="789" t="s">
        <v>10149</v>
      </c>
      <c r="J2252" s="790">
        <v>6.6000000000000003E-2</v>
      </c>
      <c r="K2252" s="789" t="s">
        <v>10150</v>
      </c>
      <c r="L2252" s="791">
        <v>0.08</v>
      </c>
      <c r="M2252" s="954"/>
      <c r="N2252" s="777"/>
      <c r="P2252" s="789"/>
      <c r="Q2252" s="790"/>
      <c r="R2252" s="789"/>
      <c r="S2252" s="791"/>
    </row>
    <row r="2253" spans="3:19" s="767" customFormat="1" x14ac:dyDescent="0.25">
      <c r="C2253" s="942"/>
      <c r="F2253" s="954"/>
      <c r="G2253" s="777"/>
      <c r="H2253" s="538"/>
      <c r="I2253" s="789"/>
      <c r="J2253" s="942"/>
      <c r="L2253" s="791"/>
      <c r="M2253" s="954"/>
      <c r="N2253" s="777"/>
      <c r="P2253" s="789"/>
      <c r="Q2253" s="790"/>
      <c r="R2253" s="789"/>
      <c r="S2253" s="791"/>
    </row>
    <row r="2254" spans="3:19" s="767" customFormat="1" x14ac:dyDescent="0.25">
      <c r="C2254" s="3" t="s">
        <v>11527</v>
      </c>
      <c r="F2254" s="954"/>
      <c r="G2254" s="777"/>
      <c r="H2254" s="538"/>
      <c r="I2254" s="789"/>
      <c r="J2254" s="942"/>
      <c r="L2254" s="791"/>
      <c r="M2254" s="954"/>
      <c r="N2254" s="777"/>
      <c r="P2254" s="789"/>
      <c r="Q2254" s="790"/>
      <c r="R2254" s="789"/>
      <c r="S2254" s="791"/>
    </row>
    <row r="2255" spans="3:19" s="767" customFormat="1" x14ac:dyDescent="0.25">
      <c r="C2255" s="834" t="s">
        <v>39</v>
      </c>
      <c r="F2255" s="827" t="s">
        <v>3</v>
      </c>
      <c r="G2255" s="785">
        <f>0.1*0.08*1.3</f>
        <v>1.0400000000000001E-2</v>
      </c>
      <c r="H2255" s="538"/>
      <c r="I2255" s="789"/>
      <c r="J2255" s="942"/>
      <c r="L2255" s="791"/>
      <c r="M2255" s="954"/>
      <c r="N2255" s="777"/>
      <c r="P2255" s="789"/>
      <c r="Q2255" s="790"/>
      <c r="R2255" s="789"/>
      <c r="S2255" s="791"/>
    </row>
    <row r="2256" spans="3:19" s="767" customFormat="1" ht="17.25" x14ac:dyDescent="0.25">
      <c r="C2256" s="834" t="s">
        <v>1055</v>
      </c>
      <c r="F2256" s="827" t="s">
        <v>596</v>
      </c>
      <c r="G2256" s="777">
        <f>1.5*G2255</f>
        <v>1.5600000000000003E-2</v>
      </c>
      <c r="H2256" s="538"/>
      <c r="I2256" s="789"/>
      <c r="J2256" s="942"/>
      <c r="L2256" s="791"/>
      <c r="M2256" s="954"/>
      <c r="N2256" s="777"/>
      <c r="P2256" s="789"/>
      <c r="Q2256" s="790"/>
      <c r="R2256" s="789"/>
      <c r="S2256" s="791"/>
    </row>
    <row r="2257" spans="3:19" s="767" customFormat="1" x14ac:dyDescent="0.25">
      <c r="C2257" s="942" t="s">
        <v>8976</v>
      </c>
      <c r="F2257" s="954" t="s">
        <v>3</v>
      </c>
      <c r="G2257" s="777">
        <v>7.4999999999999997E-2</v>
      </c>
      <c r="H2257" s="538"/>
      <c r="I2257" s="789"/>
      <c r="J2257" s="942"/>
      <c r="L2257" s="791"/>
      <c r="M2257" s="954"/>
      <c r="N2257" s="777"/>
      <c r="P2257" s="789"/>
      <c r="Q2257" s="790"/>
      <c r="R2257" s="789"/>
      <c r="S2257" s="791"/>
    </row>
    <row r="2258" spans="3:19" s="767" customFormat="1" x14ac:dyDescent="0.25">
      <c r="C2258" s="942" t="s">
        <v>12</v>
      </c>
      <c r="F2258" s="954" t="s">
        <v>3</v>
      </c>
      <c r="G2258" s="777">
        <f>0.3*G2257</f>
        <v>2.2499999999999999E-2</v>
      </c>
      <c r="H2258" s="538"/>
      <c r="I2258" s="789"/>
      <c r="J2258" s="942"/>
      <c r="L2258" s="791"/>
      <c r="M2258" s="954"/>
      <c r="N2258" s="777"/>
      <c r="P2258" s="789"/>
      <c r="Q2258" s="790"/>
      <c r="R2258" s="789"/>
      <c r="S2258" s="791"/>
    </row>
    <row r="2259" spans="3:19" s="767" customFormat="1" x14ac:dyDescent="0.25">
      <c r="C2259" s="942"/>
      <c r="D2259" s="3" t="s">
        <v>12490</v>
      </c>
      <c r="F2259" s="954"/>
      <c r="G2259" s="777"/>
      <c r="H2259" s="538"/>
      <c r="I2259" s="789"/>
      <c r="J2259" s="942"/>
      <c r="L2259" s="791"/>
      <c r="M2259" s="954"/>
      <c r="N2259" s="777"/>
      <c r="P2259" s="789"/>
      <c r="Q2259" s="790"/>
      <c r="R2259" s="789"/>
      <c r="S2259" s="791"/>
    </row>
    <row r="2260" spans="3:19" s="767" customFormat="1" x14ac:dyDescent="0.25">
      <c r="C2260" s="942"/>
      <c r="D2260" s="834" t="s">
        <v>39</v>
      </c>
      <c r="F2260" s="827" t="s">
        <v>3</v>
      </c>
      <c r="G2260" s="785">
        <f>0.12*0.08*1.3</f>
        <v>1.248E-2</v>
      </c>
      <c r="H2260" s="538"/>
      <c r="I2260" s="789"/>
      <c r="J2260" s="942"/>
      <c r="L2260" s="791"/>
      <c r="M2260" s="954"/>
      <c r="N2260" s="777"/>
      <c r="P2260" s="789"/>
      <c r="Q2260" s="790"/>
      <c r="R2260" s="789"/>
      <c r="S2260" s="791"/>
    </row>
    <row r="2261" spans="3:19" s="767" customFormat="1" ht="17.25" x14ac:dyDescent="0.25">
      <c r="C2261" s="942"/>
      <c r="D2261" s="834" t="s">
        <v>1055</v>
      </c>
      <c r="F2261" s="827" t="s">
        <v>596</v>
      </c>
      <c r="G2261" s="777">
        <f>1.5*G2260</f>
        <v>1.8720000000000001E-2</v>
      </c>
      <c r="H2261" s="538"/>
      <c r="I2261" s="789"/>
      <c r="J2261" s="942"/>
      <c r="L2261" s="791"/>
      <c r="M2261" s="954"/>
      <c r="N2261" s="777"/>
      <c r="P2261" s="789"/>
      <c r="Q2261" s="790"/>
      <c r="R2261" s="789"/>
      <c r="S2261" s="791"/>
    </row>
    <row r="2262" spans="3:19" s="767" customFormat="1" x14ac:dyDescent="0.25">
      <c r="C2262" s="942"/>
      <c r="E2262" s="3" t="s">
        <v>12492</v>
      </c>
      <c r="F2262" s="954"/>
      <c r="G2262" s="777"/>
      <c r="H2262" s="538"/>
      <c r="I2262" s="789"/>
      <c r="J2262" s="942"/>
      <c r="L2262" s="791"/>
      <c r="M2262" s="954"/>
      <c r="N2262" s="777"/>
      <c r="P2262" s="789"/>
      <c r="Q2262" s="790"/>
      <c r="R2262" s="789"/>
      <c r="S2262" s="791"/>
    </row>
    <row r="2263" spans="3:19" s="767" customFormat="1" x14ac:dyDescent="0.25">
      <c r="C2263" s="942"/>
      <c r="E2263" s="767" t="s">
        <v>9932</v>
      </c>
      <c r="F2263" s="954" t="s">
        <v>3</v>
      </c>
      <c r="G2263" s="777">
        <f>0.75*0.03*2*8*1.14</f>
        <v>0.41039999999999993</v>
      </c>
      <c r="H2263" s="538"/>
      <c r="I2263" s="789"/>
      <c r="J2263" s="942"/>
      <c r="L2263" s="791"/>
      <c r="M2263" s="954"/>
      <c r="N2263" s="777"/>
      <c r="P2263" s="789"/>
      <c r="Q2263" s="790"/>
      <c r="R2263" s="789"/>
      <c r="S2263" s="791"/>
    </row>
    <row r="2264" spans="3:19" s="767" customFormat="1" x14ac:dyDescent="0.25">
      <c r="C2264" s="942"/>
      <c r="D2264" s="3" t="s">
        <v>12491</v>
      </c>
      <c r="F2264" s="954"/>
      <c r="G2264" s="777"/>
      <c r="H2264" s="538"/>
      <c r="I2264" s="789"/>
      <c r="J2264" s="942"/>
      <c r="L2264" s="791"/>
      <c r="M2264" s="954"/>
      <c r="N2264" s="777"/>
      <c r="P2264" s="789"/>
      <c r="Q2264" s="790"/>
      <c r="R2264" s="789"/>
      <c r="S2264" s="791"/>
    </row>
    <row r="2265" spans="3:19" s="767" customFormat="1" x14ac:dyDescent="0.25">
      <c r="C2265" s="942"/>
      <c r="D2265" s="834" t="s">
        <v>39</v>
      </c>
      <c r="F2265" s="827" t="s">
        <v>3</v>
      </c>
      <c r="G2265" s="785">
        <f>0.12*0.08*1.3</f>
        <v>1.248E-2</v>
      </c>
      <c r="H2265" s="538"/>
      <c r="I2265" s="789"/>
      <c r="J2265" s="942"/>
      <c r="L2265" s="791"/>
      <c r="M2265" s="954"/>
      <c r="N2265" s="777"/>
      <c r="P2265" s="789"/>
      <c r="Q2265" s="790"/>
      <c r="R2265" s="789"/>
      <c r="S2265" s="791"/>
    </row>
    <row r="2266" spans="3:19" s="767" customFormat="1" ht="17.25" x14ac:dyDescent="0.25">
      <c r="C2266" s="942"/>
      <c r="D2266" s="834" t="s">
        <v>1055</v>
      </c>
      <c r="F2266" s="827" t="s">
        <v>596</v>
      </c>
      <c r="G2266" s="777">
        <f>1.5*G2265</f>
        <v>1.8720000000000001E-2</v>
      </c>
      <c r="H2266" s="538"/>
      <c r="I2266" s="789"/>
      <c r="J2266" s="942"/>
      <c r="L2266" s="791"/>
      <c r="M2266" s="954"/>
      <c r="N2266" s="777"/>
      <c r="P2266" s="789"/>
      <c r="Q2266" s="790"/>
      <c r="R2266" s="789"/>
      <c r="S2266" s="791"/>
    </row>
    <row r="2267" spans="3:19" s="767" customFormat="1" x14ac:dyDescent="0.25">
      <c r="C2267" s="942"/>
      <c r="E2267" s="3" t="s">
        <v>12493</v>
      </c>
      <c r="F2267" s="954"/>
      <c r="G2267" s="777"/>
      <c r="H2267" s="538"/>
      <c r="I2267" s="789"/>
      <c r="J2267" s="942"/>
      <c r="L2267" s="791"/>
      <c r="M2267" s="954"/>
      <c r="N2267" s="777"/>
      <c r="P2267" s="789"/>
      <c r="Q2267" s="790"/>
      <c r="R2267" s="789"/>
      <c r="S2267" s="791"/>
    </row>
    <row r="2268" spans="3:19" s="767" customFormat="1" x14ac:dyDescent="0.25">
      <c r="C2268" s="942"/>
      <c r="E2268" s="767" t="s">
        <v>12494</v>
      </c>
      <c r="F2268" s="954" t="s">
        <v>3</v>
      </c>
      <c r="G2268" s="777">
        <f>0.116*0.03*2.5*8*1.15</f>
        <v>8.0039999999999986E-2</v>
      </c>
      <c r="H2268" s="538"/>
      <c r="I2268" s="789"/>
      <c r="J2268" s="942"/>
      <c r="L2268" s="791"/>
      <c r="M2268" s="954"/>
      <c r="N2268" s="777"/>
      <c r="P2268" s="789"/>
      <c r="Q2268" s="790"/>
      <c r="R2268" s="789"/>
      <c r="S2268" s="791"/>
    </row>
    <row r="2269" spans="3:19" s="767" customFormat="1" x14ac:dyDescent="0.25">
      <c r="C2269" s="942"/>
      <c r="D2269" s="3" t="s">
        <v>12495</v>
      </c>
      <c r="F2269" s="954"/>
      <c r="G2269" s="777"/>
      <c r="H2269" s="538"/>
      <c r="I2269" s="789"/>
      <c r="J2269" s="942"/>
      <c r="L2269" s="791"/>
      <c r="M2269" s="954"/>
      <c r="N2269" s="777"/>
      <c r="P2269" s="789"/>
      <c r="Q2269" s="790"/>
      <c r="R2269" s="789"/>
      <c r="S2269" s="791"/>
    </row>
    <row r="2270" spans="3:19" s="767" customFormat="1" x14ac:dyDescent="0.25">
      <c r="C2270" s="942"/>
      <c r="D2270" s="767" t="s">
        <v>10272</v>
      </c>
      <c r="F2270" s="954" t="s">
        <v>3</v>
      </c>
      <c r="G2270" s="777">
        <f>0.7*0.04*1.5*8*1.15</f>
        <v>0.38639999999999991</v>
      </c>
      <c r="H2270" s="538"/>
      <c r="I2270" s="789"/>
      <c r="J2270" s="942"/>
      <c r="L2270" s="791"/>
      <c r="M2270" s="954"/>
      <c r="N2270" s="777"/>
      <c r="P2270" s="789"/>
      <c r="Q2270" s="790"/>
      <c r="R2270" s="789"/>
      <c r="S2270" s="791"/>
    </row>
    <row r="2271" spans="3:19" s="767" customFormat="1" x14ac:dyDescent="0.25">
      <c r="C2271" s="942"/>
      <c r="D2271" s="3" t="s">
        <v>12496</v>
      </c>
      <c r="F2271" s="954"/>
      <c r="G2271" s="777"/>
      <c r="H2271" s="538"/>
      <c r="I2271" s="789"/>
      <c r="J2271" s="942"/>
      <c r="L2271" s="791"/>
      <c r="M2271" s="954"/>
      <c r="N2271" s="777"/>
      <c r="P2271" s="789"/>
      <c r="Q2271" s="790"/>
      <c r="R2271" s="789"/>
      <c r="S2271" s="791"/>
    </row>
    <row r="2272" spans="3:19" s="767" customFormat="1" x14ac:dyDescent="0.25">
      <c r="C2272" s="942"/>
      <c r="D2272" s="767" t="s">
        <v>12494</v>
      </c>
      <c r="F2272" s="954" t="s">
        <v>3</v>
      </c>
      <c r="G2272" s="777">
        <f>0.245*0.03*2.5*8*1.155</f>
        <v>0.16978499999999999</v>
      </c>
      <c r="H2272" s="538"/>
      <c r="I2272" s="789"/>
      <c r="J2272" s="942"/>
      <c r="L2272" s="791"/>
      <c r="M2272" s="954"/>
      <c r="N2272" s="777"/>
      <c r="P2272" s="789"/>
      <c r="Q2272" s="790"/>
      <c r="R2272" s="789"/>
      <c r="S2272" s="791"/>
    </row>
    <row r="2273" spans="3:19" s="767" customFormat="1" x14ac:dyDescent="0.25">
      <c r="C2273" s="942"/>
      <c r="D2273" s="3" t="s">
        <v>12497</v>
      </c>
      <c r="F2273" s="954"/>
      <c r="G2273" s="777"/>
      <c r="H2273" s="538"/>
      <c r="I2273" s="789"/>
      <c r="J2273" s="942"/>
      <c r="L2273" s="791"/>
      <c r="M2273" s="954"/>
      <c r="N2273" s="777"/>
      <c r="P2273" s="789"/>
      <c r="Q2273" s="790"/>
      <c r="R2273" s="789"/>
      <c r="S2273" s="791"/>
    </row>
    <row r="2274" spans="3:19" s="767" customFormat="1" x14ac:dyDescent="0.25">
      <c r="C2274" s="942"/>
      <c r="D2274" s="767" t="s">
        <v>9932</v>
      </c>
      <c r="F2274" s="954" t="s">
        <v>3</v>
      </c>
      <c r="G2274" s="777">
        <f>0.16*0.025*2.5*8*1.15</f>
        <v>9.1999999999999998E-2</v>
      </c>
      <c r="H2274" s="538"/>
      <c r="I2274" s="789"/>
      <c r="J2274" s="942"/>
      <c r="L2274" s="791"/>
      <c r="M2274" s="954"/>
      <c r="N2274" s="777"/>
      <c r="P2274" s="789"/>
      <c r="Q2274" s="790"/>
      <c r="R2274" s="789"/>
      <c r="S2274" s="791"/>
    </row>
    <row r="2275" spans="3:19" s="767" customFormat="1" x14ac:dyDescent="0.25">
      <c r="C2275" s="942"/>
      <c r="D2275" s="3" t="s">
        <v>12498</v>
      </c>
      <c r="F2275" s="954"/>
      <c r="G2275" s="777"/>
      <c r="H2275" s="538"/>
      <c r="I2275" s="789"/>
      <c r="J2275" s="942"/>
      <c r="L2275" s="791"/>
      <c r="M2275" s="954"/>
      <c r="N2275" s="777"/>
      <c r="P2275" s="789"/>
      <c r="Q2275" s="790"/>
      <c r="R2275" s="789"/>
      <c r="S2275" s="791"/>
    </row>
    <row r="2276" spans="3:19" s="767" customFormat="1" x14ac:dyDescent="0.25">
      <c r="C2276" s="942"/>
      <c r="D2276" s="767" t="s">
        <v>12499</v>
      </c>
      <c r="F2276" s="954" t="s">
        <v>3</v>
      </c>
      <c r="G2276" s="777">
        <f>0.866*L2276</f>
        <v>6.0620000000000007E-2</v>
      </c>
      <c r="H2276" s="538"/>
      <c r="I2276" s="789" t="s">
        <v>10149</v>
      </c>
      <c r="J2276" s="790">
        <v>5.8000000000000003E-2</v>
      </c>
      <c r="K2276" s="789" t="s">
        <v>10150</v>
      </c>
      <c r="L2276" s="791">
        <v>7.0000000000000007E-2</v>
      </c>
      <c r="M2276" s="954"/>
      <c r="N2276" s="777"/>
      <c r="P2276" s="789"/>
      <c r="Q2276" s="790"/>
      <c r="R2276" s="789"/>
      <c r="S2276" s="791"/>
    </row>
    <row r="2277" spans="3:19" s="767" customFormat="1" x14ac:dyDescent="0.25">
      <c r="C2277" s="942"/>
      <c r="F2277" s="954"/>
      <c r="G2277" s="777"/>
      <c r="H2277" s="538"/>
      <c r="I2277" s="789"/>
      <c r="J2277" s="942"/>
      <c r="L2277" s="791"/>
      <c r="M2277" s="954"/>
      <c r="N2277" s="777"/>
      <c r="P2277" s="789"/>
      <c r="Q2277" s="790"/>
      <c r="R2277" s="789"/>
      <c r="S2277" s="791"/>
    </row>
    <row r="2278" spans="3:19" s="767" customFormat="1" x14ac:dyDescent="0.25">
      <c r="C2278" s="3" t="s">
        <v>11495</v>
      </c>
      <c r="F2278" s="954"/>
      <c r="G2278" s="777"/>
      <c r="H2278" s="538"/>
      <c r="I2278" s="789"/>
      <c r="J2278" s="942"/>
      <c r="L2278" s="791"/>
      <c r="M2278" s="954"/>
      <c r="N2278" s="777"/>
      <c r="P2278" s="789"/>
      <c r="Q2278" s="790"/>
      <c r="R2278" s="789"/>
      <c r="S2278" s="791"/>
    </row>
    <row r="2279" spans="3:19" s="767" customFormat="1" x14ac:dyDescent="0.25">
      <c r="C2279" s="942" t="s">
        <v>12500</v>
      </c>
      <c r="F2279" s="954" t="s">
        <v>3</v>
      </c>
      <c r="G2279" s="777">
        <f>0.354*L2279</f>
        <v>0.16106999999999999</v>
      </c>
      <c r="H2279" s="538"/>
      <c r="I2279" s="789" t="s">
        <v>10149</v>
      </c>
      <c r="J2279" s="790">
        <v>0.375</v>
      </c>
      <c r="K2279" s="789" t="s">
        <v>10150</v>
      </c>
      <c r="L2279" s="791">
        <v>0.45500000000000002</v>
      </c>
      <c r="M2279" s="954"/>
      <c r="N2279" s="777"/>
      <c r="P2279" s="789"/>
      <c r="Q2279" s="790"/>
      <c r="R2279" s="789"/>
      <c r="S2279" s="791"/>
    </row>
    <row r="2280" spans="3:19" s="767" customFormat="1" x14ac:dyDescent="0.25">
      <c r="C2280" s="942" t="s">
        <v>148</v>
      </c>
      <c r="F2280" s="954" t="s">
        <v>3</v>
      </c>
      <c r="G2280" s="777">
        <f>0.025*J2279*2*1.3</f>
        <v>2.4375000000000004E-2</v>
      </c>
      <c r="H2280" s="538"/>
      <c r="I2280" s="789"/>
      <c r="J2280" s="942"/>
      <c r="L2280" s="791"/>
      <c r="M2280" s="954"/>
      <c r="N2280" s="777"/>
      <c r="P2280" s="789"/>
      <c r="Q2280" s="790"/>
      <c r="R2280" s="789"/>
      <c r="S2280" s="791"/>
    </row>
    <row r="2281" spans="3:19" s="767" customFormat="1" x14ac:dyDescent="0.25">
      <c r="C2281" s="942" t="s">
        <v>12</v>
      </c>
      <c r="F2281" s="954" t="s">
        <v>3</v>
      </c>
      <c r="G2281" s="777">
        <f>0.3*G2280</f>
        <v>7.3125000000000013E-3</v>
      </c>
      <c r="H2281" s="538"/>
      <c r="I2281" s="789"/>
      <c r="J2281" s="942"/>
      <c r="L2281" s="791"/>
      <c r="M2281" s="954"/>
      <c r="N2281" s="777"/>
      <c r="P2281" s="789"/>
      <c r="Q2281" s="790"/>
      <c r="R2281" s="789"/>
      <c r="S2281" s="791"/>
    </row>
    <row r="2282" spans="3:19" s="767" customFormat="1" x14ac:dyDescent="0.25">
      <c r="F2282" s="954"/>
      <c r="G2282" s="777"/>
      <c r="H2282" s="538"/>
      <c r="I2282" s="789"/>
      <c r="J2282" s="942"/>
      <c r="L2282" s="791"/>
      <c r="M2282" s="954"/>
      <c r="N2282" s="777"/>
      <c r="P2282" s="789"/>
      <c r="Q2282" s="790"/>
      <c r="R2282" s="789"/>
      <c r="S2282" s="791"/>
    </row>
    <row r="2283" spans="3:19" s="767" customFormat="1" x14ac:dyDescent="0.25">
      <c r="C2283" s="3" t="s">
        <v>11496</v>
      </c>
      <c r="F2283" s="954"/>
      <c r="G2283" s="777"/>
      <c r="H2283" s="538"/>
      <c r="I2283" s="789"/>
      <c r="J2283" s="942"/>
      <c r="L2283" s="791"/>
      <c r="M2283" s="954"/>
      <c r="N2283" s="777"/>
      <c r="P2283" s="789"/>
      <c r="Q2283" s="790"/>
      <c r="R2283" s="789"/>
      <c r="S2283" s="791"/>
    </row>
    <row r="2284" spans="3:19" s="767" customFormat="1" x14ac:dyDescent="0.25">
      <c r="C2284" s="942" t="s">
        <v>12501</v>
      </c>
      <c r="F2284" s="954" t="s">
        <v>3</v>
      </c>
      <c r="G2284" s="940">
        <f>0.292*L2284</f>
        <v>0.40879999999999994</v>
      </c>
      <c r="H2284" s="538"/>
      <c r="I2284" s="789" t="s">
        <v>10149</v>
      </c>
      <c r="J2284" s="790">
        <v>1.2250000000000001</v>
      </c>
      <c r="K2284" s="789" t="s">
        <v>10150</v>
      </c>
      <c r="L2284" s="791">
        <v>1.4</v>
      </c>
      <c r="M2284" s="954"/>
      <c r="N2284" s="777"/>
      <c r="P2284" s="789"/>
      <c r="Q2284" s="790"/>
      <c r="R2284" s="789"/>
      <c r="S2284" s="791"/>
    </row>
    <row r="2285" spans="3:19" s="767" customFormat="1" x14ac:dyDescent="0.25">
      <c r="C2285" s="942" t="s">
        <v>148</v>
      </c>
      <c r="F2285" s="954" t="s">
        <v>3</v>
      </c>
      <c r="G2285" s="777">
        <f>0.025*J2284*2*1.3</f>
        <v>7.9625000000000015E-2</v>
      </c>
      <c r="H2285" s="538"/>
      <c r="I2285" s="789"/>
      <c r="J2285" s="942"/>
      <c r="L2285" s="791"/>
      <c r="M2285" s="954"/>
      <c r="N2285" s="777"/>
      <c r="P2285" s="789"/>
      <c r="Q2285" s="790"/>
      <c r="R2285" s="789"/>
      <c r="S2285" s="791"/>
    </row>
    <row r="2286" spans="3:19" s="767" customFormat="1" x14ac:dyDescent="0.25">
      <c r="C2286" s="942" t="s">
        <v>12</v>
      </c>
      <c r="F2286" s="954" t="s">
        <v>3</v>
      </c>
      <c r="G2286" s="777">
        <f>0.3*G2285</f>
        <v>2.3887500000000002E-2</v>
      </c>
      <c r="H2286" s="538"/>
      <c r="I2286" s="789"/>
      <c r="J2286" s="942"/>
      <c r="L2286" s="791"/>
      <c r="M2286" s="954"/>
      <c r="N2286" s="777"/>
      <c r="P2286" s="789"/>
      <c r="Q2286" s="790"/>
      <c r="R2286" s="789"/>
      <c r="S2286" s="791"/>
    </row>
    <row r="2287" spans="3:19" s="767" customFormat="1" x14ac:dyDescent="0.25">
      <c r="C2287" s="942"/>
      <c r="F2287" s="954"/>
      <c r="G2287" s="777"/>
      <c r="H2287" s="538"/>
      <c r="I2287" s="789"/>
      <c r="J2287" s="942"/>
      <c r="L2287" s="791"/>
      <c r="M2287" s="954"/>
      <c r="N2287" s="777"/>
      <c r="P2287" s="789"/>
      <c r="Q2287" s="790"/>
      <c r="R2287" s="789"/>
      <c r="S2287" s="791"/>
    </row>
    <row r="2288" spans="3:19" s="767" customFormat="1" x14ac:dyDescent="0.25">
      <c r="C2288" s="3" t="s">
        <v>11497</v>
      </c>
      <c r="F2288" s="954"/>
      <c r="G2288" s="777"/>
      <c r="H2288" s="538"/>
      <c r="I2288" s="789"/>
      <c r="J2288" s="942"/>
      <c r="L2288" s="791"/>
      <c r="M2288" s="954"/>
      <c r="N2288" s="777"/>
      <c r="P2288" s="789"/>
      <c r="Q2288" s="790"/>
      <c r="R2288" s="789"/>
      <c r="S2288" s="791"/>
    </row>
    <row r="2289" spans="1:19" s="767" customFormat="1" x14ac:dyDescent="0.25">
      <c r="C2289" s="942" t="s">
        <v>12502</v>
      </c>
      <c r="F2289" s="954" t="s">
        <v>3</v>
      </c>
      <c r="G2289" s="940">
        <f>0.23*L2289</f>
        <v>0.24150000000000002</v>
      </c>
      <c r="H2289" s="538"/>
      <c r="I2289" s="789" t="s">
        <v>10149</v>
      </c>
      <c r="J2289" s="790">
        <v>0.91</v>
      </c>
      <c r="K2289" s="789" t="s">
        <v>10150</v>
      </c>
      <c r="L2289" s="791">
        <v>1.05</v>
      </c>
      <c r="M2289" s="954"/>
      <c r="N2289" s="777"/>
      <c r="P2289" s="789"/>
      <c r="Q2289" s="790"/>
      <c r="R2289" s="789"/>
      <c r="S2289" s="791"/>
    </row>
    <row r="2290" spans="1:19" s="767" customFormat="1" x14ac:dyDescent="0.25">
      <c r="C2290" s="942" t="s">
        <v>148</v>
      </c>
      <c r="F2290" s="954" t="s">
        <v>3</v>
      </c>
      <c r="G2290" s="777">
        <f>0.025*J2289*2*1.3</f>
        <v>5.9150000000000008E-2</v>
      </c>
      <c r="H2290" s="538"/>
      <c r="I2290" s="789"/>
      <c r="J2290" s="942"/>
      <c r="L2290" s="791"/>
      <c r="M2290" s="954"/>
      <c r="N2290" s="777"/>
      <c r="P2290" s="789"/>
      <c r="Q2290" s="790"/>
      <c r="R2290" s="789"/>
      <c r="S2290" s="791"/>
    </row>
    <row r="2291" spans="1:19" s="767" customFormat="1" x14ac:dyDescent="0.25">
      <c r="C2291" s="942" t="s">
        <v>12</v>
      </c>
      <c r="F2291" s="954" t="s">
        <v>3</v>
      </c>
      <c r="G2291" s="777">
        <f>0.3*G2290</f>
        <v>1.7745E-2</v>
      </c>
      <c r="H2291" s="538"/>
      <c r="I2291" s="789"/>
      <c r="J2291" s="942"/>
      <c r="L2291" s="791"/>
      <c r="M2291" s="954"/>
      <c r="N2291" s="777"/>
      <c r="P2291" s="789"/>
      <c r="Q2291" s="790"/>
      <c r="R2291" s="789"/>
      <c r="S2291" s="791"/>
    </row>
    <row r="2292" spans="1:19" s="767" customFormat="1" x14ac:dyDescent="0.25">
      <c r="F2292" s="954"/>
      <c r="G2292" s="777"/>
      <c r="H2292" s="538"/>
      <c r="I2292" s="789"/>
      <c r="J2292" s="942"/>
      <c r="L2292" s="791"/>
      <c r="M2292" s="954"/>
      <c r="N2292" s="777"/>
      <c r="P2292" s="789"/>
      <c r="Q2292" s="790"/>
      <c r="R2292" s="789"/>
      <c r="S2292" s="791"/>
    </row>
    <row r="2293" spans="1:19" s="767" customFormat="1" x14ac:dyDescent="0.25">
      <c r="C2293" s="3" t="s">
        <v>11498</v>
      </c>
      <c r="F2293" s="954"/>
      <c r="G2293" s="777"/>
      <c r="H2293" s="538"/>
      <c r="I2293" s="789"/>
      <c r="J2293" s="942"/>
      <c r="L2293" s="791"/>
      <c r="M2293" s="954"/>
      <c r="N2293" s="777"/>
      <c r="P2293" s="789"/>
      <c r="Q2293" s="790"/>
      <c r="R2293" s="789"/>
      <c r="S2293" s="791"/>
    </row>
    <row r="2294" spans="1:19" s="767" customFormat="1" x14ac:dyDescent="0.25">
      <c r="C2294" s="942" t="s">
        <v>12503</v>
      </c>
      <c r="F2294" s="954" t="s">
        <v>3</v>
      </c>
      <c r="G2294" s="940">
        <f>0.131*L2294</f>
        <v>0.16375000000000001</v>
      </c>
      <c r="H2294" s="538"/>
      <c r="I2294" s="789" t="s">
        <v>10149</v>
      </c>
      <c r="J2294" s="790">
        <v>1.1200000000000001</v>
      </c>
      <c r="K2294" s="789" t="s">
        <v>10150</v>
      </c>
      <c r="L2294" s="791">
        <v>1.25</v>
      </c>
      <c r="M2294" s="954"/>
      <c r="N2294" s="777"/>
      <c r="P2294" s="789"/>
      <c r="Q2294" s="790"/>
      <c r="R2294" s="789"/>
      <c r="S2294" s="791"/>
    </row>
    <row r="2295" spans="1:19" s="767" customFormat="1" x14ac:dyDescent="0.25">
      <c r="C2295" s="942" t="s">
        <v>148</v>
      </c>
      <c r="F2295" s="954" t="s">
        <v>3</v>
      </c>
      <c r="G2295" s="777">
        <f>0.025*J2294*2*1.3</f>
        <v>7.2800000000000017E-2</v>
      </c>
      <c r="H2295" s="538"/>
      <c r="I2295" s="789"/>
      <c r="J2295" s="942"/>
      <c r="L2295" s="791"/>
      <c r="M2295" s="954"/>
      <c r="N2295" s="777"/>
      <c r="P2295" s="789"/>
      <c r="Q2295" s="790"/>
      <c r="R2295" s="789"/>
      <c r="S2295" s="791"/>
    </row>
    <row r="2296" spans="1:19" s="767" customFormat="1" x14ac:dyDescent="0.25">
      <c r="C2296" s="942" t="s">
        <v>12</v>
      </c>
      <c r="F2296" s="954" t="s">
        <v>3</v>
      </c>
      <c r="G2296" s="777">
        <f>0.3*G2295</f>
        <v>2.1840000000000005E-2</v>
      </c>
      <c r="H2296" s="538"/>
      <c r="I2296" s="789"/>
      <c r="J2296" s="942"/>
      <c r="L2296" s="791"/>
      <c r="M2296" s="954"/>
      <c r="N2296" s="777"/>
      <c r="P2296" s="789"/>
      <c r="Q2296" s="790"/>
      <c r="R2296" s="789"/>
      <c r="S2296" s="791"/>
    </row>
    <row r="2297" spans="1:19" s="767" customFormat="1" x14ac:dyDescent="0.25">
      <c r="A2297" s="539"/>
      <c r="B2297" s="539"/>
      <c r="C2297" s="1004"/>
      <c r="D2297" s="539"/>
      <c r="E2297" s="539"/>
      <c r="F2297" s="957"/>
      <c r="G2297" s="778"/>
      <c r="H2297" s="540"/>
      <c r="I2297" s="789"/>
      <c r="J2297" s="942"/>
      <c r="L2297" s="791"/>
      <c r="M2297" s="954"/>
      <c r="N2297" s="777"/>
      <c r="P2297" s="789"/>
      <c r="Q2297" s="790"/>
      <c r="R2297" s="789"/>
      <c r="S2297" s="791"/>
    </row>
    <row r="2298" spans="1:19" s="767" customFormat="1" x14ac:dyDescent="0.25">
      <c r="C2298" s="942"/>
      <c r="F2298" s="954"/>
      <c r="G2298" s="777"/>
      <c r="I2298" s="789"/>
      <c r="J2298" s="942"/>
      <c r="L2298" s="791"/>
      <c r="M2298" s="954"/>
      <c r="N2298" s="777"/>
      <c r="P2298" s="789"/>
      <c r="Q2298" s="790"/>
      <c r="R2298" s="789"/>
      <c r="S2298" s="791"/>
    </row>
    <row r="2299" spans="1:19" s="767" customFormat="1" x14ac:dyDescent="0.25">
      <c r="C2299" s="942"/>
      <c r="F2299" s="954"/>
      <c r="G2299" s="777"/>
      <c r="I2299" s="789"/>
      <c r="J2299" s="942"/>
      <c r="L2299" s="791"/>
      <c r="M2299" s="954"/>
      <c r="N2299" s="777"/>
      <c r="P2299" s="789"/>
      <c r="Q2299" s="790"/>
      <c r="R2299" s="789"/>
      <c r="S2299" s="791"/>
    </row>
    <row r="2300" spans="1:19" s="767" customFormat="1" x14ac:dyDescent="0.25">
      <c r="C2300" s="942"/>
      <c r="F2300" s="954"/>
      <c r="G2300" s="777"/>
      <c r="I2300" s="789"/>
      <c r="J2300" s="942"/>
      <c r="L2300" s="791"/>
      <c r="M2300" s="954"/>
      <c r="N2300" s="777"/>
      <c r="P2300" s="789"/>
      <c r="Q2300" s="790"/>
      <c r="R2300" s="789"/>
      <c r="S2300" s="791"/>
    </row>
    <row r="2301" spans="1:19" s="767" customFormat="1" x14ac:dyDescent="0.25">
      <c r="C2301" s="942"/>
      <c r="F2301" s="954"/>
      <c r="G2301" s="777"/>
      <c r="I2301" s="789"/>
      <c r="J2301" s="942"/>
      <c r="L2301" s="791"/>
      <c r="M2301" s="954"/>
      <c r="N2301" s="777"/>
      <c r="P2301" s="789"/>
      <c r="Q2301" s="790"/>
      <c r="R2301" s="789"/>
      <c r="S2301" s="791"/>
    </row>
    <row r="2302" spans="1:19" s="767" customFormat="1" x14ac:dyDescent="0.25">
      <c r="C2302" s="942"/>
      <c r="F2302" s="954"/>
      <c r="G2302" s="777"/>
      <c r="I2302" s="789"/>
      <c r="J2302" s="942"/>
      <c r="L2302" s="791"/>
      <c r="M2302" s="954"/>
      <c r="N2302" s="777"/>
      <c r="P2302" s="789"/>
      <c r="Q2302" s="790"/>
      <c r="R2302" s="789"/>
      <c r="S2302" s="791"/>
    </row>
    <row r="2303" spans="1:19" s="767" customFormat="1" x14ac:dyDescent="0.25">
      <c r="C2303" s="942"/>
      <c r="F2303" s="954"/>
      <c r="G2303" s="777"/>
      <c r="I2303" s="789"/>
      <c r="J2303" s="942"/>
      <c r="L2303" s="791"/>
      <c r="M2303" s="954"/>
      <c r="N2303" s="777"/>
      <c r="P2303" s="789"/>
      <c r="Q2303" s="790"/>
      <c r="R2303" s="789"/>
      <c r="S2303" s="791"/>
    </row>
    <row r="2304" spans="1:19" s="767" customFormat="1" x14ac:dyDescent="0.25">
      <c r="C2304" s="767" t="s">
        <v>11439</v>
      </c>
      <c r="D2304" s="186"/>
      <c r="F2304" s="995"/>
      <c r="G2304" s="10"/>
      <c r="I2304" s="789"/>
      <c r="L2304" s="791"/>
      <c r="P2304" s="789"/>
      <c r="Q2304" s="790"/>
      <c r="R2304" s="789"/>
      <c r="S2304" s="791"/>
    </row>
    <row r="2305" spans="3:12" s="767" customFormat="1" x14ac:dyDescent="0.25">
      <c r="C2305" s="767" t="s">
        <v>11440</v>
      </c>
      <c r="D2305" s="186"/>
      <c r="F2305" s="995"/>
      <c r="G2305" s="10"/>
      <c r="I2305" s="789"/>
      <c r="J2305" s="790"/>
      <c r="K2305" s="789"/>
      <c r="L2305" s="791"/>
    </row>
    <row r="2306" spans="3:12" s="767" customFormat="1" x14ac:dyDescent="0.25">
      <c r="C2306" s="767" t="s">
        <v>11449</v>
      </c>
      <c r="D2306" s="186"/>
      <c r="F2306" s="995"/>
      <c r="G2306" s="10"/>
      <c r="I2306" s="789"/>
      <c r="J2306" s="790"/>
      <c r="K2306" s="789"/>
      <c r="L2306" s="791"/>
    </row>
    <row r="2307" spans="3:12" s="767" customFormat="1" x14ac:dyDescent="0.25">
      <c r="C2307" s="767" t="s">
        <v>11459</v>
      </c>
      <c r="D2307" s="186"/>
      <c r="F2307" s="995" t="s">
        <v>11830</v>
      </c>
      <c r="G2307" s="10"/>
      <c r="I2307" s="789"/>
      <c r="J2307" s="790"/>
      <c r="K2307" s="789"/>
      <c r="L2307" s="791"/>
    </row>
    <row r="2308" spans="3:12" s="767" customFormat="1" x14ac:dyDescent="0.25">
      <c r="C2308" s="25" t="s">
        <v>11797</v>
      </c>
      <c r="D2308" s="186"/>
      <c r="F2308" s="995" t="s">
        <v>12402</v>
      </c>
      <c r="G2308" s="10"/>
      <c r="I2308" s="789"/>
      <c r="J2308" s="790"/>
      <c r="K2308" s="789"/>
      <c r="L2308" s="791"/>
    </row>
    <row r="2309" spans="3:12" s="767" customFormat="1" x14ac:dyDescent="0.25">
      <c r="C2309" s="767" t="s">
        <v>11468</v>
      </c>
      <c r="D2309" s="186"/>
      <c r="F2309" s="995"/>
      <c r="G2309" s="10"/>
      <c r="I2309" s="789"/>
      <c r="J2309" s="790"/>
      <c r="K2309" s="789"/>
      <c r="L2309" s="791"/>
    </row>
    <row r="2310" spans="3:12" s="767" customFormat="1" x14ac:dyDescent="0.25">
      <c r="C2310" s="767" t="s">
        <v>11469</v>
      </c>
      <c r="D2310" s="186"/>
      <c r="F2310" s="995"/>
      <c r="G2310" s="10"/>
      <c r="I2310" s="789"/>
      <c r="J2310" s="790"/>
      <c r="K2310" s="789"/>
      <c r="L2310" s="791"/>
    </row>
    <row r="2311" spans="3:12" s="767" customFormat="1" x14ac:dyDescent="0.25">
      <c r="C2311" s="767" t="s">
        <v>11795</v>
      </c>
      <c r="D2311" s="186"/>
      <c r="F2311" s="995"/>
      <c r="G2311" s="10"/>
      <c r="I2311" s="789"/>
      <c r="J2311" s="790"/>
      <c r="K2311" s="789"/>
      <c r="L2311" s="791"/>
    </row>
    <row r="2312" spans="3:12" s="767" customFormat="1" x14ac:dyDescent="0.25">
      <c r="C2312" s="767" t="s">
        <v>11478</v>
      </c>
      <c r="D2312" s="186"/>
      <c r="F2312" s="995"/>
      <c r="G2312" s="10"/>
      <c r="I2312" s="789"/>
      <c r="J2312" s="790"/>
      <c r="K2312" s="789"/>
      <c r="L2312" s="791"/>
    </row>
    <row r="2313" spans="3:12" s="767" customFormat="1" x14ac:dyDescent="0.25">
      <c r="C2313" s="767" t="s">
        <v>11480</v>
      </c>
      <c r="D2313" s="186"/>
      <c r="F2313" s="995"/>
      <c r="G2313" s="10"/>
      <c r="I2313" s="789"/>
      <c r="J2313" s="790"/>
      <c r="K2313" s="789"/>
      <c r="L2313" s="791"/>
    </row>
    <row r="2314" spans="3:12" s="767" customFormat="1" x14ac:dyDescent="0.25">
      <c r="C2314" s="767" t="s">
        <v>11481</v>
      </c>
      <c r="D2314" s="186"/>
      <c r="F2314" s="995"/>
      <c r="G2314" s="10"/>
      <c r="I2314" s="789"/>
      <c r="J2314" s="790"/>
      <c r="K2314" s="789"/>
      <c r="L2314" s="791"/>
    </row>
    <row r="2315" spans="3:12" s="767" customFormat="1" x14ac:dyDescent="0.25">
      <c r="C2315" s="767" t="s">
        <v>11482</v>
      </c>
      <c r="D2315" s="186"/>
      <c r="F2315" s="995"/>
      <c r="G2315" s="10"/>
      <c r="I2315" s="789"/>
      <c r="J2315" s="790"/>
      <c r="K2315" s="789"/>
      <c r="L2315" s="791"/>
    </row>
    <row r="2316" spans="3:12" s="767" customFormat="1" x14ac:dyDescent="0.25">
      <c r="C2316" s="767" t="s">
        <v>11483</v>
      </c>
      <c r="D2316" s="186"/>
      <c r="F2316" s="995"/>
      <c r="G2316" s="10"/>
      <c r="I2316" s="789"/>
      <c r="J2316" s="790"/>
      <c r="K2316" s="789"/>
      <c r="L2316" s="791"/>
    </row>
    <row r="2317" spans="3:12" s="767" customFormat="1" x14ac:dyDescent="0.25">
      <c r="C2317" s="767" t="s">
        <v>11491</v>
      </c>
      <c r="D2317" s="186"/>
      <c r="F2317" s="995"/>
      <c r="G2317" s="10"/>
      <c r="I2317" s="789"/>
      <c r="J2317" s="790"/>
      <c r="K2317" s="789"/>
      <c r="L2317" s="791"/>
    </row>
    <row r="2318" spans="3:12" s="767" customFormat="1" x14ac:dyDescent="0.25">
      <c r="C2318" s="767" t="s">
        <v>11492</v>
      </c>
      <c r="D2318" s="186"/>
      <c r="F2318" s="995"/>
      <c r="G2318" s="10"/>
      <c r="I2318" s="789"/>
      <c r="J2318" s="790"/>
      <c r="K2318" s="789"/>
      <c r="L2318" s="791"/>
    </row>
    <row r="2319" spans="3:12" s="767" customFormat="1" x14ac:dyDescent="0.25">
      <c r="C2319" s="767" t="s">
        <v>11493</v>
      </c>
      <c r="D2319" s="186"/>
      <c r="F2319" s="995"/>
      <c r="G2319" s="10"/>
      <c r="I2319" s="789"/>
      <c r="J2319" s="790"/>
      <c r="K2319" s="789"/>
      <c r="L2319" s="791"/>
    </row>
    <row r="2320" spans="3:12" s="767" customFormat="1" x14ac:dyDescent="0.25">
      <c r="C2320" s="767" t="s">
        <v>11494</v>
      </c>
      <c r="D2320" s="186"/>
      <c r="F2320" s="995"/>
      <c r="G2320" s="10"/>
      <c r="I2320" s="789"/>
      <c r="J2320" s="790"/>
      <c r="K2320" s="789"/>
      <c r="L2320" s="791"/>
    </row>
    <row r="2321" spans="3:12" s="767" customFormat="1" x14ac:dyDescent="0.25">
      <c r="C2321" s="767" t="s">
        <v>11499</v>
      </c>
      <c r="D2321" s="186"/>
      <c r="F2321" s="995"/>
      <c r="G2321" s="10"/>
      <c r="I2321" s="789"/>
      <c r="J2321" s="790"/>
      <c r="K2321" s="789"/>
      <c r="L2321" s="791"/>
    </row>
    <row r="2322" spans="3:12" s="767" customFormat="1" x14ac:dyDescent="0.25">
      <c r="C2322" s="767" t="s">
        <v>11500</v>
      </c>
      <c r="D2322" s="186"/>
      <c r="F2322" s="995"/>
      <c r="G2322" s="10"/>
      <c r="I2322" s="789"/>
      <c r="J2322" s="790"/>
      <c r="K2322" s="789"/>
      <c r="L2322" s="791"/>
    </row>
    <row r="2323" spans="3:12" s="767" customFormat="1" x14ac:dyDescent="0.25">
      <c r="C2323" s="767" t="s">
        <v>11501</v>
      </c>
      <c r="D2323" s="186"/>
      <c r="F2323" s="995"/>
      <c r="G2323" s="10"/>
      <c r="I2323" s="789"/>
      <c r="J2323" s="790"/>
      <c r="K2323" s="789"/>
      <c r="L2323" s="791"/>
    </row>
    <row r="2324" spans="3:12" s="767" customFormat="1" x14ac:dyDescent="0.25">
      <c r="C2324" s="767" t="s">
        <v>11502</v>
      </c>
      <c r="D2324" s="186"/>
      <c r="F2324" s="995"/>
      <c r="G2324" s="10"/>
      <c r="I2324" s="789"/>
      <c r="J2324" s="790"/>
      <c r="K2324" s="789"/>
      <c r="L2324" s="791"/>
    </row>
    <row r="2325" spans="3:12" s="767" customFormat="1" x14ac:dyDescent="0.25">
      <c r="C2325" s="767" t="s">
        <v>11503</v>
      </c>
      <c r="D2325" s="186"/>
      <c r="F2325" s="995"/>
      <c r="G2325" s="10"/>
      <c r="I2325" s="789"/>
      <c r="J2325" s="790"/>
      <c r="K2325" s="789"/>
      <c r="L2325" s="791"/>
    </row>
    <row r="2326" spans="3:12" s="767" customFormat="1" x14ac:dyDescent="0.25">
      <c r="C2326" s="767" t="s">
        <v>11504</v>
      </c>
      <c r="D2326" s="186"/>
      <c r="F2326" s="995"/>
      <c r="G2326" s="10"/>
      <c r="I2326" s="789"/>
      <c r="J2326" s="790"/>
      <c r="K2326" s="789"/>
      <c r="L2326" s="791"/>
    </row>
    <row r="2327" spans="3:12" s="767" customFormat="1" x14ac:dyDescent="0.25">
      <c r="C2327" s="767" t="s">
        <v>11530</v>
      </c>
      <c r="D2327" s="186"/>
      <c r="F2327" s="995"/>
      <c r="G2327" s="10"/>
      <c r="I2327" s="789"/>
      <c r="J2327" s="790"/>
      <c r="K2327" s="789"/>
      <c r="L2327" s="791"/>
    </row>
    <row r="2328" spans="3:12" s="767" customFormat="1" x14ac:dyDescent="0.25">
      <c r="C2328" s="767" t="s">
        <v>11533</v>
      </c>
      <c r="D2328" s="186"/>
      <c r="F2328" s="995"/>
      <c r="G2328" s="10"/>
      <c r="I2328" s="789"/>
      <c r="J2328" s="790"/>
      <c r="K2328" s="789"/>
      <c r="L2328" s="791"/>
    </row>
    <row r="2329" spans="3:12" s="767" customFormat="1" x14ac:dyDescent="0.25">
      <c r="C2329" s="767" t="s">
        <v>11539</v>
      </c>
      <c r="D2329" s="186"/>
      <c r="F2329" s="995"/>
      <c r="G2329" s="10"/>
      <c r="I2329" s="789"/>
      <c r="J2329" s="790"/>
      <c r="K2329" s="789"/>
      <c r="L2329" s="791"/>
    </row>
    <row r="2330" spans="3:12" s="767" customFormat="1" x14ac:dyDescent="0.25">
      <c r="C2330" s="767" t="s">
        <v>11543</v>
      </c>
      <c r="D2330" s="186"/>
      <c r="F2330" s="995"/>
      <c r="G2330" s="10"/>
      <c r="I2330" s="789"/>
      <c r="J2330" s="790"/>
      <c r="K2330" s="789"/>
      <c r="L2330" s="791"/>
    </row>
    <row r="2331" spans="3:12" s="767" customFormat="1" x14ac:dyDescent="0.25">
      <c r="C2331" s="767" t="s">
        <v>11802</v>
      </c>
      <c r="D2331" s="186"/>
      <c r="F2331" s="995"/>
      <c r="G2331" s="10"/>
      <c r="I2331" s="789"/>
      <c r="J2331" s="790"/>
      <c r="K2331" s="789"/>
      <c r="L2331" s="791"/>
    </row>
    <row r="2332" spans="3:12" s="767" customFormat="1" x14ac:dyDescent="0.25">
      <c r="C2332" s="767" t="s">
        <v>11803</v>
      </c>
      <c r="D2332" s="186"/>
      <c r="F2332" s="995"/>
      <c r="G2332" s="10"/>
      <c r="I2332" s="789"/>
      <c r="J2332" s="790"/>
      <c r="K2332" s="789"/>
      <c r="L2332" s="791"/>
    </row>
    <row r="2333" spans="3:12" s="767" customFormat="1" x14ac:dyDescent="0.25">
      <c r="C2333" s="767" t="s">
        <v>11804</v>
      </c>
      <c r="D2333" s="186"/>
      <c r="F2333" s="995"/>
      <c r="G2333" s="10"/>
      <c r="I2333" s="789"/>
      <c r="J2333" s="790"/>
      <c r="K2333" s="789"/>
      <c r="L2333" s="791"/>
    </row>
    <row r="2334" spans="3:12" s="767" customFormat="1" x14ac:dyDescent="0.25">
      <c r="C2334" s="767" t="s">
        <v>11805</v>
      </c>
      <c r="D2334" s="186"/>
      <c r="F2334" s="995"/>
      <c r="G2334" s="10"/>
      <c r="I2334" s="789"/>
      <c r="J2334" s="790"/>
      <c r="K2334" s="789"/>
      <c r="L2334" s="791"/>
    </row>
    <row r="2335" spans="3:12" s="767" customFormat="1" x14ac:dyDescent="0.25">
      <c r="C2335" s="767" t="s">
        <v>11809</v>
      </c>
      <c r="D2335" s="186"/>
      <c r="F2335" s="995"/>
      <c r="G2335" s="10"/>
      <c r="I2335" s="789"/>
      <c r="J2335" s="790"/>
      <c r="K2335" s="789"/>
      <c r="L2335" s="791"/>
    </row>
    <row r="2336" spans="3:12" s="767" customFormat="1" x14ac:dyDescent="0.25">
      <c r="C2336" s="767" t="s">
        <v>11810</v>
      </c>
      <c r="D2336" s="186"/>
      <c r="F2336" s="995"/>
      <c r="G2336" s="10"/>
      <c r="I2336" s="789"/>
      <c r="J2336" s="790"/>
      <c r="K2336" s="789"/>
      <c r="L2336" s="791"/>
    </row>
    <row r="2337" spans="3:12" s="767" customFormat="1" x14ac:dyDescent="0.25">
      <c r="C2337" s="767" t="s">
        <v>11811</v>
      </c>
      <c r="D2337" s="186"/>
      <c r="F2337" s="995"/>
      <c r="G2337" s="10"/>
      <c r="I2337" s="789"/>
      <c r="J2337" s="790"/>
      <c r="K2337" s="789"/>
      <c r="L2337" s="791"/>
    </row>
    <row r="2338" spans="3:12" s="767" customFormat="1" x14ac:dyDescent="0.25">
      <c r="C2338" s="767" t="s">
        <v>11812</v>
      </c>
      <c r="D2338" s="186"/>
      <c r="F2338" s="995"/>
      <c r="G2338" s="10"/>
      <c r="I2338" s="789"/>
      <c r="J2338" s="790"/>
      <c r="K2338" s="789"/>
      <c r="L2338" s="791"/>
    </row>
    <row r="2339" spans="3:12" s="767" customFormat="1" x14ac:dyDescent="0.25">
      <c r="C2339" s="608" t="s">
        <v>12575</v>
      </c>
      <c r="D2339"/>
      <c r="E2339" s="13"/>
      <c r="F2339"/>
      <c r="G2339" s="10"/>
      <c r="I2339" s="789"/>
      <c r="J2339" s="790"/>
      <c r="K2339" s="789"/>
      <c r="L2339" s="791"/>
    </row>
    <row r="2340" spans="3:12" s="767" customFormat="1" x14ac:dyDescent="0.25">
      <c r="C2340" s="608" t="s">
        <v>11506</v>
      </c>
      <c r="D2340"/>
      <c r="E2340" s="13"/>
      <c r="F2340"/>
      <c r="G2340" s="10"/>
      <c r="I2340" s="789"/>
      <c r="J2340" s="790"/>
      <c r="K2340" s="789"/>
      <c r="L2340" s="791"/>
    </row>
    <row r="2341" spans="3:12" s="767" customFormat="1" x14ac:dyDescent="0.25">
      <c r="C2341" s="608" t="s">
        <v>11507</v>
      </c>
      <c r="D2341"/>
      <c r="E2341" s="13"/>
      <c r="F2341"/>
      <c r="G2341" s="10"/>
      <c r="I2341" s="789"/>
      <c r="J2341" s="790"/>
      <c r="K2341" s="789"/>
      <c r="L2341" s="791"/>
    </row>
    <row r="2342" spans="3:12" s="767" customFormat="1" x14ac:dyDescent="0.25">
      <c r="C2342" s="608" t="s">
        <v>11508</v>
      </c>
      <c r="D2342"/>
      <c r="E2342" s="13"/>
      <c r="F2342"/>
      <c r="G2342" s="10"/>
      <c r="I2342" s="789"/>
      <c r="J2342" s="790"/>
      <c r="K2342" s="789"/>
      <c r="L2342" s="791"/>
    </row>
    <row r="2343" spans="3:12" s="767" customFormat="1" x14ac:dyDescent="0.25">
      <c r="C2343" s="13" t="s">
        <v>11509</v>
      </c>
      <c r="D2343"/>
      <c r="E2343" s="13"/>
      <c r="F2343"/>
      <c r="G2343" s="10"/>
      <c r="I2343" s="789"/>
      <c r="J2343" s="790"/>
      <c r="K2343" s="789"/>
      <c r="L2343" s="791"/>
    </row>
    <row r="2344" spans="3:12" s="767" customFormat="1" x14ac:dyDescent="0.25">
      <c r="C2344" s="13" t="s">
        <v>11510</v>
      </c>
      <c r="D2344"/>
      <c r="E2344" s="13"/>
      <c r="F2344"/>
      <c r="G2344" s="10"/>
      <c r="I2344" s="789"/>
      <c r="J2344" s="790"/>
      <c r="K2344" s="789"/>
      <c r="L2344" s="791"/>
    </row>
    <row r="2345" spans="3:12" s="767" customFormat="1" x14ac:dyDescent="0.25">
      <c r="C2345" s="13" t="s">
        <v>11511</v>
      </c>
      <c r="D2345"/>
      <c r="E2345" s="13"/>
      <c r="F2345"/>
      <c r="G2345" s="10"/>
      <c r="I2345" s="789"/>
      <c r="J2345" s="790"/>
      <c r="K2345" s="789"/>
      <c r="L2345" s="791"/>
    </row>
    <row r="2346" spans="3:12" s="767" customFormat="1" x14ac:dyDescent="0.25">
      <c r="C2346" s="13" t="s">
        <v>11512</v>
      </c>
      <c r="D2346"/>
      <c r="E2346" s="13"/>
      <c r="F2346"/>
      <c r="G2346" s="10"/>
      <c r="I2346" s="789"/>
      <c r="J2346" s="790"/>
      <c r="K2346" s="789"/>
      <c r="L2346" s="791"/>
    </row>
    <row r="2347" spans="3:12" s="767" customFormat="1" x14ac:dyDescent="0.25">
      <c r="C2347" s="13" t="s">
        <v>11513</v>
      </c>
      <c r="D2347"/>
      <c r="E2347" s="13"/>
      <c r="F2347"/>
      <c r="G2347" s="10"/>
      <c r="I2347" s="789"/>
      <c r="J2347" s="790"/>
      <c r="K2347" s="789"/>
      <c r="L2347" s="791"/>
    </row>
    <row r="2348" spans="3:12" s="767" customFormat="1" x14ac:dyDescent="0.25">
      <c r="C2348" s="13" t="s">
        <v>11514</v>
      </c>
      <c r="D2348"/>
      <c r="E2348" s="13"/>
      <c r="F2348"/>
      <c r="G2348" s="10"/>
      <c r="I2348" s="789"/>
      <c r="J2348" s="790"/>
      <c r="K2348" s="789"/>
      <c r="L2348" s="791"/>
    </row>
    <row r="2349" spans="3:12" s="767" customFormat="1" x14ac:dyDescent="0.25">
      <c r="C2349" s="13" t="s">
        <v>11515</v>
      </c>
      <c r="D2349"/>
      <c r="E2349" s="13"/>
      <c r="F2349"/>
      <c r="G2349" s="10"/>
      <c r="I2349" s="789"/>
      <c r="J2349" s="790"/>
      <c r="K2349" s="789"/>
      <c r="L2349" s="791"/>
    </row>
    <row r="2350" spans="3:12" s="767" customFormat="1" x14ac:dyDescent="0.25">
      <c r="C2350" s="13" t="s">
        <v>11516</v>
      </c>
      <c r="D2350"/>
      <c r="E2350" s="13"/>
      <c r="F2350"/>
      <c r="G2350" s="10"/>
      <c r="I2350" s="789"/>
      <c r="J2350" s="790"/>
      <c r="K2350" s="789"/>
      <c r="L2350" s="791"/>
    </row>
    <row r="2351" spans="3:12" s="767" customFormat="1" x14ac:dyDescent="0.25">
      <c r="C2351" s="13" t="s">
        <v>11517</v>
      </c>
      <c r="D2351"/>
      <c r="E2351" s="13"/>
      <c r="F2351"/>
      <c r="G2351" s="10"/>
      <c r="I2351" s="789"/>
      <c r="J2351" s="790"/>
      <c r="K2351" s="789"/>
      <c r="L2351" s="791"/>
    </row>
    <row r="2352" spans="3:12" s="767" customFormat="1" x14ac:dyDescent="0.25">
      <c r="C2352" s="608" t="s">
        <v>11518</v>
      </c>
      <c r="D2352"/>
      <c r="E2352" s="13"/>
      <c r="F2352"/>
      <c r="G2352" s="10"/>
      <c r="I2352" s="789"/>
      <c r="J2352" s="790"/>
      <c r="K2352" s="789"/>
      <c r="L2352" s="791"/>
    </row>
    <row r="2353" spans="3:12" s="767" customFormat="1" x14ac:dyDescent="0.25">
      <c r="C2353" s="13" t="s">
        <v>11519</v>
      </c>
      <c r="D2353"/>
      <c r="E2353" s="13"/>
      <c r="F2353"/>
      <c r="G2353" s="10"/>
      <c r="I2353" s="789"/>
      <c r="J2353" s="790"/>
      <c r="K2353" s="789"/>
      <c r="L2353" s="791"/>
    </row>
    <row r="2354" spans="3:12" s="767" customFormat="1" x14ac:dyDescent="0.25">
      <c r="C2354" s="608" t="s">
        <v>11520</v>
      </c>
      <c r="D2354"/>
      <c r="E2354" s="13"/>
      <c r="F2354"/>
      <c r="G2354" s="10"/>
      <c r="I2354" s="789"/>
      <c r="J2354" s="790"/>
      <c r="K2354" s="789"/>
      <c r="L2354" s="791"/>
    </row>
    <row r="2355" spans="3:12" s="767" customFormat="1" x14ac:dyDescent="0.25">
      <c r="C2355" s="608" t="s">
        <v>11521</v>
      </c>
      <c r="D2355"/>
      <c r="E2355" s="13"/>
      <c r="F2355"/>
      <c r="G2355" s="10"/>
      <c r="I2355" s="789"/>
      <c r="J2355" s="790"/>
      <c r="K2355" s="789"/>
      <c r="L2355" s="791"/>
    </row>
    <row r="2356" spans="3:12" s="767" customFormat="1" x14ac:dyDescent="0.25">
      <c r="C2356" s="608" t="s">
        <v>11522</v>
      </c>
      <c r="D2356"/>
      <c r="E2356" s="13"/>
      <c r="F2356"/>
      <c r="G2356" s="10"/>
      <c r="I2356" s="789"/>
      <c r="J2356" s="790"/>
      <c r="K2356" s="789"/>
      <c r="L2356" s="791"/>
    </row>
    <row r="2357" spans="3:12" s="767" customFormat="1" x14ac:dyDescent="0.25">
      <c r="C2357" s="608" t="s">
        <v>11523</v>
      </c>
      <c r="D2357"/>
      <c r="E2357" s="13"/>
      <c r="F2357"/>
      <c r="G2357" s="10"/>
      <c r="I2357" s="789"/>
      <c r="J2357" s="790"/>
      <c r="K2357" s="789"/>
      <c r="L2357" s="791"/>
    </row>
    <row r="2358" spans="3:12" s="767" customFormat="1" x14ac:dyDescent="0.25">
      <c r="C2358" s="608" t="s">
        <v>11524</v>
      </c>
      <c r="D2358"/>
      <c r="E2358" s="13"/>
      <c r="F2358"/>
      <c r="G2358" s="10"/>
      <c r="I2358" s="789"/>
      <c r="J2358" s="790"/>
      <c r="K2358" s="789"/>
      <c r="L2358" s="791"/>
    </row>
    <row r="2359" spans="3:12" s="767" customFormat="1" x14ac:dyDescent="0.25">
      <c r="D2359" s="186"/>
      <c r="F2359" s="1033"/>
      <c r="G2359" s="10"/>
      <c r="I2359" s="789"/>
      <c r="J2359" s="790"/>
      <c r="K2359" s="789"/>
      <c r="L2359" s="791"/>
    </row>
    <row r="2360" spans="3:12" s="767" customFormat="1" x14ac:dyDescent="0.25">
      <c r="D2360" s="186"/>
      <c r="F2360" s="1033"/>
      <c r="G2360" s="10"/>
      <c r="I2360" s="789"/>
      <c r="J2360" s="790"/>
      <c r="K2360" s="789"/>
      <c r="L2360" s="791"/>
    </row>
    <row r="2361" spans="3:12" s="767" customFormat="1" x14ac:dyDescent="0.25">
      <c r="C2361" s="767" t="s">
        <v>11570</v>
      </c>
      <c r="D2361" s="186"/>
      <c r="F2361" s="995"/>
      <c r="G2361" s="10"/>
      <c r="I2361" s="789"/>
      <c r="J2361" s="790"/>
      <c r="K2361" s="789"/>
      <c r="L2361" s="791"/>
    </row>
    <row r="2362" spans="3:12" s="767" customFormat="1" x14ac:dyDescent="0.25">
      <c r="C2362" s="767" t="s">
        <v>11815</v>
      </c>
      <c r="D2362" s="186"/>
      <c r="F2362" s="995"/>
      <c r="G2362" s="10"/>
      <c r="I2362" s="789"/>
      <c r="J2362" s="790"/>
      <c r="K2362" s="789"/>
      <c r="L2362" s="791"/>
    </row>
    <row r="2363" spans="3:12" s="767" customFormat="1" x14ac:dyDescent="0.25">
      <c r="D2363" s="186"/>
      <c r="F2363" s="995"/>
      <c r="G2363" s="10"/>
      <c r="I2363" s="789"/>
      <c r="J2363" s="790"/>
      <c r="K2363" s="789"/>
      <c r="L2363" s="791"/>
    </row>
    <row r="2364" spans="3:12" s="767" customFormat="1" x14ac:dyDescent="0.25">
      <c r="C2364" s="3" t="s">
        <v>11778</v>
      </c>
      <c r="D2364" s="186"/>
      <c r="F2364" s="119" t="s">
        <v>624</v>
      </c>
      <c r="G2364" s="10"/>
      <c r="I2364" s="789"/>
      <c r="J2364" s="790"/>
      <c r="K2364" s="789"/>
      <c r="L2364" s="791"/>
    </row>
    <row r="2365" spans="3:12" s="767" customFormat="1" x14ac:dyDescent="0.25">
      <c r="C2365" s="3" t="s">
        <v>11779</v>
      </c>
      <c r="D2365" s="186"/>
      <c r="F2365" s="119" t="s">
        <v>11816</v>
      </c>
      <c r="G2365" s="10"/>
      <c r="I2365" s="789"/>
      <c r="J2365" s="790"/>
      <c r="K2365" s="789"/>
      <c r="L2365" s="791"/>
    </row>
    <row r="2366" spans="3:12" s="767" customFormat="1" x14ac:dyDescent="0.25">
      <c r="C2366" s="3" t="s">
        <v>11820</v>
      </c>
      <c r="D2366" s="186"/>
      <c r="F2366" s="119" t="s">
        <v>9689</v>
      </c>
      <c r="G2366" s="10"/>
      <c r="I2366" s="789"/>
      <c r="J2366" s="790"/>
      <c r="K2366" s="789"/>
      <c r="L2366" s="791"/>
    </row>
    <row r="2367" spans="3:12" s="767" customFormat="1" x14ac:dyDescent="0.25">
      <c r="C2367" s="3" t="s">
        <v>11823</v>
      </c>
      <c r="D2367" s="186"/>
      <c r="F2367" s="119" t="s">
        <v>9689</v>
      </c>
      <c r="G2367" s="10"/>
      <c r="I2367" s="789"/>
      <c r="J2367" s="790"/>
      <c r="K2367" s="789"/>
      <c r="L2367" s="791"/>
    </row>
    <row r="2368" spans="3:12" s="767" customFormat="1" x14ac:dyDescent="0.25">
      <c r="C2368" s="3" t="s">
        <v>11781</v>
      </c>
      <c r="D2368" s="186"/>
      <c r="F2368" s="119" t="s">
        <v>11827</v>
      </c>
      <c r="G2368" s="10"/>
      <c r="I2368" s="789"/>
      <c r="J2368" s="790"/>
      <c r="K2368" s="789"/>
      <c r="L2368" s="791"/>
    </row>
    <row r="2369" spans="3:12" s="767" customFormat="1" x14ac:dyDescent="0.25">
      <c r="C2369" s="3" t="s">
        <v>11455</v>
      </c>
      <c r="D2369" s="186"/>
      <c r="F2369" s="119" t="s">
        <v>624</v>
      </c>
      <c r="G2369" s="10"/>
      <c r="I2369" s="789"/>
      <c r="J2369" s="790"/>
      <c r="K2369" s="789"/>
      <c r="L2369" s="791"/>
    </row>
    <row r="2370" spans="3:12" s="767" customFormat="1" x14ac:dyDescent="0.25">
      <c r="C2370" s="3" t="s">
        <v>11788</v>
      </c>
      <c r="D2370" s="186"/>
      <c r="F2370" s="119" t="s">
        <v>11827</v>
      </c>
      <c r="G2370" s="10"/>
      <c r="I2370" s="789"/>
      <c r="J2370" s="790"/>
      <c r="K2370" s="789"/>
      <c r="L2370" s="791"/>
    </row>
    <row r="2371" spans="3:12" s="767" customFormat="1" x14ac:dyDescent="0.25">
      <c r="C2371" s="3" t="s">
        <v>11785</v>
      </c>
      <c r="D2371" s="186"/>
      <c r="F2371" s="119" t="s">
        <v>11827</v>
      </c>
      <c r="G2371" s="10"/>
      <c r="I2371" s="789"/>
      <c r="J2371" s="790"/>
      <c r="K2371" s="789"/>
      <c r="L2371" s="791"/>
    </row>
    <row r="2372" spans="3:12" s="767" customFormat="1" x14ac:dyDescent="0.25">
      <c r="C2372" s="3" t="s">
        <v>11784</v>
      </c>
      <c r="D2372" s="186"/>
      <c r="F2372" s="119" t="s">
        <v>11827</v>
      </c>
      <c r="G2372" s="10"/>
      <c r="I2372" s="789"/>
      <c r="J2372" s="790"/>
      <c r="K2372" s="789"/>
      <c r="L2372" s="791"/>
    </row>
    <row r="2373" spans="3:12" s="767" customFormat="1" x14ac:dyDescent="0.25">
      <c r="C2373" s="3" t="s">
        <v>11783</v>
      </c>
      <c r="D2373" s="186"/>
      <c r="F2373" s="119" t="s">
        <v>11827</v>
      </c>
      <c r="G2373" s="10"/>
      <c r="I2373" s="789"/>
      <c r="J2373" s="790"/>
      <c r="K2373" s="789"/>
      <c r="L2373" s="791"/>
    </row>
    <row r="2374" spans="3:12" s="767" customFormat="1" x14ac:dyDescent="0.25">
      <c r="C2374" s="3" t="s">
        <v>11787</v>
      </c>
      <c r="D2374" s="186"/>
      <c r="F2374" s="119" t="s">
        <v>11827</v>
      </c>
      <c r="G2374" s="10"/>
      <c r="I2374" s="789"/>
      <c r="J2374" s="790"/>
      <c r="K2374" s="789"/>
      <c r="L2374" s="791"/>
    </row>
    <row r="2375" spans="3:12" s="767" customFormat="1" x14ac:dyDescent="0.25">
      <c r="C2375" s="3" t="s">
        <v>11800</v>
      </c>
      <c r="D2375" s="186"/>
      <c r="F2375" s="119" t="s">
        <v>11827</v>
      </c>
      <c r="G2375" s="10"/>
      <c r="I2375" s="789"/>
      <c r="J2375" s="790"/>
      <c r="K2375" s="789"/>
      <c r="L2375" s="791"/>
    </row>
    <row r="2376" spans="3:12" s="767" customFormat="1" x14ac:dyDescent="0.25">
      <c r="C2376" s="3" t="s">
        <v>11799</v>
      </c>
      <c r="D2376" s="186"/>
      <c r="F2376" s="119" t="s">
        <v>11827</v>
      </c>
      <c r="G2376" s="10"/>
      <c r="I2376" s="789"/>
      <c r="J2376" s="790"/>
      <c r="K2376" s="789"/>
      <c r="L2376" s="791"/>
    </row>
    <row r="2377" spans="3:12" s="767" customFormat="1" x14ac:dyDescent="0.25">
      <c r="C2377" s="3" t="s">
        <v>11484</v>
      </c>
      <c r="D2377" s="186"/>
      <c r="F2377" s="119" t="s">
        <v>11827</v>
      </c>
      <c r="G2377" s="10"/>
      <c r="I2377" s="789"/>
      <c r="J2377" s="790"/>
      <c r="K2377" s="789"/>
      <c r="L2377" s="791"/>
    </row>
    <row r="2378" spans="3:12" s="767" customFormat="1" x14ac:dyDescent="0.25">
      <c r="C2378" s="3" t="s">
        <v>11798</v>
      </c>
      <c r="D2378" s="186"/>
      <c r="F2378" s="119" t="s">
        <v>11827</v>
      </c>
      <c r="G2378" s="10"/>
      <c r="I2378" s="789"/>
      <c r="J2378" s="790"/>
      <c r="K2378" s="789"/>
      <c r="L2378" s="791"/>
    </row>
    <row r="2379" spans="3:12" s="767" customFormat="1" x14ac:dyDescent="0.25">
      <c r="C2379" s="3" t="s">
        <v>11540</v>
      </c>
      <c r="D2379" s="186"/>
      <c r="F2379" s="119" t="s">
        <v>11827</v>
      </c>
      <c r="G2379" s="10"/>
      <c r="I2379" s="789"/>
      <c r="J2379" s="790"/>
      <c r="K2379" s="789"/>
      <c r="L2379" s="791"/>
    </row>
    <row r="2380" spans="3:12" s="767" customFormat="1" x14ac:dyDescent="0.25">
      <c r="C2380" s="3" t="s">
        <v>11808</v>
      </c>
      <c r="D2380" s="186"/>
      <c r="F2380" s="119" t="s">
        <v>12333</v>
      </c>
      <c r="G2380" s="10"/>
      <c r="I2380" s="789"/>
      <c r="J2380" s="790"/>
      <c r="K2380" s="789"/>
      <c r="L2380" s="791"/>
    </row>
    <row r="2381" spans="3:12" s="767" customFormat="1" x14ac:dyDescent="0.25">
      <c r="D2381" s="186"/>
      <c r="F2381" s="119"/>
      <c r="G2381" s="10"/>
      <c r="I2381" s="789"/>
      <c r="J2381" s="790"/>
      <c r="K2381" s="789"/>
      <c r="L2381" s="791"/>
    </row>
    <row r="2382" spans="3:12" x14ac:dyDescent="0.25">
      <c r="C2382" s="767" t="s">
        <v>11460</v>
      </c>
      <c r="F2382" s="995"/>
      <c r="G2382" s="10"/>
      <c r="L2382" s="791"/>
    </row>
    <row r="2383" spans="3:12" x14ac:dyDescent="0.25">
      <c r="C2383" s="767" t="s">
        <v>11474</v>
      </c>
      <c r="F2383" s="995"/>
      <c r="G2383" s="10"/>
      <c r="H2383" s="767"/>
      <c r="I2383" s="767"/>
      <c r="L2383" s="791"/>
    </row>
    <row r="2384" spans="3:12" x14ac:dyDescent="0.25">
      <c r="C2384" s="767" t="s">
        <v>11475</v>
      </c>
      <c r="F2384" s="995"/>
      <c r="G2384" s="10"/>
      <c r="H2384" s="767"/>
      <c r="I2384" s="767"/>
      <c r="L2384" s="791"/>
    </row>
    <row r="2385" spans="3:12" x14ac:dyDescent="0.25">
      <c r="C2385" s="767" t="s">
        <v>11476</v>
      </c>
      <c r="F2385" s="995"/>
      <c r="G2385" s="10"/>
      <c r="H2385" s="767"/>
      <c r="I2385" s="767"/>
      <c r="L2385" s="791"/>
    </row>
    <row r="2386" spans="3:12" x14ac:dyDescent="0.25">
      <c r="C2386" s="767" t="s">
        <v>11477</v>
      </c>
      <c r="F2386" s="995"/>
      <c r="G2386" s="10"/>
      <c r="H2386" s="767"/>
      <c r="I2386" s="767"/>
      <c r="L2386" s="791"/>
    </row>
    <row r="2387" spans="3:12" x14ac:dyDescent="0.25">
      <c r="C2387" s="767" t="s">
        <v>11528</v>
      </c>
      <c r="F2387" s="995"/>
      <c r="G2387" s="10"/>
      <c r="L2387" s="791"/>
    </row>
    <row r="2388" spans="3:12" x14ac:dyDescent="0.25">
      <c r="C2388" s="767" t="s">
        <v>11529</v>
      </c>
      <c r="F2388" s="995"/>
      <c r="G2388" s="10"/>
      <c r="L2388" s="791"/>
    </row>
    <row r="2389" spans="3:12" x14ac:dyDescent="0.25">
      <c r="C2389" s="767" t="s">
        <v>11544</v>
      </c>
      <c r="F2389" s="995"/>
      <c r="G2389" s="10"/>
      <c r="L2389" s="791"/>
    </row>
    <row r="2390" spans="3:12" x14ac:dyDescent="0.25">
      <c r="C2390" s="767" t="s">
        <v>11545</v>
      </c>
      <c r="F2390" s="995"/>
      <c r="G2390" s="10"/>
      <c r="L2390" s="791"/>
    </row>
    <row r="2391" spans="3:12" x14ac:dyDescent="0.25">
      <c r="C2391" s="767" t="s">
        <v>11547</v>
      </c>
      <c r="F2391" s="995"/>
      <c r="G2391" s="10"/>
      <c r="L2391" s="791"/>
    </row>
    <row r="2392" spans="3:12" x14ac:dyDescent="0.25">
      <c r="C2392" s="767" t="s">
        <v>11548</v>
      </c>
      <c r="F2392" s="995"/>
      <c r="G2392" s="10"/>
      <c r="L2392" s="791"/>
    </row>
    <row r="2393" spans="3:12" x14ac:dyDescent="0.25">
      <c r="C2393" s="767" t="s">
        <v>11568</v>
      </c>
      <c r="F2393" s="995"/>
      <c r="G2393" s="10"/>
      <c r="L2393" s="791"/>
    </row>
    <row r="2394" spans="3:12" x14ac:dyDescent="0.25">
      <c r="C2394" s="767" t="s">
        <v>11569</v>
      </c>
      <c r="F2394" s="995"/>
      <c r="G2394" s="10"/>
      <c r="L2394" s="791"/>
    </row>
    <row r="2395" spans="3:12" x14ac:dyDescent="0.25">
      <c r="C2395" s="767" t="s">
        <v>11572</v>
      </c>
      <c r="F2395" s="995"/>
      <c r="G2395" s="10"/>
      <c r="L2395" s="791"/>
    </row>
    <row r="2396" spans="3:12" x14ac:dyDescent="0.25">
      <c r="C2396" s="767" t="s">
        <v>11573</v>
      </c>
      <c r="F2396" s="995"/>
      <c r="G2396" s="10"/>
      <c r="L2396" s="791"/>
    </row>
    <row r="2397" spans="3:12" x14ac:dyDescent="0.25">
      <c r="C2397" s="767" t="s">
        <v>11574</v>
      </c>
      <c r="F2397" s="995"/>
      <c r="G2397" s="10"/>
      <c r="L2397" s="791"/>
    </row>
    <row r="2398" spans="3:12" x14ac:dyDescent="0.25">
      <c r="C2398" s="3" t="s">
        <v>11459</v>
      </c>
      <c r="F2398" s="995" t="s">
        <v>11613</v>
      </c>
      <c r="G2398" s="10"/>
      <c r="L2398" s="791"/>
    </row>
    <row r="2399" spans="3:12" x14ac:dyDescent="0.25">
      <c r="F2399" s="995"/>
      <c r="G2399" s="10"/>
      <c r="L2399" s="791"/>
    </row>
    <row r="2400" spans="3:12" x14ac:dyDescent="0.25">
      <c r="C2400" s="3" t="s">
        <v>11632</v>
      </c>
      <c r="D2400" s="767"/>
      <c r="E2400" s="767"/>
      <c r="F2400" s="995"/>
      <c r="G2400" s="10" t="s">
        <v>11622</v>
      </c>
      <c r="H2400" s="767"/>
      <c r="L2400" s="791"/>
    </row>
    <row r="2401" spans="3:12" x14ac:dyDescent="0.25">
      <c r="C2401" s="3" t="s">
        <v>11633</v>
      </c>
      <c r="D2401" s="767"/>
      <c r="E2401" s="767"/>
      <c r="F2401" s="995"/>
      <c r="G2401" s="10" t="s">
        <v>11622</v>
      </c>
      <c r="H2401" s="767"/>
      <c r="L2401" s="791"/>
    </row>
    <row r="2402" spans="3:12" x14ac:dyDescent="0.25">
      <c r="C2402" s="3" t="s">
        <v>11634</v>
      </c>
      <c r="D2402" s="767"/>
      <c r="E2402" s="767"/>
      <c r="F2402" s="995"/>
      <c r="G2402" s="10" t="s">
        <v>11622</v>
      </c>
      <c r="H2402" s="767"/>
      <c r="L2402" s="791"/>
    </row>
    <row r="2403" spans="3:12" x14ac:dyDescent="0.25">
      <c r="C2403" s="3" t="s">
        <v>11620</v>
      </c>
      <c r="D2403" s="767"/>
      <c r="E2403" s="767"/>
      <c r="F2403" s="995"/>
      <c r="G2403" s="10" t="s">
        <v>11622</v>
      </c>
      <c r="H2403" s="767"/>
      <c r="L2403" s="791"/>
    </row>
    <row r="2404" spans="3:12" x14ac:dyDescent="0.25">
      <c r="C2404" s="767" t="s">
        <v>11467</v>
      </c>
      <c r="F2404" s="995"/>
      <c r="G2404" s="10" t="s">
        <v>11649</v>
      </c>
      <c r="L2404" s="791"/>
    </row>
    <row r="2405" spans="3:12" s="767" customFormat="1" x14ac:dyDescent="0.25">
      <c r="F2405" s="995"/>
      <c r="G2405" s="10"/>
      <c r="L2405" s="791"/>
    </row>
    <row r="2406" spans="3:12" s="767" customFormat="1" x14ac:dyDescent="0.25">
      <c r="F2406" s="995"/>
      <c r="G2406" s="10"/>
      <c r="L2406" s="791"/>
    </row>
    <row r="2407" spans="3:12" ht="18.75" x14ac:dyDescent="0.3">
      <c r="C2407" s="767"/>
      <c r="D2407" s="767"/>
      <c r="E2407" s="740" t="s">
        <v>11637</v>
      </c>
      <c r="F2407" s="995"/>
      <c r="G2407" s="10"/>
      <c r="H2407" s="767"/>
      <c r="L2407" s="791"/>
    </row>
    <row r="2408" spans="3:12" x14ac:dyDescent="0.25">
      <c r="C2408" s="767"/>
      <c r="D2408" s="767"/>
      <c r="E2408" s="767"/>
      <c r="F2408" s="995"/>
      <c r="G2408" s="10"/>
      <c r="H2408" s="767"/>
      <c r="L2408" s="791"/>
    </row>
    <row r="2409" spans="3:12" x14ac:dyDescent="0.25">
      <c r="C2409" s="3" t="s">
        <v>11638</v>
      </c>
      <c r="D2409" s="767"/>
      <c r="E2409" s="767"/>
      <c r="F2409" s="995"/>
      <c r="G2409" s="10"/>
      <c r="H2409" s="767"/>
      <c r="L2409" s="791"/>
    </row>
    <row r="2410" spans="3:12" x14ac:dyDescent="0.25">
      <c r="C2410" s="767" t="s">
        <v>9932</v>
      </c>
      <c r="D2410" s="767"/>
      <c r="E2410" s="767"/>
      <c r="F2410" s="995" t="s">
        <v>3</v>
      </c>
      <c r="G2410" s="10">
        <f>0.285*0.015*2*8</f>
        <v>6.8399999999999989E-2</v>
      </c>
      <c r="H2410" s="767"/>
      <c r="L2410" s="791"/>
    </row>
    <row r="2411" spans="3:12" x14ac:dyDescent="0.25">
      <c r="F2411" s="995"/>
      <c r="G2411" s="10"/>
      <c r="L2411" s="791"/>
    </row>
    <row r="2412" spans="3:12" x14ac:dyDescent="0.25">
      <c r="F2412" s="995"/>
      <c r="G2412" s="10"/>
      <c r="L2412" s="791"/>
    </row>
    <row r="2413" spans="3:12" x14ac:dyDescent="0.25">
      <c r="D2413" s="3" t="s">
        <v>11861</v>
      </c>
      <c r="F2413" s="995"/>
      <c r="G2413" s="10"/>
      <c r="L2413" s="791"/>
    </row>
    <row r="2414" spans="3:12" x14ac:dyDescent="0.25">
      <c r="D2414" t="s">
        <v>11862</v>
      </c>
      <c r="F2414" s="995" t="s">
        <v>3</v>
      </c>
      <c r="G2414" s="10"/>
      <c r="I2414" t="s">
        <v>11864</v>
      </c>
      <c r="L2414" s="791"/>
    </row>
    <row r="2415" spans="3:12" x14ac:dyDescent="0.25">
      <c r="D2415" t="s">
        <v>11863</v>
      </c>
      <c r="F2415" s="995" t="s">
        <v>3</v>
      </c>
      <c r="G2415" s="10"/>
      <c r="L2415" s="791"/>
    </row>
    <row r="2416" spans="3:12" x14ac:dyDescent="0.25">
      <c r="F2416" s="995"/>
      <c r="G2416" s="10"/>
      <c r="L2416" s="791"/>
    </row>
    <row r="2417" spans="6:14" x14ac:dyDescent="0.25">
      <c r="F2417" s="995"/>
      <c r="G2417" s="10"/>
      <c r="L2417" s="791"/>
    </row>
    <row r="2418" spans="6:14" x14ac:dyDescent="0.25">
      <c r="F2418" s="995"/>
      <c r="G2418" s="10"/>
      <c r="L2418" s="791"/>
    </row>
    <row r="2419" spans="6:14" x14ac:dyDescent="0.25">
      <c r="F2419" s="995"/>
      <c r="G2419" s="10"/>
      <c r="L2419" s="791"/>
    </row>
    <row r="2420" spans="6:14" x14ac:dyDescent="0.25">
      <c r="F2420" s="995"/>
      <c r="G2420" s="10"/>
      <c r="L2420" s="13" t="s">
        <v>12572</v>
      </c>
      <c r="N2420" s="13" t="s">
        <v>9709</v>
      </c>
    </row>
    <row r="2421" spans="6:14" x14ac:dyDescent="0.25">
      <c r="F2421" s="995"/>
      <c r="G2421" s="10"/>
      <c r="L2421" s="13" t="s">
        <v>12558</v>
      </c>
      <c r="N2421" s="13" t="s">
        <v>12559</v>
      </c>
    </row>
    <row r="2422" spans="6:14" x14ac:dyDescent="0.25">
      <c r="F2422" s="995"/>
      <c r="G2422" s="10"/>
      <c r="L2422" s="13" t="s">
        <v>12556</v>
      </c>
      <c r="N2422" s="13" t="s">
        <v>12557</v>
      </c>
    </row>
    <row r="2423" spans="6:14" x14ac:dyDescent="0.25">
      <c r="F2423" s="995"/>
      <c r="G2423" s="10"/>
      <c r="L2423" s="13" t="s">
        <v>11247</v>
      </c>
      <c r="N2423" s="13" t="s">
        <v>9705</v>
      </c>
    </row>
    <row r="2424" spans="6:14" x14ac:dyDescent="0.25">
      <c r="F2424" s="995"/>
      <c r="G2424" s="10"/>
      <c r="L2424" s="608" t="s">
        <v>12542</v>
      </c>
      <c r="N2424" s="13" t="s">
        <v>12543</v>
      </c>
    </row>
    <row r="2425" spans="6:14" x14ac:dyDescent="0.25">
      <c r="F2425" s="995"/>
      <c r="G2425" s="10"/>
      <c r="L2425" s="608" t="s">
        <v>10973</v>
      </c>
      <c r="N2425" s="13" t="s">
        <v>10865</v>
      </c>
    </row>
    <row r="2426" spans="6:14" x14ac:dyDescent="0.25">
      <c r="F2426" s="995"/>
      <c r="G2426" s="10"/>
      <c r="L2426" s="608" t="s">
        <v>11121</v>
      </c>
      <c r="N2426" s="13" t="s">
        <v>11122</v>
      </c>
    </row>
    <row r="2427" spans="6:14" x14ac:dyDescent="0.25">
      <c r="F2427" s="995"/>
      <c r="G2427" s="10"/>
      <c r="L2427" s="13" t="s">
        <v>11758</v>
      </c>
      <c r="N2427" s="13" t="s">
        <v>10962</v>
      </c>
    </row>
    <row r="2428" spans="6:14" x14ac:dyDescent="0.25">
      <c r="F2428" s="995"/>
      <c r="G2428" s="10"/>
      <c r="L2428" s="608" t="s">
        <v>12508</v>
      </c>
      <c r="N2428" s="13" t="s">
        <v>11085</v>
      </c>
    </row>
    <row r="2429" spans="6:14" x14ac:dyDescent="0.25">
      <c r="F2429" s="995"/>
      <c r="G2429" s="10"/>
      <c r="L2429" s="608" t="s">
        <v>12509</v>
      </c>
      <c r="N2429" s="13" t="s">
        <v>9709</v>
      </c>
    </row>
    <row r="2430" spans="6:14" x14ac:dyDescent="0.25">
      <c r="F2430" s="995"/>
      <c r="G2430" s="10"/>
      <c r="L2430" s="608" t="s">
        <v>11110</v>
      </c>
      <c r="N2430" s="13" t="s">
        <v>9709</v>
      </c>
    </row>
    <row r="2431" spans="6:14" x14ac:dyDescent="0.25">
      <c r="F2431" s="995"/>
      <c r="G2431" s="10"/>
      <c r="L2431" s="608" t="s">
        <v>11078</v>
      </c>
      <c r="N2431" s="13" t="s">
        <v>11079</v>
      </c>
    </row>
    <row r="2432" spans="6:14" x14ac:dyDescent="0.25">
      <c r="F2432" s="995"/>
      <c r="G2432" s="10"/>
      <c r="L2432" s="608" t="s">
        <v>12515</v>
      </c>
      <c r="N2432" s="13" t="s">
        <v>12516</v>
      </c>
    </row>
    <row r="2433" spans="6:14" x14ac:dyDescent="0.25">
      <c r="F2433" s="995"/>
      <c r="G2433" s="10"/>
      <c r="L2433" s="608" t="s">
        <v>12534</v>
      </c>
      <c r="N2433" s="13" t="s">
        <v>12535</v>
      </c>
    </row>
    <row r="2434" spans="6:14" x14ac:dyDescent="0.25">
      <c r="F2434" s="995"/>
      <c r="G2434" s="10"/>
      <c r="L2434" s="608" t="s">
        <v>12540</v>
      </c>
      <c r="N2434" s="13" t="s">
        <v>12541</v>
      </c>
    </row>
    <row r="2435" spans="6:14" x14ac:dyDescent="0.25">
      <c r="F2435" s="995"/>
      <c r="G2435" s="10"/>
      <c r="L2435" s="608" t="s">
        <v>12519</v>
      </c>
      <c r="N2435" s="13" t="s">
        <v>9709</v>
      </c>
    </row>
    <row r="2436" spans="6:14" x14ac:dyDescent="0.25">
      <c r="F2436" s="995"/>
      <c r="G2436" s="10"/>
      <c r="L2436" s="608" t="s">
        <v>12520</v>
      </c>
      <c r="N2436" s="13" t="s">
        <v>12521</v>
      </c>
    </row>
    <row r="2437" spans="6:14" x14ac:dyDescent="0.25">
      <c r="F2437" s="995"/>
      <c r="G2437" s="10"/>
      <c r="L2437" s="608" t="s">
        <v>11161</v>
      </c>
      <c r="N2437" s="13" t="s">
        <v>9709</v>
      </c>
    </row>
    <row r="2438" spans="6:14" x14ac:dyDescent="0.25">
      <c r="F2438" s="995"/>
      <c r="G2438" s="10"/>
      <c r="L2438" s="608" t="s">
        <v>12539</v>
      </c>
      <c r="N2438" s="13" t="s">
        <v>10962</v>
      </c>
    </row>
    <row r="2439" spans="6:14" x14ac:dyDescent="0.25">
      <c r="F2439" s="995"/>
      <c r="G2439" s="10"/>
      <c r="L2439" s="13" t="s">
        <v>12553</v>
      </c>
      <c r="N2439" s="13" t="s">
        <v>9885</v>
      </c>
    </row>
    <row r="2440" spans="6:14" x14ac:dyDescent="0.25">
      <c r="F2440" s="995"/>
      <c r="G2440" s="10"/>
      <c r="L2440" s="608" t="s">
        <v>12522</v>
      </c>
      <c r="N2440" s="13" t="s">
        <v>12523</v>
      </c>
    </row>
    <row r="2441" spans="6:14" x14ac:dyDescent="0.25">
      <c r="F2441" s="995"/>
      <c r="G2441" s="10"/>
      <c r="L2441" s="608" t="s">
        <v>12505</v>
      </c>
      <c r="N2441" s="13" t="s">
        <v>12506</v>
      </c>
    </row>
    <row r="2442" spans="6:14" x14ac:dyDescent="0.25">
      <c r="F2442" s="995"/>
      <c r="G2442" s="10"/>
      <c r="L2442" s="608" t="s">
        <v>10992</v>
      </c>
      <c r="N2442" s="13" t="s">
        <v>10993</v>
      </c>
    </row>
    <row r="2443" spans="6:14" x14ac:dyDescent="0.25">
      <c r="F2443" s="995"/>
      <c r="G2443" s="10"/>
      <c r="L2443" s="13" t="s">
        <v>11035</v>
      </c>
      <c r="N2443" s="13" t="s">
        <v>11036</v>
      </c>
    </row>
    <row r="2444" spans="6:14" x14ac:dyDescent="0.25">
      <c r="F2444" s="995"/>
      <c r="G2444" s="10"/>
      <c r="L2444" s="13" t="s">
        <v>11037</v>
      </c>
      <c r="N2444" s="13" t="s">
        <v>9885</v>
      </c>
    </row>
    <row r="2445" spans="6:14" x14ac:dyDescent="0.25">
      <c r="F2445" s="995"/>
      <c r="G2445" s="10"/>
      <c r="L2445" s="608" t="s">
        <v>12514</v>
      </c>
      <c r="N2445" s="13" t="s">
        <v>9885</v>
      </c>
    </row>
    <row r="2446" spans="6:14" x14ac:dyDescent="0.25">
      <c r="F2446" s="995"/>
      <c r="G2446" s="10"/>
      <c r="L2446" s="608" t="s">
        <v>12517</v>
      </c>
      <c r="N2446" s="13" t="s">
        <v>12518</v>
      </c>
    </row>
    <row r="2447" spans="6:14" x14ac:dyDescent="0.25">
      <c r="F2447" s="995"/>
      <c r="G2447" s="10"/>
      <c r="L2447" s="608" t="s">
        <v>10968</v>
      </c>
      <c r="N2447" s="13" t="s">
        <v>9926</v>
      </c>
    </row>
    <row r="2448" spans="6:14" x14ac:dyDescent="0.25">
      <c r="G2448" s="10"/>
      <c r="L2448" s="608" t="s">
        <v>10974</v>
      </c>
      <c r="N2448" s="13" t="s">
        <v>10975</v>
      </c>
    </row>
    <row r="2449" spans="7:14" x14ac:dyDescent="0.25">
      <c r="G2449" s="10"/>
      <c r="L2449" s="608" t="s">
        <v>10970</v>
      </c>
      <c r="N2449" s="13" t="s">
        <v>9887</v>
      </c>
    </row>
    <row r="2450" spans="7:14" x14ac:dyDescent="0.25">
      <c r="G2450" s="10"/>
      <c r="L2450" s="608" t="s">
        <v>11123</v>
      </c>
      <c r="N2450" s="13" t="s">
        <v>11124</v>
      </c>
    </row>
    <row r="2451" spans="7:14" x14ac:dyDescent="0.25">
      <c r="G2451" s="10"/>
      <c r="L2451" s="608" t="s">
        <v>10976</v>
      </c>
      <c r="N2451" s="13" t="s">
        <v>10977</v>
      </c>
    </row>
    <row r="2452" spans="7:14" x14ac:dyDescent="0.25">
      <c r="G2452" s="10"/>
      <c r="L2452" s="13" t="s">
        <v>11038</v>
      </c>
      <c r="N2452" s="13" t="s">
        <v>11039</v>
      </c>
    </row>
    <row r="2453" spans="7:14" x14ac:dyDescent="0.25">
      <c r="G2453" s="10"/>
      <c r="L2453" s="13" t="s">
        <v>11040</v>
      </c>
      <c r="N2453" s="13" t="s">
        <v>11041</v>
      </c>
    </row>
    <row r="2454" spans="7:14" x14ac:dyDescent="0.25">
      <c r="G2454" s="10"/>
      <c r="L2454" s="13" t="s">
        <v>11042</v>
      </c>
      <c r="N2454" s="13" t="s">
        <v>11039</v>
      </c>
    </row>
    <row r="2455" spans="7:14" x14ac:dyDescent="0.25">
      <c r="G2455" s="10"/>
      <c r="L2455" s="608" t="s">
        <v>11043</v>
      </c>
      <c r="N2455" s="13" t="s">
        <v>11041</v>
      </c>
    </row>
    <row r="2456" spans="7:14" x14ac:dyDescent="0.25">
      <c r="G2456" s="10"/>
      <c r="L2456" s="608" t="s">
        <v>11125</v>
      </c>
      <c r="N2456" s="13" t="s">
        <v>11126</v>
      </c>
    </row>
    <row r="2457" spans="7:14" x14ac:dyDescent="0.25">
      <c r="G2457" s="10"/>
      <c r="L2457" s="608" t="s">
        <v>11131</v>
      </c>
      <c r="N2457" s="13" t="s">
        <v>9323</v>
      </c>
    </row>
    <row r="2458" spans="7:14" x14ac:dyDescent="0.25">
      <c r="G2458" s="10"/>
      <c r="L2458" s="608" t="s">
        <v>11132</v>
      </c>
      <c r="N2458" s="13" t="s">
        <v>9323</v>
      </c>
    </row>
    <row r="2459" spans="7:14" x14ac:dyDescent="0.25">
      <c r="G2459" s="10"/>
      <c r="L2459" s="608" t="s">
        <v>11133</v>
      </c>
      <c r="N2459" s="13" t="s">
        <v>2507</v>
      </c>
    </row>
    <row r="2460" spans="7:14" x14ac:dyDescent="0.25">
      <c r="G2460" s="10"/>
      <c r="L2460" s="608" t="s">
        <v>11135</v>
      </c>
      <c r="N2460" s="13" t="s">
        <v>9323</v>
      </c>
    </row>
    <row r="2461" spans="7:14" x14ac:dyDescent="0.25">
      <c r="G2461" s="10"/>
      <c r="L2461" s="608" t="s">
        <v>11136</v>
      </c>
      <c r="N2461" s="13" t="s">
        <v>9323</v>
      </c>
    </row>
    <row r="2462" spans="7:14" x14ac:dyDescent="0.25">
      <c r="G2462" s="10"/>
      <c r="L2462" s="608" t="s">
        <v>11137</v>
      </c>
      <c r="N2462" s="13" t="s">
        <v>9704</v>
      </c>
    </row>
    <row r="2463" spans="7:14" x14ac:dyDescent="0.25">
      <c r="G2463" s="10"/>
      <c r="L2463" s="608" t="s">
        <v>11138</v>
      </c>
      <c r="N2463" s="13" t="s">
        <v>9704</v>
      </c>
    </row>
    <row r="2464" spans="7:14" x14ac:dyDescent="0.25">
      <c r="G2464" s="10"/>
      <c r="L2464" s="608" t="s">
        <v>11139</v>
      </c>
      <c r="N2464" s="13" t="s">
        <v>9704</v>
      </c>
    </row>
    <row r="2465" spans="7:14" x14ac:dyDescent="0.25">
      <c r="G2465" s="10"/>
      <c r="L2465" s="608" t="s">
        <v>11140</v>
      </c>
      <c r="N2465" s="13" t="s">
        <v>9704</v>
      </c>
    </row>
    <row r="2466" spans="7:14" x14ac:dyDescent="0.25">
      <c r="G2466" s="10"/>
      <c r="L2466" s="608" t="s">
        <v>11147</v>
      </c>
      <c r="N2466" s="13" t="s">
        <v>2507</v>
      </c>
    </row>
    <row r="2467" spans="7:14" x14ac:dyDescent="0.25">
      <c r="G2467" s="10"/>
      <c r="L2467" s="608" t="s">
        <v>11148</v>
      </c>
      <c r="N2467" s="13" t="s">
        <v>2507</v>
      </c>
    </row>
    <row r="2468" spans="7:14" x14ac:dyDescent="0.25">
      <c r="G2468" s="10"/>
      <c r="L2468" s="608" t="s">
        <v>11149</v>
      </c>
      <c r="N2468" s="13" t="s">
        <v>2507</v>
      </c>
    </row>
    <row r="2469" spans="7:14" x14ac:dyDescent="0.25">
      <c r="G2469" s="10"/>
      <c r="L2469" s="608" t="s">
        <v>11150</v>
      </c>
      <c r="N2469" s="13" t="s">
        <v>9926</v>
      </c>
    </row>
    <row r="2470" spans="7:14" x14ac:dyDescent="0.25">
      <c r="G2470" s="10"/>
      <c r="L2470" s="608" t="s">
        <v>11151</v>
      </c>
      <c r="N2470" s="13" t="s">
        <v>2507</v>
      </c>
    </row>
    <row r="2471" spans="7:14" x14ac:dyDescent="0.25">
      <c r="G2471" s="10"/>
      <c r="L2471" s="608" t="s">
        <v>11152</v>
      </c>
      <c r="N2471" s="13" t="s">
        <v>2507</v>
      </c>
    </row>
    <row r="2472" spans="7:14" x14ac:dyDescent="0.25">
      <c r="G2472" s="10"/>
      <c r="L2472" s="608" t="s">
        <v>11153</v>
      </c>
      <c r="N2472" s="13" t="s">
        <v>2507</v>
      </c>
    </row>
    <row r="2473" spans="7:14" x14ac:dyDescent="0.25">
      <c r="G2473" s="10"/>
      <c r="L2473" s="608" t="s">
        <v>11156</v>
      </c>
      <c r="N2473" s="13" t="s">
        <v>2507</v>
      </c>
    </row>
    <row r="2474" spans="7:14" x14ac:dyDescent="0.25">
      <c r="G2474" s="10"/>
      <c r="L2474" s="608" t="s">
        <v>11158</v>
      </c>
      <c r="N2474" s="13" t="s">
        <v>9704</v>
      </c>
    </row>
    <row r="2475" spans="7:14" x14ac:dyDescent="0.25">
      <c r="G2475" s="10"/>
      <c r="L2475" s="608" t="s">
        <v>11160</v>
      </c>
      <c r="N2475" s="13" t="s">
        <v>2507</v>
      </c>
    </row>
    <row r="2476" spans="7:14" x14ac:dyDescent="0.25">
      <c r="G2476" s="10"/>
      <c r="L2476" s="608" t="s">
        <v>12507</v>
      </c>
      <c r="N2476" s="13" t="s">
        <v>11085</v>
      </c>
    </row>
    <row r="2477" spans="7:14" x14ac:dyDescent="0.25">
      <c r="G2477" s="10"/>
      <c r="L2477" s="608" t="s">
        <v>11118</v>
      </c>
      <c r="N2477" s="13" t="s">
        <v>11119</v>
      </c>
    </row>
    <row r="2478" spans="7:14" x14ac:dyDescent="0.25">
      <c r="G2478" s="10"/>
    </row>
    <row r="2479" spans="7:14" x14ac:dyDescent="0.25">
      <c r="G2479" s="10"/>
    </row>
    <row r="2480" spans="7:14" x14ac:dyDescent="0.25">
      <c r="G2480" s="10"/>
    </row>
    <row r="2481" spans="7:7" x14ac:dyDescent="0.25">
      <c r="G2481" s="10"/>
    </row>
    <row r="2482" spans="7:7" x14ac:dyDescent="0.25">
      <c r="G2482" s="10"/>
    </row>
    <row r="2483" spans="7:7" x14ac:dyDescent="0.25">
      <c r="G2483" s="10"/>
    </row>
    <row r="2484" spans="7:7" x14ac:dyDescent="0.25">
      <c r="G2484" s="10"/>
    </row>
    <row r="2485" spans="7:7" x14ac:dyDescent="0.25">
      <c r="G2485" s="10"/>
    </row>
    <row r="2486" spans="7:7" x14ac:dyDescent="0.25">
      <c r="G2486" s="10"/>
    </row>
    <row r="2487" spans="7:7" x14ac:dyDescent="0.25">
      <c r="G2487" s="10"/>
    </row>
    <row r="2488" spans="7:7" x14ac:dyDescent="0.25">
      <c r="G2488" s="10"/>
    </row>
    <row r="2489" spans="7:7" x14ac:dyDescent="0.25">
      <c r="G2489" s="10"/>
    </row>
    <row r="2490" spans="7:7" x14ac:dyDescent="0.25">
      <c r="G2490" s="10"/>
    </row>
    <row r="2491" spans="7:7" x14ac:dyDescent="0.25">
      <c r="G2491" s="10"/>
    </row>
    <row r="2492" spans="7:7" x14ac:dyDescent="0.25">
      <c r="G2492" s="10"/>
    </row>
    <row r="2493" spans="7:7" x14ac:dyDescent="0.25">
      <c r="G2493" s="10"/>
    </row>
    <row r="2494" spans="7:7" x14ac:dyDescent="0.25">
      <c r="G2494" s="10"/>
    </row>
    <row r="2495" spans="7:7" x14ac:dyDescent="0.25">
      <c r="G2495" s="10"/>
    </row>
    <row r="2496" spans="7:7" x14ac:dyDescent="0.25">
      <c r="G2496" s="10"/>
    </row>
    <row r="2497" spans="7:14" x14ac:dyDescent="0.25">
      <c r="G2497" s="10"/>
    </row>
    <row r="2498" spans="7:14" x14ac:dyDescent="0.25">
      <c r="G2498" s="10"/>
      <c r="L2498" s="13" t="s">
        <v>12550</v>
      </c>
      <c r="N2498" s="13" t="s">
        <v>10900</v>
      </c>
    </row>
    <row r="2499" spans="7:14" x14ac:dyDescent="0.25">
      <c r="G2499" s="10"/>
      <c r="L2499" s="13" t="s">
        <v>12574</v>
      </c>
      <c r="N2499" s="13" t="s">
        <v>9704</v>
      </c>
    </row>
    <row r="2500" spans="7:14" x14ac:dyDescent="0.25">
      <c r="G2500" s="10"/>
      <c r="L2500" s="608" t="s">
        <v>12510</v>
      </c>
      <c r="N2500" s="13" t="s">
        <v>10900</v>
      </c>
    </row>
    <row r="2501" spans="7:14" x14ac:dyDescent="0.25">
      <c r="G2501" s="10"/>
      <c r="L2501" s="608" t="s">
        <v>12511</v>
      </c>
      <c r="N2501" s="13" t="s">
        <v>12512</v>
      </c>
    </row>
    <row r="2502" spans="7:14" x14ac:dyDescent="0.25">
      <c r="G2502" s="10"/>
      <c r="L2502" s="13" t="s">
        <v>12570</v>
      </c>
      <c r="N2502" s="13" t="s">
        <v>12571</v>
      </c>
    </row>
    <row r="2503" spans="7:14" x14ac:dyDescent="0.25">
      <c r="G2503" s="10"/>
      <c r="L2503" s="608" t="s">
        <v>11116</v>
      </c>
      <c r="N2503" s="13" t="s">
        <v>11117</v>
      </c>
    </row>
    <row r="2504" spans="7:14" x14ac:dyDescent="0.25">
      <c r="G2504" s="10"/>
      <c r="L2504" s="608" t="s">
        <v>12530</v>
      </c>
      <c r="N2504" s="13" t="s">
        <v>11749</v>
      </c>
    </row>
    <row r="2505" spans="7:14" x14ac:dyDescent="0.25">
      <c r="G2505" s="10"/>
      <c r="L2505" s="608" t="s">
        <v>12531</v>
      </c>
      <c r="N2505" s="13" t="s">
        <v>11749</v>
      </c>
    </row>
    <row r="2506" spans="7:14" x14ac:dyDescent="0.25">
      <c r="G2506" s="10"/>
      <c r="L2506" s="608" t="s">
        <v>12532</v>
      </c>
      <c r="N2506" s="13" t="s">
        <v>11749</v>
      </c>
    </row>
    <row r="2507" spans="7:14" x14ac:dyDescent="0.25">
      <c r="G2507" s="10"/>
      <c r="L2507" s="608" t="s">
        <v>12533</v>
      </c>
      <c r="N2507" s="13" t="s">
        <v>9885</v>
      </c>
    </row>
    <row r="2508" spans="7:14" x14ac:dyDescent="0.25">
      <c r="G2508" s="10"/>
      <c r="L2508" s="13" t="s">
        <v>12554</v>
      </c>
      <c r="N2508" s="13" t="s">
        <v>12548</v>
      </c>
    </row>
    <row r="2509" spans="7:14" x14ac:dyDescent="0.25">
      <c r="G2509" s="10"/>
      <c r="L2509" s="608" t="s">
        <v>12537</v>
      </c>
      <c r="N2509" s="13" t="s">
        <v>10900</v>
      </c>
    </row>
    <row r="2510" spans="7:14" x14ac:dyDescent="0.25">
      <c r="G2510" s="10"/>
      <c r="L2510" s="13" t="s">
        <v>12560</v>
      </c>
      <c r="N2510" s="13" t="s">
        <v>12099</v>
      </c>
    </row>
    <row r="2511" spans="7:14" x14ac:dyDescent="0.25">
      <c r="G2511" s="10"/>
      <c r="L2511" s="608" t="s">
        <v>12538</v>
      </c>
      <c r="N2511" s="13" t="s">
        <v>9885</v>
      </c>
    </row>
    <row r="2512" spans="7:14" x14ac:dyDescent="0.25">
      <c r="G2512" s="10"/>
      <c r="L2512" s="13" t="s">
        <v>11207</v>
      </c>
      <c r="N2512" s="13" t="s">
        <v>11208</v>
      </c>
    </row>
    <row r="2513" spans="7:14" x14ac:dyDescent="0.25">
      <c r="G2513" s="10"/>
      <c r="L2513" s="13" t="s">
        <v>11209</v>
      </c>
      <c r="N2513" s="13" t="s">
        <v>11210</v>
      </c>
    </row>
    <row r="2514" spans="7:14" x14ac:dyDescent="0.25">
      <c r="G2514" s="10"/>
      <c r="L2514" s="13" t="s">
        <v>11238</v>
      </c>
      <c r="N2514" s="13" t="s">
        <v>11239</v>
      </c>
    </row>
    <row r="2515" spans="7:14" x14ac:dyDescent="0.25">
      <c r="G2515" s="10"/>
      <c r="L2515" s="13" t="s">
        <v>11241</v>
      </c>
      <c r="N2515" s="13" t="s">
        <v>11242</v>
      </c>
    </row>
    <row r="2516" spans="7:14" x14ac:dyDescent="0.25">
      <c r="L2516" s="608" t="s">
        <v>11076</v>
      </c>
      <c r="N2516" s="13" t="s">
        <v>11077</v>
      </c>
    </row>
    <row r="2517" spans="7:14" x14ac:dyDescent="0.25">
      <c r="L2517" s="608" t="s">
        <v>11130</v>
      </c>
      <c r="N2517" s="13" t="s">
        <v>9323</v>
      </c>
    </row>
    <row r="2518" spans="7:14" x14ac:dyDescent="0.25">
      <c r="L2518" s="608" t="s">
        <v>11165</v>
      </c>
      <c r="N2518" s="13" t="s">
        <v>11166</v>
      </c>
    </row>
    <row r="2519" spans="7:14" x14ac:dyDescent="0.25">
      <c r="L2519" s="608" t="s">
        <v>11167</v>
      </c>
      <c r="N2519" s="13" t="s">
        <v>11168</v>
      </c>
    </row>
    <row r="2520" spans="7:14" x14ac:dyDescent="0.25">
      <c r="L2520" s="608" t="s">
        <v>11169</v>
      </c>
      <c r="N2520" s="13" t="s">
        <v>11103</v>
      </c>
    </row>
    <row r="2521" spans="7:14" x14ac:dyDescent="0.25">
      <c r="L2521" s="13" t="s">
        <v>11177</v>
      </c>
      <c r="N2521" s="13" t="s">
        <v>9709</v>
      </c>
    </row>
    <row r="2522" spans="7:14" x14ac:dyDescent="0.25">
      <c r="L2522" s="13" t="s">
        <v>11187</v>
      </c>
      <c r="N2522" s="13" t="s">
        <v>9926</v>
      </c>
    </row>
    <row r="2523" spans="7:14" x14ac:dyDescent="0.25">
      <c r="L2523" s="13" t="s">
        <v>12551</v>
      </c>
      <c r="N2523" s="13" t="s">
        <v>12552</v>
      </c>
    </row>
    <row r="2524" spans="7:14" x14ac:dyDescent="0.25">
      <c r="L2524" s="13" t="s">
        <v>10994</v>
      </c>
      <c r="N2524" s="13" t="s">
        <v>9323</v>
      </c>
    </row>
    <row r="2525" spans="7:14" x14ac:dyDescent="0.25">
      <c r="L2525" s="608" t="s">
        <v>12513</v>
      </c>
      <c r="N2525" s="13" t="s">
        <v>10962</v>
      </c>
    </row>
    <row r="2526" spans="7:14" x14ac:dyDescent="0.25">
      <c r="L2526" s="13" t="s">
        <v>11188</v>
      </c>
      <c r="N2526" s="13" t="s">
        <v>9704</v>
      </c>
    </row>
    <row r="2527" spans="7:14" x14ac:dyDescent="0.25">
      <c r="L2527" s="608" t="s">
        <v>12536</v>
      </c>
      <c r="N2527" s="13" t="s">
        <v>9709</v>
      </c>
    </row>
    <row r="2528" spans="7:14" x14ac:dyDescent="0.25">
      <c r="L2528" s="13" t="s">
        <v>12544</v>
      </c>
      <c r="N2528" s="13" t="s">
        <v>12545</v>
      </c>
    </row>
    <row r="2529" spans="12:14" x14ac:dyDescent="0.25">
      <c r="L2529" s="13" t="s">
        <v>11248</v>
      </c>
      <c r="N2529" s="13" t="s">
        <v>10910</v>
      </c>
    </row>
    <row r="2530" spans="12:14" x14ac:dyDescent="0.25">
      <c r="L2530" s="13" t="s">
        <v>12555</v>
      </c>
      <c r="N2530" s="13" t="s">
        <v>9885</v>
      </c>
    </row>
    <row r="2531" spans="12:14" x14ac:dyDescent="0.25">
      <c r="L2531" s="13" t="s">
        <v>12547</v>
      </c>
      <c r="N2531" s="13" t="s">
        <v>12548</v>
      </c>
    </row>
    <row r="2532" spans="12:14" x14ac:dyDescent="0.25">
      <c r="L2532" s="608" t="s">
        <v>12525</v>
      </c>
      <c r="N2532" s="13" t="s">
        <v>12526</v>
      </c>
    </row>
    <row r="2533" spans="12:14" x14ac:dyDescent="0.25">
      <c r="L2533" s="13" t="s">
        <v>12565</v>
      </c>
      <c r="N2533" s="13" t="s">
        <v>12566</v>
      </c>
    </row>
    <row r="2534" spans="12:14" x14ac:dyDescent="0.25">
      <c r="L2534" s="608" t="s">
        <v>12527</v>
      </c>
      <c r="N2534" s="13" t="s">
        <v>12526</v>
      </c>
    </row>
    <row r="2535" spans="12:14" x14ac:dyDescent="0.25">
      <c r="L2535" s="608" t="s">
        <v>12528</v>
      </c>
      <c r="N2535" s="13" t="s">
        <v>12526</v>
      </c>
    </row>
    <row r="2536" spans="12:14" x14ac:dyDescent="0.25">
      <c r="L2536" s="608" t="s">
        <v>12529</v>
      </c>
      <c r="N2536" s="13" t="s">
        <v>12526</v>
      </c>
    </row>
    <row r="2537" spans="12:14" x14ac:dyDescent="0.25">
      <c r="L2537" s="13" t="s">
        <v>11249</v>
      </c>
      <c r="N2537" s="13" t="s">
        <v>11250</v>
      </c>
    </row>
    <row r="2538" spans="12:14" x14ac:dyDescent="0.25">
      <c r="L2538" s="13" t="s">
        <v>12569</v>
      </c>
      <c r="N2538" s="13" t="s">
        <v>10900</v>
      </c>
    </row>
    <row r="2539" spans="12:14" x14ac:dyDescent="0.25">
      <c r="L2539" s="13" t="s">
        <v>11193</v>
      </c>
      <c r="N2539" s="13" t="s">
        <v>9926</v>
      </c>
    </row>
    <row r="2540" spans="12:14" x14ac:dyDescent="0.25">
      <c r="L2540" s="608" t="s">
        <v>11713</v>
      </c>
      <c r="N2540" s="13" t="s">
        <v>11065</v>
      </c>
    </row>
    <row r="2541" spans="12:14" x14ac:dyDescent="0.25">
      <c r="L2541" s="13" t="s">
        <v>11034</v>
      </c>
      <c r="N2541" s="13" t="s">
        <v>2507</v>
      </c>
    </row>
    <row r="2542" spans="12:14" x14ac:dyDescent="0.25">
      <c r="L2542" s="608" t="s">
        <v>11760</v>
      </c>
      <c r="N2542" s="13" t="s">
        <v>11761</v>
      </c>
    </row>
    <row r="2543" spans="12:14" x14ac:dyDescent="0.25">
      <c r="L2543" s="608" t="s">
        <v>11762</v>
      </c>
      <c r="N2543" s="13" t="s">
        <v>11763</v>
      </c>
    </row>
    <row r="2544" spans="12:14" x14ac:dyDescent="0.25">
      <c r="L2544" s="608" t="s">
        <v>11764</v>
      </c>
      <c r="N2544" s="13" t="s">
        <v>11765</v>
      </c>
    </row>
    <row r="2545" spans="12:14" x14ac:dyDescent="0.25">
      <c r="L2545" s="13" t="s">
        <v>12567</v>
      </c>
      <c r="N2545" s="13" t="s">
        <v>12568</v>
      </c>
    </row>
    <row r="2546" spans="12:14" x14ac:dyDescent="0.25">
      <c r="L2546" s="13" t="s">
        <v>12561</v>
      </c>
      <c r="N2546" s="13" t="s">
        <v>12562</v>
      </c>
    </row>
    <row r="2547" spans="12:14" x14ac:dyDescent="0.25">
      <c r="L2547" s="13" t="s">
        <v>11211</v>
      </c>
      <c r="N2547" s="13" t="s">
        <v>10900</v>
      </c>
    </row>
    <row r="2548" spans="12:14" x14ac:dyDescent="0.25">
      <c r="L2548" s="608" t="s">
        <v>12524</v>
      </c>
      <c r="N2548" s="13" t="s">
        <v>9885</v>
      </c>
    </row>
    <row r="2549" spans="12:14" x14ac:dyDescent="0.25">
      <c r="L2549" s="13" t="s">
        <v>11748</v>
      </c>
      <c r="N2549" s="13" t="s">
        <v>11749</v>
      </c>
    </row>
    <row r="2550" spans="12:14" x14ac:dyDescent="0.25">
      <c r="L2550" s="13" t="s">
        <v>11752</v>
      </c>
      <c r="N2550" s="13" t="s">
        <v>10865</v>
      </c>
    </row>
    <row r="2551" spans="12:14" x14ac:dyDescent="0.25">
      <c r="L2551" s="13" t="s">
        <v>11244</v>
      </c>
      <c r="N2551" s="13" t="s">
        <v>9926</v>
      </c>
    </row>
    <row r="2552" spans="12:14" x14ac:dyDescent="0.25">
      <c r="L2552" s="13" t="s">
        <v>11245</v>
      </c>
      <c r="N2552" s="13" t="s">
        <v>9926</v>
      </c>
    </row>
    <row r="2553" spans="12:14" x14ac:dyDescent="0.25">
      <c r="L2553" s="13" t="s">
        <v>11189</v>
      </c>
      <c r="N2553" s="13" t="s">
        <v>9926</v>
      </c>
    </row>
    <row r="2554" spans="12:14" x14ac:dyDescent="0.25">
      <c r="L2554" s="13" t="s">
        <v>11190</v>
      </c>
      <c r="N2554" s="13" t="s">
        <v>9926</v>
      </c>
    </row>
    <row r="2555" spans="12:14" x14ac:dyDescent="0.25">
      <c r="L2555" s="13" t="s">
        <v>11203</v>
      </c>
      <c r="N2555" s="13" t="s">
        <v>9926</v>
      </c>
    </row>
    <row r="2556" spans="12:14" x14ac:dyDescent="0.25">
      <c r="L2556" s="13" t="s">
        <v>11204</v>
      </c>
      <c r="N2556" s="13" t="s">
        <v>9926</v>
      </c>
    </row>
    <row r="2557" spans="12:14" x14ac:dyDescent="0.25">
      <c r="L2557" s="13" t="s">
        <v>11205</v>
      </c>
      <c r="N2557" s="13" t="s">
        <v>9926</v>
      </c>
    </row>
    <row r="2558" spans="12:14" x14ac:dyDescent="0.25">
      <c r="L2558" s="13" t="s">
        <v>11206</v>
      </c>
      <c r="N2558" s="13" t="s">
        <v>9926</v>
      </c>
    </row>
    <row r="2559" spans="12:14" x14ac:dyDescent="0.25">
      <c r="L2559" s="608" t="s">
        <v>10971</v>
      </c>
      <c r="N2559" s="13" t="s">
        <v>10972</v>
      </c>
    </row>
    <row r="2560" spans="12:14" x14ac:dyDescent="0.25">
      <c r="L2560" s="13" t="s">
        <v>12573</v>
      </c>
      <c r="N2560" s="13" t="s">
        <v>11873</v>
      </c>
    </row>
    <row r="2561" spans="12:14" x14ac:dyDescent="0.25">
      <c r="L2561" s="13" t="s">
        <v>12549</v>
      </c>
      <c r="N2561" s="13" t="s">
        <v>12548</v>
      </c>
    </row>
    <row r="2562" spans="12:14" x14ac:dyDescent="0.25">
      <c r="L2562" s="13" t="s">
        <v>12546</v>
      </c>
      <c r="N2562" s="13" t="s">
        <v>12545</v>
      </c>
    </row>
    <row r="2563" spans="12:14" x14ac:dyDescent="0.25">
      <c r="L2563" s="13" t="s">
        <v>11759</v>
      </c>
      <c r="N2563" s="13" t="s">
        <v>10865</v>
      </c>
    </row>
    <row r="2564" spans="12:14" x14ac:dyDescent="0.25">
      <c r="L2564" s="13" t="s">
        <v>11212</v>
      </c>
      <c r="N2564" s="13" t="s">
        <v>9925</v>
      </c>
    </row>
    <row r="2565" spans="12:14" x14ac:dyDescent="0.25">
      <c r="L2565" s="13" t="s">
        <v>12563</v>
      </c>
      <c r="N2565" s="13" t="s">
        <v>12564</v>
      </c>
    </row>
    <row r="2566" spans="12:14" x14ac:dyDescent="0.25">
      <c r="L2566" s="608" t="s">
        <v>11097</v>
      </c>
      <c r="N2566" s="13" t="s">
        <v>11098</v>
      </c>
    </row>
    <row r="2567" spans="12:14" x14ac:dyDescent="0.25">
      <c r="L2567" s="13" t="s">
        <v>11032</v>
      </c>
      <c r="N2567" s="13" t="s">
        <v>10865</v>
      </c>
    </row>
  </sheetData>
  <sortState ref="L2399:N2546">
    <sortCondition ref="L2399:L2546"/>
  </sortState>
  <pageMargins left="0.70866141732283472" right="0.70866141732283472" top="0.19685039370078741" bottom="0.19685039370078741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topLeftCell="A348" workbookViewId="0">
      <selection activeCell="H1" sqref="H1"/>
    </sheetView>
  </sheetViews>
  <sheetFormatPr defaultRowHeight="15" x14ac:dyDescent="0.25"/>
  <cols>
    <col min="1" max="1" width="3.85546875" style="77" customWidth="1"/>
    <col min="2" max="2" width="5.42578125" style="77" customWidth="1"/>
    <col min="3" max="3" width="2.140625" style="77" customWidth="1"/>
    <col min="4" max="4" width="2.42578125" style="77" customWidth="1"/>
    <col min="5" max="5" width="43.5703125" style="77" customWidth="1"/>
    <col min="6" max="6" width="4.85546875" style="77" customWidth="1"/>
    <col min="7" max="7" width="10.5703125" style="77" bestFit="1" customWidth="1"/>
    <col min="8" max="8" width="18.7109375" style="77" customWidth="1"/>
    <col min="9" max="9" width="23.5703125" style="77" customWidth="1"/>
    <col min="10" max="10" width="5" style="77" customWidth="1"/>
    <col min="11" max="11" width="9.140625" style="77"/>
    <col min="12" max="12" width="12.28515625" style="77" customWidth="1"/>
    <col min="13" max="13" width="9.140625" style="77"/>
    <col min="14" max="14" width="5.42578125" style="77" customWidth="1"/>
    <col min="15" max="16384" width="9.140625" style="77"/>
  </cols>
  <sheetData>
    <row r="1" spans="2:11" x14ac:dyDescent="0.25">
      <c r="H1" s="631" t="s">
        <v>9503</v>
      </c>
    </row>
    <row r="2" spans="2:11" customFormat="1" ht="15.75" x14ac:dyDescent="0.25">
      <c r="B2" s="18"/>
      <c r="F2" s="431"/>
      <c r="G2" s="729" t="s">
        <v>5117</v>
      </c>
      <c r="H2" s="538"/>
      <c r="J2" s="13"/>
      <c r="K2" s="121"/>
    </row>
    <row r="3" spans="2:11" customFormat="1" ht="18.75" x14ac:dyDescent="0.3">
      <c r="B3" s="18"/>
      <c r="E3" s="188" t="s">
        <v>5116</v>
      </c>
      <c r="F3" s="431"/>
      <c r="G3" s="10"/>
      <c r="H3" s="538"/>
      <c r="J3" s="13"/>
      <c r="K3" s="121"/>
    </row>
    <row r="4" spans="2:11" customFormat="1" x14ac:dyDescent="0.25">
      <c r="B4" s="18"/>
      <c r="F4" s="431"/>
      <c r="G4" s="10"/>
      <c r="H4" s="538"/>
      <c r="J4" s="13"/>
      <c r="K4" s="121"/>
    </row>
    <row r="5" spans="2:11" customFormat="1" x14ac:dyDescent="0.25">
      <c r="B5" s="18"/>
      <c r="F5" s="431"/>
      <c r="G5" s="10"/>
      <c r="H5" s="538"/>
      <c r="J5" s="13"/>
      <c r="K5" s="121"/>
    </row>
    <row r="6" spans="2:11" customFormat="1" x14ac:dyDescent="0.25">
      <c r="B6" s="18"/>
      <c r="C6" s="3" t="s">
        <v>5118</v>
      </c>
      <c r="F6" s="431"/>
      <c r="G6" s="10"/>
      <c r="H6" s="538"/>
      <c r="J6" s="13"/>
      <c r="K6" s="121"/>
    </row>
    <row r="7" spans="2:11" customFormat="1" x14ac:dyDescent="0.25">
      <c r="B7" s="18"/>
      <c r="C7" s="77" t="s">
        <v>39</v>
      </c>
      <c r="D7" s="73"/>
      <c r="F7" s="74" t="s">
        <v>3</v>
      </c>
      <c r="G7" s="427">
        <f>0.016*3.14*11*0.08*1.12</f>
        <v>4.9516544000000003E-2</v>
      </c>
      <c r="H7" s="538"/>
      <c r="J7" s="13"/>
      <c r="K7" s="121"/>
    </row>
    <row r="8" spans="2:11" customFormat="1" ht="17.25" x14ac:dyDescent="0.25">
      <c r="B8" s="18"/>
      <c r="C8" s="77" t="s">
        <v>1055</v>
      </c>
      <c r="D8" s="73"/>
      <c r="F8" s="74" t="s">
        <v>596</v>
      </c>
      <c r="G8" s="153">
        <f>1.5*G7+0.001</f>
        <v>7.5274816000000008E-2</v>
      </c>
      <c r="H8" s="538"/>
      <c r="J8" s="13"/>
      <c r="K8" s="121"/>
    </row>
    <row r="9" spans="2:11" customFormat="1" x14ac:dyDescent="0.25">
      <c r="B9" s="18"/>
      <c r="D9" s="3" t="s">
        <v>5119</v>
      </c>
      <c r="F9" s="431"/>
      <c r="G9" s="10"/>
      <c r="H9" s="538"/>
      <c r="J9" s="13"/>
      <c r="K9" s="121"/>
    </row>
    <row r="10" spans="2:11" customFormat="1" x14ac:dyDescent="0.25">
      <c r="B10" s="18"/>
      <c r="D10" t="s">
        <v>5120</v>
      </c>
      <c r="F10" s="431" t="s">
        <v>3</v>
      </c>
      <c r="G10" s="10">
        <f>2.39*5+0.05</f>
        <v>12.000000000000002</v>
      </c>
      <c r="H10" s="538"/>
      <c r="I10" t="s">
        <v>5121</v>
      </c>
      <c r="J10" s="13"/>
      <c r="K10" s="121"/>
    </row>
    <row r="11" spans="2:11" customFormat="1" x14ac:dyDescent="0.25">
      <c r="B11" s="18"/>
      <c r="D11" s="77" t="s">
        <v>39</v>
      </c>
      <c r="E11" s="73"/>
      <c r="F11" s="74" t="s">
        <v>3</v>
      </c>
      <c r="G11" s="427">
        <f>0.035*3.14*3*0.08*1.15</f>
        <v>3.0332400000000002E-2</v>
      </c>
      <c r="H11" s="538"/>
      <c r="J11" s="13"/>
      <c r="K11" s="121"/>
    </row>
    <row r="12" spans="2:11" customFormat="1" ht="17.25" x14ac:dyDescent="0.25">
      <c r="B12" s="18"/>
      <c r="D12" s="77" t="s">
        <v>1055</v>
      </c>
      <c r="E12" s="73"/>
      <c r="F12" s="74" t="s">
        <v>596</v>
      </c>
      <c r="G12" s="153">
        <f>1.5*G11</f>
        <v>4.54986E-2</v>
      </c>
      <c r="H12" s="538"/>
      <c r="J12" s="13"/>
      <c r="K12" s="121"/>
    </row>
    <row r="13" spans="2:11" customFormat="1" x14ac:dyDescent="0.25">
      <c r="B13" s="18"/>
      <c r="F13" s="431"/>
      <c r="G13" s="10"/>
      <c r="H13" s="538"/>
      <c r="J13" s="13"/>
      <c r="K13" s="121"/>
    </row>
    <row r="14" spans="2:11" customFormat="1" x14ac:dyDescent="0.25">
      <c r="B14" s="18"/>
      <c r="C14" s="3" t="s">
        <v>5122</v>
      </c>
      <c r="F14" s="431"/>
      <c r="G14" s="10"/>
      <c r="H14" s="538"/>
      <c r="J14" s="13"/>
      <c r="K14" s="121"/>
    </row>
    <row r="15" spans="2:11" customFormat="1" x14ac:dyDescent="0.25">
      <c r="B15" s="18"/>
      <c r="C15" t="s">
        <v>5123</v>
      </c>
      <c r="D15" s="77"/>
      <c r="F15" s="431" t="s">
        <v>3</v>
      </c>
      <c r="G15" s="10">
        <f>0.4*0.23*3*8*1.1095</f>
        <v>2.449776</v>
      </c>
      <c r="H15" s="538"/>
      <c r="I15" s="3" t="s">
        <v>5124</v>
      </c>
      <c r="J15" s="13" t="s">
        <v>624</v>
      </c>
      <c r="K15" s="121"/>
    </row>
    <row r="16" spans="2:11" customFormat="1" x14ac:dyDescent="0.25">
      <c r="B16" s="18"/>
      <c r="F16" s="431"/>
      <c r="G16" s="10"/>
      <c r="H16" s="538"/>
      <c r="J16" s="13"/>
      <c r="K16" s="121"/>
    </row>
    <row r="17" spans="2:11" customFormat="1" x14ac:dyDescent="0.25">
      <c r="B17" s="18"/>
      <c r="C17" s="3" t="s">
        <v>5125</v>
      </c>
      <c r="F17" s="431"/>
      <c r="G17" s="10"/>
      <c r="H17" s="538"/>
      <c r="J17" s="13"/>
      <c r="K17" s="121"/>
    </row>
    <row r="18" spans="2:11" customFormat="1" x14ac:dyDescent="0.25">
      <c r="B18" s="18"/>
      <c r="C18" s="77" t="s">
        <v>39</v>
      </c>
      <c r="D18" s="73"/>
      <c r="F18" s="74" t="s">
        <v>3</v>
      </c>
      <c r="G18" s="427">
        <f>0.016*3.14*11*0.08*1.12</f>
        <v>4.9516544000000003E-2</v>
      </c>
      <c r="H18" s="538"/>
      <c r="J18" s="13"/>
      <c r="K18" s="121"/>
    </row>
    <row r="19" spans="2:11" customFormat="1" ht="17.25" x14ac:dyDescent="0.25">
      <c r="B19" s="18"/>
      <c r="C19" s="77" t="s">
        <v>1055</v>
      </c>
      <c r="D19" s="73"/>
      <c r="F19" s="74" t="s">
        <v>596</v>
      </c>
      <c r="G19" s="153">
        <f>1.5*G18+0.001</f>
        <v>7.5274816000000008E-2</v>
      </c>
      <c r="H19" s="538"/>
      <c r="J19" s="13"/>
      <c r="K19" s="121"/>
    </row>
    <row r="20" spans="2:11" customFormat="1" x14ac:dyDescent="0.25">
      <c r="B20" s="18"/>
      <c r="C20" s="73" t="s">
        <v>1021</v>
      </c>
      <c r="D20" s="73"/>
      <c r="E20" s="73"/>
      <c r="F20" s="74" t="s">
        <v>3</v>
      </c>
      <c r="G20" s="153">
        <f>0.135*3.14*0.7*0.12*2*1.12</f>
        <v>7.9761024E-2</v>
      </c>
      <c r="H20" s="538"/>
      <c r="J20" s="13"/>
      <c r="K20" s="121"/>
    </row>
    <row r="21" spans="2:11" customFormat="1" x14ac:dyDescent="0.25">
      <c r="B21" s="18"/>
      <c r="C21" s="73" t="s">
        <v>661</v>
      </c>
      <c r="D21" s="73"/>
      <c r="E21" s="73"/>
      <c r="F21" s="74" t="s">
        <v>3</v>
      </c>
      <c r="G21" s="153">
        <f>G20*0.3*0.66</f>
        <v>1.5792682751999999E-2</v>
      </c>
      <c r="H21" s="538"/>
      <c r="J21" s="13"/>
      <c r="K21" s="533"/>
    </row>
    <row r="22" spans="2:11" customFormat="1" x14ac:dyDescent="0.25">
      <c r="B22" s="18"/>
      <c r="C22" s="73" t="s">
        <v>1993</v>
      </c>
      <c r="D22" s="73"/>
      <c r="E22" s="73"/>
      <c r="F22" s="74" t="s">
        <v>3</v>
      </c>
      <c r="G22" s="153">
        <f>G21/2</f>
        <v>7.8963413759999997E-3</v>
      </c>
      <c r="H22" s="538"/>
      <c r="J22" s="13"/>
      <c r="K22" s="533"/>
    </row>
    <row r="23" spans="2:11" customFormat="1" x14ac:dyDescent="0.25">
      <c r="B23" s="18"/>
      <c r="C23" s="77" t="s">
        <v>8</v>
      </c>
      <c r="F23" s="533" t="s">
        <v>3</v>
      </c>
      <c r="G23" s="153">
        <f>G24*0.6</f>
        <v>5.982076800000001E-2</v>
      </c>
      <c r="H23" s="538"/>
      <c r="J23" s="13"/>
      <c r="K23" s="533"/>
    </row>
    <row r="24" spans="2:11" customFormat="1" x14ac:dyDescent="0.25">
      <c r="B24" s="18"/>
      <c r="C24" s="263" t="s">
        <v>9501</v>
      </c>
      <c r="D24" s="8"/>
      <c r="E24" s="8"/>
      <c r="F24" s="128" t="s">
        <v>3</v>
      </c>
      <c r="G24" s="153">
        <f>0.135*3.14*0.7*0.15*2*1.12</f>
        <v>9.9701280000000017E-2</v>
      </c>
      <c r="H24" s="538"/>
      <c r="J24" s="13"/>
      <c r="K24" s="533"/>
    </row>
    <row r="25" spans="2:11" customFormat="1" x14ac:dyDescent="0.25">
      <c r="B25" s="18"/>
      <c r="C25" s="77" t="s">
        <v>12</v>
      </c>
      <c r="D25" s="8"/>
      <c r="E25" s="8"/>
      <c r="F25" s="128" t="s">
        <v>3</v>
      </c>
      <c r="G25" s="10">
        <f>0.3*(G24+G23)+0.002</f>
        <v>4.9856614400000006E-2</v>
      </c>
      <c r="H25" s="538"/>
      <c r="J25" s="13"/>
      <c r="K25" s="121"/>
    </row>
    <row r="26" spans="2:11" customFormat="1" x14ac:dyDescent="0.25">
      <c r="B26" s="18"/>
      <c r="C26" s="77"/>
      <c r="D26" s="8"/>
      <c r="E26" s="8"/>
      <c r="F26" s="128"/>
      <c r="G26" s="10"/>
      <c r="H26" s="538"/>
      <c r="J26" s="13"/>
      <c r="K26" s="533"/>
    </row>
    <row r="27" spans="2:11" customFormat="1" x14ac:dyDescent="0.25">
      <c r="B27" s="18"/>
      <c r="C27" s="54" t="s">
        <v>5126</v>
      </c>
      <c r="D27" s="8"/>
      <c r="E27" s="8"/>
      <c r="F27" s="128"/>
      <c r="G27" s="10"/>
      <c r="H27" s="538"/>
      <c r="J27" s="13"/>
      <c r="K27" s="121"/>
    </row>
    <row r="28" spans="2:11" customFormat="1" x14ac:dyDescent="0.25">
      <c r="B28" s="18"/>
      <c r="C28" s="77" t="s">
        <v>39</v>
      </c>
      <c r="D28" s="77"/>
      <c r="E28" s="8"/>
      <c r="F28" s="152" t="s">
        <v>3</v>
      </c>
      <c r="G28" s="427">
        <f>0.135*3.14*2*0.08*1.11</f>
        <v>7.5284640000000014E-2</v>
      </c>
      <c r="H28" s="538"/>
      <c r="J28" s="13"/>
      <c r="K28" s="121"/>
    </row>
    <row r="29" spans="2:11" customFormat="1" ht="17.25" x14ac:dyDescent="0.25">
      <c r="B29" s="18"/>
      <c r="C29" s="77" t="s">
        <v>1055</v>
      </c>
      <c r="D29" s="77"/>
      <c r="E29" s="8"/>
      <c r="F29" s="152" t="s">
        <v>596</v>
      </c>
      <c r="G29" s="427">
        <f>1.5*G28+0.002</f>
        <v>0.11492696000000002</v>
      </c>
      <c r="H29" s="538"/>
      <c r="J29" s="13"/>
      <c r="K29" s="121"/>
    </row>
    <row r="30" spans="2:11" customFormat="1" x14ac:dyDescent="0.25">
      <c r="B30" s="18"/>
      <c r="C30" s="77" t="s">
        <v>1021</v>
      </c>
      <c r="D30" s="77"/>
      <c r="E30" s="77"/>
      <c r="F30" s="152" t="s">
        <v>3</v>
      </c>
      <c r="G30" s="427">
        <f>0.135*3.14*0.7*0.12*2*1.12</f>
        <v>7.9761024E-2</v>
      </c>
      <c r="H30" s="538"/>
      <c r="J30" s="13"/>
      <c r="K30" s="121"/>
    </row>
    <row r="31" spans="2:11" customFormat="1" x14ac:dyDescent="0.25">
      <c r="B31" s="18"/>
      <c r="C31" s="77" t="s">
        <v>661</v>
      </c>
      <c r="D31" s="77"/>
      <c r="E31" s="77"/>
      <c r="F31" s="152" t="s">
        <v>3</v>
      </c>
      <c r="G31" s="427">
        <f>G30*0.3*0.66</f>
        <v>1.5792682751999999E-2</v>
      </c>
      <c r="H31" s="538"/>
      <c r="J31" s="13"/>
      <c r="K31" s="121"/>
    </row>
    <row r="32" spans="2:11" customFormat="1" x14ac:dyDescent="0.25">
      <c r="B32" s="18"/>
      <c r="C32" s="77" t="s">
        <v>1993</v>
      </c>
      <c r="D32" s="77"/>
      <c r="E32" s="77"/>
      <c r="F32" s="152" t="s">
        <v>3</v>
      </c>
      <c r="G32" s="427">
        <f>G31/2</f>
        <v>7.8963413759999997E-3</v>
      </c>
      <c r="H32" s="538"/>
      <c r="J32" s="13"/>
      <c r="K32" s="121"/>
    </row>
    <row r="33" spans="2:11" customFormat="1" x14ac:dyDescent="0.25">
      <c r="B33" s="18"/>
      <c r="C33" s="77" t="s">
        <v>8</v>
      </c>
      <c r="D33" s="8"/>
      <c r="E33" s="8"/>
      <c r="F33" s="128" t="s">
        <v>3</v>
      </c>
      <c r="G33" s="427">
        <f>G34*0.6</f>
        <v>5.982076800000001E-2</v>
      </c>
      <c r="H33" s="538"/>
      <c r="J33" s="13"/>
      <c r="K33" s="121"/>
    </row>
    <row r="34" spans="2:11" customFormat="1" x14ac:dyDescent="0.25">
      <c r="B34" s="18"/>
      <c r="C34" s="263" t="s">
        <v>9501</v>
      </c>
      <c r="D34" s="8"/>
      <c r="E34" s="8"/>
      <c r="F34" s="128" t="s">
        <v>3</v>
      </c>
      <c r="G34" s="427">
        <f>0.135*3.14*0.7*0.15*2*1.12</f>
        <v>9.9701280000000017E-2</v>
      </c>
      <c r="H34" s="538"/>
      <c r="J34" s="13"/>
      <c r="K34" s="121"/>
    </row>
    <row r="35" spans="2:11" customFormat="1" x14ac:dyDescent="0.25">
      <c r="B35" s="18"/>
      <c r="C35" s="77" t="s">
        <v>12</v>
      </c>
      <c r="F35" s="535" t="s">
        <v>3</v>
      </c>
      <c r="G35" s="32">
        <f>0.3*(G34+G33)+0.002</f>
        <v>4.9856614400000006E-2</v>
      </c>
      <c r="H35" s="538"/>
      <c r="J35" s="13"/>
      <c r="K35" s="121"/>
    </row>
    <row r="36" spans="2:11" customFormat="1" x14ac:dyDescent="0.25">
      <c r="B36" s="18"/>
      <c r="F36" s="431"/>
      <c r="G36" s="10"/>
      <c r="H36" s="538"/>
      <c r="J36" s="13"/>
      <c r="K36" s="121"/>
    </row>
    <row r="37" spans="2:11" customFormat="1" x14ac:dyDescent="0.25">
      <c r="B37" s="18"/>
      <c r="C37" s="3" t="s">
        <v>5127</v>
      </c>
      <c r="F37" s="536"/>
      <c r="G37" s="10"/>
      <c r="H37" s="538"/>
      <c r="J37" s="13"/>
      <c r="K37" s="121"/>
    </row>
    <row r="38" spans="2:11" customFormat="1" x14ac:dyDescent="0.25">
      <c r="B38" s="18"/>
      <c r="C38" s="77" t="s">
        <v>39</v>
      </c>
      <c r="D38" s="73"/>
      <c r="F38" s="74" t="s">
        <v>3</v>
      </c>
      <c r="G38" s="427">
        <f>0.14*3.14*2*0.08*1.42</f>
        <v>9.9877120000000014E-2</v>
      </c>
      <c r="H38" s="538"/>
      <c r="J38" s="13"/>
      <c r="K38" s="121"/>
    </row>
    <row r="39" spans="2:11" customFormat="1" ht="17.25" x14ac:dyDescent="0.25">
      <c r="B39" s="18"/>
      <c r="C39" s="77" t="s">
        <v>1055</v>
      </c>
      <c r="D39" s="73"/>
      <c r="F39" s="74" t="s">
        <v>596</v>
      </c>
      <c r="G39" s="427">
        <f>1.5*G38</f>
        <v>0.14981568000000001</v>
      </c>
      <c r="H39" s="538"/>
      <c r="J39" s="13"/>
      <c r="K39" s="121"/>
    </row>
    <row r="40" spans="2:11" customFormat="1" x14ac:dyDescent="0.25">
      <c r="B40" s="18"/>
      <c r="C40" s="73" t="s">
        <v>1021</v>
      </c>
      <c r="D40" s="73"/>
      <c r="E40" s="73"/>
      <c r="F40" s="74" t="s">
        <v>3</v>
      </c>
      <c r="G40" s="427">
        <f>0.145*3.14*0.47*0.12*2*1.159</f>
        <v>5.9523736559999998E-2</v>
      </c>
      <c r="H40" s="538"/>
      <c r="J40" s="13"/>
      <c r="K40" s="121"/>
    </row>
    <row r="41" spans="2:11" customFormat="1" x14ac:dyDescent="0.25">
      <c r="B41" s="18"/>
      <c r="C41" s="73" t="s">
        <v>661</v>
      </c>
      <c r="D41" s="73"/>
      <c r="E41" s="73"/>
      <c r="F41" s="74" t="s">
        <v>3</v>
      </c>
      <c r="G41" s="427">
        <f>G40*0.3*0.66</f>
        <v>1.178569983888E-2</v>
      </c>
      <c r="H41" s="538"/>
      <c r="J41" s="13"/>
      <c r="K41" s="121"/>
    </row>
    <row r="42" spans="2:11" customFormat="1" x14ac:dyDescent="0.25">
      <c r="B42" s="18"/>
      <c r="C42" s="73" t="s">
        <v>1993</v>
      </c>
      <c r="D42" s="73"/>
      <c r="E42" s="73"/>
      <c r="F42" s="74" t="s">
        <v>3</v>
      </c>
      <c r="G42" s="427">
        <f>G41/2</f>
        <v>5.8928499194400002E-3</v>
      </c>
      <c r="H42" s="538"/>
      <c r="J42" s="13"/>
      <c r="K42" s="121"/>
    </row>
    <row r="43" spans="2:11" customFormat="1" x14ac:dyDescent="0.25">
      <c r="B43" s="18"/>
      <c r="D43" s="3" t="s">
        <v>5128</v>
      </c>
      <c r="F43" s="431"/>
      <c r="G43" s="10"/>
      <c r="H43" s="538"/>
      <c r="J43" s="13"/>
      <c r="K43" s="121"/>
    </row>
    <row r="44" spans="2:11" customFormat="1" x14ac:dyDescent="0.25">
      <c r="B44" s="18"/>
      <c r="D44" t="s">
        <v>9431</v>
      </c>
      <c r="F44" s="431" t="s">
        <v>3</v>
      </c>
      <c r="G44" s="10">
        <f>0.18*0.18*3*8*1.093</f>
        <v>0.84991679999999992</v>
      </c>
      <c r="H44" s="538"/>
      <c r="J44" s="13"/>
      <c r="K44" s="121"/>
    </row>
    <row r="45" spans="2:11" x14ac:dyDescent="0.25">
      <c r="B45" s="106"/>
      <c r="D45" s="186"/>
      <c r="F45" s="152"/>
      <c r="G45" s="427"/>
      <c r="H45" s="635"/>
      <c r="J45" s="106"/>
      <c r="K45" s="152"/>
    </row>
    <row r="46" spans="2:11" x14ac:dyDescent="0.25">
      <c r="B46" s="106"/>
      <c r="C46" s="3" t="s">
        <v>9414</v>
      </c>
      <c r="E46" s="78"/>
      <c r="F46" s="152"/>
      <c r="G46" s="427"/>
      <c r="H46" s="635"/>
      <c r="J46" s="106"/>
      <c r="K46" s="152"/>
    </row>
    <row r="47" spans="2:11" x14ac:dyDescent="0.25">
      <c r="B47" s="106"/>
      <c r="C47" s="77" t="s">
        <v>39</v>
      </c>
      <c r="D47" s="73"/>
      <c r="E47"/>
      <c r="F47" s="74" t="s">
        <v>3</v>
      </c>
      <c r="G47" s="427">
        <f>0.1*3.14*2*0.08*1.4</f>
        <v>7.033600000000001E-2</v>
      </c>
      <c r="H47" s="635"/>
      <c r="J47" s="106"/>
      <c r="K47" s="152"/>
    </row>
    <row r="48" spans="2:11" ht="17.25" x14ac:dyDescent="0.25">
      <c r="B48" s="106"/>
      <c r="C48" s="77" t="s">
        <v>1055</v>
      </c>
      <c r="D48" s="73"/>
      <c r="E48"/>
      <c r="F48" s="74" t="s">
        <v>596</v>
      </c>
      <c r="G48" s="427">
        <f>1.5*G47-0.001</f>
        <v>0.10450400000000001</v>
      </c>
      <c r="H48" s="635"/>
      <c r="J48" s="106"/>
      <c r="K48" s="152"/>
    </row>
    <row r="49" spans="2:13" x14ac:dyDescent="0.25">
      <c r="B49" s="106"/>
      <c r="D49" s="3" t="s">
        <v>9432</v>
      </c>
      <c r="F49" s="152"/>
      <c r="G49" s="427"/>
      <c r="H49" s="635"/>
      <c r="J49" s="106"/>
      <c r="K49" s="152"/>
    </row>
    <row r="50" spans="2:13" x14ac:dyDescent="0.25">
      <c r="B50" s="106"/>
      <c r="D50" t="s">
        <v>9431</v>
      </c>
      <c r="F50" s="543" t="s">
        <v>3</v>
      </c>
      <c r="G50" s="10">
        <f>0.15*0.18*3*8*1.08</f>
        <v>0.69984000000000002</v>
      </c>
      <c r="H50" s="635"/>
      <c r="J50" s="106"/>
      <c r="K50" s="152"/>
    </row>
    <row r="51" spans="2:13" x14ac:dyDescent="0.25">
      <c r="B51" s="106"/>
      <c r="D51" s="186"/>
      <c r="F51" s="152"/>
      <c r="G51" s="427"/>
      <c r="H51" s="635"/>
      <c r="J51" s="106"/>
      <c r="K51" s="152"/>
    </row>
    <row r="52" spans="2:13" x14ac:dyDescent="0.25">
      <c r="B52" s="106"/>
      <c r="C52" s="3" t="s">
        <v>9415</v>
      </c>
      <c r="D52" s="186"/>
      <c r="F52" s="152"/>
      <c r="G52" s="427"/>
      <c r="H52" s="635"/>
      <c r="J52" s="106"/>
      <c r="K52" s="152"/>
    </row>
    <row r="53" spans="2:13" x14ac:dyDescent="0.25">
      <c r="B53" s="106"/>
      <c r="C53" s="77" t="s">
        <v>39</v>
      </c>
      <c r="D53" s="73"/>
      <c r="E53"/>
      <c r="F53" s="74" t="s">
        <v>3</v>
      </c>
      <c r="G53" s="427">
        <f>0.1*3.14*2*0.08*1.4</f>
        <v>7.033600000000001E-2</v>
      </c>
      <c r="H53" s="635"/>
      <c r="J53" s="106"/>
      <c r="K53" s="152"/>
    </row>
    <row r="54" spans="2:13" ht="17.25" x14ac:dyDescent="0.25">
      <c r="B54" s="106"/>
      <c r="C54" s="77" t="s">
        <v>1055</v>
      </c>
      <c r="D54" s="73"/>
      <c r="E54"/>
      <c r="F54" s="74" t="s">
        <v>596</v>
      </c>
      <c r="G54" s="427">
        <f>1.5*G53-0.001</f>
        <v>0.10450400000000001</v>
      </c>
      <c r="H54" s="635"/>
      <c r="J54" s="106"/>
      <c r="K54" s="152"/>
    </row>
    <row r="55" spans="2:13" x14ac:dyDescent="0.25">
      <c r="B55" s="106"/>
      <c r="D55" s="186"/>
      <c r="F55" s="152"/>
      <c r="G55" s="427"/>
      <c r="H55" s="635"/>
      <c r="J55" s="106"/>
      <c r="K55" s="152"/>
    </row>
    <row r="56" spans="2:13" x14ac:dyDescent="0.25">
      <c r="B56" s="106"/>
      <c r="C56" s="3" t="s">
        <v>9416</v>
      </c>
      <c r="F56" s="152"/>
      <c r="G56" s="427"/>
      <c r="H56" s="635"/>
      <c r="J56" s="106"/>
      <c r="K56" s="152"/>
    </row>
    <row r="57" spans="2:13" x14ac:dyDescent="0.25">
      <c r="B57" s="106"/>
      <c r="C57" s="77" t="s">
        <v>3394</v>
      </c>
      <c r="D57" s="73"/>
      <c r="F57" s="74" t="s">
        <v>3</v>
      </c>
      <c r="G57" s="153">
        <f>0.18*0.08*1.25</f>
        <v>1.7999999999999999E-2</v>
      </c>
      <c r="H57" s="635"/>
      <c r="J57" s="106"/>
      <c r="K57" s="152"/>
    </row>
    <row r="58" spans="2:13" ht="17.25" x14ac:dyDescent="0.25">
      <c r="B58" s="106"/>
      <c r="C58" s="77" t="s">
        <v>121</v>
      </c>
      <c r="D58" s="73"/>
      <c r="F58" s="74" t="s">
        <v>596</v>
      </c>
      <c r="G58" s="153">
        <f>G57*1.1</f>
        <v>1.9800000000000002E-2</v>
      </c>
      <c r="H58" s="635"/>
      <c r="J58" s="78"/>
      <c r="L58" s="152"/>
      <c r="M58" s="542"/>
    </row>
    <row r="59" spans="2:13" x14ac:dyDescent="0.25">
      <c r="B59" s="106"/>
      <c r="C59" s="541"/>
      <c r="D59" s="78" t="s">
        <v>9417</v>
      </c>
      <c r="F59" s="152"/>
      <c r="G59" s="427"/>
      <c r="H59" s="635"/>
      <c r="J59" s="106"/>
      <c r="K59" s="152"/>
    </row>
    <row r="60" spans="2:13" x14ac:dyDescent="0.25">
      <c r="B60" s="106"/>
      <c r="C60" s="541"/>
      <c r="D60" t="s">
        <v>9431</v>
      </c>
      <c r="F60" s="152" t="s">
        <v>3</v>
      </c>
      <c r="G60" s="427">
        <f>0.18*0.06*3*8*1.1</f>
        <v>0.28511999999999998</v>
      </c>
      <c r="H60" s="635"/>
      <c r="J60" s="106"/>
      <c r="K60" s="152"/>
    </row>
    <row r="61" spans="2:13" x14ac:dyDescent="0.25">
      <c r="B61" s="106"/>
      <c r="C61" s="541"/>
      <c r="D61" s="78"/>
      <c r="F61" s="152"/>
      <c r="G61" s="427"/>
      <c r="H61" s="635"/>
      <c r="J61" s="106"/>
      <c r="K61" s="152"/>
    </row>
    <row r="62" spans="2:13" x14ac:dyDescent="0.25">
      <c r="B62" s="106"/>
      <c r="C62" s="3" t="s">
        <v>9418</v>
      </c>
      <c r="D62" s="186"/>
      <c r="F62" s="152"/>
      <c r="G62" s="427"/>
      <c r="H62" s="635"/>
      <c r="J62" s="106"/>
      <c r="K62" s="152"/>
    </row>
    <row r="63" spans="2:13" x14ac:dyDescent="0.25">
      <c r="B63" s="106"/>
      <c r="C63" s="77" t="s">
        <v>39</v>
      </c>
      <c r="D63" s="73"/>
      <c r="E63"/>
      <c r="F63" s="74" t="s">
        <v>3</v>
      </c>
      <c r="G63" s="427">
        <f>0.05*3.14*0.08*1.4</f>
        <v>1.7584000000000002E-2</v>
      </c>
      <c r="H63" s="635"/>
      <c r="J63" s="106"/>
      <c r="K63" s="152"/>
    </row>
    <row r="64" spans="2:13" ht="17.25" x14ac:dyDescent="0.25">
      <c r="B64" s="106"/>
      <c r="C64" s="77" t="s">
        <v>1055</v>
      </c>
      <c r="D64" s="73"/>
      <c r="E64"/>
      <c r="F64" s="74" t="s">
        <v>596</v>
      </c>
      <c r="G64" s="427">
        <f>1.5*G63</f>
        <v>2.6376000000000004E-2</v>
      </c>
      <c r="H64" s="635"/>
      <c r="J64" s="106"/>
      <c r="K64" s="152"/>
    </row>
    <row r="65" spans="2:11" x14ac:dyDescent="0.25">
      <c r="B65" s="106"/>
      <c r="D65" s="3" t="s">
        <v>9419</v>
      </c>
      <c r="F65" s="152"/>
      <c r="G65" s="427"/>
      <c r="H65" s="635"/>
      <c r="J65" s="106"/>
      <c r="K65" s="152"/>
    </row>
    <row r="66" spans="2:11" x14ac:dyDescent="0.25">
      <c r="B66" s="106"/>
      <c r="D66" s="186" t="s">
        <v>9433</v>
      </c>
      <c r="F66" s="152" t="s">
        <v>3</v>
      </c>
      <c r="G66" s="427">
        <v>0.25</v>
      </c>
      <c r="H66" s="635"/>
      <c r="I66" s="77" t="s">
        <v>9434</v>
      </c>
      <c r="J66" s="106"/>
      <c r="K66" s="152"/>
    </row>
    <row r="67" spans="2:11" x14ac:dyDescent="0.25">
      <c r="B67" s="106"/>
      <c r="D67" s="186"/>
      <c r="F67" s="152"/>
      <c r="G67" s="427"/>
      <c r="H67" s="635"/>
      <c r="J67" s="106"/>
      <c r="K67" s="152"/>
    </row>
    <row r="68" spans="2:11" x14ac:dyDescent="0.25">
      <c r="B68" s="106"/>
      <c r="C68" s="3" t="s">
        <v>9420</v>
      </c>
      <c r="D68" s="186"/>
      <c r="F68" s="152"/>
      <c r="G68" s="427"/>
      <c r="H68" s="635"/>
      <c r="J68" s="106"/>
      <c r="K68" s="152"/>
    </row>
    <row r="69" spans="2:11" x14ac:dyDescent="0.25">
      <c r="B69" s="106"/>
      <c r="C69" s="77" t="s">
        <v>39</v>
      </c>
      <c r="D69" s="73"/>
      <c r="E69"/>
      <c r="F69" s="74" t="s">
        <v>3</v>
      </c>
      <c r="G69" s="427">
        <f>0.045*3*3.14*0.08*1.18</f>
        <v>4.0016160000000002E-2</v>
      </c>
      <c r="H69" s="635"/>
      <c r="J69" s="106"/>
      <c r="K69" s="152"/>
    </row>
    <row r="70" spans="2:11" ht="17.25" x14ac:dyDescent="0.25">
      <c r="B70" s="106"/>
      <c r="C70" s="77" t="s">
        <v>1055</v>
      </c>
      <c r="D70" s="73"/>
      <c r="E70"/>
      <c r="F70" s="74" t="s">
        <v>596</v>
      </c>
      <c r="G70" s="427">
        <f>1.5*G69</f>
        <v>6.0024240000000006E-2</v>
      </c>
      <c r="H70" s="635"/>
      <c r="J70" s="106"/>
      <c r="K70" s="152"/>
    </row>
    <row r="71" spans="2:11" x14ac:dyDescent="0.25">
      <c r="B71" s="106"/>
      <c r="D71" s="3" t="s">
        <v>9421</v>
      </c>
      <c r="F71" s="152"/>
      <c r="G71" s="427"/>
      <c r="H71" s="635"/>
      <c r="J71" s="106"/>
      <c r="K71" s="152"/>
    </row>
    <row r="72" spans="2:11" x14ac:dyDescent="0.25">
      <c r="B72" s="106"/>
      <c r="D72" s="186" t="s">
        <v>9433</v>
      </c>
      <c r="F72" s="152" t="s">
        <v>3</v>
      </c>
      <c r="G72" s="427">
        <f>3.064*0.075</f>
        <v>0.2298</v>
      </c>
      <c r="H72" s="635"/>
      <c r="I72" s="77" t="s">
        <v>9435</v>
      </c>
      <c r="J72" s="106"/>
      <c r="K72" s="152"/>
    </row>
    <row r="73" spans="2:11" x14ac:dyDescent="0.25">
      <c r="B73" s="106"/>
      <c r="D73" s="3" t="s">
        <v>9422</v>
      </c>
      <c r="F73" s="152"/>
      <c r="G73" s="427"/>
      <c r="H73" s="635"/>
      <c r="J73" s="106"/>
      <c r="K73" s="152"/>
    </row>
    <row r="74" spans="2:11" x14ac:dyDescent="0.25">
      <c r="B74" s="106"/>
      <c r="D74" s="186" t="s">
        <v>9433</v>
      </c>
      <c r="F74" s="152" t="s">
        <v>3</v>
      </c>
      <c r="G74" s="427">
        <f>3.064*0.135+0.001</f>
        <v>0.41464000000000001</v>
      </c>
      <c r="H74" s="635"/>
      <c r="I74" s="77" t="s">
        <v>9436</v>
      </c>
      <c r="J74" s="106"/>
      <c r="K74" s="152"/>
    </row>
    <row r="75" spans="2:11" x14ac:dyDescent="0.25">
      <c r="B75" s="106"/>
      <c r="D75" s="3" t="s">
        <v>9423</v>
      </c>
      <c r="E75" s="78"/>
      <c r="F75" s="152"/>
      <c r="G75" s="427"/>
      <c r="H75" s="635"/>
      <c r="J75" s="106"/>
      <c r="K75" s="152"/>
    </row>
    <row r="76" spans="2:11" x14ac:dyDescent="0.25">
      <c r="B76" s="106"/>
      <c r="D76" t="s">
        <v>9437</v>
      </c>
      <c r="E76" s="78"/>
      <c r="F76" s="152" t="s">
        <v>3</v>
      </c>
      <c r="G76" s="427">
        <f>0.09*0.09*3*8*1.105</f>
        <v>0.21481199999999998</v>
      </c>
      <c r="H76" s="635"/>
      <c r="J76" s="106"/>
      <c r="K76" s="152"/>
    </row>
    <row r="77" spans="2:11" x14ac:dyDescent="0.25">
      <c r="B77" s="106"/>
      <c r="D77" s="3" t="s">
        <v>9424</v>
      </c>
      <c r="F77" s="152"/>
      <c r="G77" s="427"/>
      <c r="H77" s="635"/>
      <c r="J77" s="106"/>
      <c r="K77" s="152"/>
    </row>
    <row r="78" spans="2:11" x14ac:dyDescent="0.25">
      <c r="B78" s="106"/>
      <c r="D78" t="s">
        <v>9438</v>
      </c>
      <c r="E78" s="78"/>
      <c r="F78" s="152" t="s">
        <v>3</v>
      </c>
      <c r="G78" s="427">
        <f>0.09*0.09*2*8*1.115</f>
        <v>0.14450399999999999</v>
      </c>
      <c r="H78" s="635"/>
      <c r="J78" s="106"/>
      <c r="K78" s="152"/>
    </row>
    <row r="79" spans="2:11" x14ac:dyDescent="0.25">
      <c r="B79" s="106"/>
      <c r="F79" s="152"/>
      <c r="G79" s="427"/>
      <c r="H79" s="635"/>
      <c r="J79" s="106"/>
      <c r="K79" s="152"/>
    </row>
    <row r="80" spans="2:11" x14ac:dyDescent="0.25">
      <c r="B80" s="106"/>
      <c r="C80" s="3" t="s">
        <v>9425</v>
      </c>
      <c r="F80" s="152"/>
      <c r="G80" s="427"/>
      <c r="H80" s="635"/>
      <c r="J80" s="106"/>
      <c r="K80" s="152"/>
    </row>
    <row r="81" spans="2:11" x14ac:dyDescent="0.25">
      <c r="B81" s="106"/>
      <c r="C81" s="77" t="s">
        <v>39</v>
      </c>
      <c r="D81" s="73"/>
      <c r="E81"/>
      <c r="F81" s="74" t="s">
        <v>3</v>
      </c>
      <c r="G81" s="427">
        <f>0.09*3.14*4*0.08*1.33</f>
        <v>0.12027456000000002</v>
      </c>
      <c r="H81" s="635"/>
      <c r="J81" s="106"/>
      <c r="K81" s="152"/>
    </row>
    <row r="82" spans="2:11" ht="17.25" x14ac:dyDescent="0.25">
      <c r="B82" s="106"/>
      <c r="C82" s="77" t="s">
        <v>1055</v>
      </c>
      <c r="D82" s="73"/>
      <c r="E82"/>
      <c r="F82" s="74" t="s">
        <v>596</v>
      </c>
      <c r="G82" s="427">
        <f>1.5*G81</f>
        <v>0.18041184000000002</v>
      </c>
      <c r="H82" s="635"/>
      <c r="J82" s="106"/>
      <c r="K82" s="152"/>
    </row>
    <row r="83" spans="2:11" x14ac:dyDescent="0.25">
      <c r="B83" s="106"/>
      <c r="C83" s="73" t="s">
        <v>1021</v>
      </c>
      <c r="D83" s="73"/>
      <c r="E83" s="73"/>
      <c r="F83" s="74" t="s">
        <v>3</v>
      </c>
      <c r="G83" s="153">
        <f>0.09*3.14*1.6*0.12*2*1.12</f>
        <v>0.12154060800000002</v>
      </c>
      <c r="H83" s="635"/>
      <c r="J83" s="106"/>
      <c r="K83" s="152"/>
    </row>
    <row r="84" spans="2:11" x14ac:dyDescent="0.25">
      <c r="B84" s="106"/>
      <c r="C84" s="73" t="s">
        <v>661</v>
      </c>
      <c r="D84" s="73"/>
      <c r="E84" s="73"/>
      <c r="F84" s="74" t="s">
        <v>3</v>
      </c>
      <c r="G84" s="153">
        <f>G83*0.3*0.66</f>
        <v>2.4065040384000005E-2</v>
      </c>
      <c r="H84" s="635"/>
      <c r="J84" s="106"/>
      <c r="K84" s="152"/>
    </row>
    <row r="85" spans="2:11" x14ac:dyDescent="0.25">
      <c r="B85" s="106"/>
      <c r="C85" s="73" t="s">
        <v>1993</v>
      </c>
      <c r="D85" s="73"/>
      <c r="E85" s="73"/>
      <c r="F85" s="74" t="s">
        <v>3</v>
      </c>
      <c r="G85" s="153">
        <f>G84/2</f>
        <v>1.2032520192000002E-2</v>
      </c>
      <c r="H85" s="635"/>
      <c r="J85" s="106"/>
      <c r="K85" s="152"/>
    </row>
    <row r="86" spans="2:11" x14ac:dyDescent="0.25">
      <c r="B86" s="106"/>
      <c r="C86" s="77" t="s">
        <v>6576</v>
      </c>
      <c r="D86" s="73"/>
      <c r="E86" s="73"/>
      <c r="F86" s="74" t="s">
        <v>3</v>
      </c>
      <c r="G86" s="153">
        <v>0.1</v>
      </c>
      <c r="H86" s="635"/>
      <c r="J86" s="106"/>
      <c r="K86" s="152"/>
    </row>
    <row r="87" spans="2:11" x14ac:dyDescent="0.25">
      <c r="B87" s="106"/>
      <c r="C87" s="186"/>
      <c r="F87" s="152"/>
      <c r="G87" s="427"/>
      <c r="H87" s="635"/>
      <c r="J87" s="106"/>
      <c r="K87" s="152"/>
    </row>
    <row r="88" spans="2:11" x14ac:dyDescent="0.25">
      <c r="B88" s="106"/>
      <c r="C88" s="3" t="s">
        <v>9426</v>
      </c>
      <c r="F88" s="152"/>
      <c r="G88" s="427"/>
      <c r="H88" s="635"/>
      <c r="J88" s="106"/>
      <c r="K88" s="152"/>
    </row>
    <row r="89" spans="2:11" x14ac:dyDescent="0.25">
      <c r="B89" s="106"/>
      <c r="C89" s="77" t="s">
        <v>39</v>
      </c>
      <c r="D89" s="73"/>
      <c r="E89"/>
      <c r="F89" s="74" t="s">
        <v>3</v>
      </c>
      <c r="G89" s="427">
        <f>0.1*3.14*0.08*1.2</f>
        <v>3.0144000000000004E-2</v>
      </c>
      <c r="H89" s="635"/>
      <c r="J89" s="106"/>
      <c r="K89" s="152"/>
    </row>
    <row r="90" spans="2:11" ht="17.25" x14ac:dyDescent="0.25">
      <c r="B90" s="106"/>
      <c r="C90" s="77" t="s">
        <v>1055</v>
      </c>
      <c r="D90" s="73"/>
      <c r="E90"/>
      <c r="F90" s="74" t="s">
        <v>596</v>
      </c>
      <c r="G90" s="427">
        <f>1.5*G89</f>
        <v>4.5216000000000006E-2</v>
      </c>
      <c r="H90" s="635"/>
      <c r="J90" s="106"/>
      <c r="K90" s="152"/>
    </row>
    <row r="91" spans="2:11" x14ac:dyDescent="0.25">
      <c r="B91" s="106"/>
      <c r="C91" s="73" t="s">
        <v>1021</v>
      </c>
      <c r="D91" s="73"/>
      <c r="E91" s="73"/>
      <c r="F91" s="74" t="s">
        <v>3</v>
      </c>
      <c r="G91" s="153">
        <f>0.09*3.14*2.2*0.12*2*1.105</f>
        <v>0.16488014400000001</v>
      </c>
      <c r="H91" s="635"/>
      <c r="J91" s="106"/>
      <c r="K91" s="152"/>
    </row>
    <row r="92" spans="2:11" x14ac:dyDescent="0.25">
      <c r="B92" s="106"/>
      <c r="C92" s="73" t="s">
        <v>661</v>
      </c>
      <c r="D92" s="73"/>
      <c r="E92" s="73"/>
      <c r="F92" s="74" t="s">
        <v>3</v>
      </c>
      <c r="G92" s="153">
        <f>G91*0.3*0.66</f>
        <v>3.2646268512000004E-2</v>
      </c>
      <c r="H92" s="635"/>
      <c r="J92" s="106"/>
      <c r="K92" s="152"/>
    </row>
    <row r="93" spans="2:11" x14ac:dyDescent="0.25">
      <c r="B93" s="106"/>
      <c r="C93" s="73" t="s">
        <v>1993</v>
      </c>
      <c r="D93" s="73"/>
      <c r="E93" s="73"/>
      <c r="F93" s="74" t="s">
        <v>3</v>
      </c>
      <c r="G93" s="153">
        <f>G92/2</f>
        <v>1.6323134256000002E-2</v>
      </c>
      <c r="H93" s="635"/>
      <c r="J93" s="106"/>
      <c r="K93" s="152"/>
    </row>
    <row r="94" spans="2:11" x14ac:dyDescent="0.25">
      <c r="B94" s="106"/>
      <c r="C94" s="77" t="s">
        <v>6576</v>
      </c>
      <c r="D94" s="73"/>
      <c r="E94" s="73"/>
      <c r="F94" s="74" t="s">
        <v>3</v>
      </c>
      <c r="G94" s="153">
        <v>0.12</v>
      </c>
      <c r="H94" s="635"/>
      <c r="J94" s="106"/>
      <c r="K94" s="152"/>
    </row>
    <row r="95" spans="2:11" x14ac:dyDescent="0.25">
      <c r="B95" s="106"/>
      <c r="D95" s="73"/>
      <c r="E95" s="73"/>
      <c r="F95" s="74"/>
      <c r="G95" s="153"/>
      <c r="H95" s="635"/>
      <c r="J95" s="106"/>
      <c r="K95" s="152"/>
    </row>
    <row r="96" spans="2:11" x14ac:dyDescent="0.25">
      <c r="B96" s="106"/>
      <c r="C96" s="3" t="s">
        <v>9427</v>
      </c>
      <c r="F96" s="152"/>
      <c r="G96" s="427"/>
      <c r="H96" s="635"/>
      <c r="J96" s="106"/>
      <c r="K96" s="152"/>
    </row>
    <row r="97" spans="2:11" x14ac:dyDescent="0.25">
      <c r="B97" s="106"/>
      <c r="C97" s="77" t="s">
        <v>39</v>
      </c>
      <c r="D97" s="73"/>
      <c r="E97"/>
      <c r="F97" s="74" t="s">
        <v>3</v>
      </c>
      <c r="G97" s="427">
        <f>0.1*3.14*0.08*1.2</f>
        <v>3.0144000000000004E-2</v>
      </c>
      <c r="H97" s="635"/>
      <c r="J97" s="106"/>
      <c r="K97" s="152"/>
    </row>
    <row r="98" spans="2:11" ht="17.25" x14ac:dyDescent="0.25">
      <c r="B98" s="106"/>
      <c r="C98" s="77" t="s">
        <v>1055</v>
      </c>
      <c r="D98" s="73"/>
      <c r="E98"/>
      <c r="F98" s="74" t="s">
        <v>596</v>
      </c>
      <c r="G98" s="427">
        <f>1.5*G97</f>
        <v>4.5216000000000006E-2</v>
      </c>
      <c r="H98" s="635"/>
      <c r="J98" s="106"/>
      <c r="K98" s="152"/>
    </row>
    <row r="99" spans="2:11" x14ac:dyDescent="0.25">
      <c r="B99" s="106"/>
      <c r="C99" s="73" t="s">
        <v>1021</v>
      </c>
      <c r="D99" s="73"/>
      <c r="E99" s="73"/>
      <c r="F99" s="74" t="s">
        <v>3</v>
      </c>
      <c r="G99" s="153">
        <f>0.09*3.14*2.2*0.12*2*1.105</f>
        <v>0.16488014400000001</v>
      </c>
      <c r="H99" s="635"/>
      <c r="J99" s="106"/>
      <c r="K99" s="152"/>
    </row>
    <row r="100" spans="2:11" x14ac:dyDescent="0.25">
      <c r="B100" s="106"/>
      <c r="C100" s="73" t="s">
        <v>661</v>
      </c>
      <c r="D100" s="73"/>
      <c r="E100" s="73"/>
      <c r="F100" s="74" t="s">
        <v>3</v>
      </c>
      <c r="G100" s="153">
        <f>G99*0.3*0.66</f>
        <v>3.2646268512000004E-2</v>
      </c>
      <c r="H100" s="635"/>
      <c r="J100" s="106"/>
      <c r="K100" s="152"/>
    </row>
    <row r="101" spans="2:11" x14ac:dyDescent="0.25">
      <c r="B101" s="106"/>
      <c r="C101" s="73" t="s">
        <v>1993</v>
      </c>
      <c r="D101" s="73"/>
      <c r="E101" s="73"/>
      <c r="F101" s="74" t="s">
        <v>3</v>
      </c>
      <c r="G101" s="153">
        <f>G100/2</f>
        <v>1.6323134256000002E-2</v>
      </c>
      <c r="H101" s="635"/>
      <c r="J101" s="106"/>
      <c r="K101" s="152"/>
    </row>
    <row r="102" spans="2:11" x14ac:dyDescent="0.25">
      <c r="B102" s="106"/>
      <c r="C102" s="77" t="s">
        <v>6576</v>
      </c>
      <c r="D102" s="73"/>
      <c r="E102" s="73"/>
      <c r="F102" s="74" t="s">
        <v>3</v>
      </c>
      <c r="G102" s="153">
        <v>0.12</v>
      </c>
      <c r="H102" s="635"/>
      <c r="J102" s="106"/>
      <c r="K102" s="152"/>
    </row>
    <row r="103" spans="2:11" x14ac:dyDescent="0.25">
      <c r="B103" s="106"/>
      <c r="F103" s="152"/>
      <c r="G103" s="427"/>
      <c r="H103" s="635"/>
      <c r="J103" s="106"/>
      <c r="K103" s="152"/>
    </row>
    <row r="104" spans="2:11" x14ac:dyDescent="0.25">
      <c r="B104" s="106"/>
      <c r="C104" s="3" t="s">
        <v>9428</v>
      </c>
      <c r="F104" s="152"/>
      <c r="G104" s="427"/>
      <c r="H104" s="635"/>
      <c r="J104" s="106"/>
      <c r="K104" s="152"/>
    </row>
    <row r="105" spans="2:11" x14ac:dyDescent="0.25">
      <c r="B105" s="106"/>
      <c r="C105" s="77" t="s">
        <v>39</v>
      </c>
      <c r="D105" s="73"/>
      <c r="E105"/>
      <c r="F105" s="74" t="s">
        <v>3</v>
      </c>
      <c r="G105" s="427">
        <f>0.1*3.14*2*0.08*1.2</f>
        <v>6.0288000000000008E-2</v>
      </c>
      <c r="H105" s="635"/>
      <c r="J105" s="106"/>
      <c r="K105" s="152"/>
    </row>
    <row r="106" spans="2:11" ht="17.25" x14ac:dyDescent="0.25">
      <c r="B106" s="106"/>
      <c r="C106" s="77" t="s">
        <v>1055</v>
      </c>
      <c r="D106" s="73"/>
      <c r="E106"/>
      <c r="F106" s="74" t="s">
        <v>596</v>
      </c>
      <c r="G106" s="427">
        <f>1.5*G105</f>
        <v>9.0432000000000012E-2</v>
      </c>
      <c r="H106" s="635"/>
      <c r="J106" s="106"/>
      <c r="K106" s="152"/>
    </row>
    <row r="107" spans="2:11" x14ac:dyDescent="0.25">
      <c r="B107" s="106"/>
      <c r="C107" s="73" t="s">
        <v>1021</v>
      </c>
      <c r="D107" s="73"/>
      <c r="E107" s="73"/>
      <c r="F107" s="74" t="s">
        <v>3</v>
      </c>
      <c r="G107" s="153">
        <f>0.09*3.14*0.4*0.12*2*1.105</f>
        <v>2.9978208000000003E-2</v>
      </c>
      <c r="H107" s="635"/>
      <c r="J107" s="106"/>
      <c r="K107" s="152"/>
    </row>
    <row r="108" spans="2:11" x14ac:dyDescent="0.25">
      <c r="B108" s="106"/>
      <c r="C108" s="73" t="s">
        <v>661</v>
      </c>
      <c r="D108" s="73"/>
      <c r="E108" s="73"/>
      <c r="F108" s="74" t="s">
        <v>3</v>
      </c>
      <c r="G108" s="153">
        <f>G107*0.3*0.66</f>
        <v>5.9356851840000006E-3</v>
      </c>
      <c r="H108" s="635"/>
      <c r="J108" s="106"/>
      <c r="K108" s="152"/>
    </row>
    <row r="109" spans="2:11" x14ac:dyDescent="0.25">
      <c r="B109" s="106"/>
      <c r="C109" s="73" t="s">
        <v>1993</v>
      </c>
      <c r="D109" s="73"/>
      <c r="E109" s="73"/>
      <c r="F109" s="74" t="s">
        <v>3</v>
      </c>
      <c r="G109" s="153">
        <f>G108/2</f>
        <v>2.9678425920000003E-3</v>
      </c>
      <c r="H109" s="635"/>
      <c r="J109" s="106"/>
      <c r="K109" s="152"/>
    </row>
    <row r="110" spans="2:11" x14ac:dyDescent="0.25">
      <c r="B110" s="106"/>
      <c r="C110" s="77" t="s">
        <v>6576</v>
      </c>
      <c r="D110" s="73"/>
      <c r="E110" s="73"/>
      <c r="F110" s="74" t="s">
        <v>3</v>
      </c>
      <c r="G110" s="153">
        <v>0.05</v>
      </c>
      <c r="H110" s="635"/>
      <c r="J110" s="106"/>
      <c r="K110" s="152"/>
    </row>
    <row r="111" spans="2:11" x14ac:dyDescent="0.25">
      <c r="B111" s="106"/>
      <c r="F111" s="152"/>
      <c r="G111" s="427"/>
      <c r="H111" s="635"/>
      <c r="J111" s="106"/>
      <c r="K111" s="152"/>
    </row>
    <row r="112" spans="2:11" x14ac:dyDescent="0.25">
      <c r="B112" s="106"/>
      <c r="C112" s="3" t="s">
        <v>9429</v>
      </c>
      <c r="F112" s="152"/>
      <c r="G112" s="427"/>
      <c r="H112" s="635"/>
      <c r="J112" s="106"/>
      <c r="K112" s="152"/>
    </row>
    <row r="113" spans="2:11" x14ac:dyDescent="0.25">
      <c r="B113" s="106"/>
      <c r="C113" s="77" t="s">
        <v>39</v>
      </c>
      <c r="D113" s="73"/>
      <c r="E113"/>
      <c r="F113" s="74" t="s">
        <v>3</v>
      </c>
      <c r="G113" s="427">
        <f>0.1*3.14*2*0.08*1.2</f>
        <v>6.0288000000000008E-2</v>
      </c>
      <c r="H113" s="635"/>
      <c r="J113" s="106"/>
      <c r="K113" s="152"/>
    </row>
    <row r="114" spans="2:11" ht="17.25" x14ac:dyDescent="0.25">
      <c r="B114" s="106"/>
      <c r="C114" s="77" t="s">
        <v>1055</v>
      </c>
      <c r="D114" s="73"/>
      <c r="E114"/>
      <c r="F114" s="74" t="s">
        <v>596</v>
      </c>
      <c r="G114" s="427">
        <f>1.5*G113</f>
        <v>9.0432000000000012E-2</v>
      </c>
      <c r="H114" s="635"/>
      <c r="J114" s="106"/>
      <c r="K114" s="152"/>
    </row>
    <row r="115" spans="2:11" x14ac:dyDescent="0.25">
      <c r="B115" s="106"/>
      <c r="C115" s="73" t="s">
        <v>1021</v>
      </c>
      <c r="D115" s="73"/>
      <c r="E115" s="73"/>
      <c r="F115" s="74" t="s">
        <v>3</v>
      </c>
      <c r="G115" s="153">
        <f>0.09*3.14*0.4*0.12*2*1.105</f>
        <v>2.9978208000000003E-2</v>
      </c>
      <c r="H115" s="635"/>
      <c r="J115" s="106"/>
      <c r="K115" s="152"/>
    </row>
    <row r="116" spans="2:11" x14ac:dyDescent="0.25">
      <c r="B116" s="106"/>
      <c r="C116" s="73" t="s">
        <v>661</v>
      </c>
      <c r="D116" s="73"/>
      <c r="E116" s="73"/>
      <c r="F116" s="74" t="s">
        <v>3</v>
      </c>
      <c r="G116" s="153">
        <f>G115*0.3*0.66</f>
        <v>5.9356851840000006E-3</v>
      </c>
      <c r="H116" s="635"/>
      <c r="J116" s="106"/>
      <c r="K116" s="152"/>
    </row>
    <row r="117" spans="2:11" x14ac:dyDescent="0.25">
      <c r="B117" s="106"/>
      <c r="C117" s="73" t="s">
        <v>1993</v>
      </c>
      <c r="D117" s="73"/>
      <c r="E117" s="73"/>
      <c r="F117" s="74" t="s">
        <v>3</v>
      </c>
      <c r="G117" s="153">
        <f>G116/2</f>
        <v>2.9678425920000003E-3</v>
      </c>
      <c r="H117" s="635"/>
      <c r="J117" s="106"/>
      <c r="K117" s="152"/>
    </row>
    <row r="118" spans="2:11" x14ac:dyDescent="0.25">
      <c r="B118" s="106"/>
      <c r="C118" s="77" t="s">
        <v>6576</v>
      </c>
      <c r="D118" s="73"/>
      <c r="E118" s="73"/>
      <c r="F118" s="74" t="s">
        <v>3</v>
      </c>
      <c r="G118" s="153">
        <v>0.05</v>
      </c>
      <c r="H118" s="635"/>
      <c r="J118" s="106"/>
      <c r="K118" s="152"/>
    </row>
    <row r="119" spans="2:11" x14ac:dyDescent="0.25">
      <c r="B119" s="106"/>
      <c r="D119" s="186"/>
      <c r="F119" s="152"/>
      <c r="G119" s="427"/>
      <c r="H119" s="635"/>
      <c r="J119" s="106"/>
      <c r="K119" s="152"/>
    </row>
    <row r="120" spans="2:11" x14ac:dyDescent="0.25">
      <c r="B120" s="106"/>
      <c r="C120" s="3" t="s">
        <v>9430</v>
      </c>
      <c r="D120" s="186"/>
      <c r="F120" s="152"/>
      <c r="G120" s="427"/>
      <c r="H120" s="635"/>
      <c r="J120" s="106"/>
      <c r="K120" s="152"/>
    </row>
    <row r="121" spans="2:11" x14ac:dyDescent="0.25">
      <c r="B121" s="106"/>
      <c r="C121" s="77" t="s">
        <v>39</v>
      </c>
      <c r="D121" s="73"/>
      <c r="E121"/>
      <c r="F121" s="74" t="s">
        <v>3</v>
      </c>
      <c r="G121" s="427">
        <f>0.135*3.14*0.08*1.32</f>
        <v>4.4763840000000006E-2</v>
      </c>
      <c r="H121" s="635"/>
      <c r="J121" s="106"/>
      <c r="K121" s="152"/>
    </row>
    <row r="122" spans="2:11" ht="17.25" x14ac:dyDescent="0.25">
      <c r="B122" s="106"/>
      <c r="C122" s="77" t="s">
        <v>1055</v>
      </c>
      <c r="D122" s="73"/>
      <c r="E122"/>
      <c r="F122" s="74" t="s">
        <v>596</v>
      </c>
      <c r="G122" s="427">
        <f>1.5*G121+0.001</f>
        <v>6.8145760000000014E-2</v>
      </c>
      <c r="H122" s="635"/>
      <c r="J122" s="106"/>
      <c r="K122" s="152"/>
    </row>
    <row r="123" spans="2:11" x14ac:dyDescent="0.25">
      <c r="B123" s="106"/>
      <c r="C123" s="73" t="s">
        <v>1021</v>
      </c>
      <c r="D123" s="73"/>
      <c r="E123" s="73"/>
      <c r="F123" s="74" t="s">
        <v>3</v>
      </c>
      <c r="G123" s="153">
        <f>0.135*3.14*0.9*0.12*2*1.09</f>
        <v>9.9803016000000022E-2</v>
      </c>
      <c r="H123" s="635"/>
      <c r="J123" s="106"/>
      <c r="K123" s="152"/>
    </row>
    <row r="124" spans="2:11" x14ac:dyDescent="0.25">
      <c r="B124" s="106"/>
      <c r="C124" s="73" t="s">
        <v>661</v>
      </c>
      <c r="D124" s="73"/>
      <c r="E124" s="73"/>
      <c r="F124" s="74" t="s">
        <v>3</v>
      </c>
      <c r="G124" s="153">
        <f>G123*0.3*0.66</f>
        <v>1.9760997168000005E-2</v>
      </c>
      <c r="H124" s="635"/>
      <c r="J124" s="106"/>
      <c r="K124" s="152"/>
    </row>
    <row r="125" spans="2:11" x14ac:dyDescent="0.25">
      <c r="B125" s="106"/>
      <c r="C125" s="73" t="s">
        <v>1993</v>
      </c>
      <c r="D125" s="73"/>
      <c r="E125" s="73"/>
      <c r="F125" s="74" t="s">
        <v>3</v>
      </c>
      <c r="G125" s="153">
        <f>G124/2</f>
        <v>9.8804985840000026E-3</v>
      </c>
      <c r="H125" s="635"/>
      <c r="J125" s="106"/>
      <c r="K125" s="152"/>
    </row>
    <row r="126" spans="2:11" x14ac:dyDescent="0.25">
      <c r="B126" s="106"/>
      <c r="C126" s="77" t="s">
        <v>6576</v>
      </c>
      <c r="D126" s="73"/>
      <c r="E126" s="73"/>
      <c r="F126" s="74" t="s">
        <v>3</v>
      </c>
      <c r="G126" s="153">
        <v>0.08</v>
      </c>
      <c r="H126" s="635"/>
      <c r="J126" s="106"/>
      <c r="K126" s="152"/>
    </row>
    <row r="127" spans="2:11" x14ac:dyDescent="0.25">
      <c r="B127" s="106"/>
      <c r="C127" s="77" t="s">
        <v>9502</v>
      </c>
      <c r="E127" s="8"/>
      <c r="F127" s="152" t="s">
        <v>3</v>
      </c>
      <c r="G127" s="153">
        <f>0.135*3.14*0.9*0.07*2*1.12</f>
        <v>5.9820768000000017E-2</v>
      </c>
      <c r="H127" s="635"/>
      <c r="J127" s="106"/>
      <c r="K127" s="152"/>
    </row>
    <row r="128" spans="2:11" x14ac:dyDescent="0.25">
      <c r="B128" s="106"/>
      <c r="C128" s="77" t="s">
        <v>661</v>
      </c>
      <c r="E128" s="8"/>
      <c r="F128" s="152" t="s">
        <v>3</v>
      </c>
      <c r="G128" s="427">
        <f>0.3*G127</f>
        <v>1.7946230400000006E-2</v>
      </c>
      <c r="H128" s="635"/>
      <c r="J128" s="106"/>
      <c r="K128" s="152"/>
    </row>
    <row r="129" spans="2:11" x14ac:dyDescent="0.25">
      <c r="B129" s="106"/>
      <c r="F129" s="152"/>
      <c r="G129" s="427"/>
      <c r="H129" s="635"/>
      <c r="J129" s="106"/>
      <c r="K129" s="152"/>
    </row>
    <row r="130" spans="2:11" x14ac:dyDescent="0.25">
      <c r="B130" s="106"/>
      <c r="C130" s="3" t="s">
        <v>9439</v>
      </c>
      <c r="F130" s="152"/>
      <c r="G130" s="427"/>
      <c r="H130" s="635"/>
      <c r="J130" s="106"/>
      <c r="K130" s="152"/>
    </row>
    <row r="131" spans="2:11" x14ac:dyDescent="0.25">
      <c r="B131" s="106"/>
      <c r="C131" s="77" t="s">
        <v>3394</v>
      </c>
      <c r="D131" s="73"/>
      <c r="F131" s="74" t="s">
        <v>3</v>
      </c>
      <c r="G131" s="153">
        <f>0.05*3.14*2*0.08*1.25-0.001</f>
        <v>3.0400000000000003E-2</v>
      </c>
      <c r="H131" s="635"/>
      <c r="J131" s="106"/>
      <c r="K131" s="152"/>
    </row>
    <row r="132" spans="2:11" ht="17.25" x14ac:dyDescent="0.25">
      <c r="B132" s="106"/>
      <c r="C132" s="77" t="s">
        <v>121</v>
      </c>
      <c r="D132" s="73"/>
      <c r="F132" s="74" t="s">
        <v>596</v>
      </c>
      <c r="G132" s="153">
        <f>G131*1.1</f>
        <v>3.3440000000000004E-2</v>
      </c>
      <c r="H132" s="635"/>
      <c r="J132" s="106"/>
      <c r="K132" s="152"/>
    </row>
    <row r="133" spans="2:11" x14ac:dyDescent="0.25">
      <c r="B133" s="106"/>
      <c r="C133" s="186"/>
      <c r="D133" s="3" t="s">
        <v>9442</v>
      </c>
      <c r="F133" s="152"/>
      <c r="G133" s="427"/>
      <c r="H133" s="635"/>
    </row>
    <row r="134" spans="2:11" x14ac:dyDescent="0.25">
      <c r="B134" s="106"/>
      <c r="C134" s="186"/>
      <c r="D134" s="25" t="s">
        <v>9470</v>
      </c>
      <c r="F134" s="152" t="s">
        <v>3</v>
      </c>
      <c r="G134" s="427">
        <f>3.33*0.115+0.002</f>
        <v>0.38495000000000001</v>
      </c>
      <c r="H134" s="635"/>
      <c r="I134" s="77" t="s">
        <v>9472</v>
      </c>
    </row>
    <row r="135" spans="2:11" x14ac:dyDescent="0.25">
      <c r="B135" s="106"/>
      <c r="C135" s="186"/>
      <c r="D135" s="3" t="s">
        <v>9443</v>
      </c>
      <c r="F135" s="152"/>
      <c r="G135" s="427"/>
      <c r="H135" s="635"/>
    </row>
    <row r="136" spans="2:11" x14ac:dyDescent="0.25">
      <c r="B136" s="106"/>
      <c r="C136" s="186"/>
      <c r="D136" s="25" t="s">
        <v>9470</v>
      </c>
      <c r="F136" s="152" t="s">
        <v>3</v>
      </c>
      <c r="G136" s="427">
        <f>3.33*0.72+0.002</f>
        <v>2.3996</v>
      </c>
      <c r="H136" s="635"/>
      <c r="I136" s="77" t="s">
        <v>9471</v>
      </c>
    </row>
    <row r="137" spans="2:11" x14ac:dyDescent="0.25">
      <c r="B137" s="106"/>
      <c r="C137" s="186"/>
      <c r="D137" s="3"/>
      <c r="F137" s="152"/>
      <c r="G137" s="427"/>
      <c r="H137" s="635"/>
      <c r="J137" s="106"/>
      <c r="K137" s="152"/>
    </row>
    <row r="138" spans="2:11" x14ac:dyDescent="0.25">
      <c r="B138" s="106"/>
      <c r="C138" s="3" t="s">
        <v>9440</v>
      </c>
      <c r="F138" s="152"/>
      <c r="G138" s="427"/>
      <c r="H138" s="635"/>
      <c r="J138" s="106"/>
      <c r="K138" s="152"/>
    </row>
    <row r="139" spans="2:11" x14ac:dyDescent="0.25">
      <c r="B139" s="106"/>
      <c r="C139" s="77" t="s">
        <v>3394</v>
      </c>
      <c r="D139" s="73"/>
      <c r="F139" s="74" t="s">
        <v>3</v>
      </c>
      <c r="G139" s="153">
        <f>0.05*3.14*2*0.08*1.25-0.001</f>
        <v>3.0400000000000003E-2</v>
      </c>
      <c r="H139" s="635"/>
      <c r="J139" s="106"/>
      <c r="K139" s="152"/>
    </row>
    <row r="140" spans="2:11" ht="17.25" x14ac:dyDescent="0.25">
      <c r="B140" s="106"/>
      <c r="C140" s="77" t="s">
        <v>121</v>
      </c>
      <c r="D140" s="73"/>
      <c r="F140" s="74" t="s">
        <v>596</v>
      </c>
      <c r="G140" s="153">
        <f>G139*1.1</f>
        <v>3.3440000000000004E-2</v>
      </c>
      <c r="H140" s="635"/>
      <c r="J140" s="106"/>
      <c r="K140" s="152"/>
    </row>
    <row r="141" spans="2:11" x14ac:dyDescent="0.25">
      <c r="B141" s="106"/>
      <c r="C141" s="186"/>
      <c r="D141" s="3" t="s">
        <v>9444</v>
      </c>
      <c r="F141" s="152"/>
      <c r="G141" s="427"/>
      <c r="H141" s="635"/>
      <c r="J141" s="106"/>
      <c r="K141" s="152"/>
    </row>
    <row r="142" spans="2:11" x14ac:dyDescent="0.25">
      <c r="B142" s="106"/>
      <c r="C142" s="186"/>
      <c r="D142" s="25" t="s">
        <v>9470</v>
      </c>
      <c r="F142" s="152" t="s">
        <v>3</v>
      </c>
      <c r="G142" s="427">
        <f>3.33*0.17-0.001</f>
        <v>0.56510000000000005</v>
      </c>
      <c r="H142" s="635"/>
      <c r="I142" s="77" t="s">
        <v>9473</v>
      </c>
      <c r="J142" s="106"/>
      <c r="K142" s="152"/>
    </row>
    <row r="143" spans="2:11" x14ac:dyDescent="0.25">
      <c r="B143" s="106"/>
      <c r="C143" s="186"/>
      <c r="D143" s="3" t="s">
        <v>9445</v>
      </c>
      <c r="F143" s="152"/>
      <c r="G143" s="427"/>
      <c r="H143" s="635"/>
      <c r="J143" s="106"/>
      <c r="K143" s="152"/>
    </row>
    <row r="144" spans="2:11" x14ac:dyDescent="0.25">
      <c r="B144" s="106"/>
      <c r="C144" s="186"/>
      <c r="D144" s="25" t="s">
        <v>9470</v>
      </c>
      <c r="F144" s="152" t="s">
        <v>3</v>
      </c>
      <c r="G144" s="427">
        <f>3.33*0.41</f>
        <v>1.3653</v>
      </c>
      <c r="H144" s="635"/>
      <c r="I144" s="77" t="s">
        <v>9474</v>
      </c>
      <c r="J144" s="106"/>
      <c r="K144" s="152"/>
    </row>
    <row r="145" spans="2:11" x14ac:dyDescent="0.25">
      <c r="B145" s="106"/>
      <c r="C145" s="186"/>
      <c r="D145" s="3" t="s">
        <v>9446</v>
      </c>
      <c r="F145" s="152"/>
      <c r="G145" s="427"/>
      <c r="H145" s="635"/>
      <c r="J145" s="106"/>
      <c r="K145" s="152"/>
    </row>
    <row r="146" spans="2:11" x14ac:dyDescent="0.25">
      <c r="B146" s="106"/>
      <c r="C146" s="186"/>
      <c r="D146" s="25" t="s">
        <v>9470</v>
      </c>
      <c r="F146" s="152" t="s">
        <v>3</v>
      </c>
      <c r="G146" s="427">
        <f>3.33*1</f>
        <v>3.33</v>
      </c>
      <c r="H146" s="635"/>
      <c r="I146" s="77" t="s">
        <v>9475</v>
      </c>
      <c r="J146" s="106"/>
      <c r="K146" s="152"/>
    </row>
    <row r="147" spans="2:11" x14ac:dyDescent="0.25">
      <c r="B147" s="106"/>
      <c r="C147" s="186"/>
      <c r="D147" s="3" t="s">
        <v>9447</v>
      </c>
      <c r="F147" s="152"/>
      <c r="G147" s="427"/>
      <c r="H147" s="635"/>
      <c r="J147" s="106"/>
      <c r="K147" s="152"/>
    </row>
    <row r="148" spans="2:11" x14ac:dyDescent="0.25">
      <c r="B148" s="106"/>
      <c r="C148" s="186"/>
      <c r="D148" s="25" t="s">
        <v>9470</v>
      </c>
      <c r="F148" s="152" t="s">
        <v>3</v>
      </c>
      <c r="G148" s="427">
        <f>3.33*0.75+0.002</f>
        <v>2.4994999999999998</v>
      </c>
      <c r="H148" s="635"/>
      <c r="I148" s="77" t="s">
        <v>1287</v>
      </c>
      <c r="J148" s="106"/>
      <c r="K148" s="152"/>
    </row>
    <row r="149" spans="2:11" x14ac:dyDescent="0.25">
      <c r="B149" s="106"/>
      <c r="C149" s="186"/>
      <c r="F149" s="152"/>
      <c r="G149" s="427"/>
      <c r="H149" s="635"/>
      <c r="J149" s="106"/>
      <c r="K149" s="152"/>
    </row>
    <row r="150" spans="2:11" x14ac:dyDescent="0.25">
      <c r="B150" s="106"/>
      <c r="C150" s="3" t="s">
        <v>9441</v>
      </c>
      <c r="F150" s="152"/>
      <c r="G150" s="427"/>
      <c r="H150" s="635"/>
      <c r="J150" s="106"/>
      <c r="K150" s="152"/>
    </row>
    <row r="151" spans="2:11" x14ac:dyDescent="0.25">
      <c r="B151" s="106"/>
      <c r="C151" s="77" t="s">
        <v>39</v>
      </c>
      <c r="D151" s="73"/>
      <c r="E151"/>
      <c r="F151" s="74" t="s">
        <v>3</v>
      </c>
      <c r="G151" s="427">
        <f>0.135*3.14*0.08*1.32</f>
        <v>4.4763840000000006E-2</v>
      </c>
      <c r="H151" s="635"/>
      <c r="J151" s="106"/>
      <c r="K151" s="152"/>
    </row>
    <row r="152" spans="2:11" ht="17.25" x14ac:dyDescent="0.25">
      <c r="B152" s="106"/>
      <c r="C152" s="77" t="s">
        <v>1055</v>
      </c>
      <c r="D152" s="73"/>
      <c r="E152"/>
      <c r="F152" s="74" t="s">
        <v>596</v>
      </c>
      <c r="G152" s="427">
        <f>1.5*G151+0.001</f>
        <v>6.8145760000000014E-2</v>
      </c>
      <c r="H152" s="635"/>
      <c r="J152" s="106"/>
      <c r="K152" s="152"/>
    </row>
    <row r="153" spans="2:11" x14ac:dyDescent="0.25">
      <c r="B153" s="106"/>
      <c r="C153" s="77" t="s">
        <v>9502</v>
      </c>
      <c r="E153" s="8"/>
      <c r="F153" s="152" t="s">
        <v>3</v>
      </c>
      <c r="G153" s="153">
        <f>0.135*3.14*0.7*0.07*2*1.2</f>
        <v>4.9850640000000002E-2</v>
      </c>
      <c r="H153" s="635"/>
      <c r="J153" s="106"/>
      <c r="K153" s="152"/>
    </row>
    <row r="154" spans="2:11" x14ac:dyDescent="0.25">
      <c r="B154" s="106"/>
      <c r="C154" s="77" t="s">
        <v>661</v>
      </c>
      <c r="E154" s="8"/>
      <c r="F154" s="152" t="s">
        <v>3</v>
      </c>
      <c r="G154" s="427">
        <f>0.3*G153</f>
        <v>1.4955191999999999E-2</v>
      </c>
      <c r="H154" s="635"/>
      <c r="J154" s="106"/>
      <c r="K154" s="152"/>
    </row>
    <row r="155" spans="2:11" x14ac:dyDescent="0.25">
      <c r="B155" s="106"/>
      <c r="C155" s="73" t="s">
        <v>1021</v>
      </c>
      <c r="D155" s="73"/>
      <c r="E155" s="73"/>
      <c r="F155" s="74" t="s">
        <v>3</v>
      </c>
      <c r="G155" s="153">
        <f>0.135*3.14*0.7*0.12*2*1.09</f>
        <v>7.7624567999999991E-2</v>
      </c>
      <c r="H155" s="635"/>
      <c r="J155" s="106"/>
      <c r="K155" s="152"/>
    </row>
    <row r="156" spans="2:11" x14ac:dyDescent="0.25">
      <c r="B156" s="106"/>
      <c r="C156" s="73" t="s">
        <v>661</v>
      </c>
      <c r="D156" s="73"/>
      <c r="E156" s="73"/>
      <c r="F156" s="74" t="s">
        <v>3</v>
      </c>
      <c r="G156" s="153">
        <f>G155*0.3*0.66</f>
        <v>1.5369664463999998E-2</v>
      </c>
      <c r="H156" s="635"/>
      <c r="J156" s="106"/>
      <c r="K156" s="152"/>
    </row>
    <row r="157" spans="2:11" x14ac:dyDescent="0.25">
      <c r="B157" s="106"/>
      <c r="C157" s="73" t="s">
        <v>1993</v>
      </c>
      <c r="D157" s="73"/>
      <c r="E157" s="73"/>
      <c r="F157" s="74" t="s">
        <v>3</v>
      </c>
      <c r="G157" s="153">
        <f>G156/2</f>
        <v>7.684832231999999E-3</v>
      </c>
      <c r="H157" s="635"/>
      <c r="J157" s="106"/>
      <c r="K157" s="152"/>
    </row>
    <row r="158" spans="2:11" x14ac:dyDescent="0.25">
      <c r="B158" s="106"/>
      <c r="C158" s="77" t="s">
        <v>6576</v>
      </c>
      <c r="D158" s="73"/>
      <c r="E158" s="73"/>
      <c r="F158" s="74" t="s">
        <v>3</v>
      </c>
      <c r="G158" s="153">
        <v>0.08</v>
      </c>
      <c r="H158" s="635"/>
      <c r="J158" s="106"/>
      <c r="K158" s="152"/>
    </row>
    <row r="159" spans="2:11" x14ac:dyDescent="0.25">
      <c r="B159" s="106"/>
      <c r="C159" s="186" t="s">
        <v>9476</v>
      </c>
      <c r="D159" s="78"/>
      <c r="F159" s="152" t="s">
        <v>1516</v>
      </c>
      <c r="G159" s="427">
        <v>1</v>
      </c>
      <c r="H159" s="635"/>
      <c r="J159" s="106"/>
      <c r="K159" s="152"/>
    </row>
    <row r="160" spans="2:11" x14ac:dyDescent="0.25">
      <c r="B160" s="106"/>
      <c r="C160" s="186"/>
      <c r="F160" s="152"/>
      <c r="G160" s="427"/>
      <c r="H160" s="635"/>
      <c r="J160" s="106"/>
      <c r="K160" s="152"/>
    </row>
    <row r="161" spans="2:11" x14ac:dyDescent="0.25">
      <c r="B161" s="106"/>
      <c r="C161" s="3" t="s">
        <v>9448</v>
      </c>
      <c r="D161" s="78"/>
      <c r="F161" s="152"/>
      <c r="G161" s="427"/>
      <c r="H161" s="635"/>
      <c r="J161" s="106"/>
      <c r="K161" s="152"/>
    </row>
    <row r="162" spans="2:11" x14ac:dyDescent="0.25">
      <c r="B162" s="106"/>
      <c r="C162" s="77" t="s">
        <v>39</v>
      </c>
      <c r="D162" s="73"/>
      <c r="E162"/>
      <c r="F162" s="74" t="s">
        <v>3</v>
      </c>
      <c r="G162" s="427">
        <f>0.135*3.14*0.08*1.32</f>
        <v>4.4763840000000006E-2</v>
      </c>
      <c r="H162" s="635"/>
      <c r="J162" s="106"/>
      <c r="K162" s="152"/>
    </row>
    <row r="163" spans="2:11" ht="17.25" x14ac:dyDescent="0.25">
      <c r="B163" s="106"/>
      <c r="C163" s="77" t="s">
        <v>1055</v>
      </c>
      <c r="D163" s="73"/>
      <c r="E163"/>
      <c r="F163" s="74" t="s">
        <v>596</v>
      </c>
      <c r="G163" s="427">
        <f>1.5*G162+0.001</f>
        <v>6.8145760000000014E-2</v>
      </c>
      <c r="H163" s="635"/>
      <c r="J163" s="106"/>
      <c r="K163" s="152"/>
    </row>
    <row r="164" spans="2:11" x14ac:dyDescent="0.25">
      <c r="B164" s="106"/>
      <c r="C164" s="77" t="s">
        <v>9502</v>
      </c>
      <c r="E164" s="8"/>
      <c r="F164" s="152" t="s">
        <v>3</v>
      </c>
      <c r="G164" s="153">
        <f>0.135*3.14*1.3*0.07*2*1.17</f>
        <v>9.0265266000000011E-2</v>
      </c>
      <c r="H164" s="635"/>
      <c r="J164" s="106"/>
      <c r="K164" s="152"/>
    </row>
    <row r="165" spans="2:11" x14ac:dyDescent="0.25">
      <c r="B165" s="106"/>
      <c r="C165" s="77" t="s">
        <v>661</v>
      </c>
      <c r="E165" s="8"/>
      <c r="F165" s="152" t="s">
        <v>3</v>
      </c>
      <c r="G165" s="427">
        <f>0.3*G164</f>
        <v>2.7079579800000003E-2</v>
      </c>
      <c r="H165" s="635"/>
      <c r="J165" s="106"/>
      <c r="K165" s="152"/>
    </row>
    <row r="166" spans="2:11" x14ac:dyDescent="0.25">
      <c r="B166" s="106"/>
      <c r="C166" s="73" t="s">
        <v>1021</v>
      </c>
      <c r="D166" s="73"/>
      <c r="E166" s="73"/>
      <c r="F166" s="74" t="s">
        <v>3</v>
      </c>
      <c r="G166" s="153">
        <f>0.135*3.14*1.3*0.12*2*1.09+0.001</f>
        <v>0.14515991200000003</v>
      </c>
      <c r="H166" s="635"/>
      <c r="J166" s="106"/>
      <c r="K166" s="152"/>
    </row>
    <row r="167" spans="2:11" x14ac:dyDescent="0.25">
      <c r="B167" s="106"/>
      <c r="C167" s="73" t="s">
        <v>661</v>
      </c>
      <c r="D167" s="73"/>
      <c r="E167" s="73"/>
      <c r="F167" s="74" t="s">
        <v>3</v>
      </c>
      <c r="G167" s="153">
        <f>G166*0.3*0.66+0.001</f>
        <v>2.9741662576000007E-2</v>
      </c>
      <c r="H167" s="635"/>
      <c r="J167" s="106"/>
      <c r="K167" s="152"/>
    </row>
    <row r="168" spans="2:11" x14ac:dyDescent="0.25">
      <c r="B168" s="106"/>
      <c r="C168" s="73" t="s">
        <v>1993</v>
      </c>
      <c r="D168" s="73"/>
      <c r="E168" s="73"/>
      <c r="F168" s="74" t="s">
        <v>3</v>
      </c>
      <c r="G168" s="153">
        <f>G167/2</f>
        <v>1.4870831288000003E-2</v>
      </c>
      <c r="H168" s="635"/>
      <c r="J168" s="106"/>
      <c r="K168" s="152"/>
    </row>
    <row r="169" spans="2:11" x14ac:dyDescent="0.25">
      <c r="B169" s="106"/>
      <c r="C169" s="77" t="s">
        <v>6576</v>
      </c>
      <c r="D169" s="73"/>
      <c r="E169" s="73"/>
      <c r="F169" s="74" t="s">
        <v>3</v>
      </c>
      <c r="G169" s="153">
        <v>0.1</v>
      </c>
      <c r="H169" s="635"/>
      <c r="J169" s="106"/>
      <c r="K169" s="152"/>
    </row>
    <row r="170" spans="2:11" x14ac:dyDescent="0.25">
      <c r="B170" s="106"/>
      <c r="C170" s="186" t="s">
        <v>9477</v>
      </c>
      <c r="D170" s="78"/>
      <c r="F170" s="152" t="s">
        <v>1516</v>
      </c>
      <c r="G170" s="427">
        <v>1</v>
      </c>
      <c r="H170" s="635"/>
      <c r="J170" s="106"/>
      <c r="K170" s="152"/>
    </row>
    <row r="171" spans="2:11" x14ac:dyDescent="0.25">
      <c r="B171" s="106"/>
      <c r="F171" s="152"/>
      <c r="G171" s="427"/>
      <c r="H171" s="635"/>
      <c r="J171" s="106"/>
      <c r="K171" s="152"/>
    </row>
    <row r="172" spans="2:11" x14ac:dyDescent="0.25">
      <c r="B172" s="106"/>
      <c r="C172" s="78" t="s">
        <v>9449</v>
      </c>
      <c r="F172" s="152"/>
      <c r="G172" s="427"/>
      <c r="H172" s="635"/>
      <c r="J172" s="106"/>
      <c r="K172" s="152"/>
    </row>
    <row r="173" spans="2:11" x14ac:dyDescent="0.25">
      <c r="B173" s="106"/>
      <c r="C173" s="77" t="s">
        <v>39</v>
      </c>
      <c r="D173" s="73"/>
      <c r="E173"/>
      <c r="F173" s="74" t="s">
        <v>3</v>
      </c>
      <c r="G173" s="427">
        <f>0.1*3.14*3*0.1*1.38</f>
        <v>0.12999600000000003</v>
      </c>
      <c r="H173" s="635"/>
      <c r="J173" s="106"/>
      <c r="K173" s="152"/>
    </row>
    <row r="174" spans="2:11" ht="17.25" x14ac:dyDescent="0.25">
      <c r="B174" s="106"/>
      <c r="C174" s="77" t="s">
        <v>1055</v>
      </c>
      <c r="D174" s="73"/>
      <c r="E174"/>
      <c r="F174" s="74" t="s">
        <v>596</v>
      </c>
      <c r="G174" s="427">
        <f>1.5*G173+0.005</f>
        <v>0.19999400000000006</v>
      </c>
      <c r="H174" s="635"/>
      <c r="J174" s="106"/>
      <c r="K174" s="152"/>
    </row>
    <row r="175" spans="2:11" x14ac:dyDescent="0.25">
      <c r="B175" s="106"/>
      <c r="C175" s="73" t="s">
        <v>1021</v>
      </c>
      <c r="D175" s="73"/>
      <c r="E175" s="73"/>
      <c r="F175" s="74" t="s">
        <v>3</v>
      </c>
      <c r="G175" s="153">
        <f>0.15*3.14*0.2*0.12*2*1.15</f>
        <v>2.5999199999999997E-2</v>
      </c>
      <c r="H175" s="635"/>
      <c r="J175" s="106"/>
      <c r="K175" s="152"/>
    </row>
    <row r="176" spans="2:11" x14ac:dyDescent="0.25">
      <c r="B176" s="106"/>
      <c r="C176" s="73" t="s">
        <v>661</v>
      </c>
      <c r="D176" s="73"/>
      <c r="E176" s="73"/>
      <c r="F176" s="74" t="s">
        <v>3</v>
      </c>
      <c r="G176" s="153">
        <f>G175*0.3*0.66+0.001</f>
        <v>6.1478415999999996E-3</v>
      </c>
      <c r="H176" s="635"/>
      <c r="J176" s="106"/>
      <c r="K176" s="152"/>
    </row>
    <row r="177" spans="2:11" x14ac:dyDescent="0.25">
      <c r="B177" s="106"/>
      <c r="C177" s="73" t="s">
        <v>1993</v>
      </c>
      <c r="D177" s="73"/>
      <c r="E177" s="73"/>
      <c r="F177" s="74" t="s">
        <v>3</v>
      </c>
      <c r="G177" s="153">
        <f>G176/2</f>
        <v>3.0739207999999998E-3</v>
      </c>
      <c r="H177" s="635"/>
      <c r="J177" s="106"/>
      <c r="K177" s="152"/>
    </row>
    <row r="178" spans="2:11" x14ac:dyDescent="0.25">
      <c r="B178" s="106"/>
      <c r="C178" s="77" t="s">
        <v>6576</v>
      </c>
      <c r="D178" s="73"/>
      <c r="E178" s="73"/>
      <c r="F178" s="74" t="s">
        <v>3</v>
      </c>
      <c r="G178" s="153">
        <v>0.03</v>
      </c>
      <c r="H178" s="635"/>
      <c r="J178" s="106"/>
      <c r="K178" s="152"/>
    </row>
    <row r="179" spans="2:11" x14ac:dyDescent="0.25">
      <c r="B179" s="106"/>
      <c r="D179" s="73"/>
      <c r="E179"/>
      <c r="F179" s="74"/>
      <c r="G179" s="427"/>
      <c r="H179" s="635"/>
      <c r="J179" s="106"/>
      <c r="K179" s="152"/>
    </row>
    <row r="180" spans="2:11" x14ac:dyDescent="0.25">
      <c r="B180" s="106"/>
      <c r="C180" s="78" t="s">
        <v>9450</v>
      </c>
      <c r="F180" s="152"/>
      <c r="G180" s="427"/>
      <c r="H180" s="635"/>
      <c r="J180" s="106"/>
      <c r="K180" s="152"/>
    </row>
    <row r="181" spans="2:11" x14ac:dyDescent="0.25">
      <c r="B181" s="106"/>
      <c r="C181" s="77" t="s">
        <v>39</v>
      </c>
      <c r="D181" s="73"/>
      <c r="E181"/>
      <c r="F181" s="74" t="s">
        <v>3</v>
      </c>
      <c r="G181" s="427">
        <f>0.16*3.14*2*0.1*1.29</f>
        <v>0.12961920000000002</v>
      </c>
      <c r="H181" s="635"/>
      <c r="J181" s="106"/>
      <c r="K181" s="152"/>
    </row>
    <row r="182" spans="2:11" ht="17.25" x14ac:dyDescent="0.25">
      <c r="B182" s="106"/>
      <c r="C182" s="77" t="s">
        <v>1055</v>
      </c>
      <c r="D182" s="73"/>
      <c r="E182"/>
      <c r="F182" s="74" t="s">
        <v>596</v>
      </c>
      <c r="G182" s="427">
        <f>1.5*G181+0.001</f>
        <v>0.19542880000000001</v>
      </c>
      <c r="H182" s="635"/>
      <c r="J182" s="106"/>
      <c r="K182" s="152"/>
    </row>
    <row r="183" spans="2:11" x14ac:dyDescent="0.25">
      <c r="B183" s="106"/>
      <c r="C183" s="73" t="s">
        <v>1021</v>
      </c>
      <c r="D183" s="73"/>
      <c r="E183" s="73"/>
      <c r="F183" s="74" t="s">
        <v>3</v>
      </c>
      <c r="G183" s="153">
        <f>0.155*3.14*0.16*0.12*2*1.1</f>
        <v>2.0558208000000005E-2</v>
      </c>
      <c r="H183" s="635"/>
      <c r="J183" s="106"/>
      <c r="K183" s="152"/>
    </row>
    <row r="184" spans="2:11" x14ac:dyDescent="0.25">
      <c r="B184" s="106"/>
      <c r="C184" s="73" t="s">
        <v>661</v>
      </c>
      <c r="D184" s="73"/>
      <c r="E184" s="73"/>
      <c r="F184" s="74" t="s">
        <v>3</v>
      </c>
      <c r="G184" s="153">
        <f>G183*0.3*0.66+0.001</f>
        <v>5.0705251840000012E-3</v>
      </c>
      <c r="H184" s="635"/>
      <c r="J184" s="106"/>
      <c r="K184" s="152"/>
    </row>
    <row r="185" spans="2:11" x14ac:dyDescent="0.25">
      <c r="B185" s="106"/>
      <c r="C185" s="73" t="s">
        <v>1993</v>
      </c>
      <c r="D185" s="73"/>
      <c r="E185" s="73"/>
      <c r="F185" s="74" t="s">
        <v>3</v>
      </c>
      <c r="G185" s="153">
        <f>G184/2</f>
        <v>2.5352625920000006E-3</v>
      </c>
      <c r="H185" s="635"/>
      <c r="J185" s="106"/>
      <c r="K185" s="152"/>
    </row>
    <row r="186" spans="2:11" x14ac:dyDescent="0.25">
      <c r="B186" s="106"/>
      <c r="C186" s="77" t="s">
        <v>6576</v>
      </c>
      <c r="D186" s="73"/>
      <c r="E186" s="73"/>
      <c r="F186" s="74" t="s">
        <v>3</v>
      </c>
      <c r="G186" s="153">
        <v>0.03</v>
      </c>
      <c r="H186" s="635"/>
      <c r="J186" s="106"/>
      <c r="K186" s="152"/>
    </row>
    <row r="187" spans="2:11" x14ac:dyDescent="0.25">
      <c r="B187" s="106"/>
      <c r="C187" s="186"/>
      <c r="D187" s="78" t="s">
        <v>9451</v>
      </c>
      <c r="F187" s="152"/>
      <c r="G187" s="427"/>
      <c r="H187" s="635"/>
      <c r="J187" s="106"/>
      <c r="K187" s="152"/>
    </row>
    <row r="188" spans="2:11" x14ac:dyDescent="0.25">
      <c r="B188" s="106"/>
      <c r="C188" s="186"/>
      <c r="D188" t="s">
        <v>9431</v>
      </c>
      <c r="E188"/>
      <c r="F188" s="543" t="s">
        <v>3</v>
      </c>
      <c r="G188" s="10">
        <f>0.23*0.23*3*8*1.1025</f>
        <v>1.399734</v>
      </c>
      <c r="H188" s="635"/>
      <c r="J188" s="106"/>
      <c r="K188" s="152"/>
    </row>
    <row r="189" spans="2:11" x14ac:dyDescent="0.25">
      <c r="B189" s="106"/>
      <c r="C189" s="186"/>
      <c r="D189"/>
      <c r="E189"/>
      <c r="F189" s="543"/>
      <c r="G189" s="10"/>
      <c r="H189" s="635"/>
      <c r="J189" s="106"/>
      <c r="K189" s="152"/>
    </row>
    <row r="190" spans="2:11" x14ac:dyDescent="0.25">
      <c r="B190" s="106"/>
      <c r="C190" s="78" t="s">
        <v>9452</v>
      </c>
      <c r="F190" s="152"/>
      <c r="G190" s="427"/>
      <c r="H190" s="635"/>
      <c r="J190" s="106"/>
      <c r="K190" s="152"/>
    </row>
    <row r="191" spans="2:11" x14ac:dyDescent="0.25">
      <c r="B191" s="106"/>
      <c r="C191" s="77" t="s">
        <v>39</v>
      </c>
      <c r="D191" s="73"/>
      <c r="F191" s="74" t="s">
        <v>3</v>
      </c>
      <c r="G191" s="427">
        <f>0.16*3.14*0.1*1.2</f>
        <v>6.0288000000000008E-2</v>
      </c>
      <c r="H191" s="635"/>
      <c r="J191" s="106"/>
      <c r="K191" s="152"/>
    </row>
    <row r="192" spans="2:11" ht="17.25" x14ac:dyDescent="0.25">
      <c r="B192" s="106"/>
      <c r="C192" s="77" t="s">
        <v>1055</v>
      </c>
      <c r="D192" s="73"/>
      <c r="F192" s="74" t="s">
        <v>596</v>
      </c>
      <c r="G192" s="427">
        <f>1.5*G191</f>
        <v>9.0432000000000012E-2</v>
      </c>
      <c r="H192" s="635"/>
      <c r="J192" s="106"/>
      <c r="K192" s="152"/>
    </row>
    <row r="193" spans="2:11" x14ac:dyDescent="0.25">
      <c r="B193" s="106"/>
      <c r="C193" s="73" t="s">
        <v>1021</v>
      </c>
      <c r="D193" s="73"/>
      <c r="F193" s="74" t="s">
        <v>3</v>
      </c>
      <c r="G193" s="153">
        <f>0.155*3.14*0.16*0.12*2*1.1</f>
        <v>2.0558208000000005E-2</v>
      </c>
      <c r="H193" s="635"/>
      <c r="J193" s="106"/>
      <c r="K193" s="152"/>
    </row>
    <row r="194" spans="2:11" x14ac:dyDescent="0.25">
      <c r="B194" s="106"/>
      <c r="C194" s="73" t="s">
        <v>661</v>
      </c>
      <c r="D194" s="73"/>
      <c r="F194" s="74" t="s">
        <v>3</v>
      </c>
      <c r="G194" s="153">
        <f>G193*0.3*0.66+0.001</f>
        <v>5.0705251840000012E-3</v>
      </c>
      <c r="H194" s="635"/>
      <c r="J194" s="106"/>
      <c r="K194" s="152"/>
    </row>
    <row r="195" spans="2:11" x14ac:dyDescent="0.25">
      <c r="B195" s="106"/>
      <c r="C195" s="73" t="s">
        <v>1993</v>
      </c>
      <c r="D195" s="73"/>
      <c r="F195" s="74" t="s">
        <v>3</v>
      </c>
      <c r="G195" s="153">
        <f>G194/2</f>
        <v>2.5352625920000006E-3</v>
      </c>
      <c r="H195" s="635"/>
      <c r="J195" s="106"/>
      <c r="K195" s="152"/>
    </row>
    <row r="196" spans="2:11" x14ac:dyDescent="0.25">
      <c r="B196" s="106"/>
      <c r="C196" s="77" t="s">
        <v>6576</v>
      </c>
      <c r="D196" s="73"/>
      <c r="F196" s="74" t="s">
        <v>3</v>
      </c>
      <c r="G196" s="153">
        <v>0.05</v>
      </c>
      <c r="H196" s="635"/>
      <c r="J196" s="106"/>
      <c r="K196" s="152"/>
    </row>
    <row r="197" spans="2:11" x14ac:dyDescent="0.25">
      <c r="B197" s="106"/>
      <c r="C197" s="186"/>
      <c r="D197" s="78" t="s">
        <v>9454</v>
      </c>
      <c r="F197" s="152"/>
      <c r="G197" s="427"/>
      <c r="H197" s="635"/>
      <c r="J197" s="106"/>
      <c r="K197" s="152"/>
    </row>
    <row r="198" spans="2:11" x14ac:dyDescent="0.25">
      <c r="B198" s="106"/>
      <c r="C198" s="186"/>
      <c r="D198" t="s">
        <v>9431</v>
      </c>
      <c r="E198"/>
      <c r="F198" s="543" t="s">
        <v>3</v>
      </c>
      <c r="G198" s="10">
        <f>0.2*0.2*3*8*1.104</f>
        <v>1.0598400000000003</v>
      </c>
      <c r="H198" s="635"/>
      <c r="J198" s="106"/>
      <c r="K198" s="152"/>
    </row>
    <row r="199" spans="2:11" x14ac:dyDescent="0.25">
      <c r="B199" s="106"/>
      <c r="C199" s="186"/>
      <c r="H199" s="635"/>
      <c r="J199" s="106"/>
      <c r="K199" s="152"/>
    </row>
    <row r="200" spans="2:11" x14ac:dyDescent="0.25">
      <c r="B200" s="106"/>
      <c r="C200" s="78" t="s">
        <v>9453</v>
      </c>
      <c r="F200" s="152"/>
      <c r="G200" s="427"/>
      <c r="H200" s="635"/>
      <c r="J200" s="106"/>
      <c r="K200" s="152"/>
    </row>
    <row r="201" spans="2:11" x14ac:dyDescent="0.25">
      <c r="B201" s="106"/>
      <c r="C201" s="77" t="s">
        <v>39</v>
      </c>
      <c r="D201" s="73"/>
      <c r="F201" s="74" t="s">
        <v>3</v>
      </c>
      <c r="G201" s="427">
        <f>(0.6+0.018*3.14*5+0.2)*0.08*1.21</f>
        <v>0.10479568</v>
      </c>
      <c r="H201" s="635"/>
      <c r="J201" s="106"/>
      <c r="K201" s="152"/>
    </row>
    <row r="202" spans="2:11" ht="17.25" x14ac:dyDescent="0.25">
      <c r="B202" s="106"/>
      <c r="C202" s="77" t="s">
        <v>1055</v>
      </c>
      <c r="D202" s="73"/>
      <c r="F202" s="74" t="s">
        <v>596</v>
      </c>
      <c r="G202" s="427">
        <f>1.5*G201</f>
        <v>0.15719352</v>
      </c>
      <c r="H202" s="635"/>
      <c r="J202" s="106"/>
      <c r="K202" s="152"/>
    </row>
    <row r="203" spans="2:11" x14ac:dyDescent="0.25">
      <c r="B203" s="106"/>
      <c r="D203" s="78" t="s">
        <v>9455</v>
      </c>
      <c r="F203" s="152"/>
      <c r="G203" s="427"/>
      <c r="H203" s="635"/>
      <c r="J203" s="106"/>
      <c r="K203" s="152"/>
    </row>
    <row r="204" spans="2:11" x14ac:dyDescent="0.25">
      <c r="B204" s="106"/>
      <c r="D204" t="s">
        <v>9431</v>
      </c>
      <c r="F204" s="152" t="s">
        <v>3</v>
      </c>
      <c r="G204" s="427">
        <f>0.335*0.26*3*8*1.124</f>
        <v>2.3496096000000004</v>
      </c>
      <c r="H204" s="635"/>
      <c r="J204" s="106"/>
      <c r="K204" s="152"/>
    </row>
    <row r="205" spans="2:11" x14ac:dyDescent="0.25">
      <c r="B205" s="106"/>
      <c r="C205" s="186"/>
      <c r="D205" s="78" t="s">
        <v>9456</v>
      </c>
      <c r="F205" s="152"/>
      <c r="G205" s="427"/>
      <c r="H205" s="635"/>
      <c r="J205" s="106"/>
      <c r="K205" s="152"/>
    </row>
    <row r="206" spans="2:11" x14ac:dyDescent="0.25">
      <c r="B206" s="106"/>
      <c r="C206" s="186"/>
      <c r="D206" t="s">
        <v>9431</v>
      </c>
      <c r="F206" s="152" t="s">
        <v>3</v>
      </c>
      <c r="G206" s="427">
        <f>0.3*0.12*3*8*1.053</f>
        <v>0.90979199999999982</v>
      </c>
      <c r="H206" s="635"/>
      <c r="J206" s="106"/>
      <c r="K206" s="152"/>
    </row>
    <row r="207" spans="2:11" x14ac:dyDescent="0.25">
      <c r="B207" s="106"/>
      <c r="C207" s="186"/>
      <c r="D207" s="78"/>
      <c r="F207" s="152"/>
      <c r="G207" s="427"/>
      <c r="H207" s="635"/>
      <c r="J207" s="106"/>
      <c r="K207" s="152"/>
    </row>
    <row r="208" spans="2:11" x14ac:dyDescent="0.25">
      <c r="B208" s="106"/>
      <c r="C208" s="78" t="s">
        <v>1026</v>
      </c>
      <c r="D208" s="78"/>
      <c r="F208" s="152"/>
      <c r="G208" s="427"/>
      <c r="H208" s="635"/>
      <c r="J208" s="106"/>
      <c r="K208" s="152"/>
    </row>
    <row r="209" spans="2:11" x14ac:dyDescent="0.25">
      <c r="B209" s="106"/>
      <c r="C209" t="s">
        <v>9500</v>
      </c>
      <c r="F209" s="152" t="s">
        <v>3</v>
      </c>
      <c r="G209" s="427">
        <f>0.06*0.06*3*8*1.154</f>
        <v>9.9705599999999991E-2</v>
      </c>
      <c r="H209" s="635"/>
      <c r="J209" s="106"/>
      <c r="K209" s="152"/>
    </row>
    <row r="210" spans="2:11" x14ac:dyDescent="0.25">
      <c r="B210" s="106"/>
      <c r="F210" s="152"/>
      <c r="G210" s="427"/>
      <c r="H210" s="635"/>
      <c r="J210" s="106"/>
      <c r="K210" s="152"/>
    </row>
    <row r="211" spans="2:11" x14ac:dyDescent="0.25">
      <c r="B211" s="106"/>
      <c r="C211" s="78" t="s">
        <v>9457</v>
      </c>
      <c r="F211" s="152"/>
      <c r="G211" s="427"/>
      <c r="H211" s="635"/>
      <c r="J211" s="106"/>
      <c r="K211" s="152"/>
    </row>
    <row r="212" spans="2:11" x14ac:dyDescent="0.25">
      <c r="B212" s="106"/>
      <c r="C212" s="77" t="s">
        <v>39</v>
      </c>
      <c r="D212" s="73"/>
      <c r="F212" s="74" t="s">
        <v>3</v>
      </c>
      <c r="G212" s="427">
        <f>0.3*0.08*1.25</f>
        <v>0.03</v>
      </c>
      <c r="H212" s="635"/>
      <c r="J212" s="106"/>
      <c r="K212" s="152"/>
    </row>
    <row r="213" spans="2:11" ht="17.25" x14ac:dyDescent="0.25">
      <c r="B213" s="106"/>
      <c r="C213" s="77" t="s">
        <v>1055</v>
      </c>
      <c r="D213" s="73"/>
      <c r="F213" s="74" t="s">
        <v>596</v>
      </c>
      <c r="G213" s="427">
        <f>1.5*G212</f>
        <v>4.4999999999999998E-2</v>
      </c>
      <c r="H213" s="635"/>
      <c r="J213" s="106"/>
      <c r="K213" s="152"/>
    </row>
    <row r="214" spans="2:11" x14ac:dyDescent="0.25">
      <c r="B214" s="106"/>
      <c r="C214" s="186" t="s">
        <v>8</v>
      </c>
      <c r="F214" s="152" t="s">
        <v>3</v>
      </c>
      <c r="G214" s="427">
        <f>0.15*0.15*0.15*2*1.5</f>
        <v>1.0125E-2</v>
      </c>
      <c r="H214" s="635"/>
      <c r="J214" s="106"/>
      <c r="K214" s="152"/>
    </row>
    <row r="215" spans="2:11" x14ac:dyDescent="0.25">
      <c r="B215" s="106"/>
      <c r="C215" s="186" t="s">
        <v>12</v>
      </c>
      <c r="F215" s="152" t="s">
        <v>3</v>
      </c>
      <c r="G215" s="427">
        <f>0.3*G214</f>
        <v>3.0374999999999998E-3</v>
      </c>
      <c r="H215" s="635"/>
      <c r="J215" s="106"/>
      <c r="K215" s="152"/>
    </row>
    <row r="216" spans="2:11" x14ac:dyDescent="0.25">
      <c r="B216" s="106"/>
      <c r="D216" s="78" t="s">
        <v>9458</v>
      </c>
      <c r="F216" s="152"/>
      <c r="G216" s="427"/>
      <c r="H216" s="635"/>
      <c r="J216" s="106"/>
      <c r="K216" s="152"/>
    </row>
    <row r="217" spans="2:11" x14ac:dyDescent="0.25">
      <c r="B217" s="106"/>
      <c r="D217" t="s">
        <v>5123</v>
      </c>
      <c r="F217" s="152" t="s">
        <v>3</v>
      </c>
      <c r="G217" s="427">
        <f>0.145*0.13*3*8*1.105</f>
        <v>0.49990199999999996</v>
      </c>
      <c r="H217" s="635"/>
      <c r="J217" s="106"/>
      <c r="K217" s="152"/>
    </row>
    <row r="218" spans="2:11" x14ac:dyDescent="0.25">
      <c r="B218" s="106"/>
      <c r="D218" s="78" t="s">
        <v>9459</v>
      </c>
      <c r="F218" s="152"/>
      <c r="G218" s="427"/>
      <c r="H218" s="635"/>
      <c r="J218" s="106"/>
      <c r="K218" s="152"/>
    </row>
    <row r="219" spans="2:11" x14ac:dyDescent="0.25">
      <c r="B219" s="106"/>
      <c r="D219" t="s">
        <v>5123</v>
      </c>
      <c r="F219" s="152" t="s">
        <v>3</v>
      </c>
      <c r="G219" s="427">
        <f>0.08*0.045*3*8*1.1</f>
        <v>9.5040000000000013E-2</v>
      </c>
      <c r="H219" s="635"/>
      <c r="J219" s="106"/>
      <c r="K219" s="152"/>
    </row>
    <row r="220" spans="2:11" x14ac:dyDescent="0.25">
      <c r="B220" s="106"/>
      <c r="E220" s="78"/>
      <c r="F220" s="152"/>
      <c r="G220" s="427"/>
      <c r="H220" s="635"/>
      <c r="J220" s="106"/>
      <c r="K220" s="152"/>
    </row>
    <row r="221" spans="2:11" x14ac:dyDescent="0.25">
      <c r="B221" s="106"/>
      <c r="C221" s="78" t="s">
        <v>9460</v>
      </c>
      <c r="F221" s="152"/>
      <c r="G221" s="427"/>
      <c r="H221" s="635"/>
      <c r="J221" s="106"/>
      <c r="K221" s="152"/>
    </row>
    <row r="222" spans="2:11" x14ac:dyDescent="0.25">
      <c r="B222" s="106"/>
      <c r="C222" s="77" t="s">
        <v>9483</v>
      </c>
      <c r="F222" s="152" t="s">
        <v>3</v>
      </c>
      <c r="G222" s="427">
        <f>0.715*0.68+0.004</f>
        <v>0.49020000000000002</v>
      </c>
      <c r="H222" s="635"/>
      <c r="I222" s="77" t="s">
        <v>9484</v>
      </c>
      <c r="J222" s="106"/>
      <c r="K222" s="152"/>
    </row>
    <row r="223" spans="2:11" x14ac:dyDescent="0.25">
      <c r="B223" s="106"/>
      <c r="F223" s="152"/>
      <c r="G223" s="427"/>
      <c r="H223" s="635"/>
      <c r="J223" s="106"/>
      <c r="K223" s="152"/>
    </row>
    <row r="224" spans="2:11" x14ac:dyDescent="0.25">
      <c r="B224" s="106"/>
      <c r="C224" s="78" t="s">
        <v>9461</v>
      </c>
      <c r="E224" s="78"/>
      <c r="F224" s="152"/>
      <c r="G224" s="427"/>
      <c r="H224" s="635"/>
      <c r="J224" s="106"/>
      <c r="K224" s="152"/>
    </row>
    <row r="225" spans="2:11" x14ac:dyDescent="0.25">
      <c r="B225" s="106"/>
      <c r="C225" s="77" t="s">
        <v>9483</v>
      </c>
      <c r="F225" s="152" t="s">
        <v>3</v>
      </c>
      <c r="G225" s="427">
        <f>0.715*0.76+0.007</f>
        <v>0.5504</v>
      </c>
      <c r="H225" s="635"/>
      <c r="I225" s="77" t="s">
        <v>9485</v>
      </c>
      <c r="J225" s="106"/>
      <c r="K225" s="152"/>
    </row>
    <row r="226" spans="2:11" x14ac:dyDescent="0.25">
      <c r="B226" s="106"/>
      <c r="E226" s="78"/>
      <c r="F226" s="152"/>
      <c r="G226" s="427"/>
      <c r="H226" s="635"/>
      <c r="J226" s="106"/>
      <c r="K226" s="152"/>
    </row>
    <row r="227" spans="2:11" x14ac:dyDescent="0.25">
      <c r="B227" s="106"/>
      <c r="C227" s="78" t="s">
        <v>9462</v>
      </c>
      <c r="F227" s="152"/>
      <c r="G227" s="427"/>
      <c r="H227" s="635"/>
      <c r="J227" s="106"/>
      <c r="K227" s="152"/>
    </row>
    <row r="228" spans="2:11" x14ac:dyDescent="0.25">
      <c r="B228" s="106"/>
      <c r="C228" s="77" t="s">
        <v>9483</v>
      </c>
      <c r="F228" s="152" t="s">
        <v>3</v>
      </c>
      <c r="G228" s="427">
        <f>0.32*0.76+0.007</f>
        <v>0.25019999999999998</v>
      </c>
      <c r="H228" s="635"/>
      <c r="I228" s="77" t="s">
        <v>9486</v>
      </c>
      <c r="J228" s="106"/>
      <c r="K228" s="152"/>
    </row>
    <row r="229" spans="2:11" x14ac:dyDescent="0.25">
      <c r="B229" s="106"/>
      <c r="F229" s="152"/>
      <c r="G229" s="427"/>
      <c r="H229" s="635"/>
      <c r="J229" s="106"/>
      <c r="K229" s="152"/>
    </row>
    <row r="230" spans="2:11" x14ac:dyDescent="0.25">
      <c r="B230" s="106"/>
      <c r="C230" s="78" t="s">
        <v>9463</v>
      </c>
      <c r="E230" s="78"/>
      <c r="F230" s="152"/>
      <c r="G230" s="427"/>
      <c r="H230" s="635"/>
      <c r="J230" s="106"/>
      <c r="K230" s="152"/>
    </row>
    <row r="231" spans="2:11" x14ac:dyDescent="0.25">
      <c r="B231" s="106"/>
      <c r="C231" s="77" t="s">
        <v>9483</v>
      </c>
      <c r="F231" s="152" t="s">
        <v>3</v>
      </c>
      <c r="G231" s="427">
        <f>0.46*0.76</f>
        <v>0.34960000000000002</v>
      </c>
      <c r="H231" s="635"/>
      <c r="I231" s="77" t="s">
        <v>9487</v>
      </c>
      <c r="J231" s="106"/>
      <c r="K231" s="152"/>
    </row>
    <row r="232" spans="2:11" x14ac:dyDescent="0.25">
      <c r="B232" s="106"/>
      <c r="E232" s="78"/>
      <c r="F232" s="152"/>
      <c r="G232" s="427"/>
      <c r="H232" s="635"/>
      <c r="J232" s="106"/>
      <c r="K232" s="152"/>
    </row>
    <row r="233" spans="2:11" x14ac:dyDescent="0.25">
      <c r="B233" s="106"/>
      <c r="C233" s="78" t="s">
        <v>9464</v>
      </c>
      <c r="F233" s="152"/>
      <c r="G233" s="427"/>
      <c r="H233" s="635"/>
      <c r="J233" s="106"/>
      <c r="K233" s="152"/>
    </row>
    <row r="234" spans="2:11" x14ac:dyDescent="0.25">
      <c r="B234" s="106"/>
      <c r="C234" s="77" t="s">
        <v>9483</v>
      </c>
      <c r="F234" s="152" t="s">
        <v>3</v>
      </c>
      <c r="G234" s="427">
        <f>0.23*0.76</f>
        <v>0.17480000000000001</v>
      </c>
      <c r="H234" s="635"/>
      <c r="I234" s="77" t="s">
        <v>9488</v>
      </c>
      <c r="J234" s="106"/>
      <c r="K234" s="152"/>
    </row>
    <row r="235" spans="2:11" x14ac:dyDescent="0.25">
      <c r="B235" s="106"/>
      <c r="F235" s="152"/>
      <c r="G235" s="427"/>
      <c r="H235" s="635"/>
      <c r="J235" s="106"/>
      <c r="K235" s="152"/>
    </row>
    <row r="236" spans="2:11" x14ac:dyDescent="0.25">
      <c r="B236" s="106"/>
      <c r="C236" s="78" t="s">
        <v>9465</v>
      </c>
      <c r="F236" s="152"/>
      <c r="G236" s="427"/>
      <c r="H236" s="635"/>
      <c r="J236" s="106"/>
      <c r="K236" s="152"/>
    </row>
    <row r="237" spans="2:11" x14ac:dyDescent="0.25">
      <c r="B237" s="106"/>
      <c r="C237" s="77" t="s">
        <v>9489</v>
      </c>
      <c r="D237" s="186"/>
      <c r="F237" s="152" t="s">
        <v>3</v>
      </c>
      <c r="G237" s="427">
        <f>2.42*3</f>
        <v>7.26</v>
      </c>
      <c r="H237" s="635"/>
      <c r="I237" s="77" t="s">
        <v>9490</v>
      </c>
      <c r="J237" s="106"/>
      <c r="K237" s="152"/>
    </row>
    <row r="238" spans="2:11" x14ac:dyDescent="0.25">
      <c r="B238" s="106"/>
      <c r="D238" s="186"/>
      <c r="F238" s="152"/>
      <c r="G238" s="427"/>
      <c r="H238" s="635"/>
      <c r="J238" s="106"/>
      <c r="K238" s="152"/>
    </row>
    <row r="239" spans="2:11" x14ac:dyDescent="0.25">
      <c r="B239" s="106"/>
      <c r="C239" s="78" t="s">
        <v>9466</v>
      </c>
      <c r="F239" s="152"/>
      <c r="G239" s="427"/>
      <c r="H239" s="635"/>
      <c r="J239" s="106"/>
      <c r="K239" s="152"/>
    </row>
    <row r="240" spans="2:11" x14ac:dyDescent="0.25">
      <c r="B240" s="106"/>
      <c r="C240" s="77" t="s">
        <v>9491</v>
      </c>
      <c r="F240" s="152" t="s">
        <v>3</v>
      </c>
      <c r="G240" s="427">
        <f>1.66*0.62+0.001</f>
        <v>1.0301999999999998</v>
      </c>
      <c r="H240" s="635"/>
      <c r="I240" s="77" t="s">
        <v>9492</v>
      </c>
      <c r="J240" s="106"/>
      <c r="K240" s="152"/>
    </row>
    <row r="241" spans="2:11" x14ac:dyDescent="0.25">
      <c r="B241" s="106"/>
      <c r="E241" s="78"/>
      <c r="F241" s="152"/>
      <c r="G241" s="427"/>
      <c r="H241" s="635"/>
      <c r="J241" s="106"/>
      <c r="K241" s="152"/>
    </row>
    <row r="242" spans="2:11" x14ac:dyDescent="0.25">
      <c r="B242" s="106"/>
      <c r="C242" s="78" t="s">
        <v>9467</v>
      </c>
      <c r="F242" s="152"/>
      <c r="G242" s="427"/>
      <c r="H242" s="635"/>
      <c r="J242" s="106"/>
      <c r="K242" s="152"/>
    </row>
    <row r="243" spans="2:11" x14ac:dyDescent="0.25">
      <c r="B243" s="106"/>
      <c r="C243" s="77" t="s">
        <v>9433</v>
      </c>
      <c r="F243" s="152" t="s">
        <v>3</v>
      </c>
      <c r="G243" s="427">
        <f>3.09*0.14+0.002</f>
        <v>0.43460000000000004</v>
      </c>
      <c r="H243" s="635"/>
      <c r="I243" s="77" t="s">
        <v>1270</v>
      </c>
      <c r="J243" s="106"/>
      <c r="K243" s="152"/>
    </row>
    <row r="244" spans="2:11" x14ac:dyDescent="0.25">
      <c r="B244" s="106"/>
      <c r="F244" s="152"/>
      <c r="G244" s="427"/>
      <c r="H244" s="635"/>
      <c r="J244" s="106"/>
      <c r="K244" s="152"/>
    </row>
    <row r="245" spans="2:11" x14ac:dyDescent="0.25">
      <c r="B245" s="106"/>
      <c r="C245" s="78" t="s">
        <v>9468</v>
      </c>
      <c r="F245" s="152"/>
      <c r="G245" s="427"/>
      <c r="H245" s="635"/>
      <c r="J245" s="106"/>
      <c r="K245" s="152"/>
    </row>
    <row r="246" spans="2:11" x14ac:dyDescent="0.25">
      <c r="B246" s="106"/>
      <c r="C246" s="77" t="s">
        <v>9493</v>
      </c>
      <c r="F246" s="152" t="s">
        <v>3</v>
      </c>
      <c r="G246" s="427">
        <f>2.39*2.2+0.002</f>
        <v>5.2600000000000007</v>
      </c>
      <c r="H246" s="635"/>
      <c r="I246" s="77" t="s">
        <v>9494</v>
      </c>
      <c r="J246" s="106"/>
      <c r="K246" s="152"/>
    </row>
    <row r="247" spans="2:11" x14ac:dyDescent="0.25">
      <c r="B247" s="106"/>
      <c r="C247" s="186"/>
      <c r="F247" s="152"/>
      <c r="G247" s="427"/>
      <c r="H247" s="635"/>
      <c r="J247" s="106"/>
      <c r="K247" s="152"/>
    </row>
    <row r="248" spans="2:11" x14ac:dyDescent="0.25">
      <c r="B248" s="106"/>
      <c r="C248" s="78" t="s">
        <v>9469</v>
      </c>
      <c r="F248" s="152"/>
      <c r="G248" s="427"/>
      <c r="H248" s="635"/>
      <c r="J248" s="106"/>
      <c r="K248" s="152"/>
    </row>
    <row r="249" spans="2:11" x14ac:dyDescent="0.25">
      <c r="B249" s="106"/>
      <c r="C249" t="s">
        <v>9438</v>
      </c>
      <c r="F249" s="152" t="s">
        <v>3</v>
      </c>
      <c r="G249" s="427">
        <f>0.08*0.08*2*8*1.12</f>
        <v>0.11468800000000001</v>
      </c>
      <c r="H249" s="635"/>
      <c r="J249" s="106"/>
      <c r="K249" s="152"/>
    </row>
    <row r="250" spans="2:11" x14ac:dyDescent="0.25">
      <c r="B250" s="106"/>
      <c r="C250" s="186"/>
      <c r="F250" s="152"/>
      <c r="G250" s="427"/>
      <c r="H250" s="635"/>
      <c r="J250" s="106"/>
      <c r="K250" s="152"/>
    </row>
    <row r="251" spans="2:11" x14ac:dyDescent="0.25">
      <c r="B251" s="106"/>
      <c r="C251" s="78" t="s">
        <v>9479</v>
      </c>
      <c r="F251" s="152"/>
      <c r="G251" s="427"/>
      <c r="H251" s="635"/>
      <c r="J251" s="106"/>
      <c r="K251" s="152"/>
    </row>
    <row r="252" spans="2:11" x14ac:dyDescent="0.25">
      <c r="B252" s="106"/>
      <c r="C252" s="186" t="s">
        <v>9499</v>
      </c>
      <c r="F252" s="152" t="s">
        <v>1516</v>
      </c>
      <c r="G252" s="427">
        <v>1</v>
      </c>
      <c r="H252" s="635"/>
      <c r="J252" s="106"/>
      <c r="K252" s="152"/>
    </row>
    <row r="253" spans="2:11" x14ac:dyDescent="0.25">
      <c r="B253" s="106"/>
      <c r="C253" s="186" t="s">
        <v>3724</v>
      </c>
      <c r="F253" s="152" t="s">
        <v>3</v>
      </c>
      <c r="G253" s="427">
        <v>5.0000000000000001E-3</v>
      </c>
      <c r="H253" s="635"/>
      <c r="J253" s="106"/>
      <c r="K253" s="152"/>
    </row>
    <row r="254" spans="2:11" x14ac:dyDescent="0.25">
      <c r="B254" s="106"/>
      <c r="C254" s="77" t="s">
        <v>39</v>
      </c>
      <c r="D254" s="73"/>
      <c r="F254" s="74" t="s">
        <v>3</v>
      </c>
      <c r="G254" s="427">
        <v>5.0000000000000001E-3</v>
      </c>
      <c r="H254" s="635"/>
      <c r="J254" s="106"/>
      <c r="K254" s="152"/>
    </row>
    <row r="255" spans="2:11" ht="17.25" x14ac:dyDescent="0.25">
      <c r="B255" s="106"/>
      <c r="C255" s="77" t="s">
        <v>1055</v>
      </c>
      <c r="D255" s="73"/>
      <c r="F255" s="74" t="s">
        <v>596</v>
      </c>
      <c r="G255" s="427">
        <f>1.5*G254</f>
        <v>7.4999999999999997E-3</v>
      </c>
      <c r="H255" s="635"/>
      <c r="J255" s="106"/>
      <c r="K255" s="152"/>
    </row>
    <row r="256" spans="2:11" x14ac:dyDescent="0.25">
      <c r="B256" s="106"/>
      <c r="D256" s="78"/>
      <c r="F256" s="152"/>
      <c r="G256" s="427"/>
      <c r="H256" s="635"/>
      <c r="J256" s="106"/>
      <c r="K256" s="152"/>
    </row>
    <row r="257" spans="2:11" x14ac:dyDescent="0.25">
      <c r="B257" s="106"/>
      <c r="C257" s="78" t="s">
        <v>9495</v>
      </c>
      <c r="D257" s="78"/>
      <c r="F257" s="152"/>
      <c r="G257" s="427"/>
      <c r="H257" s="635"/>
      <c r="J257" s="106"/>
      <c r="K257" s="152"/>
    </row>
    <row r="258" spans="2:11" x14ac:dyDescent="0.25">
      <c r="B258" s="106"/>
      <c r="C258" s="186" t="s">
        <v>671</v>
      </c>
      <c r="D258" s="75"/>
      <c r="E258" s="73"/>
      <c r="F258" s="74" t="s">
        <v>3</v>
      </c>
      <c r="G258" s="153">
        <v>1.4999999999999999E-2</v>
      </c>
      <c r="H258" s="635"/>
      <c r="J258" s="106"/>
      <c r="K258" s="152"/>
    </row>
    <row r="259" spans="2:11" x14ac:dyDescent="0.25">
      <c r="B259" s="106"/>
      <c r="C259" s="186" t="s">
        <v>672</v>
      </c>
      <c r="D259" s="75"/>
      <c r="E259" s="73"/>
      <c r="F259" s="74" t="s">
        <v>3</v>
      </c>
      <c r="G259" s="153">
        <f>G258*2</f>
        <v>0.03</v>
      </c>
      <c r="H259" s="635"/>
      <c r="J259" s="106"/>
      <c r="K259" s="152"/>
    </row>
    <row r="260" spans="2:11" x14ac:dyDescent="0.25">
      <c r="B260" s="106"/>
      <c r="C260" s="186" t="s">
        <v>9497</v>
      </c>
      <c r="D260" s="75"/>
      <c r="E260" s="73"/>
      <c r="F260" s="74" t="s">
        <v>3</v>
      </c>
      <c r="G260" s="153">
        <v>1E-3</v>
      </c>
      <c r="H260" s="635"/>
      <c r="J260" s="106"/>
      <c r="K260" s="152"/>
    </row>
    <row r="261" spans="2:11" x14ac:dyDescent="0.25">
      <c r="B261" s="106"/>
      <c r="D261" s="78" t="s">
        <v>9496</v>
      </c>
      <c r="F261" s="152"/>
      <c r="G261" s="427"/>
      <c r="H261" s="635"/>
      <c r="J261" s="106"/>
      <c r="K261" s="152"/>
    </row>
    <row r="262" spans="2:11" x14ac:dyDescent="0.25">
      <c r="B262" s="106"/>
      <c r="D262" t="s">
        <v>9438</v>
      </c>
      <c r="F262" s="152" t="s">
        <v>3</v>
      </c>
      <c r="G262" s="427">
        <f>0.03*0.015*2*8*1.1</f>
        <v>7.92E-3</v>
      </c>
      <c r="H262" s="635"/>
      <c r="J262" s="106"/>
      <c r="K262" s="152"/>
    </row>
    <row r="263" spans="2:11" x14ac:dyDescent="0.25">
      <c r="B263" s="106"/>
      <c r="D263" s="78" t="s">
        <v>9480</v>
      </c>
      <c r="F263" s="152"/>
      <c r="G263" s="427"/>
      <c r="H263" s="635"/>
      <c r="J263" s="106"/>
      <c r="K263" s="152"/>
    </row>
    <row r="264" spans="2:11" x14ac:dyDescent="0.25">
      <c r="B264" s="106"/>
      <c r="D264" s="77" t="s">
        <v>9498</v>
      </c>
      <c r="F264" s="152" t="s">
        <v>195</v>
      </c>
      <c r="G264" s="427">
        <v>0.4</v>
      </c>
      <c r="H264" s="635"/>
      <c r="I264" s="77" t="s">
        <v>6306</v>
      </c>
      <c r="J264" s="106"/>
      <c r="K264" s="152"/>
    </row>
    <row r="265" spans="2:11" x14ac:dyDescent="0.25">
      <c r="B265" s="106"/>
      <c r="C265" s="186"/>
      <c r="F265" s="152"/>
      <c r="G265" s="427"/>
      <c r="H265" s="635"/>
      <c r="J265" s="106"/>
      <c r="K265" s="760"/>
    </row>
    <row r="266" spans="2:11" x14ac:dyDescent="0.25">
      <c r="B266" s="106"/>
      <c r="C266" s="78" t="s">
        <v>9481</v>
      </c>
      <c r="F266" s="152"/>
      <c r="G266" s="427"/>
      <c r="H266" s="635"/>
      <c r="J266" s="106"/>
      <c r="K266" s="152"/>
    </row>
    <row r="267" spans="2:11" x14ac:dyDescent="0.25">
      <c r="B267" s="106"/>
      <c r="C267" s="186" t="s">
        <v>671</v>
      </c>
      <c r="D267" s="75"/>
      <c r="E267" s="73"/>
      <c r="F267" s="74" t="s">
        <v>3</v>
      </c>
      <c r="G267" s="153">
        <v>5.0000000000000001E-3</v>
      </c>
      <c r="H267" s="635"/>
      <c r="J267" s="106"/>
      <c r="K267" s="152"/>
    </row>
    <row r="268" spans="2:11" x14ac:dyDescent="0.25">
      <c r="B268" s="106"/>
      <c r="C268" s="186" t="s">
        <v>672</v>
      </c>
      <c r="D268" s="75"/>
      <c r="E268" s="73"/>
      <c r="F268" s="74" t="s">
        <v>3</v>
      </c>
      <c r="G268" s="153">
        <f>G267*2</f>
        <v>0.01</v>
      </c>
      <c r="H268" s="635"/>
      <c r="J268" s="106"/>
      <c r="K268" s="152"/>
    </row>
    <row r="269" spans="2:11" x14ac:dyDescent="0.25">
      <c r="B269" s="106"/>
      <c r="C269" s="186" t="s">
        <v>9497</v>
      </c>
      <c r="D269" s="75"/>
      <c r="E269" s="73"/>
      <c r="F269" s="74" t="s">
        <v>3</v>
      </c>
      <c r="G269" s="153">
        <v>1E-3</v>
      </c>
      <c r="H269" s="635"/>
      <c r="J269" s="106"/>
      <c r="K269" s="152"/>
    </row>
    <row r="270" spans="2:11" x14ac:dyDescent="0.25">
      <c r="B270" s="106"/>
      <c r="C270" s="186"/>
      <c r="D270" s="78" t="s">
        <v>9482</v>
      </c>
      <c r="F270" s="152"/>
      <c r="G270" s="427"/>
      <c r="H270" s="635"/>
      <c r="J270" s="106"/>
      <c r="K270" s="152"/>
    </row>
    <row r="271" spans="2:11" x14ac:dyDescent="0.25">
      <c r="B271" s="106"/>
      <c r="C271" s="186"/>
      <c r="D271" s="77" t="s">
        <v>9498</v>
      </c>
      <c r="F271" s="152" t="s">
        <v>195</v>
      </c>
      <c r="G271" s="427">
        <v>0.4</v>
      </c>
      <c r="H271" s="635"/>
      <c r="I271" s="77" t="s">
        <v>6306</v>
      </c>
      <c r="J271" s="106"/>
      <c r="K271" s="152"/>
    </row>
    <row r="272" spans="2:11" x14ac:dyDescent="0.25">
      <c r="B272" s="106"/>
      <c r="C272" s="186"/>
      <c r="F272" s="152"/>
      <c r="G272" s="427"/>
      <c r="H272" s="635"/>
      <c r="J272" s="106"/>
      <c r="K272" s="152"/>
    </row>
    <row r="273" spans="1:11" x14ac:dyDescent="0.25">
      <c r="A273" s="591"/>
      <c r="B273" s="730"/>
      <c r="C273" s="731"/>
      <c r="D273" s="591"/>
      <c r="E273" s="591"/>
      <c r="F273" s="592"/>
      <c r="G273" s="732"/>
      <c r="H273" s="733"/>
      <c r="J273" s="106"/>
      <c r="K273" s="152"/>
    </row>
    <row r="274" spans="1:11" x14ac:dyDescent="0.25">
      <c r="B274" s="106"/>
      <c r="D274" s="78"/>
      <c r="F274" s="152"/>
      <c r="G274" s="427"/>
      <c r="J274" s="106"/>
      <c r="K274" s="152"/>
    </row>
    <row r="275" spans="1:11" x14ac:dyDescent="0.25">
      <c r="B275" s="106"/>
      <c r="F275" s="152"/>
      <c r="G275" s="427"/>
      <c r="J275" s="106"/>
      <c r="K275" s="152"/>
    </row>
    <row r="276" spans="1:11" x14ac:dyDescent="0.25">
      <c r="B276" s="106"/>
      <c r="F276" s="152"/>
      <c r="G276" s="427"/>
      <c r="J276" s="106"/>
      <c r="K276" s="152"/>
    </row>
    <row r="277" spans="1:11" x14ac:dyDescent="0.25">
      <c r="B277" s="106"/>
      <c r="F277" s="152"/>
      <c r="G277" s="427"/>
      <c r="J277" s="106"/>
      <c r="K277" s="152"/>
    </row>
    <row r="278" spans="1:11" x14ac:dyDescent="0.25">
      <c r="B278" s="106"/>
      <c r="C278" s="186"/>
      <c r="F278" s="152"/>
      <c r="G278" s="427"/>
      <c r="J278" s="106"/>
      <c r="K278" s="152"/>
    </row>
    <row r="279" spans="1:11" x14ac:dyDescent="0.25">
      <c r="B279" s="106"/>
      <c r="C279" s="186"/>
      <c r="F279" s="152"/>
      <c r="G279" s="427"/>
      <c r="J279" s="106"/>
      <c r="K279" s="152"/>
    </row>
    <row r="280" spans="1:11" x14ac:dyDescent="0.25">
      <c r="B280" s="106"/>
      <c r="C280" s="186"/>
      <c r="F280" s="152"/>
      <c r="G280" s="427"/>
      <c r="J280" s="106"/>
      <c r="K280" s="152"/>
    </row>
    <row r="281" spans="1:11" x14ac:dyDescent="0.25">
      <c r="B281" s="106"/>
      <c r="C281" s="186"/>
      <c r="F281" s="152"/>
      <c r="G281" s="427"/>
      <c r="J281" s="106"/>
      <c r="K281" s="152"/>
    </row>
    <row r="282" spans="1:11" x14ac:dyDescent="0.25">
      <c r="B282" s="106"/>
      <c r="C282" s="186"/>
      <c r="F282" s="152"/>
      <c r="G282" s="427"/>
      <c r="J282" s="106"/>
      <c r="K282" s="152"/>
    </row>
    <row r="283" spans="1:11" x14ac:dyDescent="0.25">
      <c r="B283" s="106"/>
      <c r="C283" s="186"/>
      <c r="F283" s="152"/>
      <c r="G283" s="427"/>
      <c r="J283" s="106"/>
      <c r="K283" s="152"/>
    </row>
    <row r="284" spans="1:11" x14ac:dyDescent="0.25">
      <c r="B284" s="106"/>
      <c r="C284" s="186"/>
      <c r="F284" s="152"/>
      <c r="G284" s="427"/>
      <c r="J284" s="106"/>
      <c r="K284" s="152"/>
    </row>
    <row r="285" spans="1:11" x14ac:dyDescent="0.25">
      <c r="B285" s="106"/>
      <c r="D285" s="78"/>
      <c r="F285" s="152"/>
      <c r="G285" s="427"/>
      <c r="J285" s="106"/>
      <c r="K285" s="152"/>
    </row>
    <row r="286" spans="1:11" x14ac:dyDescent="0.25">
      <c r="B286" s="106"/>
      <c r="F286" s="152"/>
      <c r="G286" s="427"/>
      <c r="J286" s="106"/>
      <c r="K286" s="152"/>
    </row>
    <row r="287" spans="1:11" x14ac:dyDescent="0.25">
      <c r="B287" s="106"/>
      <c r="F287" s="152"/>
      <c r="G287" s="427"/>
      <c r="J287" s="106"/>
      <c r="K287" s="152"/>
    </row>
    <row r="288" spans="1:11" x14ac:dyDescent="0.25">
      <c r="B288" s="106"/>
      <c r="F288" s="152"/>
      <c r="G288" s="427"/>
      <c r="J288" s="106"/>
      <c r="K288" s="152"/>
    </row>
    <row r="289" spans="2:11" x14ac:dyDescent="0.25">
      <c r="B289" s="106"/>
      <c r="F289" s="152"/>
      <c r="G289" s="427"/>
      <c r="J289" s="106"/>
      <c r="K289" s="152"/>
    </row>
    <row r="290" spans="2:11" x14ac:dyDescent="0.25">
      <c r="B290" s="106"/>
      <c r="F290" s="152"/>
      <c r="G290" s="427"/>
      <c r="J290" s="106"/>
      <c r="K290" s="152"/>
    </row>
    <row r="291" spans="2:11" x14ac:dyDescent="0.25">
      <c r="B291" s="106"/>
      <c r="F291" s="152"/>
      <c r="G291" s="427"/>
      <c r="J291" s="106"/>
      <c r="K291" s="152"/>
    </row>
    <row r="292" spans="2:11" x14ac:dyDescent="0.25">
      <c r="B292" s="106"/>
      <c r="F292" s="152"/>
      <c r="G292" s="427"/>
      <c r="J292" s="106"/>
      <c r="K292" s="152"/>
    </row>
    <row r="293" spans="2:11" x14ac:dyDescent="0.25">
      <c r="B293" s="106"/>
      <c r="D293" s="186"/>
      <c r="F293" s="152"/>
      <c r="G293" s="427"/>
      <c r="J293" s="106"/>
      <c r="K293" s="152"/>
    </row>
    <row r="294" spans="2:11" x14ac:dyDescent="0.25">
      <c r="B294" s="106"/>
      <c r="D294" s="186"/>
      <c r="F294" s="152"/>
      <c r="G294" s="427"/>
      <c r="J294" s="106"/>
      <c r="K294" s="152"/>
    </row>
    <row r="295" spans="2:11" x14ac:dyDescent="0.25">
      <c r="B295" s="106"/>
      <c r="E295" s="78"/>
      <c r="F295" s="152"/>
      <c r="G295" s="427"/>
      <c r="J295" s="106"/>
      <c r="K295" s="152"/>
    </row>
    <row r="296" spans="2:11" x14ac:dyDescent="0.25">
      <c r="B296" s="106"/>
      <c r="F296" s="152"/>
      <c r="G296" s="427"/>
      <c r="J296" s="106"/>
      <c r="K296" s="152"/>
    </row>
    <row r="297" spans="2:11" x14ac:dyDescent="0.25">
      <c r="B297" s="106"/>
      <c r="E297" s="78"/>
      <c r="F297" s="152"/>
      <c r="G297" s="427"/>
      <c r="J297" s="106"/>
      <c r="K297" s="152"/>
    </row>
    <row r="298" spans="2:11" x14ac:dyDescent="0.25">
      <c r="B298" s="106"/>
      <c r="F298" s="152"/>
      <c r="G298" s="427"/>
      <c r="J298" s="106"/>
      <c r="K298" s="152"/>
    </row>
    <row r="299" spans="2:11" x14ac:dyDescent="0.25">
      <c r="B299" s="106"/>
      <c r="F299" s="152"/>
      <c r="G299" s="427"/>
      <c r="J299" s="106"/>
      <c r="K299" s="152"/>
    </row>
    <row r="300" spans="2:11" x14ac:dyDescent="0.25">
      <c r="B300" s="106"/>
      <c r="F300" s="152"/>
      <c r="G300" s="427"/>
      <c r="J300" s="106"/>
      <c r="K300" s="152"/>
    </row>
    <row r="301" spans="2:11" x14ac:dyDescent="0.25">
      <c r="B301" s="106"/>
      <c r="F301" s="152"/>
      <c r="G301" s="427"/>
      <c r="J301" s="106"/>
      <c r="K301" s="152"/>
    </row>
    <row r="302" spans="2:11" x14ac:dyDescent="0.25">
      <c r="B302" s="106"/>
      <c r="D302" s="186"/>
      <c r="F302" s="152"/>
      <c r="G302" s="427"/>
      <c r="J302" s="106"/>
      <c r="K302" s="152"/>
    </row>
    <row r="303" spans="2:11" x14ac:dyDescent="0.25">
      <c r="B303" s="106"/>
      <c r="D303" s="186"/>
      <c r="F303" s="152"/>
      <c r="G303" s="427"/>
      <c r="J303" s="106"/>
      <c r="K303" s="152"/>
    </row>
    <row r="304" spans="2:11" x14ac:dyDescent="0.25">
      <c r="B304" s="106"/>
      <c r="D304" s="186"/>
      <c r="E304" s="78"/>
      <c r="F304" s="152"/>
      <c r="G304" s="427"/>
      <c r="J304" s="106"/>
      <c r="K304" s="152"/>
    </row>
    <row r="305" spans="2:11" x14ac:dyDescent="0.25">
      <c r="B305" s="106"/>
      <c r="D305" s="186"/>
      <c r="F305" s="152"/>
      <c r="G305" s="427"/>
      <c r="J305" s="106"/>
      <c r="K305" s="152"/>
    </row>
    <row r="306" spans="2:11" x14ac:dyDescent="0.25">
      <c r="B306" s="106"/>
      <c r="D306" s="78"/>
      <c r="F306" s="152"/>
      <c r="G306" s="427"/>
      <c r="J306" s="106"/>
      <c r="K306" s="152"/>
    </row>
    <row r="307" spans="2:11" x14ac:dyDescent="0.25">
      <c r="B307" s="106"/>
      <c r="F307" s="152"/>
      <c r="G307" s="427"/>
      <c r="J307" s="106"/>
      <c r="K307" s="152"/>
    </row>
    <row r="308" spans="2:11" x14ac:dyDescent="0.25">
      <c r="B308" s="106"/>
      <c r="F308" s="152"/>
      <c r="G308" s="427"/>
      <c r="J308" s="106"/>
      <c r="K308" s="152"/>
    </row>
    <row r="309" spans="2:11" x14ac:dyDescent="0.25">
      <c r="B309" s="106"/>
      <c r="F309" s="152"/>
      <c r="G309" s="427"/>
      <c r="J309" s="106"/>
      <c r="K309" s="152"/>
    </row>
    <row r="310" spans="2:11" x14ac:dyDescent="0.25">
      <c r="B310" s="106"/>
      <c r="F310" s="152"/>
      <c r="G310" s="427"/>
      <c r="J310" s="106"/>
      <c r="K310" s="152"/>
    </row>
    <row r="311" spans="2:11" x14ac:dyDescent="0.25">
      <c r="B311" s="106"/>
      <c r="F311" s="152"/>
      <c r="G311" s="427"/>
      <c r="J311" s="106"/>
      <c r="K311" s="152"/>
    </row>
    <row r="312" spans="2:11" x14ac:dyDescent="0.25">
      <c r="B312" s="106"/>
      <c r="F312" s="152"/>
      <c r="G312" s="427"/>
      <c r="J312" s="106"/>
      <c r="K312" s="152"/>
    </row>
    <row r="313" spans="2:11" x14ac:dyDescent="0.25">
      <c r="B313" s="106"/>
      <c r="F313" s="152"/>
      <c r="G313" s="427"/>
      <c r="J313" s="106"/>
      <c r="K313" s="152"/>
    </row>
    <row r="314" spans="2:11" x14ac:dyDescent="0.25">
      <c r="B314" s="106"/>
      <c r="D314" s="186"/>
      <c r="F314" s="152"/>
      <c r="G314" s="427"/>
      <c r="J314" s="106"/>
      <c r="K314" s="152"/>
    </row>
    <row r="315" spans="2:11" x14ac:dyDescent="0.25">
      <c r="B315" s="106"/>
      <c r="D315" s="186"/>
      <c r="F315" s="152"/>
      <c r="G315" s="427"/>
      <c r="J315" s="106"/>
      <c r="K315" s="152"/>
    </row>
    <row r="316" spans="2:11" x14ac:dyDescent="0.25">
      <c r="B316" s="106"/>
      <c r="D316" s="78"/>
      <c r="E316" s="78"/>
      <c r="F316" s="152"/>
      <c r="G316" s="427"/>
      <c r="J316" s="106"/>
      <c r="K316" s="152"/>
    </row>
    <row r="317" spans="2:11" x14ac:dyDescent="0.25">
      <c r="B317" s="106"/>
      <c r="F317" s="152"/>
      <c r="G317" s="427"/>
      <c r="J317" s="106"/>
      <c r="K317" s="152"/>
    </row>
    <row r="318" spans="2:11" x14ac:dyDescent="0.25">
      <c r="B318" s="106"/>
      <c r="F318" s="152"/>
      <c r="G318" s="427"/>
      <c r="J318" s="106"/>
      <c r="K318" s="152"/>
    </row>
    <row r="319" spans="2:11" x14ac:dyDescent="0.25">
      <c r="B319" s="106"/>
      <c r="D319" s="186"/>
      <c r="F319" s="152"/>
      <c r="G319" s="427"/>
      <c r="J319" s="106"/>
      <c r="K319" s="152"/>
    </row>
    <row r="320" spans="2:11" x14ac:dyDescent="0.25">
      <c r="B320" s="106"/>
      <c r="D320" s="186"/>
      <c r="F320" s="152"/>
      <c r="G320" s="427"/>
      <c r="J320" s="106"/>
      <c r="K320" s="152"/>
    </row>
    <row r="321" spans="2:11" x14ac:dyDescent="0.25">
      <c r="B321" s="106"/>
      <c r="D321" s="186"/>
      <c r="F321" s="152"/>
      <c r="G321" s="427"/>
      <c r="J321" s="106"/>
      <c r="K321" s="152"/>
    </row>
    <row r="322" spans="2:11" x14ac:dyDescent="0.25">
      <c r="B322" s="106"/>
      <c r="D322" s="186"/>
      <c r="F322" s="152"/>
      <c r="G322" s="427"/>
      <c r="J322" s="106"/>
      <c r="K322" s="152"/>
    </row>
    <row r="323" spans="2:11" x14ac:dyDescent="0.25">
      <c r="B323" s="106"/>
      <c r="D323" s="186"/>
      <c r="F323" s="152"/>
      <c r="G323" s="427"/>
      <c r="J323" s="106"/>
      <c r="K323" s="152"/>
    </row>
    <row r="324" spans="2:11" x14ac:dyDescent="0.25">
      <c r="B324" s="106"/>
      <c r="E324" s="78"/>
      <c r="F324" s="152"/>
      <c r="G324" s="427"/>
      <c r="J324" s="106"/>
      <c r="K324" s="152"/>
    </row>
    <row r="325" spans="2:11" x14ac:dyDescent="0.25">
      <c r="B325" s="106"/>
      <c r="E325" s="186"/>
      <c r="F325" s="152"/>
      <c r="G325" s="427"/>
      <c r="J325" s="106"/>
      <c r="K325" s="152"/>
    </row>
    <row r="326" spans="2:11" x14ac:dyDescent="0.25">
      <c r="B326" s="106"/>
      <c r="D326" s="78"/>
      <c r="F326" s="152"/>
      <c r="G326" s="427"/>
      <c r="J326" s="106"/>
      <c r="K326" s="152"/>
    </row>
    <row r="327" spans="2:11" x14ac:dyDescent="0.25">
      <c r="B327" s="106"/>
      <c r="F327" s="152"/>
      <c r="G327" s="427"/>
      <c r="J327" s="106"/>
      <c r="K327" s="152"/>
    </row>
    <row r="328" spans="2:11" x14ac:dyDescent="0.25">
      <c r="B328" s="106"/>
      <c r="F328" s="152"/>
      <c r="G328" s="427"/>
      <c r="J328" s="106"/>
      <c r="K328" s="152"/>
    </row>
    <row r="329" spans="2:11" x14ac:dyDescent="0.25">
      <c r="B329" s="106"/>
      <c r="F329" s="152"/>
      <c r="G329" s="427"/>
      <c r="J329" s="106"/>
      <c r="K329" s="152"/>
    </row>
    <row r="330" spans="2:11" x14ac:dyDescent="0.25">
      <c r="B330" s="106"/>
      <c r="C330" s="186"/>
      <c r="F330" s="152"/>
      <c r="G330" s="427"/>
      <c r="J330" s="106"/>
      <c r="K330" s="152"/>
    </row>
    <row r="331" spans="2:11" x14ac:dyDescent="0.25">
      <c r="B331" s="106"/>
      <c r="C331" s="186"/>
      <c r="F331" s="152"/>
      <c r="G331" s="427"/>
      <c r="J331" s="106"/>
      <c r="K331" s="152"/>
    </row>
    <row r="332" spans="2:11" x14ac:dyDescent="0.25">
      <c r="B332" s="106"/>
      <c r="C332" s="186"/>
      <c r="F332" s="152"/>
      <c r="G332" s="427"/>
      <c r="J332" s="106"/>
      <c r="K332" s="152"/>
    </row>
    <row r="333" spans="2:11" x14ac:dyDescent="0.25">
      <c r="B333" s="106"/>
      <c r="C333" s="186"/>
      <c r="F333" s="152"/>
      <c r="G333" s="427"/>
      <c r="J333" s="106"/>
      <c r="K333" s="152"/>
    </row>
    <row r="334" spans="2:11" x14ac:dyDescent="0.25">
      <c r="B334" s="106"/>
      <c r="C334" s="186"/>
      <c r="F334" s="152"/>
      <c r="G334" s="427"/>
      <c r="J334" s="106"/>
      <c r="K334" s="152"/>
    </row>
    <row r="335" spans="2:11" x14ac:dyDescent="0.25">
      <c r="B335" s="106"/>
      <c r="C335" s="186"/>
      <c r="F335" s="152"/>
      <c r="G335" s="427"/>
      <c r="J335" s="106"/>
      <c r="K335" s="152"/>
    </row>
    <row r="336" spans="2:11" x14ac:dyDescent="0.25">
      <c r="B336" s="106"/>
      <c r="C336" s="186"/>
      <c r="F336" s="152"/>
      <c r="G336" s="427"/>
      <c r="J336" s="106"/>
      <c r="K336" s="152"/>
    </row>
    <row r="337" spans="2:11" x14ac:dyDescent="0.25">
      <c r="B337" s="106"/>
      <c r="D337" s="78"/>
      <c r="F337" s="152"/>
      <c r="G337" s="427"/>
      <c r="J337" s="106"/>
      <c r="K337" s="152"/>
    </row>
    <row r="338" spans="2:11" x14ac:dyDescent="0.25">
      <c r="B338" s="106"/>
      <c r="F338" s="152"/>
      <c r="G338" s="427"/>
      <c r="J338" s="106"/>
      <c r="K338" s="152"/>
    </row>
    <row r="339" spans="2:11" x14ac:dyDescent="0.25">
      <c r="B339" s="106"/>
      <c r="F339" s="152"/>
      <c r="G339" s="427"/>
      <c r="J339" s="106"/>
      <c r="K339" s="152"/>
    </row>
    <row r="340" spans="2:11" x14ac:dyDescent="0.25">
      <c r="B340" s="106"/>
      <c r="C340" s="78"/>
      <c r="F340" s="152"/>
      <c r="G340" s="427"/>
      <c r="J340" s="106"/>
      <c r="K340" s="152"/>
    </row>
    <row r="341" spans="2:11" x14ac:dyDescent="0.25">
      <c r="B341" s="106"/>
      <c r="F341" s="152"/>
      <c r="G341" s="427"/>
      <c r="J341" s="106"/>
      <c r="K341" s="152"/>
    </row>
    <row r="342" spans="2:11" x14ac:dyDescent="0.25">
      <c r="B342" s="106"/>
      <c r="F342" s="152"/>
      <c r="G342" s="427"/>
      <c r="J342" s="106"/>
      <c r="K342" s="152"/>
    </row>
    <row r="343" spans="2:11" x14ac:dyDescent="0.25">
      <c r="B343" s="106"/>
      <c r="C343" s="78"/>
      <c r="F343" s="152"/>
      <c r="G343" s="427"/>
      <c r="J343" s="106"/>
      <c r="K343" s="152"/>
    </row>
    <row r="344" spans="2:11" x14ac:dyDescent="0.25">
      <c r="B344" s="106"/>
      <c r="F344" s="152"/>
      <c r="G344" s="427"/>
      <c r="J344" s="106"/>
      <c r="K344" s="152"/>
    </row>
    <row r="345" spans="2:11" x14ac:dyDescent="0.25">
      <c r="B345" s="106"/>
      <c r="F345" s="152"/>
      <c r="G345" s="427"/>
      <c r="J345" s="106"/>
      <c r="K345" s="152"/>
    </row>
    <row r="346" spans="2:11" x14ac:dyDescent="0.25">
      <c r="B346" s="106"/>
      <c r="C346" s="78"/>
      <c r="F346" s="152"/>
      <c r="G346" s="427"/>
      <c r="J346" s="106"/>
      <c r="K346" s="152"/>
    </row>
    <row r="347" spans="2:11" x14ac:dyDescent="0.25">
      <c r="B347" s="106"/>
      <c r="F347" s="152"/>
      <c r="G347" s="427"/>
      <c r="J347" s="106"/>
      <c r="K347" s="152"/>
    </row>
    <row r="348" spans="2:11" x14ac:dyDescent="0.25">
      <c r="B348" s="106"/>
      <c r="F348" s="152"/>
      <c r="G348" s="427"/>
      <c r="J348" s="106"/>
      <c r="K348" s="152"/>
    </row>
    <row r="349" spans="2:11" x14ac:dyDescent="0.25">
      <c r="B349" s="106"/>
      <c r="F349" s="152"/>
      <c r="G349" s="427"/>
      <c r="J349" s="106"/>
      <c r="K349" s="152"/>
    </row>
    <row r="350" spans="2:11" x14ac:dyDescent="0.25">
      <c r="B350" s="106"/>
      <c r="F350" s="152"/>
      <c r="G350" s="427"/>
      <c r="J350" s="106"/>
      <c r="K350" s="152"/>
    </row>
    <row r="351" spans="2:11" x14ac:dyDescent="0.25">
      <c r="B351" s="106"/>
      <c r="F351" s="152"/>
      <c r="G351" s="427"/>
      <c r="J351" s="106"/>
      <c r="K351" s="152"/>
    </row>
    <row r="352" spans="2:11" x14ac:dyDescent="0.25">
      <c r="B352" s="106"/>
      <c r="C352" s="186"/>
      <c r="F352" s="152"/>
      <c r="G352" s="427"/>
      <c r="J352" s="106"/>
      <c r="K352" s="152"/>
    </row>
    <row r="353" spans="2:11" x14ac:dyDescent="0.25">
      <c r="B353" s="106"/>
      <c r="C353" s="186"/>
      <c r="F353" s="152"/>
      <c r="G353" s="427"/>
      <c r="J353" s="106"/>
      <c r="K353" s="152"/>
    </row>
    <row r="354" spans="2:11" x14ac:dyDescent="0.25">
      <c r="B354" s="106"/>
      <c r="D354" s="78"/>
      <c r="F354" s="152"/>
      <c r="G354" s="427"/>
      <c r="J354" s="106"/>
      <c r="K354" s="152"/>
    </row>
    <row r="355" spans="2:11" x14ac:dyDescent="0.25">
      <c r="B355" s="106"/>
      <c r="F355" s="152"/>
      <c r="G355" s="427"/>
      <c r="J355" s="106"/>
      <c r="K355" s="152"/>
    </row>
    <row r="356" spans="2:11" x14ac:dyDescent="0.25">
      <c r="B356" s="106"/>
      <c r="F356" s="152"/>
      <c r="G356" s="427"/>
      <c r="J356" s="106"/>
      <c r="K356" s="152"/>
    </row>
    <row r="357" spans="2:11" x14ac:dyDescent="0.25">
      <c r="B357" s="106"/>
      <c r="F357" s="152"/>
      <c r="G357" s="427"/>
      <c r="J357" s="106"/>
      <c r="K357" s="152"/>
    </row>
    <row r="358" spans="2:11" x14ac:dyDescent="0.25">
      <c r="B358" s="106"/>
      <c r="C358" s="186"/>
      <c r="F358" s="152"/>
      <c r="G358" s="427"/>
      <c r="J358" s="106"/>
      <c r="K358" s="152"/>
    </row>
    <row r="359" spans="2:11" x14ac:dyDescent="0.25">
      <c r="B359" s="106"/>
      <c r="C359" s="186"/>
      <c r="F359" s="152"/>
      <c r="G359" s="427"/>
      <c r="J359" s="106"/>
      <c r="K359" s="152"/>
    </row>
    <row r="360" spans="2:11" x14ac:dyDescent="0.25">
      <c r="B360" s="106"/>
      <c r="C360" s="186"/>
      <c r="F360" s="152"/>
      <c r="G360" s="427"/>
      <c r="J360" s="106"/>
      <c r="K360" s="152"/>
    </row>
    <row r="361" spans="2:11" x14ac:dyDescent="0.25">
      <c r="B361" s="106"/>
      <c r="C361" s="186"/>
      <c r="F361" s="152"/>
      <c r="G361" s="427"/>
      <c r="J361" s="106"/>
      <c r="K361" s="152"/>
    </row>
    <row r="362" spans="2:11" x14ac:dyDescent="0.25">
      <c r="B362" s="106"/>
      <c r="C362" s="186"/>
      <c r="F362" s="152"/>
      <c r="G362" s="427"/>
      <c r="J362" s="106"/>
      <c r="K362" s="152"/>
    </row>
    <row r="363" spans="2:11" x14ac:dyDescent="0.25">
      <c r="B363" s="106"/>
      <c r="D363" s="78"/>
      <c r="F363" s="152"/>
      <c r="G363" s="427"/>
      <c r="J363" s="106"/>
      <c r="K363" s="152"/>
    </row>
    <row r="364" spans="2:11" x14ac:dyDescent="0.25">
      <c r="B364" s="106"/>
      <c r="F364" s="152"/>
      <c r="G364" s="427"/>
      <c r="J364" s="106"/>
      <c r="K364" s="152"/>
    </row>
    <row r="365" spans="2:11" x14ac:dyDescent="0.25">
      <c r="B365" s="106"/>
      <c r="F365" s="152"/>
      <c r="G365" s="427"/>
      <c r="J365" s="106"/>
      <c r="K365" s="152"/>
    </row>
    <row r="366" spans="2:11" x14ac:dyDescent="0.25">
      <c r="B366" s="106"/>
      <c r="F366" s="152"/>
      <c r="G366" s="427"/>
      <c r="J366" s="106"/>
      <c r="K366" s="152"/>
    </row>
    <row r="367" spans="2:11" x14ac:dyDescent="0.25">
      <c r="B367" s="106"/>
      <c r="F367" s="152"/>
      <c r="G367" s="427"/>
      <c r="J367" s="106"/>
      <c r="K367" s="152"/>
    </row>
    <row r="368" spans="2:11" x14ac:dyDescent="0.25">
      <c r="B368" s="106"/>
      <c r="C368" s="186"/>
      <c r="F368" s="152"/>
      <c r="G368" s="427"/>
      <c r="J368" s="106"/>
      <c r="K368" s="152"/>
    </row>
    <row r="369" spans="2:11" x14ac:dyDescent="0.25">
      <c r="B369" s="106"/>
      <c r="C369" s="186"/>
      <c r="F369" s="152"/>
      <c r="G369" s="427"/>
      <c r="J369" s="106"/>
      <c r="K369" s="152"/>
    </row>
    <row r="370" spans="2:11" x14ac:dyDescent="0.25">
      <c r="B370" s="106"/>
      <c r="C370" s="186"/>
      <c r="F370" s="152"/>
      <c r="G370" s="427"/>
      <c r="J370" s="106"/>
      <c r="K370" s="152"/>
    </row>
    <row r="371" spans="2:11" x14ac:dyDescent="0.25">
      <c r="B371" s="106"/>
      <c r="C371" s="186"/>
      <c r="F371" s="152"/>
      <c r="G371" s="427"/>
      <c r="J371" s="106"/>
      <c r="K371" s="152"/>
    </row>
    <row r="372" spans="2:11" x14ac:dyDescent="0.25">
      <c r="B372" s="106"/>
      <c r="C372" s="186"/>
      <c r="F372" s="152"/>
      <c r="G372" s="427"/>
      <c r="J372" s="106"/>
      <c r="K372" s="152"/>
    </row>
    <row r="373" spans="2:11" x14ac:dyDescent="0.25">
      <c r="B373" s="106"/>
      <c r="D373" s="78"/>
      <c r="F373" s="152"/>
      <c r="G373" s="427"/>
      <c r="J373" s="106"/>
      <c r="K373" s="152"/>
    </row>
    <row r="374" spans="2:11" x14ac:dyDescent="0.25">
      <c r="B374" s="106"/>
      <c r="F374" s="152"/>
      <c r="G374" s="427"/>
      <c r="J374" s="106"/>
      <c r="K374" s="152"/>
    </row>
    <row r="375" spans="2:11" x14ac:dyDescent="0.25">
      <c r="B375" s="106"/>
      <c r="F375" s="152"/>
      <c r="G375" s="427"/>
      <c r="J375" s="106"/>
      <c r="K375" s="152"/>
    </row>
    <row r="376" spans="2:11" x14ac:dyDescent="0.25">
      <c r="B376" s="106"/>
      <c r="F376" s="152"/>
      <c r="G376" s="427"/>
      <c r="J376" s="106"/>
      <c r="K376" s="152"/>
    </row>
    <row r="377" spans="2:11" x14ac:dyDescent="0.25">
      <c r="B377" s="106"/>
      <c r="F377" s="152"/>
      <c r="G377" s="427"/>
      <c r="J377" s="106"/>
      <c r="K377" s="152"/>
    </row>
    <row r="378" spans="2:11" x14ac:dyDescent="0.25">
      <c r="B378" s="106"/>
      <c r="C378" s="186"/>
      <c r="F378" s="152"/>
      <c r="G378" s="427"/>
      <c r="J378" s="106"/>
      <c r="K378" s="152"/>
    </row>
    <row r="379" spans="2:11" x14ac:dyDescent="0.25">
      <c r="B379" s="106"/>
      <c r="C379" s="186"/>
      <c r="F379" s="152"/>
      <c r="G379" s="427"/>
      <c r="J379" s="106"/>
      <c r="K379" s="152"/>
    </row>
    <row r="380" spans="2:11" x14ac:dyDescent="0.25">
      <c r="B380" s="106"/>
      <c r="C380" s="186"/>
      <c r="F380" s="152"/>
      <c r="G380" s="427"/>
      <c r="J380" s="106"/>
      <c r="K380" s="152"/>
    </row>
    <row r="381" spans="2:11" x14ac:dyDescent="0.25">
      <c r="B381" s="106"/>
      <c r="C381" s="186"/>
      <c r="F381" s="152"/>
      <c r="G381" s="427"/>
      <c r="J381" s="106"/>
      <c r="K381" s="152"/>
    </row>
    <row r="382" spans="2:11" x14ac:dyDescent="0.25">
      <c r="B382" s="106"/>
      <c r="C382" s="186"/>
      <c r="F382" s="152"/>
      <c r="G382" s="427"/>
      <c r="J382" s="106"/>
      <c r="K382" s="152"/>
    </row>
    <row r="383" spans="2:11" x14ac:dyDescent="0.25">
      <c r="B383" s="106"/>
      <c r="C383" s="186"/>
      <c r="F383" s="152"/>
      <c r="G383" s="427"/>
      <c r="J383" s="106"/>
      <c r="K383" s="152"/>
    </row>
    <row r="384" spans="2:11" x14ac:dyDescent="0.25">
      <c r="B384" s="106"/>
      <c r="C384" s="186"/>
      <c r="F384" s="152"/>
      <c r="G384" s="427"/>
      <c r="J384" s="106"/>
      <c r="K384" s="152"/>
    </row>
    <row r="385" spans="2:11" x14ac:dyDescent="0.25">
      <c r="B385" s="106"/>
      <c r="D385" s="78"/>
      <c r="F385" s="152"/>
      <c r="G385" s="427"/>
      <c r="J385" s="106"/>
      <c r="K385" s="152"/>
    </row>
    <row r="386" spans="2:11" x14ac:dyDescent="0.25">
      <c r="B386" s="106"/>
      <c r="F386" s="152"/>
      <c r="G386" s="427"/>
      <c r="J386" s="106"/>
      <c r="K386" s="152"/>
    </row>
    <row r="387" spans="2:11" x14ac:dyDescent="0.25">
      <c r="B387" s="106"/>
      <c r="F387" s="152"/>
      <c r="G387" s="427"/>
      <c r="J387" s="106"/>
      <c r="K387" s="152"/>
    </row>
    <row r="388" spans="2:11" x14ac:dyDescent="0.25">
      <c r="B388" s="106"/>
      <c r="F388" s="152"/>
      <c r="G388" s="427"/>
      <c r="J388" s="106"/>
      <c r="K388" s="152"/>
    </row>
    <row r="389" spans="2:11" x14ac:dyDescent="0.25">
      <c r="B389" s="106"/>
      <c r="F389" s="152"/>
      <c r="G389" s="427"/>
      <c r="J389" s="106"/>
      <c r="K389" s="152"/>
    </row>
    <row r="390" spans="2:11" x14ac:dyDescent="0.25">
      <c r="B390" s="106"/>
      <c r="C390" s="186"/>
      <c r="F390" s="152"/>
      <c r="G390" s="427"/>
      <c r="J390" s="106"/>
      <c r="K390" s="152"/>
    </row>
    <row r="391" spans="2:11" x14ac:dyDescent="0.25">
      <c r="B391" s="106"/>
      <c r="C391" s="186"/>
      <c r="F391" s="152"/>
      <c r="G391" s="427"/>
      <c r="J391" s="106"/>
      <c r="K391" s="152"/>
    </row>
    <row r="392" spans="2:11" x14ac:dyDescent="0.25">
      <c r="B392" s="106"/>
      <c r="C392" s="186"/>
      <c r="F392" s="152"/>
      <c r="G392" s="427"/>
      <c r="J392" s="106"/>
      <c r="K392" s="152"/>
    </row>
    <row r="393" spans="2:11" x14ac:dyDescent="0.25">
      <c r="B393" s="106"/>
      <c r="C393" s="186"/>
      <c r="F393" s="152"/>
      <c r="G393" s="427"/>
      <c r="J393" s="106"/>
      <c r="K393" s="152"/>
    </row>
    <row r="394" spans="2:11" x14ac:dyDescent="0.25">
      <c r="B394" s="106"/>
      <c r="C394" s="186"/>
      <c r="F394" s="152"/>
      <c r="G394" s="427"/>
      <c r="J394" s="106"/>
      <c r="K394" s="152"/>
    </row>
    <row r="395" spans="2:11" x14ac:dyDescent="0.25">
      <c r="B395" s="106"/>
      <c r="C395" s="186"/>
      <c r="F395" s="152"/>
      <c r="G395" s="427"/>
      <c r="J395" s="106"/>
      <c r="K395" s="152"/>
    </row>
    <row r="396" spans="2:11" x14ac:dyDescent="0.25">
      <c r="B396" s="106"/>
      <c r="C396" s="186"/>
      <c r="F396" s="152"/>
      <c r="G396" s="427"/>
      <c r="J396" s="106"/>
      <c r="K396" s="152"/>
    </row>
    <row r="397" spans="2:11" x14ac:dyDescent="0.25">
      <c r="B397" s="106"/>
      <c r="D397" s="78"/>
      <c r="F397" s="152"/>
      <c r="G397" s="427"/>
      <c r="J397" s="106"/>
      <c r="K397" s="152"/>
    </row>
    <row r="398" spans="2:11" x14ac:dyDescent="0.25">
      <c r="B398" s="106"/>
      <c r="F398" s="152"/>
      <c r="G398" s="427"/>
      <c r="J398" s="106"/>
      <c r="K398" s="152"/>
    </row>
    <row r="399" spans="2:11" x14ac:dyDescent="0.25">
      <c r="B399" s="106"/>
      <c r="F399" s="152"/>
      <c r="G399" s="427"/>
      <c r="J399" s="106"/>
      <c r="K399" s="152"/>
    </row>
    <row r="400" spans="2:11" x14ac:dyDescent="0.25">
      <c r="B400" s="106"/>
      <c r="C400" s="78"/>
      <c r="F400" s="152"/>
      <c r="G400" s="427"/>
      <c r="J400" s="106"/>
      <c r="K400" s="152"/>
    </row>
    <row r="401" spans="2:11" x14ac:dyDescent="0.25">
      <c r="B401" s="106"/>
      <c r="F401" s="152"/>
      <c r="G401" s="427"/>
      <c r="J401" s="106"/>
      <c r="K401" s="152"/>
    </row>
    <row r="402" spans="2:11" x14ac:dyDescent="0.25">
      <c r="B402" s="106"/>
      <c r="F402" s="152"/>
      <c r="G402" s="427"/>
      <c r="J402" s="106"/>
      <c r="K402" s="152"/>
    </row>
    <row r="403" spans="2:11" x14ac:dyDescent="0.25">
      <c r="B403" s="106"/>
      <c r="C403" s="186"/>
      <c r="F403" s="152"/>
      <c r="G403" s="427"/>
      <c r="J403" s="106"/>
      <c r="K403" s="152"/>
    </row>
    <row r="404" spans="2:11" x14ac:dyDescent="0.25">
      <c r="B404" s="106"/>
      <c r="C404" s="186"/>
      <c r="F404" s="152"/>
      <c r="G404" s="427"/>
      <c r="J404" s="106"/>
      <c r="K404" s="152"/>
    </row>
    <row r="405" spans="2:11" x14ac:dyDescent="0.25">
      <c r="B405" s="106"/>
      <c r="C405" s="186"/>
      <c r="F405" s="152"/>
      <c r="G405" s="427"/>
      <c r="J405" s="106"/>
      <c r="K405" s="152"/>
    </row>
    <row r="406" spans="2:11" x14ac:dyDescent="0.25">
      <c r="B406" s="106"/>
      <c r="F406" s="152"/>
      <c r="G406" s="427"/>
      <c r="J406" s="106"/>
      <c r="K406" s="152"/>
    </row>
    <row r="407" spans="2:11" x14ac:dyDescent="0.25">
      <c r="B407" s="106"/>
      <c r="F407" s="152"/>
      <c r="G407" s="427"/>
      <c r="J407" s="106"/>
      <c r="K407" s="152"/>
    </row>
    <row r="408" spans="2:11" x14ac:dyDescent="0.25">
      <c r="B408" s="106"/>
      <c r="C408" s="186"/>
      <c r="F408" s="152"/>
      <c r="G408" s="427"/>
      <c r="J408" s="106"/>
      <c r="K408" s="152"/>
    </row>
    <row r="409" spans="2:11" x14ac:dyDescent="0.25">
      <c r="B409" s="106"/>
      <c r="D409" s="78"/>
      <c r="F409" s="152"/>
      <c r="G409" s="427"/>
      <c r="J409" s="106"/>
      <c r="K409" s="152"/>
    </row>
    <row r="410" spans="2:11" x14ac:dyDescent="0.25">
      <c r="B410" s="106"/>
      <c r="F410" s="152"/>
      <c r="G410" s="427"/>
      <c r="J410" s="106"/>
      <c r="K410" s="152"/>
    </row>
    <row r="411" spans="2:11" x14ac:dyDescent="0.25">
      <c r="B411" s="106"/>
      <c r="D411" s="78"/>
      <c r="F411" s="152"/>
      <c r="G411" s="427"/>
      <c r="J411" s="106"/>
      <c r="K411" s="152"/>
    </row>
    <row r="412" spans="2:11" x14ac:dyDescent="0.25">
      <c r="B412" s="106"/>
      <c r="F412" s="152"/>
      <c r="G412" s="427"/>
      <c r="J412" s="106"/>
      <c r="K412" s="152"/>
    </row>
    <row r="413" spans="2:11" x14ac:dyDescent="0.25">
      <c r="B413" s="106"/>
      <c r="D413" s="78"/>
      <c r="F413" s="152"/>
      <c r="G413" s="427"/>
      <c r="J413" s="106"/>
      <c r="K413" s="152"/>
    </row>
    <row r="414" spans="2:11" x14ac:dyDescent="0.25">
      <c r="B414" s="106"/>
      <c r="F414" s="152"/>
      <c r="G414" s="427"/>
      <c r="J414" s="106"/>
      <c r="K414" s="152"/>
    </row>
    <row r="415" spans="2:11" x14ac:dyDescent="0.25">
      <c r="B415" s="106"/>
      <c r="F415" s="152"/>
      <c r="G415" s="427"/>
      <c r="J415" s="106"/>
      <c r="K415" s="152"/>
    </row>
    <row r="416" spans="2:11" x14ac:dyDescent="0.25">
      <c r="B416" s="106"/>
      <c r="C416" s="78"/>
      <c r="F416" s="152"/>
      <c r="G416" s="427"/>
      <c r="J416" s="106"/>
      <c r="K416" s="152"/>
    </row>
    <row r="417" spans="2:11" x14ac:dyDescent="0.25">
      <c r="B417" s="106"/>
      <c r="C417" s="186"/>
      <c r="F417" s="152"/>
      <c r="G417" s="427"/>
      <c r="J417" s="106"/>
      <c r="K417" s="152"/>
    </row>
    <row r="418" spans="2:11" x14ac:dyDescent="0.25">
      <c r="B418" s="106"/>
      <c r="C418" s="186"/>
      <c r="F418" s="152"/>
      <c r="G418" s="427"/>
      <c r="J418" s="106"/>
      <c r="K418" s="152"/>
    </row>
    <row r="419" spans="2:11" x14ac:dyDescent="0.25">
      <c r="B419" s="106"/>
      <c r="C419" s="186"/>
      <c r="F419" s="152"/>
      <c r="G419" s="427"/>
      <c r="J419" s="106"/>
      <c r="K419" s="152"/>
    </row>
    <row r="420" spans="2:11" x14ac:dyDescent="0.25">
      <c r="B420" s="106"/>
      <c r="F420" s="152"/>
      <c r="G420" s="427"/>
      <c r="J420" s="106"/>
      <c r="K420" s="152"/>
    </row>
    <row r="421" spans="2:11" x14ac:dyDescent="0.25">
      <c r="B421" s="106"/>
      <c r="F421" s="152"/>
      <c r="G421" s="427"/>
      <c r="J421" s="106"/>
      <c r="K421" s="152"/>
    </row>
    <row r="422" spans="2:11" x14ac:dyDescent="0.25">
      <c r="B422" s="106"/>
      <c r="C422" s="186"/>
      <c r="F422" s="152"/>
      <c r="G422" s="427"/>
      <c r="J422" s="106"/>
      <c r="K422" s="152"/>
    </row>
    <row r="423" spans="2:11" x14ac:dyDescent="0.25">
      <c r="B423" s="106"/>
      <c r="D423" s="78"/>
      <c r="F423" s="152"/>
      <c r="G423" s="427"/>
      <c r="J423" s="106"/>
      <c r="K423" s="152"/>
    </row>
    <row r="424" spans="2:11" x14ac:dyDescent="0.25">
      <c r="B424" s="106"/>
      <c r="F424" s="152"/>
      <c r="G424" s="427"/>
      <c r="J424" s="106"/>
      <c r="K424" s="152"/>
    </row>
  </sheetData>
  <pageMargins left="0.98425196850393704" right="0.98425196850393704" top="0.27559055118110237" bottom="0.27559055118110237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1"/>
  <sheetViews>
    <sheetView workbookViewId="0">
      <selection activeCell="E14" sqref="E14"/>
    </sheetView>
  </sheetViews>
  <sheetFormatPr defaultRowHeight="15" x14ac:dyDescent="0.25"/>
  <cols>
    <col min="1" max="1" width="3.85546875" style="77" customWidth="1"/>
    <col min="2" max="2" width="5.42578125" style="77" customWidth="1"/>
    <col min="3" max="3" width="2.140625" style="77" customWidth="1"/>
    <col min="4" max="4" width="2.42578125" style="77" customWidth="1"/>
    <col min="5" max="5" width="43.5703125" style="77" customWidth="1"/>
    <col min="6" max="6" width="4.85546875" style="77" customWidth="1"/>
    <col min="7" max="7" width="10.5703125" style="77" bestFit="1" customWidth="1"/>
    <col min="8" max="8" width="18.7109375" style="77" customWidth="1"/>
    <col min="9" max="9" width="23.5703125" style="77" customWidth="1"/>
    <col min="10" max="10" width="5" style="77" customWidth="1"/>
    <col min="11" max="11" width="9.140625" style="77"/>
    <col min="12" max="12" width="12.28515625" style="77" customWidth="1"/>
    <col min="13" max="13" width="9.140625" style="77"/>
    <col min="14" max="14" width="5.42578125" style="77" customWidth="1"/>
    <col min="15" max="16384" width="9.140625" style="77"/>
  </cols>
  <sheetData>
    <row r="1" spans="2:11" x14ac:dyDescent="0.25">
      <c r="C1" s="3" t="s">
        <v>5129</v>
      </c>
      <c r="D1"/>
      <c r="E1"/>
      <c r="F1"/>
      <c r="G1" s="5"/>
      <c r="H1" s="13"/>
      <c r="I1"/>
      <c r="J1"/>
    </row>
    <row r="2" spans="2:11" s="8" customFormat="1" x14ac:dyDescent="0.25">
      <c r="B2" s="18"/>
      <c r="C2"/>
      <c r="D2" t="s">
        <v>5130</v>
      </c>
      <c r="E2"/>
      <c r="F2" s="5" t="s">
        <v>3</v>
      </c>
      <c r="G2" s="13">
        <v>5.0000000000000001E-3</v>
      </c>
      <c r="I2"/>
      <c r="J2"/>
      <c r="K2" s="128"/>
    </row>
    <row r="3" spans="2:11" s="8" customFormat="1" x14ac:dyDescent="0.25">
      <c r="B3" s="18"/>
      <c r="C3"/>
      <c r="D3" t="s">
        <v>5131</v>
      </c>
      <c r="E3"/>
      <c r="F3" s="5" t="s">
        <v>195</v>
      </c>
      <c r="G3" s="13">
        <v>5.5</v>
      </c>
      <c r="I3"/>
      <c r="J3"/>
      <c r="K3" s="128"/>
    </row>
    <row r="4" spans="2:11" s="8" customFormat="1" x14ac:dyDescent="0.25">
      <c r="B4" s="18"/>
      <c r="C4"/>
      <c r="D4"/>
      <c r="E4"/>
      <c r="F4" s="5"/>
      <c r="G4" s="13"/>
      <c r="I4"/>
      <c r="J4"/>
      <c r="K4" s="128"/>
    </row>
    <row r="5" spans="2:11" s="8" customFormat="1" x14ac:dyDescent="0.25">
      <c r="B5" s="18"/>
      <c r="C5" s="3" t="s">
        <v>5132</v>
      </c>
      <c r="D5"/>
      <c r="E5"/>
      <c r="F5" s="5"/>
      <c r="G5" s="13"/>
      <c r="I5"/>
      <c r="J5"/>
      <c r="K5" s="128"/>
    </row>
    <row r="6" spans="2:11" s="8" customFormat="1" x14ac:dyDescent="0.25">
      <c r="B6" s="18"/>
      <c r="C6"/>
      <c r="D6" t="s">
        <v>5133</v>
      </c>
      <c r="E6"/>
      <c r="F6" s="5" t="s">
        <v>3</v>
      </c>
      <c r="G6" s="13">
        <v>1.1200000000000001</v>
      </c>
      <c r="I6"/>
      <c r="J6"/>
      <c r="K6" s="128"/>
    </row>
    <row r="7" spans="2:11" s="8" customFormat="1" x14ac:dyDescent="0.25">
      <c r="B7" s="18"/>
      <c r="C7"/>
      <c r="D7"/>
      <c r="E7"/>
      <c r="F7" s="5"/>
      <c r="G7" s="13"/>
      <c r="I7"/>
      <c r="J7"/>
      <c r="K7" s="128"/>
    </row>
    <row r="8" spans="2:11" s="8" customFormat="1" x14ac:dyDescent="0.25">
      <c r="B8" s="18"/>
      <c r="C8" s="3" t="s">
        <v>5134</v>
      </c>
      <c r="D8"/>
      <c r="E8"/>
      <c r="F8" s="5"/>
      <c r="G8" s="13"/>
      <c r="I8"/>
      <c r="J8"/>
      <c r="K8" s="128"/>
    </row>
    <row r="9" spans="2:11" s="8" customFormat="1" x14ac:dyDescent="0.25">
      <c r="B9" s="18"/>
      <c r="C9"/>
      <c r="D9" t="s">
        <v>5135</v>
      </c>
      <c r="E9"/>
      <c r="F9" s="5" t="s">
        <v>3</v>
      </c>
      <c r="G9" s="13">
        <v>2.29</v>
      </c>
      <c r="I9"/>
      <c r="J9"/>
      <c r="K9" s="128"/>
    </row>
    <row r="10" spans="2:11" s="8" customFormat="1" x14ac:dyDescent="0.25">
      <c r="B10" s="18"/>
      <c r="C10"/>
      <c r="D10"/>
      <c r="E10"/>
      <c r="F10"/>
      <c r="G10" s="5"/>
      <c r="H10" s="13"/>
      <c r="I10"/>
      <c r="J10"/>
      <c r="K10" s="128"/>
    </row>
    <row r="11" spans="2:11" s="8" customFormat="1" x14ac:dyDescent="0.25">
      <c r="B11" s="18"/>
      <c r="C11"/>
      <c r="D11"/>
      <c r="E11"/>
      <c r="F11"/>
      <c r="G11" s="5"/>
      <c r="H11" s="13"/>
      <c r="I11"/>
      <c r="J11"/>
      <c r="K11" s="128"/>
    </row>
    <row r="12" spans="2:11" s="8" customFormat="1" x14ac:dyDescent="0.25">
      <c r="B12" s="18"/>
      <c r="C12"/>
      <c r="D12"/>
      <c r="E12"/>
      <c r="F12"/>
      <c r="G12" s="5"/>
      <c r="H12" s="13"/>
      <c r="I12"/>
      <c r="J12"/>
      <c r="K12" s="128"/>
    </row>
    <row r="13" spans="2:11" s="8" customFormat="1" x14ac:dyDescent="0.25">
      <c r="B13" s="18"/>
      <c r="C13"/>
      <c r="D13"/>
      <c r="E13"/>
      <c r="F13"/>
      <c r="G13" s="5"/>
      <c r="H13" s="13"/>
      <c r="I13"/>
      <c r="J13"/>
      <c r="K13" s="128"/>
    </row>
    <row r="14" spans="2:11" s="8" customFormat="1" x14ac:dyDescent="0.25">
      <c r="B14" s="18"/>
      <c r="C14"/>
      <c r="D14"/>
      <c r="E14"/>
      <c r="F14"/>
      <c r="G14" s="5"/>
      <c r="H14" s="13"/>
      <c r="I14"/>
      <c r="J14"/>
      <c r="K14" s="128"/>
    </row>
    <row r="15" spans="2:11" s="8" customFormat="1" x14ac:dyDescent="0.25">
      <c r="B15" s="18"/>
      <c r="C15"/>
      <c r="D15"/>
      <c r="E15"/>
      <c r="F15"/>
      <c r="G15" s="5"/>
      <c r="H15" s="13"/>
      <c r="I15"/>
      <c r="J15"/>
      <c r="K15" s="128"/>
    </row>
    <row r="16" spans="2:11" s="8" customFormat="1" x14ac:dyDescent="0.25">
      <c r="B16" s="18"/>
      <c r="C16"/>
      <c r="D16"/>
      <c r="E16"/>
      <c r="F16"/>
      <c r="G16" s="5"/>
      <c r="H16" s="13"/>
      <c r="I16"/>
      <c r="J16"/>
      <c r="K16" s="128"/>
    </row>
    <row r="17" spans="2:11" s="8" customFormat="1" x14ac:dyDescent="0.25">
      <c r="B17" s="18"/>
      <c r="C17"/>
      <c r="D17"/>
      <c r="E17"/>
      <c r="F17"/>
      <c r="G17" s="5"/>
      <c r="H17" s="13"/>
      <c r="I17"/>
      <c r="J17"/>
      <c r="K17" s="128"/>
    </row>
    <row r="18" spans="2:11" s="8" customFormat="1" x14ac:dyDescent="0.25">
      <c r="B18" s="18"/>
      <c r="C18" s="77"/>
      <c r="D18" s="77"/>
      <c r="F18" s="152"/>
      <c r="G18" s="427"/>
      <c r="J18" s="18"/>
      <c r="K18" s="128"/>
    </row>
    <row r="19" spans="2:11" s="8" customFormat="1" x14ac:dyDescent="0.25">
      <c r="B19" s="18"/>
      <c r="C19" s="77"/>
      <c r="D19" s="77"/>
      <c r="E19" s="77"/>
      <c r="F19" s="152"/>
      <c r="G19" s="427"/>
      <c r="J19" s="18"/>
      <c r="K19" s="128"/>
    </row>
    <row r="20" spans="2:11" s="8" customFormat="1" x14ac:dyDescent="0.25">
      <c r="B20" s="18"/>
      <c r="C20" s="77"/>
      <c r="D20" s="77"/>
      <c r="E20" s="77"/>
      <c r="F20" s="152"/>
      <c r="G20" s="427"/>
      <c r="J20" s="18"/>
      <c r="K20" s="128"/>
    </row>
    <row r="21" spans="2:11" s="8" customFormat="1" x14ac:dyDescent="0.25">
      <c r="B21" s="18"/>
      <c r="C21" s="77"/>
      <c r="D21" s="77"/>
      <c r="E21" s="77"/>
      <c r="F21" s="152"/>
      <c r="G21" s="427"/>
      <c r="J21" s="18"/>
      <c r="K21" s="128"/>
    </row>
    <row r="22" spans="2:11" s="8" customFormat="1" x14ac:dyDescent="0.25">
      <c r="B22" s="18"/>
      <c r="C22" s="77"/>
      <c r="F22" s="128"/>
      <c r="G22" s="427"/>
      <c r="J22" s="18"/>
      <c r="K22" s="128"/>
    </row>
    <row r="23" spans="2:11" s="8" customFormat="1" x14ac:dyDescent="0.25">
      <c r="B23" s="18"/>
      <c r="C23" s="77"/>
      <c r="F23" s="128"/>
      <c r="G23" s="427"/>
      <c r="J23" s="18"/>
      <c r="K23" s="128"/>
    </row>
    <row r="24" spans="2:11" s="8" customFormat="1" x14ac:dyDescent="0.25">
      <c r="B24" s="18"/>
      <c r="C24" s="77"/>
      <c r="F24" s="128"/>
      <c r="G24" s="32"/>
      <c r="J24" s="18"/>
      <c r="K24" s="128"/>
    </row>
    <row r="25" spans="2:11" s="8" customFormat="1" x14ac:dyDescent="0.25">
      <c r="B25" s="18"/>
      <c r="C25" s="77"/>
      <c r="F25" s="128"/>
      <c r="G25" s="32"/>
      <c r="J25" s="18"/>
      <c r="K25" s="128"/>
    </row>
    <row r="26" spans="2:11" s="8" customFormat="1" x14ac:dyDescent="0.25">
      <c r="B26" s="18"/>
      <c r="C26" s="54"/>
      <c r="F26" s="128"/>
      <c r="G26" s="32"/>
      <c r="J26" s="18"/>
      <c r="K26" s="128"/>
    </row>
    <row r="27" spans="2:11" s="8" customFormat="1" x14ac:dyDescent="0.25">
      <c r="B27" s="18"/>
      <c r="C27" s="77"/>
      <c r="D27" s="77"/>
      <c r="F27" s="152"/>
      <c r="G27" s="427"/>
      <c r="J27" s="18"/>
      <c r="K27" s="128"/>
    </row>
    <row r="28" spans="2:11" s="8" customFormat="1" x14ac:dyDescent="0.25">
      <c r="B28" s="18"/>
      <c r="C28" s="77"/>
      <c r="D28" s="77"/>
      <c r="F28" s="152"/>
      <c r="G28" s="427"/>
      <c r="J28" s="18"/>
      <c r="K28" s="128"/>
    </row>
    <row r="29" spans="2:11" s="8" customFormat="1" x14ac:dyDescent="0.25">
      <c r="B29" s="18"/>
      <c r="C29" s="77"/>
      <c r="D29" s="77"/>
      <c r="E29" s="77"/>
      <c r="F29" s="152"/>
      <c r="G29" s="427"/>
      <c r="J29" s="18"/>
      <c r="K29" s="128"/>
    </row>
    <row r="30" spans="2:11" s="8" customFormat="1" x14ac:dyDescent="0.25">
      <c r="B30" s="18"/>
      <c r="C30" s="77"/>
      <c r="D30" s="77"/>
      <c r="E30" s="77"/>
      <c r="F30" s="152"/>
      <c r="G30" s="427"/>
      <c r="J30" s="18"/>
      <c r="K30" s="128"/>
    </row>
    <row r="31" spans="2:11" s="8" customFormat="1" x14ac:dyDescent="0.25">
      <c r="B31" s="18"/>
      <c r="C31" s="77"/>
      <c r="D31" s="77"/>
      <c r="E31" s="77"/>
      <c r="F31" s="152"/>
      <c r="G31" s="427"/>
      <c r="J31" s="18"/>
      <c r="K31" s="128"/>
    </row>
    <row r="32" spans="2:11" s="8" customFormat="1" x14ac:dyDescent="0.25">
      <c r="B32" s="18"/>
      <c r="C32" s="77"/>
      <c r="F32" s="128"/>
      <c r="G32" s="427"/>
      <c r="J32" s="18"/>
      <c r="K32" s="128"/>
    </row>
    <row r="33" spans="2:11" s="8" customFormat="1" x14ac:dyDescent="0.25">
      <c r="B33" s="18"/>
      <c r="C33" s="77"/>
      <c r="F33" s="128"/>
      <c r="G33" s="427"/>
      <c r="J33" s="18"/>
      <c r="K33" s="128"/>
    </row>
    <row r="34" spans="2:11" s="8" customFormat="1" x14ac:dyDescent="0.25">
      <c r="B34" s="18"/>
      <c r="C34" s="77"/>
      <c r="F34" s="128"/>
      <c r="G34" s="32"/>
      <c r="J34" s="18"/>
      <c r="K34" s="128"/>
    </row>
    <row r="35" spans="2:11" s="8" customFormat="1" x14ac:dyDescent="0.25">
      <c r="B35" s="18"/>
      <c r="F35" s="128"/>
      <c r="G35" s="32"/>
      <c r="J35" s="18"/>
      <c r="K35" s="128"/>
    </row>
    <row r="36" spans="2:11" s="8" customFormat="1" x14ac:dyDescent="0.25">
      <c r="B36" s="18"/>
      <c r="C36" s="54"/>
      <c r="F36" s="128"/>
      <c r="G36" s="32"/>
      <c r="J36" s="18"/>
      <c r="K36" s="128"/>
    </row>
    <row r="37" spans="2:11" s="8" customFormat="1" x14ac:dyDescent="0.25">
      <c r="B37" s="18"/>
      <c r="C37" s="77"/>
      <c r="D37" s="77"/>
      <c r="F37" s="152"/>
      <c r="G37" s="427"/>
      <c r="J37" s="18"/>
      <c r="K37" s="128"/>
    </row>
    <row r="38" spans="2:11" s="8" customFormat="1" x14ac:dyDescent="0.25">
      <c r="B38" s="18"/>
      <c r="C38" s="77"/>
      <c r="D38" s="77"/>
      <c r="F38" s="152"/>
      <c r="G38" s="427"/>
      <c r="J38" s="18"/>
      <c r="K38" s="128"/>
    </row>
    <row r="39" spans="2:11" s="8" customFormat="1" x14ac:dyDescent="0.25">
      <c r="B39" s="18"/>
      <c r="C39" s="77"/>
      <c r="D39" s="77"/>
      <c r="E39" s="77"/>
      <c r="F39" s="152"/>
      <c r="G39" s="427"/>
      <c r="J39" s="18"/>
      <c r="K39" s="128"/>
    </row>
    <row r="40" spans="2:11" s="8" customFormat="1" x14ac:dyDescent="0.25">
      <c r="B40" s="18"/>
      <c r="C40" s="77"/>
      <c r="D40" s="77"/>
      <c r="E40" s="77"/>
      <c r="F40" s="152"/>
      <c r="G40" s="427"/>
      <c r="J40" s="18"/>
      <c r="K40" s="128"/>
    </row>
    <row r="41" spans="2:11" s="8" customFormat="1" x14ac:dyDescent="0.25">
      <c r="B41" s="18"/>
      <c r="C41" s="77"/>
      <c r="D41" s="77"/>
      <c r="E41" s="77"/>
      <c r="F41" s="152"/>
      <c r="G41" s="427"/>
      <c r="J41" s="18"/>
      <c r="K41" s="128"/>
    </row>
    <row r="42" spans="2:11" s="8" customFormat="1" x14ac:dyDescent="0.25">
      <c r="B42" s="18"/>
      <c r="D42" s="54"/>
      <c r="F42" s="128"/>
      <c r="G42" s="32"/>
      <c r="J42" s="18"/>
      <c r="K42" s="128"/>
    </row>
    <row r="43" spans="2:11" s="8" customFormat="1" x14ac:dyDescent="0.25">
      <c r="B43" s="18"/>
      <c r="F43" s="128"/>
      <c r="G43" s="32"/>
      <c r="J43" s="18"/>
      <c r="K43" s="128"/>
    </row>
    <row r="44" spans="2:11" x14ac:dyDescent="0.25">
      <c r="B44" s="106"/>
      <c r="D44" s="186"/>
      <c r="F44" s="152"/>
      <c r="G44" s="427"/>
      <c r="J44" s="106"/>
      <c r="K44" s="152"/>
    </row>
    <row r="45" spans="2:11" x14ac:dyDescent="0.25">
      <c r="B45" s="106"/>
      <c r="E45" s="78"/>
      <c r="F45" s="152"/>
      <c r="G45" s="427"/>
      <c r="J45" s="106"/>
      <c r="K45" s="152"/>
    </row>
    <row r="46" spans="2:11" x14ac:dyDescent="0.25">
      <c r="B46" s="106"/>
      <c r="E46" s="186"/>
      <c r="F46" s="152"/>
      <c r="G46" s="427"/>
      <c r="J46" s="106"/>
      <c r="K46" s="152"/>
    </row>
    <row r="47" spans="2:11" x14ac:dyDescent="0.25">
      <c r="B47" s="106"/>
      <c r="F47" s="152"/>
      <c r="G47" s="427"/>
      <c r="J47" s="106"/>
      <c r="K47" s="152"/>
    </row>
    <row r="48" spans="2:11" x14ac:dyDescent="0.25">
      <c r="B48" s="106"/>
      <c r="F48" s="152"/>
      <c r="G48" s="427"/>
      <c r="J48" s="106"/>
      <c r="K48" s="152"/>
    </row>
    <row r="49" spans="2:13" x14ac:dyDescent="0.25">
      <c r="B49" s="106"/>
      <c r="C49" s="186"/>
      <c r="F49" s="152"/>
      <c r="G49" s="427"/>
      <c r="J49" s="106"/>
      <c r="K49" s="152"/>
    </row>
    <row r="50" spans="2:13" x14ac:dyDescent="0.25">
      <c r="B50" s="106"/>
      <c r="D50" s="78"/>
      <c r="F50" s="152"/>
      <c r="G50" s="427"/>
      <c r="J50" s="106"/>
      <c r="K50" s="152"/>
    </row>
    <row r="51" spans="2:13" x14ac:dyDescent="0.25">
      <c r="B51" s="106"/>
      <c r="F51" s="152"/>
      <c r="G51" s="427"/>
      <c r="J51" s="106"/>
      <c r="K51" s="152"/>
    </row>
    <row r="52" spans="2:13" x14ac:dyDescent="0.25">
      <c r="B52" s="106"/>
      <c r="F52" s="152"/>
      <c r="G52" s="427"/>
      <c r="J52" s="106"/>
      <c r="K52" s="152"/>
    </row>
    <row r="53" spans="2:13" x14ac:dyDescent="0.25">
      <c r="B53" s="106"/>
      <c r="D53" s="186"/>
      <c r="F53" s="152"/>
      <c r="G53" s="427"/>
      <c r="J53" s="106"/>
      <c r="K53" s="152"/>
    </row>
    <row r="54" spans="2:13" x14ac:dyDescent="0.25">
      <c r="B54" s="106"/>
      <c r="D54" s="186"/>
      <c r="F54" s="152"/>
      <c r="G54" s="427"/>
      <c r="J54" s="106"/>
      <c r="K54" s="152"/>
    </row>
    <row r="55" spans="2:13" x14ac:dyDescent="0.25">
      <c r="B55" s="106"/>
      <c r="D55" s="186"/>
      <c r="F55" s="152"/>
      <c r="G55" s="427"/>
      <c r="J55" s="106"/>
      <c r="K55" s="152"/>
    </row>
    <row r="56" spans="2:13" x14ac:dyDescent="0.25">
      <c r="B56" s="106"/>
      <c r="D56" s="186"/>
      <c r="F56" s="152"/>
      <c r="G56" s="427"/>
      <c r="J56" s="106"/>
      <c r="K56" s="152"/>
    </row>
    <row r="57" spans="2:13" x14ac:dyDescent="0.25">
      <c r="B57" s="106"/>
      <c r="D57" s="186"/>
      <c r="F57" s="152"/>
      <c r="G57" s="427"/>
      <c r="J57" s="106"/>
      <c r="K57" s="152"/>
    </row>
    <row r="58" spans="2:13" x14ac:dyDescent="0.25">
      <c r="B58" s="106"/>
      <c r="D58" s="186"/>
      <c r="F58" s="152"/>
      <c r="G58" s="427"/>
      <c r="J58" s="106"/>
      <c r="K58" s="152"/>
    </row>
    <row r="59" spans="2:13" x14ac:dyDescent="0.25">
      <c r="B59" s="106"/>
      <c r="D59" s="186"/>
      <c r="E59" s="78"/>
      <c r="F59" s="152"/>
      <c r="G59" s="427"/>
      <c r="J59" s="106"/>
      <c r="K59" s="152"/>
    </row>
    <row r="60" spans="2:13" x14ac:dyDescent="0.25">
      <c r="B60" s="106"/>
      <c r="D60" s="186"/>
      <c r="F60" s="152"/>
      <c r="G60" s="427"/>
      <c r="J60" s="106"/>
      <c r="K60" s="152"/>
    </row>
    <row r="61" spans="2:13" x14ac:dyDescent="0.25">
      <c r="B61" s="106"/>
      <c r="F61" s="152"/>
      <c r="G61" s="427"/>
      <c r="J61" s="106"/>
      <c r="K61" s="152"/>
    </row>
    <row r="62" spans="2:13" x14ac:dyDescent="0.25">
      <c r="B62" s="106"/>
      <c r="F62" s="152"/>
      <c r="G62" s="427"/>
      <c r="J62" s="106"/>
      <c r="K62" s="152"/>
    </row>
    <row r="63" spans="2:13" x14ac:dyDescent="0.25">
      <c r="B63" s="106"/>
      <c r="C63" s="186"/>
      <c r="F63" s="152"/>
      <c r="G63" s="427"/>
      <c r="J63" s="78"/>
      <c r="L63" s="152"/>
      <c r="M63" s="542"/>
    </row>
    <row r="64" spans="2:13" x14ac:dyDescent="0.25">
      <c r="B64" s="106"/>
      <c r="C64" s="541"/>
      <c r="F64" s="152"/>
      <c r="G64" s="427"/>
      <c r="J64" s="106"/>
      <c r="K64" s="152"/>
    </row>
    <row r="65" spans="2:11" x14ac:dyDescent="0.25">
      <c r="B65" s="106"/>
      <c r="F65" s="152"/>
      <c r="G65" s="427"/>
      <c r="J65" s="106"/>
      <c r="K65" s="152"/>
    </row>
    <row r="66" spans="2:11" x14ac:dyDescent="0.25">
      <c r="B66" s="106"/>
      <c r="D66" s="186"/>
      <c r="F66" s="152"/>
      <c r="G66" s="427"/>
      <c r="J66" s="106"/>
      <c r="K66" s="152"/>
    </row>
    <row r="67" spans="2:11" x14ac:dyDescent="0.25">
      <c r="B67" s="106"/>
      <c r="D67" s="186"/>
      <c r="F67" s="152"/>
      <c r="G67" s="427"/>
      <c r="J67" s="106"/>
      <c r="K67" s="152"/>
    </row>
    <row r="68" spans="2:11" x14ac:dyDescent="0.25">
      <c r="B68" s="106"/>
      <c r="D68" s="186"/>
      <c r="F68" s="152"/>
      <c r="G68" s="427"/>
      <c r="J68" s="106"/>
      <c r="K68" s="152"/>
    </row>
    <row r="69" spans="2:11" x14ac:dyDescent="0.25">
      <c r="B69" s="106"/>
      <c r="D69" s="186"/>
      <c r="F69" s="152"/>
      <c r="G69" s="427"/>
      <c r="J69" s="106"/>
      <c r="K69" s="152"/>
    </row>
    <row r="70" spans="2:11" x14ac:dyDescent="0.25">
      <c r="B70" s="106"/>
      <c r="D70" s="186"/>
      <c r="F70" s="152"/>
      <c r="G70" s="427"/>
      <c r="J70" s="106"/>
      <c r="K70" s="152"/>
    </row>
    <row r="71" spans="2:11" x14ac:dyDescent="0.25">
      <c r="B71" s="106"/>
      <c r="D71" s="186"/>
      <c r="F71" s="152"/>
      <c r="G71" s="427"/>
      <c r="J71" s="106"/>
      <c r="K71" s="152"/>
    </row>
    <row r="72" spans="2:11" x14ac:dyDescent="0.25">
      <c r="B72" s="106"/>
      <c r="D72" s="186"/>
      <c r="F72" s="152"/>
      <c r="G72" s="427"/>
      <c r="J72" s="106"/>
      <c r="K72" s="152"/>
    </row>
    <row r="73" spans="2:11" x14ac:dyDescent="0.25">
      <c r="B73" s="106"/>
      <c r="D73" s="186"/>
      <c r="F73" s="152"/>
      <c r="G73" s="427"/>
      <c r="J73" s="106"/>
      <c r="K73" s="152"/>
    </row>
    <row r="74" spans="2:11" x14ac:dyDescent="0.25">
      <c r="B74" s="106"/>
      <c r="E74" s="78"/>
      <c r="F74" s="152"/>
      <c r="G74" s="427"/>
      <c r="J74" s="106"/>
      <c r="K74" s="152"/>
    </row>
    <row r="75" spans="2:11" x14ac:dyDescent="0.25">
      <c r="B75" s="106"/>
      <c r="F75" s="152"/>
      <c r="G75" s="427"/>
      <c r="J75" s="106"/>
      <c r="K75" s="152"/>
    </row>
    <row r="76" spans="2:11" x14ac:dyDescent="0.25">
      <c r="B76" s="106"/>
      <c r="F76" s="152"/>
      <c r="G76" s="427"/>
      <c r="J76" s="106"/>
      <c r="K76" s="152"/>
    </row>
    <row r="77" spans="2:11" x14ac:dyDescent="0.25">
      <c r="B77" s="106"/>
      <c r="F77" s="152"/>
      <c r="G77" s="427"/>
      <c r="J77" s="106"/>
      <c r="K77" s="152"/>
    </row>
    <row r="78" spans="2:11" x14ac:dyDescent="0.25">
      <c r="B78" s="106"/>
      <c r="C78" s="186"/>
      <c r="F78" s="152"/>
      <c r="G78" s="427"/>
      <c r="J78" s="106"/>
      <c r="K78" s="152"/>
    </row>
    <row r="79" spans="2:11" x14ac:dyDescent="0.25">
      <c r="B79" s="106"/>
      <c r="C79" s="186"/>
      <c r="F79" s="152"/>
      <c r="G79" s="427"/>
      <c r="J79" s="106"/>
      <c r="K79" s="152"/>
    </row>
    <row r="80" spans="2:11" x14ac:dyDescent="0.25">
      <c r="B80" s="106"/>
      <c r="C80" s="186"/>
      <c r="F80" s="152"/>
      <c r="G80" s="427"/>
      <c r="J80" s="106"/>
      <c r="K80" s="152"/>
    </row>
    <row r="81" spans="2:11" x14ac:dyDescent="0.25">
      <c r="B81" s="106"/>
      <c r="C81" s="186"/>
      <c r="F81" s="152"/>
      <c r="G81" s="427"/>
      <c r="J81" s="106"/>
      <c r="K81" s="152"/>
    </row>
    <row r="82" spans="2:11" x14ac:dyDescent="0.25">
      <c r="B82" s="106"/>
      <c r="C82" s="186"/>
      <c r="F82" s="152"/>
      <c r="G82" s="427"/>
      <c r="J82" s="106"/>
      <c r="K82" s="152"/>
    </row>
    <row r="83" spans="2:11" x14ac:dyDescent="0.25">
      <c r="B83" s="106"/>
      <c r="D83" s="78"/>
      <c r="F83" s="152"/>
      <c r="G83" s="427"/>
      <c r="J83" s="106"/>
      <c r="K83" s="152"/>
    </row>
    <row r="84" spans="2:11" x14ac:dyDescent="0.25">
      <c r="B84" s="106"/>
      <c r="F84" s="152"/>
      <c r="G84" s="427"/>
      <c r="J84" s="106"/>
      <c r="K84" s="152"/>
    </row>
    <row r="85" spans="2:11" x14ac:dyDescent="0.25">
      <c r="B85" s="106"/>
      <c r="F85" s="152"/>
      <c r="G85" s="427"/>
      <c r="J85" s="106"/>
      <c r="K85" s="152"/>
    </row>
    <row r="86" spans="2:11" x14ac:dyDescent="0.25">
      <c r="B86" s="106"/>
      <c r="F86" s="152"/>
      <c r="G86" s="427"/>
      <c r="J86" s="106"/>
      <c r="K86" s="152"/>
    </row>
    <row r="87" spans="2:11" x14ac:dyDescent="0.25">
      <c r="B87" s="106"/>
      <c r="C87" s="186"/>
      <c r="F87" s="152"/>
      <c r="G87" s="427"/>
      <c r="J87" s="106"/>
      <c r="K87" s="152"/>
    </row>
    <row r="88" spans="2:11" x14ac:dyDescent="0.25">
      <c r="B88" s="106"/>
      <c r="D88" s="78"/>
      <c r="F88" s="152"/>
      <c r="G88" s="427"/>
      <c r="J88" s="106"/>
      <c r="K88" s="152"/>
    </row>
    <row r="89" spans="2:11" x14ac:dyDescent="0.25">
      <c r="B89" s="106"/>
      <c r="F89" s="152"/>
      <c r="G89" s="427"/>
      <c r="J89" s="106"/>
      <c r="K89" s="152"/>
    </row>
    <row r="90" spans="2:11" x14ac:dyDescent="0.25">
      <c r="B90" s="106"/>
      <c r="F90" s="152"/>
      <c r="G90" s="427"/>
      <c r="J90" s="106"/>
      <c r="K90" s="152"/>
    </row>
    <row r="91" spans="2:11" x14ac:dyDescent="0.25">
      <c r="B91" s="106"/>
      <c r="D91" s="186"/>
      <c r="F91" s="152"/>
      <c r="G91" s="427"/>
      <c r="J91" s="106"/>
      <c r="K91" s="152"/>
    </row>
    <row r="92" spans="2:11" x14ac:dyDescent="0.25">
      <c r="B92" s="106"/>
      <c r="D92" s="186"/>
      <c r="F92" s="152"/>
      <c r="G92" s="427"/>
      <c r="J92" s="106"/>
      <c r="K92" s="152"/>
    </row>
    <row r="93" spans="2:11" x14ac:dyDescent="0.25">
      <c r="B93" s="106"/>
      <c r="D93" s="186"/>
      <c r="F93" s="152"/>
      <c r="G93" s="427"/>
      <c r="J93" s="106"/>
      <c r="K93" s="152"/>
    </row>
    <row r="94" spans="2:11" x14ac:dyDescent="0.25">
      <c r="B94" s="106"/>
      <c r="D94" s="186"/>
      <c r="F94" s="152"/>
      <c r="G94" s="427"/>
      <c r="J94" s="106"/>
      <c r="K94" s="152"/>
    </row>
    <row r="95" spans="2:11" x14ac:dyDescent="0.25">
      <c r="B95" s="106"/>
      <c r="D95" s="186"/>
      <c r="F95" s="152"/>
      <c r="G95" s="427"/>
      <c r="J95" s="106"/>
      <c r="K95" s="152"/>
    </row>
    <row r="96" spans="2:11" x14ac:dyDescent="0.25">
      <c r="B96" s="106"/>
      <c r="D96" s="186"/>
      <c r="F96" s="152"/>
      <c r="G96" s="427"/>
      <c r="J96" s="106"/>
      <c r="K96" s="152"/>
    </row>
    <row r="97" spans="2:11" x14ac:dyDescent="0.25">
      <c r="B97" s="106"/>
      <c r="D97" s="186"/>
      <c r="F97" s="152"/>
      <c r="G97" s="427"/>
      <c r="J97" s="106"/>
      <c r="K97" s="152"/>
    </row>
    <row r="98" spans="2:11" x14ac:dyDescent="0.25">
      <c r="B98" s="106"/>
      <c r="D98" s="186"/>
      <c r="F98" s="152"/>
      <c r="G98" s="427"/>
      <c r="J98" s="106"/>
      <c r="K98" s="152"/>
    </row>
    <row r="99" spans="2:11" x14ac:dyDescent="0.25">
      <c r="B99" s="106"/>
      <c r="E99" s="78"/>
      <c r="F99" s="152"/>
      <c r="G99" s="427"/>
      <c r="J99" s="106"/>
      <c r="K99" s="152"/>
    </row>
    <row r="100" spans="2:11" x14ac:dyDescent="0.25">
      <c r="B100" s="106"/>
      <c r="F100" s="152"/>
      <c r="G100" s="427"/>
      <c r="J100" s="106"/>
      <c r="K100" s="152"/>
    </row>
    <row r="101" spans="2:11" x14ac:dyDescent="0.25">
      <c r="B101" s="106"/>
      <c r="F101" s="152"/>
      <c r="G101" s="427"/>
      <c r="J101" s="106"/>
      <c r="K101" s="152"/>
    </row>
    <row r="102" spans="2:11" x14ac:dyDescent="0.25">
      <c r="B102" s="106"/>
      <c r="F102" s="152"/>
      <c r="G102" s="427"/>
      <c r="J102" s="106"/>
      <c r="K102" s="152"/>
    </row>
    <row r="103" spans="2:11" x14ac:dyDescent="0.25">
      <c r="B103" s="106"/>
      <c r="C103" s="186"/>
      <c r="F103" s="152"/>
      <c r="G103" s="427"/>
      <c r="J103" s="106"/>
      <c r="K103" s="152"/>
    </row>
    <row r="104" spans="2:11" x14ac:dyDescent="0.25">
      <c r="B104" s="106"/>
      <c r="C104" s="186"/>
      <c r="F104" s="152"/>
      <c r="G104" s="427"/>
      <c r="J104" s="106"/>
      <c r="K104" s="152"/>
    </row>
    <row r="105" spans="2:11" x14ac:dyDescent="0.25">
      <c r="B105" s="106"/>
      <c r="C105" s="186"/>
      <c r="F105" s="152"/>
      <c r="G105" s="427"/>
      <c r="J105" s="106"/>
      <c r="K105" s="152"/>
    </row>
    <row r="106" spans="2:11" x14ac:dyDescent="0.25">
      <c r="B106" s="106"/>
      <c r="C106" s="186"/>
      <c r="F106" s="152"/>
      <c r="G106" s="427"/>
      <c r="J106" s="106"/>
      <c r="K106" s="152"/>
    </row>
    <row r="107" spans="2:11" x14ac:dyDescent="0.25">
      <c r="B107" s="106"/>
      <c r="C107" s="186"/>
      <c r="F107" s="152"/>
      <c r="G107" s="427"/>
      <c r="J107" s="106"/>
      <c r="K107" s="152"/>
    </row>
    <row r="108" spans="2:11" x14ac:dyDescent="0.25">
      <c r="B108" s="106"/>
      <c r="C108" s="186"/>
      <c r="F108" s="152"/>
      <c r="G108" s="427"/>
      <c r="J108" s="106"/>
      <c r="K108" s="152"/>
    </row>
    <row r="109" spans="2:11" x14ac:dyDescent="0.25">
      <c r="B109" s="106"/>
      <c r="C109" s="186"/>
      <c r="F109" s="152"/>
      <c r="G109" s="427"/>
      <c r="J109" s="106"/>
      <c r="K109" s="152"/>
    </row>
    <row r="110" spans="2:11" x14ac:dyDescent="0.25">
      <c r="B110" s="106"/>
      <c r="C110" s="186"/>
      <c r="F110" s="152"/>
      <c r="G110" s="427"/>
      <c r="J110" s="106"/>
      <c r="K110" s="152"/>
    </row>
    <row r="111" spans="2:11" x14ac:dyDescent="0.25">
      <c r="B111" s="106"/>
      <c r="D111" s="78"/>
      <c r="F111" s="152"/>
      <c r="G111" s="427"/>
      <c r="J111" s="106"/>
      <c r="K111" s="152"/>
    </row>
    <row r="112" spans="2:11" x14ac:dyDescent="0.25">
      <c r="B112" s="106"/>
      <c r="F112" s="152"/>
      <c r="G112" s="427"/>
      <c r="J112" s="106"/>
      <c r="K112" s="152"/>
    </row>
    <row r="113" spans="2:11" x14ac:dyDescent="0.25">
      <c r="B113" s="106"/>
      <c r="F113" s="152"/>
      <c r="G113" s="427"/>
      <c r="J113" s="106"/>
      <c r="K113" s="152"/>
    </row>
    <row r="114" spans="2:11" x14ac:dyDescent="0.25">
      <c r="B114" s="106"/>
      <c r="F114" s="152"/>
      <c r="G114" s="427"/>
      <c r="J114" s="106"/>
      <c r="K114" s="152"/>
    </row>
    <row r="115" spans="2:11" x14ac:dyDescent="0.25">
      <c r="B115" s="106"/>
      <c r="C115" s="186"/>
      <c r="F115" s="152"/>
      <c r="G115" s="427"/>
      <c r="J115" s="106"/>
      <c r="K115" s="152"/>
    </row>
    <row r="116" spans="2:11" x14ac:dyDescent="0.25">
      <c r="B116" s="106"/>
      <c r="C116" s="186"/>
      <c r="F116" s="152"/>
      <c r="G116" s="427"/>
      <c r="J116" s="106"/>
      <c r="K116" s="152"/>
    </row>
    <row r="117" spans="2:11" x14ac:dyDescent="0.25">
      <c r="B117" s="106"/>
      <c r="C117" s="186"/>
      <c r="F117" s="152"/>
      <c r="G117" s="427"/>
      <c r="J117" s="106"/>
      <c r="K117" s="152"/>
    </row>
    <row r="118" spans="2:11" x14ac:dyDescent="0.25">
      <c r="B118" s="106"/>
      <c r="C118" s="186"/>
      <c r="F118" s="152"/>
      <c r="G118" s="427"/>
      <c r="J118" s="106"/>
      <c r="K118" s="152"/>
    </row>
    <row r="119" spans="2:11" x14ac:dyDescent="0.25">
      <c r="B119" s="106"/>
      <c r="C119" s="186"/>
      <c r="F119" s="152"/>
      <c r="G119" s="427"/>
      <c r="J119" s="106"/>
      <c r="K119" s="152"/>
    </row>
    <row r="120" spans="2:11" x14ac:dyDescent="0.25">
      <c r="B120" s="106"/>
      <c r="C120" s="186"/>
      <c r="F120" s="152"/>
      <c r="G120" s="427"/>
      <c r="J120" s="106"/>
      <c r="K120" s="152"/>
    </row>
    <row r="121" spans="2:11" x14ac:dyDescent="0.25">
      <c r="B121" s="106"/>
      <c r="C121" s="186"/>
      <c r="F121" s="152"/>
      <c r="G121" s="427"/>
      <c r="J121" s="106"/>
      <c r="K121" s="152"/>
    </row>
    <row r="122" spans="2:11" x14ac:dyDescent="0.25">
      <c r="B122" s="106"/>
      <c r="D122" s="78"/>
      <c r="F122" s="152"/>
      <c r="G122" s="427"/>
      <c r="J122" s="106"/>
      <c r="K122" s="152"/>
    </row>
    <row r="123" spans="2:11" x14ac:dyDescent="0.25">
      <c r="B123" s="106"/>
      <c r="F123" s="152"/>
      <c r="G123" s="427"/>
      <c r="J123" s="106"/>
      <c r="K123" s="152"/>
    </row>
    <row r="124" spans="2:11" x14ac:dyDescent="0.25">
      <c r="B124" s="106"/>
      <c r="F124" s="152"/>
      <c r="G124" s="427"/>
      <c r="J124" s="106"/>
      <c r="K124" s="152"/>
    </row>
    <row r="125" spans="2:11" x14ac:dyDescent="0.25">
      <c r="B125" s="106"/>
      <c r="F125" s="152"/>
      <c r="G125" s="427"/>
      <c r="J125" s="106"/>
      <c r="K125" s="152"/>
    </row>
    <row r="126" spans="2:11" x14ac:dyDescent="0.25">
      <c r="B126" s="106"/>
      <c r="C126" s="186"/>
      <c r="F126" s="152"/>
      <c r="G126" s="427"/>
      <c r="J126" s="106"/>
      <c r="K126" s="152"/>
    </row>
    <row r="127" spans="2:11" x14ac:dyDescent="0.25">
      <c r="B127" s="106"/>
      <c r="D127" s="78"/>
      <c r="F127" s="152"/>
      <c r="G127" s="427"/>
      <c r="J127" s="106"/>
      <c r="K127" s="152"/>
    </row>
    <row r="128" spans="2:11" x14ac:dyDescent="0.25">
      <c r="B128" s="106"/>
      <c r="F128" s="152"/>
      <c r="G128" s="427"/>
      <c r="J128" s="106"/>
      <c r="K128" s="152"/>
    </row>
    <row r="129" spans="2:11" x14ac:dyDescent="0.25">
      <c r="B129" s="106"/>
      <c r="F129" s="152"/>
      <c r="G129" s="427"/>
      <c r="J129" s="106"/>
      <c r="K129" s="152"/>
    </row>
    <row r="130" spans="2:11" x14ac:dyDescent="0.25">
      <c r="B130" s="106"/>
      <c r="D130" s="186"/>
      <c r="F130" s="152"/>
      <c r="G130" s="427"/>
      <c r="J130" s="106"/>
      <c r="K130" s="152"/>
    </row>
    <row r="131" spans="2:11" x14ac:dyDescent="0.25">
      <c r="B131" s="106"/>
      <c r="D131" s="186"/>
      <c r="F131" s="152"/>
      <c r="G131" s="427"/>
      <c r="J131" s="106"/>
      <c r="K131" s="152"/>
    </row>
    <row r="132" spans="2:11" x14ac:dyDescent="0.25">
      <c r="B132" s="106"/>
      <c r="F132" s="152"/>
      <c r="G132" s="427"/>
      <c r="J132" s="106"/>
      <c r="K132" s="152"/>
    </row>
    <row r="133" spans="2:11" x14ac:dyDescent="0.25">
      <c r="B133" s="106"/>
      <c r="F133" s="152"/>
      <c r="G133" s="427"/>
      <c r="J133" s="106"/>
      <c r="K133" s="152"/>
    </row>
    <row r="134" spans="2:11" x14ac:dyDescent="0.25">
      <c r="B134" s="106"/>
      <c r="E134" s="78"/>
      <c r="F134" s="152"/>
      <c r="G134" s="427"/>
      <c r="J134" s="106"/>
      <c r="K134" s="152"/>
    </row>
    <row r="135" spans="2:11" x14ac:dyDescent="0.25">
      <c r="B135" s="106"/>
      <c r="F135" s="152"/>
      <c r="G135" s="427"/>
      <c r="J135" s="106"/>
      <c r="K135" s="152"/>
    </row>
    <row r="136" spans="2:11" x14ac:dyDescent="0.25">
      <c r="B136" s="106"/>
      <c r="E136" s="78"/>
      <c r="F136" s="152"/>
      <c r="G136" s="427"/>
      <c r="J136" s="106"/>
      <c r="K136" s="152"/>
    </row>
    <row r="137" spans="2:11" x14ac:dyDescent="0.25">
      <c r="B137" s="106"/>
      <c r="F137" s="152"/>
      <c r="G137" s="427"/>
      <c r="J137" s="106"/>
      <c r="K137" s="152"/>
    </row>
    <row r="138" spans="2:11" x14ac:dyDescent="0.25">
      <c r="B138" s="106"/>
      <c r="E138" s="78"/>
      <c r="F138" s="152"/>
      <c r="G138" s="427"/>
      <c r="J138" s="106"/>
      <c r="K138" s="152"/>
    </row>
    <row r="139" spans="2:11" x14ac:dyDescent="0.25">
      <c r="B139" s="106"/>
      <c r="F139" s="152"/>
      <c r="G139" s="427"/>
      <c r="J139" s="106"/>
      <c r="K139" s="152"/>
    </row>
    <row r="140" spans="2:11" x14ac:dyDescent="0.25">
      <c r="B140" s="106"/>
      <c r="F140" s="152"/>
      <c r="G140" s="427"/>
      <c r="J140" s="106"/>
      <c r="K140" s="152"/>
    </row>
    <row r="141" spans="2:11" x14ac:dyDescent="0.25">
      <c r="B141" s="106"/>
      <c r="D141" s="186"/>
      <c r="F141" s="152"/>
      <c r="G141" s="427"/>
      <c r="J141" s="106"/>
      <c r="K141" s="152"/>
    </row>
    <row r="142" spans="2:11" x14ac:dyDescent="0.25">
      <c r="B142" s="106"/>
      <c r="D142" s="186"/>
      <c r="F142" s="152"/>
      <c r="G142" s="427"/>
      <c r="J142" s="106"/>
      <c r="K142" s="152"/>
    </row>
    <row r="143" spans="2:11" x14ac:dyDescent="0.25">
      <c r="B143" s="106"/>
      <c r="F143" s="152"/>
      <c r="G143" s="427"/>
      <c r="J143" s="106"/>
      <c r="K143" s="152"/>
    </row>
    <row r="144" spans="2:11" x14ac:dyDescent="0.25">
      <c r="B144" s="106"/>
      <c r="F144" s="152"/>
      <c r="G144" s="427"/>
      <c r="J144" s="106"/>
      <c r="K144" s="152"/>
    </row>
    <row r="145" spans="2:11" x14ac:dyDescent="0.25">
      <c r="B145" s="106"/>
      <c r="E145" s="78"/>
      <c r="F145" s="152"/>
      <c r="G145" s="427"/>
      <c r="J145" s="106"/>
      <c r="K145" s="152"/>
    </row>
    <row r="146" spans="2:11" x14ac:dyDescent="0.25">
      <c r="B146" s="106"/>
      <c r="F146" s="152"/>
      <c r="G146" s="427"/>
      <c r="J146" s="106"/>
      <c r="K146" s="152"/>
    </row>
    <row r="147" spans="2:11" x14ac:dyDescent="0.25">
      <c r="B147" s="106"/>
      <c r="E147" s="78"/>
      <c r="F147" s="152"/>
      <c r="G147" s="427"/>
      <c r="J147" s="106"/>
      <c r="K147" s="152"/>
    </row>
    <row r="148" spans="2:11" x14ac:dyDescent="0.25">
      <c r="B148" s="106"/>
      <c r="F148" s="152"/>
      <c r="G148" s="427"/>
      <c r="J148" s="106"/>
      <c r="K148" s="152"/>
    </row>
    <row r="149" spans="2:11" x14ac:dyDescent="0.25">
      <c r="B149" s="106"/>
      <c r="F149" s="152"/>
      <c r="G149" s="427"/>
      <c r="J149" s="106"/>
      <c r="K149" s="152"/>
    </row>
    <row r="150" spans="2:11" x14ac:dyDescent="0.25">
      <c r="B150" s="106"/>
      <c r="F150" s="152"/>
      <c r="G150" s="427"/>
      <c r="J150" s="106"/>
      <c r="K150" s="152"/>
    </row>
    <row r="151" spans="2:11" x14ac:dyDescent="0.25">
      <c r="B151" s="106"/>
      <c r="C151" s="186"/>
      <c r="F151" s="152"/>
      <c r="G151" s="427"/>
      <c r="J151" s="106"/>
      <c r="K151" s="152"/>
    </row>
    <row r="152" spans="2:11" x14ac:dyDescent="0.25">
      <c r="B152" s="106"/>
      <c r="C152" s="186"/>
      <c r="F152" s="152"/>
      <c r="G152" s="427"/>
      <c r="J152" s="106"/>
      <c r="K152" s="152"/>
    </row>
    <row r="153" spans="2:11" x14ac:dyDescent="0.25">
      <c r="B153" s="106"/>
      <c r="C153" s="186"/>
      <c r="F153" s="152"/>
      <c r="G153" s="427"/>
      <c r="J153" s="106"/>
      <c r="K153" s="152"/>
    </row>
    <row r="154" spans="2:11" x14ac:dyDescent="0.25">
      <c r="B154" s="106"/>
      <c r="C154" s="186"/>
      <c r="F154" s="152"/>
      <c r="G154" s="427"/>
      <c r="J154" s="106"/>
      <c r="K154" s="152"/>
    </row>
    <row r="155" spans="2:11" x14ac:dyDescent="0.25">
      <c r="B155" s="106"/>
      <c r="C155" s="186"/>
      <c r="F155" s="152"/>
      <c r="G155" s="427"/>
      <c r="J155" s="106"/>
      <c r="K155" s="152"/>
    </row>
    <row r="156" spans="2:11" x14ac:dyDescent="0.25">
      <c r="B156" s="106"/>
      <c r="C156" s="186"/>
      <c r="F156" s="152"/>
      <c r="G156" s="427"/>
      <c r="J156" s="106"/>
      <c r="K156" s="152"/>
    </row>
    <row r="157" spans="2:11" x14ac:dyDescent="0.25">
      <c r="B157" s="106"/>
      <c r="C157" s="186"/>
      <c r="F157" s="152"/>
      <c r="G157" s="427"/>
      <c r="J157" s="106"/>
      <c r="K157" s="152"/>
    </row>
    <row r="158" spans="2:11" x14ac:dyDescent="0.25">
      <c r="B158" s="106"/>
      <c r="D158" s="78"/>
      <c r="F158" s="152"/>
      <c r="G158" s="427"/>
      <c r="J158" s="106"/>
      <c r="K158" s="152"/>
    </row>
    <row r="159" spans="2:11" x14ac:dyDescent="0.25">
      <c r="B159" s="106"/>
      <c r="F159" s="152"/>
      <c r="G159" s="427"/>
      <c r="J159" s="106"/>
      <c r="K159" s="152"/>
    </row>
    <row r="160" spans="2:11" x14ac:dyDescent="0.25">
      <c r="B160" s="106"/>
      <c r="D160" s="78"/>
      <c r="F160" s="152"/>
      <c r="G160" s="427"/>
      <c r="J160" s="106"/>
      <c r="K160" s="152"/>
    </row>
    <row r="161" spans="2:11" x14ac:dyDescent="0.25">
      <c r="B161" s="106"/>
      <c r="F161" s="152"/>
      <c r="G161" s="427"/>
      <c r="J161" s="106"/>
      <c r="K161" s="152"/>
    </row>
    <row r="162" spans="2:11" x14ac:dyDescent="0.25">
      <c r="B162" s="106"/>
      <c r="F162" s="152"/>
      <c r="G162" s="427"/>
      <c r="J162" s="106"/>
      <c r="K162" s="152"/>
    </row>
    <row r="163" spans="2:11" x14ac:dyDescent="0.25">
      <c r="B163" s="106"/>
      <c r="F163" s="152"/>
      <c r="G163" s="427"/>
      <c r="J163" s="106"/>
      <c r="K163" s="152"/>
    </row>
    <row r="164" spans="2:11" x14ac:dyDescent="0.25">
      <c r="B164" s="106"/>
      <c r="C164" s="186"/>
      <c r="F164" s="152"/>
      <c r="G164" s="427"/>
      <c r="J164" s="106"/>
      <c r="K164" s="152"/>
    </row>
    <row r="165" spans="2:11" x14ac:dyDescent="0.25">
      <c r="B165" s="106"/>
      <c r="C165" s="186"/>
      <c r="F165" s="152"/>
      <c r="G165" s="427"/>
      <c r="J165" s="106"/>
      <c r="K165" s="152"/>
    </row>
    <row r="166" spans="2:11" x14ac:dyDescent="0.25">
      <c r="B166" s="106"/>
      <c r="C166" s="186"/>
      <c r="F166" s="152"/>
      <c r="G166" s="427"/>
      <c r="J166" s="106"/>
      <c r="K166" s="152"/>
    </row>
    <row r="167" spans="2:11" x14ac:dyDescent="0.25">
      <c r="B167" s="106"/>
      <c r="C167" s="186"/>
      <c r="F167" s="152"/>
      <c r="G167" s="427"/>
      <c r="J167" s="106"/>
      <c r="K167" s="152"/>
    </row>
    <row r="168" spans="2:11" x14ac:dyDescent="0.25">
      <c r="B168" s="106"/>
      <c r="C168" s="186"/>
      <c r="F168" s="152"/>
      <c r="G168" s="427"/>
      <c r="J168" s="106"/>
      <c r="K168" s="152"/>
    </row>
    <row r="169" spans="2:11" x14ac:dyDescent="0.25">
      <c r="B169" s="106"/>
      <c r="C169" s="186"/>
      <c r="F169" s="152"/>
      <c r="G169" s="427"/>
      <c r="J169" s="106"/>
      <c r="K169" s="152"/>
    </row>
    <row r="170" spans="2:11" x14ac:dyDescent="0.25">
      <c r="B170" s="106"/>
      <c r="C170" s="186"/>
      <c r="F170" s="152"/>
      <c r="G170" s="427"/>
      <c r="J170" s="106"/>
      <c r="K170" s="152"/>
    </row>
    <row r="171" spans="2:11" x14ac:dyDescent="0.25">
      <c r="B171" s="106"/>
      <c r="D171" s="78"/>
      <c r="F171" s="152"/>
      <c r="G171" s="427"/>
      <c r="J171" s="106"/>
      <c r="K171" s="152"/>
    </row>
    <row r="172" spans="2:11" x14ac:dyDescent="0.25">
      <c r="B172" s="106"/>
      <c r="F172" s="152"/>
      <c r="G172" s="427"/>
      <c r="J172" s="106"/>
      <c r="K172" s="152"/>
    </row>
    <row r="173" spans="2:11" x14ac:dyDescent="0.25">
      <c r="B173" s="106"/>
      <c r="F173" s="152"/>
      <c r="G173" s="427"/>
      <c r="J173" s="106"/>
      <c r="K173" s="152"/>
    </row>
    <row r="174" spans="2:11" x14ac:dyDescent="0.25">
      <c r="B174" s="106"/>
      <c r="F174" s="152"/>
      <c r="G174" s="427"/>
      <c r="J174" s="106"/>
      <c r="K174" s="152"/>
    </row>
    <row r="175" spans="2:11" x14ac:dyDescent="0.25">
      <c r="B175" s="106"/>
      <c r="C175" s="186"/>
      <c r="F175" s="152"/>
      <c r="G175" s="427"/>
      <c r="J175" s="106"/>
      <c r="K175" s="152"/>
    </row>
    <row r="176" spans="2:11" x14ac:dyDescent="0.25">
      <c r="B176" s="106"/>
      <c r="C176" s="186"/>
      <c r="F176" s="152"/>
      <c r="G176" s="427"/>
      <c r="J176" s="106"/>
      <c r="K176" s="152"/>
    </row>
    <row r="177" spans="2:11" x14ac:dyDescent="0.25">
      <c r="B177" s="106"/>
      <c r="C177" s="186"/>
      <c r="F177" s="152"/>
      <c r="G177" s="427"/>
      <c r="J177" s="106"/>
      <c r="K177" s="152"/>
    </row>
    <row r="178" spans="2:11" x14ac:dyDescent="0.25">
      <c r="B178" s="106"/>
      <c r="C178" s="186"/>
      <c r="F178" s="152"/>
      <c r="G178" s="427"/>
      <c r="J178" s="106"/>
      <c r="K178" s="152"/>
    </row>
    <row r="179" spans="2:11" x14ac:dyDescent="0.25">
      <c r="B179" s="106"/>
      <c r="C179" s="186"/>
      <c r="F179" s="152"/>
      <c r="G179" s="427"/>
      <c r="J179" s="106"/>
      <c r="K179" s="152"/>
    </row>
    <row r="180" spans="2:11" x14ac:dyDescent="0.25">
      <c r="B180" s="106"/>
      <c r="C180" s="186"/>
      <c r="F180" s="152"/>
      <c r="G180" s="427"/>
      <c r="J180" s="106"/>
      <c r="K180" s="152"/>
    </row>
    <row r="181" spans="2:11" x14ac:dyDescent="0.25">
      <c r="B181" s="106"/>
      <c r="C181" s="186"/>
      <c r="F181" s="152"/>
      <c r="G181" s="427"/>
      <c r="J181" s="106"/>
      <c r="K181" s="152"/>
    </row>
    <row r="182" spans="2:11" x14ac:dyDescent="0.25">
      <c r="B182" s="106"/>
      <c r="D182" s="78"/>
      <c r="F182" s="152"/>
      <c r="G182" s="427"/>
      <c r="J182" s="106"/>
      <c r="K182" s="152"/>
    </row>
    <row r="183" spans="2:11" x14ac:dyDescent="0.25">
      <c r="B183" s="106"/>
      <c r="F183" s="152"/>
      <c r="G183" s="427"/>
      <c r="J183" s="106"/>
      <c r="K183" s="152"/>
    </row>
    <row r="184" spans="2:11" x14ac:dyDescent="0.25">
      <c r="B184" s="106"/>
      <c r="F184" s="152"/>
      <c r="G184" s="427"/>
      <c r="J184" s="106"/>
      <c r="K184" s="152"/>
    </row>
    <row r="185" spans="2:11" x14ac:dyDescent="0.25">
      <c r="B185" s="106"/>
      <c r="F185" s="152"/>
      <c r="G185" s="427"/>
      <c r="J185" s="106"/>
      <c r="K185" s="152"/>
    </row>
    <row r="186" spans="2:11" x14ac:dyDescent="0.25">
      <c r="B186" s="106"/>
      <c r="F186" s="152"/>
      <c r="G186" s="427"/>
      <c r="J186" s="106"/>
      <c r="K186" s="152"/>
    </row>
    <row r="187" spans="2:11" x14ac:dyDescent="0.25">
      <c r="B187" s="106"/>
      <c r="F187" s="152"/>
      <c r="G187" s="427"/>
      <c r="J187" s="106"/>
      <c r="K187" s="152"/>
    </row>
    <row r="188" spans="2:11" x14ac:dyDescent="0.25">
      <c r="B188" s="106"/>
      <c r="F188" s="152"/>
      <c r="G188" s="427"/>
      <c r="J188" s="106"/>
      <c r="K188" s="152"/>
    </row>
    <row r="189" spans="2:11" x14ac:dyDescent="0.25">
      <c r="B189" s="106"/>
      <c r="F189" s="152"/>
      <c r="G189" s="427"/>
      <c r="J189" s="106"/>
      <c r="K189" s="152"/>
    </row>
    <row r="190" spans="2:11" x14ac:dyDescent="0.25">
      <c r="B190" s="106"/>
      <c r="D190" s="186"/>
      <c r="F190" s="152"/>
      <c r="G190" s="427"/>
      <c r="J190" s="106"/>
      <c r="K190" s="152"/>
    </row>
    <row r="191" spans="2:11" x14ac:dyDescent="0.25">
      <c r="B191" s="106"/>
      <c r="D191" s="186"/>
      <c r="F191" s="152"/>
      <c r="G191" s="427"/>
      <c r="J191" s="106"/>
      <c r="K191" s="152"/>
    </row>
    <row r="192" spans="2:11" x14ac:dyDescent="0.25">
      <c r="B192" s="106"/>
      <c r="E192" s="78"/>
      <c r="F192" s="152"/>
      <c r="G192" s="427"/>
      <c r="J192" s="106"/>
      <c r="K192" s="152"/>
    </row>
    <row r="193" spans="2:11" x14ac:dyDescent="0.25">
      <c r="B193" s="106"/>
      <c r="F193" s="152"/>
      <c r="G193" s="427"/>
      <c r="J193" s="106"/>
      <c r="K193" s="152"/>
    </row>
    <row r="194" spans="2:11" x14ac:dyDescent="0.25">
      <c r="B194" s="106"/>
      <c r="E194" s="78"/>
      <c r="F194" s="152"/>
      <c r="G194" s="427"/>
      <c r="J194" s="106"/>
      <c r="K194" s="152"/>
    </row>
    <row r="195" spans="2:11" x14ac:dyDescent="0.25">
      <c r="B195" s="106"/>
      <c r="F195" s="152"/>
      <c r="G195" s="427"/>
      <c r="J195" s="106"/>
      <c r="K195" s="152"/>
    </row>
    <row r="196" spans="2:11" x14ac:dyDescent="0.25">
      <c r="B196" s="106"/>
      <c r="F196" s="152"/>
      <c r="G196" s="427"/>
      <c r="J196" s="106"/>
      <c r="K196" s="152"/>
    </row>
    <row r="197" spans="2:11" x14ac:dyDescent="0.25">
      <c r="B197" s="106"/>
      <c r="F197" s="152"/>
      <c r="G197" s="427"/>
      <c r="J197" s="106"/>
      <c r="K197" s="152"/>
    </row>
    <row r="198" spans="2:11" x14ac:dyDescent="0.25">
      <c r="B198" s="106"/>
      <c r="F198" s="152"/>
      <c r="G198" s="427"/>
      <c r="J198" s="106"/>
      <c r="K198" s="152"/>
    </row>
    <row r="199" spans="2:11" x14ac:dyDescent="0.25">
      <c r="B199" s="106"/>
      <c r="D199" s="186"/>
      <c r="F199" s="152"/>
      <c r="G199" s="427"/>
      <c r="J199" s="106"/>
      <c r="K199" s="152"/>
    </row>
    <row r="200" spans="2:11" x14ac:dyDescent="0.25">
      <c r="B200" s="106"/>
      <c r="D200" s="186"/>
      <c r="F200" s="152"/>
      <c r="G200" s="427"/>
      <c r="J200" s="106"/>
      <c r="K200" s="152"/>
    </row>
    <row r="201" spans="2:11" x14ac:dyDescent="0.25">
      <c r="B201" s="106"/>
      <c r="D201" s="186"/>
      <c r="E201" s="78"/>
      <c r="F201" s="152"/>
      <c r="G201" s="427"/>
      <c r="J201" s="106"/>
      <c r="K201" s="152"/>
    </row>
    <row r="202" spans="2:11" x14ac:dyDescent="0.25">
      <c r="B202" s="106"/>
      <c r="D202" s="186"/>
      <c r="F202" s="152"/>
      <c r="G202" s="427"/>
      <c r="J202" s="106"/>
      <c r="K202" s="152"/>
    </row>
    <row r="203" spans="2:11" x14ac:dyDescent="0.25">
      <c r="B203" s="106"/>
      <c r="D203" s="78"/>
      <c r="F203" s="152"/>
      <c r="G203" s="427"/>
      <c r="J203" s="106"/>
      <c r="K203" s="152"/>
    </row>
    <row r="204" spans="2:11" x14ac:dyDescent="0.25">
      <c r="B204" s="106"/>
      <c r="F204" s="152"/>
      <c r="G204" s="427"/>
      <c r="J204" s="106"/>
      <c r="K204" s="152"/>
    </row>
    <row r="205" spans="2:11" x14ac:dyDescent="0.25">
      <c r="B205" s="106"/>
      <c r="F205" s="152"/>
      <c r="G205" s="427"/>
      <c r="J205" s="106"/>
      <c r="K205" s="152"/>
    </row>
    <row r="206" spans="2:11" x14ac:dyDescent="0.25">
      <c r="B206" s="106"/>
      <c r="F206" s="152"/>
      <c r="G206" s="427"/>
      <c r="J206" s="106"/>
      <c r="K206" s="152"/>
    </row>
    <row r="207" spans="2:11" x14ac:dyDescent="0.25">
      <c r="B207" s="106"/>
      <c r="F207" s="152"/>
      <c r="G207" s="427"/>
      <c r="J207" s="106"/>
      <c r="K207" s="152"/>
    </row>
    <row r="208" spans="2:11" x14ac:dyDescent="0.25">
      <c r="B208" s="106"/>
      <c r="F208" s="152"/>
      <c r="G208" s="427"/>
      <c r="J208" s="106"/>
      <c r="K208" s="152"/>
    </row>
    <row r="209" spans="2:11" x14ac:dyDescent="0.25">
      <c r="B209" s="106"/>
      <c r="F209" s="152"/>
      <c r="G209" s="427"/>
      <c r="J209" s="106"/>
      <c r="K209" s="152"/>
    </row>
    <row r="210" spans="2:11" x14ac:dyDescent="0.25">
      <c r="B210" s="106"/>
      <c r="F210" s="152"/>
      <c r="G210" s="427"/>
      <c r="J210" s="106"/>
      <c r="K210" s="152"/>
    </row>
    <row r="211" spans="2:11" x14ac:dyDescent="0.25">
      <c r="B211" s="106"/>
      <c r="D211" s="186"/>
      <c r="F211" s="152"/>
      <c r="G211" s="427"/>
      <c r="J211" s="106"/>
      <c r="K211" s="152"/>
    </row>
    <row r="212" spans="2:11" x14ac:dyDescent="0.25">
      <c r="B212" s="106"/>
      <c r="D212" s="186"/>
      <c r="F212" s="152"/>
      <c r="G212" s="427"/>
      <c r="J212" s="106"/>
      <c r="K212" s="152"/>
    </row>
    <row r="213" spans="2:11" x14ac:dyDescent="0.25">
      <c r="B213" s="106"/>
      <c r="D213" s="78"/>
      <c r="E213" s="78"/>
      <c r="F213" s="152"/>
      <c r="G213" s="427"/>
      <c r="J213" s="106"/>
      <c r="K213" s="152"/>
    </row>
    <row r="214" spans="2:11" x14ac:dyDescent="0.25">
      <c r="B214" s="106"/>
      <c r="F214" s="152"/>
      <c r="G214" s="427"/>
      <c r="J214" s="106"/>
      <c r="K214" s="152"/>
    </row>
    <row r="215" spans="2:11" x14ac:dyDescent="0.25">
      <c r="B215" s="106"/>
      <c r="F215" s="152"/>
      <c r="G215" s="427"/>
      <c r="J215" s="106"/>
      <c r="K215" s="152"/>
    </row>
    <row r="216" spans="2:11" x14ac:dyDescent="0.25">
      <c r="B216" s="106"/>
      <c r="D216" s="186"/>
      <c r="F216" s="152"/>
      <c r="G216" s="427"/>
      <c r="J216" s="106"/>
      <c r="K216" s="152"/>
    </row>
    <row r="217" spans="2:11" x14ac:dyDescent="0.25">
      <c r="B217" s="106"/>
      <c r="D217" s="186"/>
      <c r="F217" s="152"/>
      <c r="G217" s="427"/>
      <c r="J217" s="106"/>
      <c r="K217" s="152"/>
    </row>
    <row r="218" spans="2:11" x14ac:dyDescent="0.25">
      <c r="B218" s="106"/>
      <c r="D218" s="186"/>
      <c r="F218" s="152"/>
      <c r="G218" s="427"/>
      <c r="J218" s="106"/>
      <c r="K218" s="152"/>
    </row>
    <row r="219" spans="2:11" x14ac:dyDescent="0.25">
      <c r="B219" s="106"/>
      <c r="D219" s="186"/>
      <c r="F219" s="152"/>
      <c r="G219" s="427"/>
      <c r="J219" s="106"/>
      <c r="K219" s="152"/>
    </row>
    <row r="220" spans="2:11" x14ac:dyDescent="0.25">
      <c r="B220" s="106"/>
      <c r="D220" s="186"/>
      <c r="F220" s="152"/>
      <c r="G220" s="427"/>
      <c r="J220" s="106"/>
      <c r="K220" s="152"/>
    </row>
    <row r="221" spans="2:11" x14ac:dyDescent="0.25">
      <c r="B221" s="106"/>
      <c r="E221" s="78"/>
      <c r="F221" s="152"/>
      <c r="G221" s="427"/>
      <c r="J221" s="106"/>
      <c r="K221" s="152"/>
    </row>
    <row r="222" spans="2:11" x14ac:dyDescent="0.25">
      <c r="B222" s="106"/>
      <c r="E222" s="186"/>
      <c r="F222" s="152"/>
      <c r="G222" s="427"/>
      <c r="J222" s="106"/>
      <c r="K222" s="152"/>
    </row>
    <row r="223" spans="2:11" x14ac:dyDescent="0.25">
      <c r="B223" s="106"/>
      <c r="D223" s="78"/>
      <c r="F223" s="152"/>
      <c r="G223" s="427"/>
      <c r="J223" s="106"/>
      <c r="K223" s="152"/>
    </row>
    <row r="224" spans="2:11" x14ac:dyDescent="0.25">
      <c r="B224" s="106"/>
      <c r="F224" s="152"/>
      <c r="G224" s="427"/>
      <c r="J224" s="106"/>
      <c r="K224" s="152"/>
    </row>
    <row r="225" spans="2:11" x14ac:dyDescent="0.25">
      <c r="B225" s="106"/>
      <c r="F225" s="152"/>
      <c r="G225" s="427"/>
      <c r="J225" s="106"/>
      <c r="K225" s="152"/>
    </row>
    <row r="226" spans="2:11" x14ac:dyDescent="0.25">
      <c r="B226" s="106"/>
      <c r="F226" s="152"/>
      <c r="G226" s="427"/>
      <c r="J226" s="106"/>
      <c r="K226" s="152"/>
    </row>
    <row r="227" spans="2:11" x14ac:dyDescent="0.25">
      <c r="B227" s="106"/>
      <c r="C227" s="186"/>
      <c r="F227" s="152"/>
      <c r="G227" s="427"/>
      <c r="J227" s="106"/>
      <c r="K227" s="152"/>
    </row>
    <row r="228" spans="2:11" x14ac:dyDescent="0.25">
      <c r="B228" s="106"/>
      <c r="C228" s="186"/>
      <c r="F228" s="152"/>
      <c r="G228" s="427"/>
      <c r="J228" s="106"/>
      <c r="K228" s="152"/>
    </row>
    <row r="229" spans="2:11" x14ac:dyDescent="0.25">
      <c r="B229" s="106"/>
      <c r="C229" s="186"/>
      <c r="F229" s="152"/>
      <c r="G229" s="427"/>
      <c r="J229" s="106"/>
      <c r="K229" s="152"/>
    </row>
    <row r="230" spans="2:11" x14ac:dyDescent="0.25">
      <c r="B230" s="106"/>
      <c r="C230" s="186"/>
      <c r="F230" s="152"/>
      <c r="G230" s="427"/>
      <c r="J230" s="106"/>
      <c r="K230" s="152"/>
    </row>
    <row r="231" spans="2:11" x14ac:dyDescent="0.25">
      <c r="B231" s="106"/>
      <c r="C231" s="186"/>
      <c r="F231" s="152"/>
      <c r="G231" s="427"/>
      <c r="J231" s="106"/>
      <c r="K231" s="152"/>
    </row>
    <row r="232" spans="2:11" x14ac:dyDescent="0.25">
      <c r="B232" s="106"/>
      <c r="C232" s="186"/>
      <c r="F232" s="152"/>
      <c r="G232" s="427"/>
      <c r="J232" s="106"/>
      <c r="K232" s="152"/>
    </row>
    <row r="233" spans="2:11" x14ac:dyDescent="0.25">
      <c r="B233" s="106"/>
      <c r="C233" s="186"/>
      <c r="F233" s="152"/>
      <c r="G233" s="427"/>
      <c r="J233" s="106"/>
      <c r="K233" s="152"/>
    </row>
    <row r="234" spans="2:11" x14ac:dyDescent="0.25">
      <c r="B234" s="106"/>
      <c r="D234" s="78"/>
      <c r="F234" s="152"/>
      <c r="G234" s="427"/>
      <c r="J234" s="106"/>
      <c r="K234" s="152"/>
    </row>
    <row r="235" spans="2:11" x14ac:dyDescent="0.25">
      <c r="B235" s="106"/>
      <c r="F235" s="152"/>
      <c r="G235" s="427"/>
      <c r="J235" s="106"/>
      <c r="K235" s="152"/>
    </row>
    <row r="236" spans="2:11" x14ac:dyDescent="0.25">
      <c r="B236" s="106"/>
      <c r="F236" s="152"/>
      <c r="G236" s="427"/>
      <c r="J236" s="106"/>
      <c r="K236" s="152"/>
    </row>
    <row r="237" spans="2:11" x14ac:dyDescent="0.25">
      <c r="B237" s="106"/>
      <c r="C237" s="78"/>
      <c r="F237" s="152"/>
      <c r="G237" s="427"/>
      <c r="J237" s="106"/>
      <c r="K237" s="152"/>
    </row>
    <row r="238" spans="2:11" x14ac:dyDescent="0.25">
      <c r="B238" s="106"/>
      <c r="F238" s="152"/>
      <c r="G238" s="427"/>
      <c r="J238" s="106"/>
      <c r="K238" s="152"/>
    </row>
    <row r="239" spans="2:11" x14ac:dyDescent="0.25">
      <c r="B239" s="106"/>
      <c r="F239" s="152"/>
      <c r="G239" s="427"/>
      <c r="J239" s="106"/>
      <c r="K239" s="152"/>
    </row>
    <row r="240" spans="2:11" x14ac:dyDescent="0.25">
      <c r="B240" s="106"/>
      <c r="C240" s="78"/>
      <c r="F240" s="152"/>
      <c r="G240" s="427"/>
      <c r="J240" s="106"/>
      <c r="K240" s="152"/>
    </row>
    <row r="241" spans="2:11" x14ac:dyDescent="0.25">
      <c r="B241" s="106"/>
      <c r="F241" s="152"/>
      <c r="G241" s="427"/>
      <c r="J241" s="106"/>
      <c r="K241" s="152"/>
    </row>
    <row r="242" spans="2:11" x14ac:dyDescent="0.25">
      <c r="B242" s="106"/>
      <c r="F242" s="152"/>
      <c r="G242" s="427"/>
      <c r="J242" s="106"/>
      <c r="K242" s="152"/>
    </row>
    <row r="243" spans="2:11" x14ac:dyDescent="0.25">
      <c r="B243" s="106"/>
      <c r="C243" s="78"/>
      <c r="F243" s="152"/>
      <c r="G243" s="427"/>
      <c r="J243" s="106"/>
      <c r="K243" s="152"/>
    </row>
    <row r="244" spans="2:11" x14ac:dyDescent="0.25">
      <c r="B244" s="106"/>
      <c r="F244" s="152"/>
      <c r="G244" s="427"/>
      <c r="J244" s="106"/>
      <c r="K244" s="152"/>
    </row>
    <row r="245" spans="2:11" x14ac:dyDescent="0.25">
      <c r="B245" s="106"/>
      <c r="F245" s="152"/>
      <c r="G245" s="427"/>
      <c r="J245" s="106"/>
      <c r="K245" s="152"/>
    </row>
    <row r="246" spans="2:11" x14ac:dyDescent="0.25">
      <c r="B246" s="106"/>
      <c r="F246" s="152"/>
      <c r="G246" s="427"/>
      <c r="J246" s="106"/>
      <c r="K246" s="152"/>
    </row>
    <row r="247" spans="2:11" x14ac:dyDescent="0.25">
      <c r="B247" s="106"/>
      <c r="F247" s="152"/>
      <c r="G247" s="427"/>
      <c r="J247" s="106"/>
      <c r="K247" s="152"/>
    </row>
    <row r="248" spans="2:11" x14ac:dyDescent="0.25">
      <c r="B248" s="106"/>
      <c r="F248" s="152"/>
      <c r="G248" s="427"/>
      <c r="J248" s="106"/>
      <c r="K248" s="152"/>
    </row>
    <row r="249" spans="2:11" x14ac:dyDescent="0.25">
      <c r="B249" s="106"/>
      <c r="C249" s="186"/>
      <c r="F249" s="152"/>
      <c r="G249" s="427"/>
      <c r="J249" s="106"/>
      <c r="K249" s="152"/>
    </row>
    <row r="250" spans="2:11" x14ac:dyDescent="0.25">
      <c r="B250" s="106"/>
      <c r="C250" s="186"/>
      <c r="F250" s="152"/>
      <c r="G250" s="427"/>
      <c r="J250" s="106"/>
      <c r="K250" s="152"/>
    </row>
    <row r="251" spans="2:11" x14ac:dyDescent="0.25">
      <c r="B251" s="106"/>
      <c r="D251" s="78"/>
      <c r="F251" s="152"/>
      <c r="G251" s="427"/>
      <c r="J251" s="106"/>
      <c r="K251" s="152"/>
    </row>
    <row r="252" spans="2:11" x14ac:dyDescent="0.25">
      <c r="B252" s="106"/>
      <c r="F252" s="152"/>
      <c r="G252" s="427"/>
      <c r="J252" s="106"/>
      <c r="K252" s="152"/>
    </row>
    <row r="253" spans="2:11" x14ac:dyDescent="0.25">
      <c r="B253" s="106"/>
      <c r="F253" s="152"/>
      <c r="G253" s="427"/>
      <c r="J253" s="106"/>
      <c r="K253" s="152"/>
    </row>
    <row r="254" spans="2:11" x14ac:dyDescent="0.25">
      <c r="B254" s="106"/>
      <c r="F254" s="152"/>
      <c r="G254" s="427"/>
      <c r="J254" s="106"/>
      <c r="K254" s="152"/>
    </row>
    <row r="255" spans="2:11" x14ac:dyDescent="0.25">
      <c r="B255" s="106"/>
      <c r="C255" s="186"/>
      <c r="F255" s="152"/>
      <c r="G255" s="427"/>
      <c r="J255" s="106"/>
      <c r="K255" s="152"/>
    </row>
    <row r="256" spans="2:11" x14ac:dyDescent="0.25">
      <c r="B256" s="106"/>
      <c r="C256" s="186"/>
      <c r="F256" s="152"/>
      <c r="G256" s="427"/>
      <c r="J256" s="106"/>
      <c r="K256" s="152"/>
    </row>
    <row r="257" spans="2:11" x14ac:dyDescent="0.25">
      <c r="B257" s="106"/>
      <c r="C257" s="186"/>
      <c r="F257" s="152"/>
      <c r="G257" s="427"/>
      <c r="J257" s="106"/>
      <c r="K257" s="152"/>
    </row>
    <row r="258" spans="2:11" x14ac:dyDescent="0.25">
      <c r="B258" s="106"/>
      <c r="C258" s="186"/>
      <c r="F258" s="152"/>
      <c r="G258" s="427"/>
      <c r="J258" s="106"/>
      <c r="K258" s="152"/>
    </row>
    <row r="259" spans="2:11" x14ac:dyDescent="0.25">
      <c r="B259" s="106"/>
      <c r="C259" s="186"/>
      <c r="F259" s="152"/>
      <c r="G259" s="427"/>
      <c r="J259" s="106"/>
      <c r="K259" s="152"/>
    </row>
    <row r="260" spans="2:11" x14ac:dyDescent="0.25">
      <c r="B260" s="106"/>
      <c r="D260" s="78"/>
      <c r="F260" s="152"/>
      <c r="G260" s="427"/>
      <c r="J260" s="106"/>
      <c r="K260" s="152"/>
    </row>
    <row r="261" spans="2:11" x14ac:dyDescent="0.25">
      <c r="B261" s="106"/>
      <c r="F261" s="152"/>
      <c r="G261" s="427"/>
      <c r="J261" s="106"/>
      <c r="K261" s="152"/>
    </row>
    <row r="262" spans="2:11" x14ac:dyDescent="0.25">
      <c r="B262" s="106"/>
      <c r="F262" s="152"/>
      <c r="G262" s="427"/>
      <c r="J262" s="106"/>
      <c r="K262" s="152"/>
    </row>
    <row r="263" spans="2:11" x14ac:dyDescent="0.25">
      <c r="B263" s="106"/>
      <c r="F263" s="152"/>
      <c r="G263" s="427"/>
      <c r="J263" s="106"/>
      <c r="K263" s="152"/>
    </row>
    <row r="264" spans="2:11" x14ac:dyDescent="0.25">
      <c r="B264" s="106"/>
      <c r="F264" s="152"/>
      <c r="G264" s="427"/>
      <c r="J264" s="106"/>
      <c r="K264" s="152"/>
    </row>
    <row r="265" spans="2:11" x14ac:dyDescent="0.25">
      <c r="B265" s="106"/>
      <c r="C265" s="186"/>
      <c r="F265" s="152"/>
      <c r="G265" s="427"/>
      <c r="J265" s="106"/>
      <c r="K265" s="152"/>
    </row>
    <row r="266" spans="2:11" x14ac:dyDescent="0.25">
      <c r="B266" s="106"/>
      <c r="C266" s="186"/>
      <c r="F266" s="152"/>
      <c r="G266" s="427"/>
      <c r="J266" s="106"/>
      <c r="K266" s="152"/>
    </row>
    <row r="267" spans="2:11" x14ac:dyDescent="0.25">
      <c r="B267" s="106"/>
      <c r="C267" s="186"/>
      <c r="F267" s="152"/>
      <c r="G267" s="427"/>
      <c r="J267" s="106"/>
      <c r="K267" s="152"/>
    </row>
    <row r="268" spans="2:11" x14ac:dyDescent="0.25">
      <c r="B268" s="106"/>
      <c r="C268" s="186"/>
      <c r="F268" s="152"/>
      <c r="G268" s="427"/>
      <c r="J268" s="106"/>
      <c r="K268" s="152"/>
    </row>
    <row r="269" spans="2:11" x14ac:dyDescent="0.25">
      <c r="B269" s="106"/>
      <c r="C269" s="186"/>
      <c r="F269" s="152"/>
      <c r="G269" s="427"/>
      <c r="J269" s="106"/>
      <c r="K269" s="152"/>
    </row>
    <row r="270" spans="2:11" x14ac:dyDescent="0.25">
      <c r="B270" s="106"/>
      <c r="D270" s="78"/>
      <c r="F270" s="152"/>
      <c r="G270" s="427"/>
      <c r="J270" s="106"/>
      <c r="K270" s="152"/>
    </row>
    <row r="271" spans="2:11" x14ac:dyDescent="0.25">
      <c r="B271" s="106"/>
      <c r="F271" s="152"/>
      <c r="G271" s="427"/>
      <c r="J271" s="106"/>
      <c r="K271" s="152"/>
    </row>
    <row r="272" spans="2:11" x14ac:dyDescent="0.25">
      <c r="B272" s="106"/>
      <c r="F272" s="152"/>
      <c r="G272" s="427"/>
      <c r="J272" s="106"/>
      <c r="K272" s="152"/>
    </row>
    <row r="273" spans="2:11" x14ac:dyDescent="0.25">
      <c r="B273" s="106"/>
      <c r="F273" s="152"/>
      <c r="G273" s="427"/>
      <c r="J273" s="106"/>
      <c r="K273" s="152"/>
    </row>
    <row r="274" spans="2:11" x14ac:dyDescent="0.25">
      <c r="B274" s="106"/>
      <c r="F274" s="152"/>
      <c r="G274" s="427"/>
      <c r="J274" s="106"/>
      <c r="K274" s="152"/>
    </row>
    <row r="275" spans="2:11" x14ac:dyDescent="0.25">
      <c r="B275" s="106"/>
      <c r="C275" s="186"/>
      <c r="F275" s="152"/>
      <c r="G275" s="427"/>
      <c r="J275" s="106"/>
      <c r="K275" s="152"/>
    </row>
    <row r="276" spans="2:11" x14ac:dyDescent="0.25">
      <c r="B276" s="106"/>
      <c r="C276" s="186"/>
      <c r="F276" s="152"/>
      <c r="G276" s="427"/>
      <c r="J276" s="106"/>
      <c r="K276" s="152"/>
    </row>
    <row r="277" spans="2:11" x14ac:dyDescent="0.25">
      <c r="B277" s="106"/>
      <c r="C277" s="186"/>
      <c r="F277" s="152"/>
      <c r="G277" s="427"/>
      <c r="J277" s="106"/>
      <c r="K277" s="152"/>
    </row>
    <row r="278" spans="2:11" x14ac:dyDescent="0.25">
      <c r="B278" s="106"/>
      <c r="C278" s="186"/>
      <c r="F278" s="152"/>
      <c r="G278" s="427"/>
      <c r="J278" s="106"/>
      <c r="K278" s="152"/>
    </row>
    <row r="279" spans="2:11" x14ac:dyDescent="0.25">
      <c r="B279" s="106"/>
      <c r="C279" s="186"/>
      <c r="F279" s="152"/>
      <c r="G279" s="427"/>
      <c r="J279" s="106"/>
      <c r="K279" s="152"/>
    </row>
    <row r="280" spans="2:11" x14ac:dyDescent="0.25">
      <c r="B280" s="106"/>
      <c r="C280" s="186"/>
      <c r="F280" s="152"/>
      <c r="G280" s="427"/>
      <c r="J280" s="106"/>
      <c r="K280" s="152"/>
    </row>
    <row r="281" spans="2:11" x14ac:dyDescent="0.25">
      <c r="B281" s="106"/>
      <c r="C281" s="186"/>
      <c r="F281" s="152"/>
      <c r="G281" s="427"/>
      <c r="J281" s="106"/>
      <c r="K281" s="152"/>
    </row>
    <row r="282" spans="2:11" x14ac:dyDescent="0.25">
      <c r="B282" s="106"/>
      <c r="D282" s="78"/>
      <c r="F282" s="152"/>
      <c r="G282" s="427"/>
      <c r="J282" s="106"/>
      <c r="K282" s="152"/>
    </row>
    <row r="283" spans="2:11" x14ac:dyDescent="0.25">
      <c r="B283" s="106"/>
      <c r="F283" s="152"/>
      <c r="G283" s="427"/>
      <c r="J283" s="106"/>
      <c r="K283" s="152"/>
    </row>
    <row r="284" spans="2:11" x14ac:dyDescent="0.25">
      <c r="B284" s="106"/>
      <c r="F284" s="152"/>
      <c r="G284" s="427"/>
      <c r="J284" s="106"/>
      <c r="K284" s="152"/>
    </row>
    <row r="285" spans="2:11" x14ac:dyDescent="0.25">
      <c r="B285" s="106"/>
      <c r="F285" s="152"/>
      <c r="G285" s="427"/>
      <c r="J285" s="106"/>
      <c r="K285" s="152"/>
    </row>
    <row r="286" spans="2:11" x14ac:dyDescent="0.25">
      <c r="B286" s="106"/>
      <c r="F286" s="152"/>
      <c r="G286" s="427"/>
      <c r="J286" s="106"/>
      <c r="K286" s="152"/>
    </row>
    <row r="287" spans="2:11" x14ac:dyDescent="0.25">
      <c r="B287" s="106"/>
      <c r="C287" s="186"/>
      <c r="F287" s="152"/>
      <c r="G287" s="427"/>
      <c r="J287" s="106"/>
      <c r="K287" s="152"/>
    </row>
    <row r="288" spans="2:11" x14ac:dyDescent="0.25">
      <c r="B288" s="106"/>
      <c r="C288" s="186"/>
      <c r="F288" s="152"/>
      <c r="G288" s="427"/>
      <c r="J288" s="106"/>
      <c r="K288" s="152"/>
    </row>
    <row r="289" spans="2:11" x14ac:dyDescent="0.25">
      <c r="B289" s="106"/>
      <c r="C289" s="186"/>
      <c r="F289" s="152"/>
      <c r="G289" s="427"/>
      <c r="J289" s="106"/>
      <c r="K289" s="152"/>
    </row>
    <row r="290" spans="2:11" x14ac:dyDescent="0.25">
      <c r="B290" s="106"/>
      <c r="C290" s="186"/>
      <c r="F290" s="152"/>
      <c r="G290" s="427"/>
      <c r="J290" s="106"/>
      <c r="K290" s="152"/>
    </row>
    <row r="291" spans="2:11" x14ac:dyDescent="0.25">
      <c r="B291" s="106"/>
      <c r="C291" s="186"/>
      <c r="F291" s="152"/>
      <c r="G291" s="427"/>
      <c r="J291" s="106"/>
      <c r="K291" s="152"/>
    </row>
    <row r="292" spans="2:11" x14ac:dyDescent="0.25">
      <c r="B292" s="106"/>
      <c r="C292" s="186"/>
      <c r="F292" s="152"/>
      <c r="G292" s="427"/>
      <c r="J292" s="106"/>
      <c r="K292" s="152"/>
    </row>
    <row r="293" spans="2:11" x14ac:dyDescent="0.25">
      <c r="B293" s="106"/>
      <c r="C293" s="186"/>
      <c r="F293" s="152"/>
      <c r="G293" s="427"/>
      <c r="J293" s="106"/>
      <c r="K293" s="152"/>
    </row>
    <row r="294" spans="2:11" x14ac:dyDescent="0.25">
      <c r="B294" s="106"/>
      <c r="D294" s="78"/>
      <c r="F294" s="152"/>
      <c r="G294" s="427"/>
      <c r="J294" s="106"/>
      <c r="K294" s="152"/>
    </row>
    <row r="295" spans="2:11" x14ac:dyDescent="0.25">
      <c r="B295" s="106"/>
      <c r="F295" s="152"/>
      <c r="G295" s="427"/>
      <c r="J295" s="106"/>
      <c r="K295" s="152"/>
    </row>
    <row r="296" spans="2:11" x14ac:dyDescent="0.25">
      <c r="B296" s="106"/>
      <c r="F296" s="152"/>
      <c r="G296" s="427"/>
      <c r="J296" s="106"/>
      <c r="K296" s="152"/>
    </row>
    <row r="297" spans="2:11" x14ac:dyDescent="0.25">
      <c r="B297" s="106"/>
      <c r="C297" s="78"/>
      <c r="F297" s="152"/>
      <c r="G297" s="427"/>
      <c r="J297" s="106"/>
      <c r="K297" s="152"/>
    </row>
    <row r="298" spans="2:11" x14ac:dyDescent="0.25">
      <c r="B298" s="106"/>
      <c r="F298" s="152"/>
      <c r="G298" s="427"/>
      <c r="J298" s="106"/>
      <c r="K298" s="152"/>
    </row>
    <row r="299" spans="2:11" x14ac:dyDescent="0.25">
      <c r="B299" s="106"/>
      <c r="F299" s="152"/>
      <c r="G299" s="427"/>
      <c r="J299" s="106"/>
      <c r="K299" s="152"/>
    </row>
    <row r="300" spans="2:11" x14ac:dyDescent="0.25">
      <c r="B300" s="106"/>
      <c r="C300" s="186"/>
      <c r="F300" s="152"/>
      <c r="G300" s="427"/>
      <c r="J300" s="106"/>
      <c r="K300" s="152"/>
    </row>
    <row r="301" spans="2:11" x14ac:dyDescent="0.25">
      <c r="B301" s="106"/>
      <c r="C301" s="186"/>
      <c r="F301" s="152"/>
      <c r="G301" s="427"/>
      <c r="J301" s="106"/>
      <c r="K301" s="152"/>
    </row>
    <row r="302" spans="2:11" x14ac:dyDescent="0.25">
      <c r="B302" s="106"/>
      <c r="C302" s="186"/>
      <c r="F302" s="152"/>
      <c r="G302" s="427"/>
      <c r="J302" s="106"/>
      <c r="K302" s="152"/>
    </row>
    <row r="303" spans="2:11" x14ac:dyDescent="0.25">
      <c r="B303" s="106"/>
      <c r="F303" s="152"/>
      <c r="G303" s="427"/>
      <c r="J303" s="106"/>
      <c r="K303" s="152"/>
    </row>
    <row r="304" spans="2:11" x14ac:dyDescent="0.25">
      <c r="B304" s="106"/>
      <c r="F304" s="152"/>
      <c r="G304" s="427"/>
      <c r="J304" s="106"/>
      <c r="K304" s="152"/>
    </row>
    <row r="305" spans="2:11" x14ac:dyDescent="0.25">
      <c r="B305" s="106"/>
      <c r="C305" s="186"/>
      <c r="F305" s="152"/>
      <c r="G305" s="427"/>
      <c r="J305" s="106"/>
      <c r="K305" s="152"/>
    </row>
    <row r="306" spans="2:11" x14ac:dyDescent="0.25">
      <c r="B306" s="106"/>
      <c r="D306" s="78"/>
      <c r="F306" s="152"/>
      <c r="G306" s="427"/>
      <c r="J306" s="106"/>
      <c r="K306" s="152"/>
    </row>
    <row r="307" spans="2:11" x14ac:dyDescent="0.25">
      <c r="B307" s="106"/>
      <c r="F307" s="152"/>
      <c r="G307" s="427"/>
      <c r="J307" s="106"/>
      <c r="K307" s="152"/>
    </row>
    <row r="308" spans="2:11" x14ac:dyDescent="0.25">
      <c r="B308" s="106"/>
      <c r="D308" s="78"/>
      <c r="F308" s="152"/>
      <c r="G308" s="427"/>
      <c r="J308" s="106"/>
      <c r="K308" s="152"/>
    </row>
    <row r="309" spans="2:11" x14ac:dyDescent="0.25">
      <c r="B309" s="106"/>
      <c r="F309" s="152"/>
      <c r="G309" s="427"/>
      <c r="J309" s="106"/>
      <c r="K309" s="152"/>
    </row>
    <row r="310" spans="2:11" x14ac:dyDescent="0.25">
      <c r="B310" s="106"/>
      <c r="D310" s="78"/>
      <c r="F310" s="152"/>
      <c r="G310" s="427"/>
      <c r="J310" s="106"/>
      <c r="K310" s="152"/>
    </row>
    <row r="311" spans="2:11" x14ac:dyDescent="0.25">
      <c r="B311" s="106"/>
      <c r="F311" s="152"/>
      <c r="G311" s="427"/>
      <c r="J311" s="106"/>
      <c r="K311" s="152"/>
    </row>
    <row r="312" spans="2:11" x14ac:dyDescent="0.25">
      <c r="B312" s="106"/>
      <c r="F312" s="152"/>
      <c r="G312" s="427"/>
      <c r="J312" s="106"/>
      <c r="K312" s="152"/>
    </row>
    <row r="313" spans="2:11" x14ac:dyDescent="0.25">
      <c r="B313" s="106"/>
      <c r="C313" s="78"/>
      <c r="F313" s="152"/>
      <c r="G313" s="427"/>
      <c r="J313" s="106"/>
      <c r="K313" s="152"/>
    </row>
    <row r="314" spans="2:11" x14ac:dyDescent="0.25">
      <c r="B314" s="106"/>
      <c r="C314" s="186"/>
      <c r="F314" s="152"/>
      <c r="G314" s="427"/>
      <c r="J314" s="106"/>
      <c r="K314" s="152"/>
    </row>
    <row r="315" spans="2:11" x14ac:dyDescent="0.25">
      <c r="B315" s="106"/>
      <c r="C315" s="186"/>
      <c r="F315" s="152"/>
      <c r="G315" s="427"/>
      <c r="J315" s="106"/>
      <c r="K315" s="152"/>
    </row>
    <row r="316" spans="2:11" x14ac:dyDescent="0.25">
      <c r="B316" s="106"/>
      <c r="C316" s="186"/>
      <c r="F316" s="152"/>
      <c r="G316" s="427"/>
      <c r="J316" s="106"/>
      <c r="K316" s="152"/>
    </row>
    <row r="317" spans="2:11" x14ac:dyDescent="0.25">
      <c r="B317" s="106"/>
      <c r="F317" s="152"/>
      <c r="G317" s="427"/>
      <c r="J317" s="106"/>
      <c r="K317" s="152"/>
    </row>
    <row r="318" spans="2:11" x14ac:dyDescent="0.25">
      <c r="B318" s="106"/>
      <c r="F318" s="152"/>
      <c r="G318" s="427"/>
      <c r="J318" s="106"/>
      <c r="K318" s="152"/>
    </row>
    <row r="319" spans="2:11" x14ac:dyDescent="0.25">
      <c r="B319" s="106"/>
      <c r="C319" s="186"/>
      <c r="F319" s="152"/>
      <c r="G319" s="427"/>
      <c r="J319" s="106"/>
      <c r="K319" s="152"/>
    </row>
    <row r="320" spans="2:11" x14ac:dyDescent="0.25">
      <c r="B320" s="106"/>
      <c r="D320" s="78"/>
      <c r="F320" s="152"/>
      <c r="G320" s="427"/>
      <c r="J320" s="106"/>
      <c r="K320" s="152"/>
    </row>
    <row r="321" spans="2:11" x14ac:dyDescent="0.25">
      <c r="B321" s="106"/>
      <c r="F321" s="152"/>
      <c r="G321" s="427"/>
      <c r="J321" s="106"/>
      <c r="K321" s="152"/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2993"/>
  <sheetViews>
    <sheetView topLeftCell="A2876" zoomScaleNormal="100" workbookViewId="0">
      <selection activeCell="E2882" sqref="E2882"/>
    </sheetView>
  </sheetViews>
  <sheetFormatPr defaultRowHeight="15" x14ac:dyDescent="0.25"/>
  <cols>
    <col min="1" max="1" width="3.85546875" style="746" customWidth="1"/>
    <col min="2" max="2" width="5.42578125" style="746" customWidth="1"/>
    <col min="3" max="3" width="2.140625" style="746" customWidth="1"/>
    <col min="4" max="4" width="2.42578125" style="746" customWidth="1"/>
    <col min="5" max="5" width="43.5703125" style="746" customWidth="1"/>
    <col min="6" max="6" width="4.85546875" style="836" customWidth="1"/>
    <col min="7" max="7" width="10.5703125" style="782" bestFit="1" customWidth="1"/>
    <col min="8" max="8" width="7.28515625" style="746" customWidth="1"/>
    <col min="9" max="9" width="3.85546875" style="780" customWidth="1"/>
    <col min="10" max="10" width="7.7109375" style="824" customWidth="1"/>
    <col min="11" max="11" width="3.85546875" style="746" customWidth="1"/>
    <col min="12" max="12" width="7.7109375" style="825" customWidth="1"/>
    <col min="13" max="16384" width="9.140625" style="746"/>
  </cols>
  <sheetData>
    <row r="1" spans="1:8" x14ac:dyDescent="0.25">
      <c r="A1" s="819"/>
      <c r="B1" s="820"/>
      <c r="C1" s="820"/>
      <c r="D1" s="820"/>
      <c r="E1" s="820"/>
      <c r="F1" s="821"/>
      <c r="G1" s="822"/>
      <c r="H1" s="823"/>
    </row>
    <row r="2" spans="1:8" ht="18.75" x14ac:dyDescent="0.3">
      <c r="A2" s="826"/>
      <c r="B2" s="619"/>
      <c r="C2" s="619"/>
      <c r="D2" s="619"/>
      <c r="E2" s="620" t="s">
        <v>6685</v>
      </c>
      <c r="F2" s="827"/>
      <c r="G2" s="777"/>
      <c r="H2" s="828"/>
    </row>
    <row r="3" spans="1:8" x14ac:dyDescent="0.25">
      <c r="A3" s="826"/>
      <c r="B3" s="619"/>
      <c r="C3" s="619"/>
      <c r="D3" s="619"/>
      <c r="E3" s="619"/>
      <c r="F3" s="827"/>
      <c r="G3" s="777"/>
      <c r="H3" s="828"/>
    </row>
    <row r="4" spans="1:8" x14ac:dyDescent="0.25">
      <c r="A4" s="826"/>
      <c r="B4" s="619"/>
      <c r="C4" s="615" t="s">
        <v>6684</v>
      </c>
      <c r="D4" s="619"/>
      <c r="E4" s="619"/>
      <c r="F4" s="827"/>
      <c r="G4" s="777"/>
      <c r="H4" s="828"/>
    </row>
    <row r="5" spans="1:8" x14ac:dyDescent="0.25">
      <c r="A5" s="826"/>
      <c r="B5" s="619"/>
      <c r="C5" s="619" t="s">
        <v>6683</v>
      </c>
      <c r="D5" s="619"/>
      <c r="E5" s="619"/>
      <c r="F5" s="827" t="s">
        <v>3</v>
      </c>
      <c r="G5" s="777">
        <f>0.06*0.016*1*8*1.15</f>
        <v>8.8319999999999996E-3</v>
      </c>
      <c r="H5" s="828"/>
    </row>
    <row r="6" spans="1:8" x14ac:dyDescent="0.25">
      <c r="A6" s="826"/>
      <c r="B6" s="619"/>
      <c r="C6" s="619"/>
      <c r="D6" s="619"/>
      <c r="E6" s="619"/>
      <c r="F6" s="827"/>
      <c r="G6" s="777"/>
      <c r="H6" s="828"/>
    </row>
    <row r="7" spans="1:8" ht="15.75" thickBot="1" x14ac:dyDescent="0.3">
      <c r="A7" s="829"/>
      <c r="B7" s="830"/>
      <c r="C7" s="830"/>
      <c r="D7" s="830"/>
      <c r="E7" s="830"/>
      <c r="F7" s="831"/>
      <c r="G7" s="832"/>
      <c r="H7" s="833"/>
    </row>
    <row r="8" spans="1:8" x14ac:dyDescent="0.25">
      <c r="A8" s="819"/>
      <c r="B8" s="820"/>
      <c r="C8" s="820"/>
      <c r="D8" s="820"/>
      <c r="E8" s="820"/>
      <c r="F8" s="821"/>
      <c r="G8" s="822"/>
      <c r="H8" s="622" t="s">
        <v>6682</v>
      </c>
    </row>
    <row r="9" spans="1:8" ht="18.75" x14ac:dyDescent="0.3">
      <c r="A9" s="826"/>
      <c r="B9" s="619"/>
      <c r="C9" s="619"/>
      <c r="D9" s="619"/>
      <c r="E9" s="620" t="s">
        <v>6681</v>
      </c>
      <c r="F9" s="827"/>
      <c r="G9" s="777"/>
      <c r="H9" s="828"/>
    </row>
    <row r="10" spans="1:8" x14ac:dyDescent="0.25">
      <c r="A10" s="826"/>
      <c r="B10" s="619"/>
      <c r="C10" s="619"/>
      <c r="D10" s="619"/>
      <c r="E10" s="619"/>
      <c r="F10" s="827"/>
      <c r="G10" s="777"/>
      <c r="H10" s="828"/>
    </row>
    <row r="11" spans="1:8" x14ac:dyDescent="0.25">
      <c r="A11" s="826"/>
      <c r="B11" s="619"/>
      <c r="C11" s="615" t="s">
        <v>6680</v>
      </c>
      <c r="D11" s="619"/>
      <c r="E11" s="619"/>
      <c r="F11" s="827"/>
      <c r="G11" s="777"/>
      <c r="H11" s="828"/>
    </row>
    <row r="12" spans="1:8" x14ac:dyDescent="0.25">
      <c r="A12" s="826"/>
      <c r="B12" s="619"/>
      <c r="C12" s="619" t="s">
        <v>6673</v>
      </c>
      <c r="D12" s="619"/>
      <c r="E12" s="619"/>
      <c r="F12" s="827" t="s">
        <v>3</v>
      </c>
      <c r="G12" s="777">
        <f>0.08*0.045*1.5*8*1.15</f>
        <v>4.9680000000000002E-2</v>
      </c>
      <c r="H12" s="828"/>
    </row>
    <row r="13" spans="1:8" x14ac:dyDescent="0.25">
      <c r="A13" s="826"/>
      <c r="B13" s="619"/>
      <c r="C13" s="619"/>
      <c r="D13" s="619"/>
      <c r="E13" s="619"/>
      <c r="F13" s="827"/>
      <c r="G13" s="777"/>
      <c r="H13" s="828"/>
    </row>
    <row r="14" spans="1:8" x14ac:dyDescent="0.25">
      <c r="A14" s="826"/>
      <c r="B14" s="619"/>
      <c r="C14" s="618" t="s">
        <v>6679</v>
      </c>
      <c r="D14" s="619"/>
      <c r="E14" s="619"/>
      <c r="F14" s="827"/>
      <c r="G14" s="777"/>
      <c r="H14" s="828"/>
    </row>
    <row r="15" spans="1:8" x14ac:dyDescent="0.25">
      <c r="A15" s="826"/>
      <c r="B15" s="619"/>
      <c r="C15" s="619" t="s">
        <v>6676</v>
      </c>
      <c r="D15" s="619"/>
      <c r="E15" s="619"/>
      <c r="F15" s="827" t="s">
        <v>3</v>
      </c>
      <c r="G15" s="777">
        <f>0.275*0.235*2*8*1.132</f>
        <v>1.170488</v>
      </c>
      <c r="H15" s="828"/>
    </row>
    <row r="16" spans="1:8" x14ac:dyDescent="0.25">
      <c r="A16" s="826"/>
      <c r="B16" s="619"/>
      <c r="C16" s="619"/>
      <c r="D16" s="619"/>
      <c r="E16" s="619"/>
      <c r="F16" s="827"/>
      <c r="G16" s="777"/>
      <c r="H16" s="828"/>
    </row>
    <row r="17" spans="1:8" x14ac:dyDescent="0.25">
      <c r="A17" s="826"/>
      <c r="B17" s="619"/>
      <c r="C17" s="618" t="s">
        <v>6678</v>
      </c>
      <c r="D17" s="619"/>
      <c r="E17" s="619"/>
      <c r="F17" s="827"/>
      <c r="G17" s="777"/>
      <c r="H17" s="828"/>
    </row>
    <row r="18" spans="1:8" x14ac:dyDescent="0.25">
      <c r="A18" s="826"/>
      <c r="B18" s="619"/>
      <c r="C18" s="619" t="s">
        <v>6676</v>
      </c>
      <c r="D18" s="619"/>
      <c r="E18" s="619"/>
      <c r="F18" s="827" t="s">
        <v>3</v>
      </c>
      <c r="G18" s="777">
        <f>0.05*0.88*2*8*1.137</f>
        <v>0.80044800000000005</v>
      </c>
      <c r="H18" s="828"/>
    </row>
    <row r="19" spans="1:8" x14ac:dyDescent="0.25">
      <c r="A19" s="826"/>
      <c r="B19" s="619"/>
      <c r="C19" s="619"/>
      <c r="D19" s="619"/>
      <c r="E19" s="619"/>
      <c r="F19" s="827"/>
      <c r="G19" s="777"/>
      <c r="H19" s="828"/>
    </row>
    <row r="20" spans="1:8" x14ac:dyDescent="0.25">
      <c r="A20" s="826"/>
      <c r="B20" s="619"/>
      <c r="C20" s="615" t="s">
        <v>6677</v>
      </c>
      <c r="D20" s="619"/>
      <c r="E20" s="619"/>
      <c r="F20" s="827"/>
      <c r="G20" s="777"/>
      <c r="H20" s="828"/>
    </row>
    <row r="21" spans="1:8" x14ac:dyDescent="0.25">
      <c r="A21" s="826"/>
      <c r="B21" s="619"/>
      <c r="C21" s="619" t="s">
        <v>6676</v>
      </c>
      <c r="D21" s="619"/>
      <c r="E21" s="619"/>
      <c r="F21" s="827" t="s">
        <v>3</v>
      </c>
      <c r="G21" s="777">
        <f>0.05*0.59*2*8*1.145</f>
        <v>0.54044000000000003</v>
      </c>
      <c r="H21" s="828"/>
    </row>
    <row r="22" spans="1:8" x14ac:dyDescent="0.25">
      <c r="A22" s="826"/>
      <c r="B22" s="619"/>
      <c r="C22" s="619"/>
      <c r="D22" s="619"/>
      <c r="E22" s="619"/>
      <c r="F22" s="827"/>
      <c r="G22" s="777"/>
      <c r="H22" s="828"/>
    </row>
    <row r="23" spans="1:8" x14ac:dyDescent="0.25">
      <c r="A23" s="826"/>
      <c r="B23" s="619"/>
      <c r="C23" s="615" t="s">
        <v>6675</v>
      </c>
      <c r="D23" s="619"/>
      <c r="E23" s="619"/>
      <c r="F23" s="827"/>
      <c r="G23" s="777"/>
      <c r="H23" s="828"/>
    </row>
    <row r="24" spans="1:8" x14ac:dyDescent="0.25">
      <c r="A24" s="826"/>
      <c r="B24" s="619"/>
      <c r="C24" s="619" t="s">
        <v>6673</v>
      </c>
      <c r="D24" s="619"/>
      <c r="E24" s="619"/>
      <c r="F24" s="827" t="s">
        <v>3</v>
      </c>
      <c r="G24" s="777">
        <f>0.05*0.135*1.5*8*1.14</f>
        <v>9.2340000000000005E-2</v>
      </c>
      <c r="H24" s="828"/>
    </row>
    <row r="25" spans="1:8" x14ac:dyDescent="0.25">
      <c r="A25" s="826"/>
      <c r="B25" s="619"/>
      <c r="C25" s="619"/>
      <c r="D25" s="619"/>
      <c r="E25" s="619"/>
      <c r="F25" s="827"/>
      <c r="G25" s="777"/>
      <c r="H25" s="828"/>
    </row>
    <row r="26" spans="1:8" x14ac:dyDescent="0.25">
      <c r="A26" s="826"/>
      <c r="B26" s="619"/>
      <c r="C26" s="615" t="s">
        <v>6674</v>
      </c>
      <c r="D26" s="619"/>
      <c r="E26" s="619"/>
      <c r="F26" s="827"/>
      <c r="G26" s="777"/>
      <c r="H26" s="828"/>
    </row>
    <row r="27" spans="1:8" x14ac:dyDescent="0.25">
      <c r="A27" s="826"/>
      <c r="B27" s="619"/>
      <c r="C27" s="619" t="s">
        <v>6673</v>
      </c>
      <c r="D27" s="619"/>
      <c r="E27" s="619"/>
      <c r="F27" s="827" t="s">
        <v>3</v>
      </c>
      <c r="G27" s="777">
        <f>0.08*0.025*1.5*8*1.15</f>
        <v>2.76E-2</v>
      </c>
      <c r="H27" s="828"/>
    </row>
    <row r="28" spans="1:8" x14ac:dyDescent="0.25">
      <c r="A28" s="826"/>
      <c r="B28" s="619"/>
      <c r="C28" s="619"/>
      <c r="D28" s="619"/>
      <c r="E28" s="619"/>
      <c r="F28" s="827"/>
      <c r="G28" s="777"/>
      <c r="H28" s="828"/>
    </row>
    <row r="29" spans="1:8" x14ac:dyDescent="0.25">
      <c r="A29" s="826"/>
      <c r="B29" s="619"/>
      <c r="C29" s="615" t="s">
        <v>6672</v>
      </c>
      <c r="D29" s="619"/>
      <c r="E29" s="619"/>
      <c r="F29" s="827"/>
      <c r="G29" s="777"/>
      <c r="H29" s="828"/>
    </row>
    <row r="30" spans="1:8" x14ac:dyDescent="0.25">
      <c r="A30" s="826"/>
      <c r="B30" s="619"/>
      <c r="C30" s="834" t="s">
        <v>39</v>
      </c>
      <c r="D30" s="619"/>
      <c r="E30" s="619"/>
      <c r="F30" s="827" t="s">
        <v>3</v>
      </c>
      <c r="G30" s="785">
        <f>(0.032+0.15+0.45)*0.08*1.18</f>
        <v>5.96608E-2</v>
      </c>
      <c r="H30" s="828"/>
    </row>
    <row r="31" spans="1:8" ht="17.25" x14ac:dyDescent="0.25">
      <c r="A31" s="826"/>
      <c r="B31" s="619"/>
      <c r="C31" s="834" t="s">
        <v>1055</v>
      </c>
      <c r="D31" s="619"/>
      <c r="E31" s="619"/>
      <c r="F31" s="827" t="s">
        <v>596</v>
      </c>
      <c r="G31" s="777">
        <f>1.5*G30+0.001</f>
        <v>9.0491199999999994E-2</v>
      </c>
      <c r="H31" s="828"/>
    </row>
    <row r="32" spans="1:8" x14ac:dyDescent="0.25">
      <c r="A32" s="826"/>
      <c r="B32" s="619"/>
      <c r="C32" s="619"/>
      <c r="D32" s="615" t="s">
        <v>6671</v>
      </c>
      <c r="E32" s="619"/>
      <c r="F32" s="827"/>
      <c r="G32" s="777"/>
      <c r="H32" s="828"/>
    </row>
    <row r="33" spans="1:9" x14ac:dyDescent="0.25">
      <c r="A33" s="826"/>
      <c r="B33" s="619"/>
      <c r="C33" s="619"/>
      <c r="D33" s="834" t="s">
        <v>39</v>
      </c>
      <c r="E33" s="619"/>
      <c r="F33" s="827" t="s">
        <v>3</v>
      </c>
      <c r="G33" s="785">
        <f>0.1*0.08*1.2</f>
        <v>9.5999999999999992E-3</v>
      </c>
      <c r="H33" s="828"/>
    </row>
    <row r="34" spans="1:9" ht="17.25" x14ac:dyDescent="0.25">
      <c r="A34" s="826"/>
      <c r="B34" s="619"/>
      <c r="C34" s="619"/>
      <c r="D34" s="834" t="s">
        <v>1055</v>
      </c>
      <c r="E34" s="619"/>
      <c r="F34" s="827" t="s">
        <v>596</v>
      </c>
      <c r="G34" s="777">
        <f>1.5*G33</f>
        <v>1.44E-2</v>
      </c>
      <c r="H34" s="828"/>
    </row>
    <row r="35" spans="1:9" x14ac:dyDescent="0.25">
      <c r="A35" s="826"/>
      <c r="B35" s="619"/>
      <c r="C35" s="619"/>
      <c r="D35" s="619"/>
      <c r="E35" s="615" t="s">
        <v>6670</v>
      </c>
      <c r="F35" s="827"/>
      <c r="G35" s="777"/>
      <c r="H35" s="828"/>
    </row>
    <row r="36" spans="1:9" x14ac:dyDescent="0.25">
      <c r="A36" s="826"/>
      <c r="B36" s="619"/>
      <c r="C36" s="619"/>
      <c r="D36" s="619"/>
      <c r="E36" s="619" t="s">
        <v>6669</v>
      </c>
      <c r="F36" s="827" t="s">
        <v>3</v>
      </c>
      <c r="G36" s="777">
        <v>0.19</v>
      </c>
      <c r="H36" s="828"/>
      <c r="I36" s="780" t="s">
        <v>6668</v>
      </c>
    </row>
    <row r="37" spans="1:9" x14ac:dyDescent="0.25">
      <c r="A37" s="826"/>
      <c r="B37" s="619"/>
      <c r="C37" s="619"/>
      <c r="D37" s="619"/>
      <c r="E37" s="615" t="s">
        <v>6667</v>
      </c>
      <c r="F37" s="827"/>
      <c r="G37" s="777"/>
      <c r="H37" s="828"/>
    </row>
    <row r="38" spans="1:9" x14ac:dyDescent="0.25">
      <c r="A38" s="826"/>
      <c r="B38" s="619"/>
      <c r="C38" s="619"/>
      <c r="D38" s="619"/>
      <c r="E38" s="619" t="s">
        <v>6666</v>
      </c>
      <c r="F38" s="827" t="s">
        <v>3</v>
      </c>
      <c r="G38" s="777">
        <v>0.08</v>
      </c>
      <c r="H38" s="828"/>
      <c r="I38" s="780" t="s">
        <v>6665</v>
      </c>
    </row>
    <row r="39" spans="1:9" x14ac:dyDescent="0.25">
      <c r="A39" s="826"/>
      <c r="B39" s="619"/>
      <c r="C39" s="619"/>
      <c r="D39" s="615" t="s">
        <v>6664</v>
      </c>
      <c r="E39" s="619"/>
      <c r="F39" s="827"/>
      <c r="G39" s="777"/>
      <c r="H39" s="828"/>
    </row>
    <row r="40" spans="1:9" x14ac:dyDescent="0.25">
      <c r="A40" s="826"/>
      <c r="B40" s="619"/>
      <c r="C40" s="619"/>
      <c r="D40" s="619" t="s">
        <v>6663</v>
      </c>
      <c r="E40" s="619"/>
      <c r="F40" s="827" t="s">
        <v>3</v>
      </c>
      <c r="G40" s="777">
        <f>0.23*0.11*3*8*1.12</f>
        <v>0.680064</v>
      </c>
      <c r="H40" s="828"/>
    </row>
    <row r="41" spans="1:9" x14ac:dyDescent="0.25">
      <c r="A41" s="826"/>
      <c r="B41" s="619"/>
      <c r="C41" s="619"/>
      <c r="D41" s="615" t="s">
        <v>6662</v>
      </c>
      <c r="E41" s="619"/>
      <c r="F41" s="827"/>
      <c r="G41" s="777"/>
      <c r="H41" s="828"/>
    </row>
    <row r="42" spans="1:9" x14ac:dyDescent="0.25">
      <c r="A42" s="826"/>
      <c r="B42" s="619"/>
      <c r="C42" s="619"/>
      <c r="D42" s="619" t="s">
        <v>6661</v>
      </c>
      <c r="E42" s="619"/>
      <c r="F42" s="827" t="s">
        <v>3</v>
      </c>
      <c r="G42" s="777">
        <f>0.02*0.008*4*8*1.15</f>
        <v>5.888E-3</v>
      </c>
      <c r="H42" s="828"/>
    </row>
    <row r="43" spans="1:9" x14ac:dyDescent="0.25">
      <c r="A43" s="826"/>
      <c r="B43" s="619"/>
      <c r="C43" s="619"/>
      <c r="D43" s="615" t="s">
        <v>6660</v>
      </c>
      <c r="E43" s="619"/>
      <c r="F43" s="827"/>
      <c r="G43" s="777"/>
      <c r="H43" s="828"/>
    </row>
    <row r="44" spans="1:9" x14ac:dyDescent="0.25">
      <c r="A44" s="826"/>
      <c r="B44" s="619"/>
      <c r="C44" s="619"/>
      <c r="D44" s="619" t="s">
        <v>6659</v>
      </c>
      <c r="E44" s="619"/>
      <c r="F44" s="827" t="s">
        <v>207</v>
      </c>
      <c r="G44" s="777">
        <f>0.23*0.095*1.15</f>
        <v>2.5127500000000001E-2</v>
      </c>
      <c r="H44" s="828"/>
    </row>
    <row r="45" spans="1:9" x14ac:dyDescent="0.25">
      <c r="A45" s="826"/>
      <c r="B45" s="619"/>
      <c r="C45" s="619"/>
      <c r="D45" s="619"/>
      <c r="E45" s="619"/>
      <c r="F45" s="827"/>
      <c r="G45" s="777"/>
      <c r="H45" s="828"/>
    </row>
    <row r="46" spans="1:9" x14ac:dyDescent="0.25">
      <c r="A46" s="826"/>
      <c r="B46" s="619"/>
      <c r="C46" s="615" t="s">
        <v>6658</v>
      </c>
      <c r="D46" s="619"/>
      <c r="E46" s="619"/>
      <c r="F46" s="827"/>
      <c r="G46" s="777"/>
      <c r="H46" s="828"/>
    </row>
    <row r="47" spans="1:9" x14ac:dyDescent="0.25">
      <c r="A47" s="826"/>
      <c r="B47" s="619"/>
      <c r="C47" s="619" t="s">
        <v>4820</v>
      </c>
      <c r="D47" s="619"/>
      <c r="E47" s="619"/>
      <c r="F47" s="827" t="s">
        <v>3</v>
      </c>
      <c r="G47" s="777">
        <f>0.025*0.006*3*8*1.15</f>
        <v>4.1400000000000005E-3</v>
      </c>
      <c r="H47" s="828"/>
    </row>
    <row r="48" spans="1:9" x14ac:dyDescent="0.25">
      <c r="A48" s="826"/>
      <c r="B48" s="619"/>
      <c r="C48" s="619"/>
      <c r="D48" s="619"/>
      <c r="E48" s="619"/>
      <c r="F48" s="827"/>
      <c r="G48" s="777"/>
      <c r="H48" s="828"/>
    </row>
    <row r="49" spans="1:11" x14ac:dyDescent="0.25">
      <c r="A49" s="826"/>
      <c r="B49" s="619"/>
      <c r="C49" s="615" t="s">
        <v>6657</v>
      </c>
      <c r="D49" s="619"/>
      <c r="E49" s="619"/>
      <c r="F49" s="827"/>
      <c r="G49" s="777"/>
      <c r="H49" s="828"/>
    </row>
    <row r="50" spans="1:11" x14ac:dyDescent="0.25">
      <c r="A50" s="826"/>
      <c r="B50" s="619"/>
      <c r="C50" s="619" t="s">
        <v>6653</v>
      </c>
      <c r="D50" s="619"/>
      <c r="E50" s="619"/>
      <c r="F50" s="827" t="s">
        <v>3</v>
      </c>
      <c r="G50" s="777">
        <f>0.055*0.01*2*8*1.12</f>
        <v>9.8560000000000019E-3</v>
      </c>
      <c r="H50" s="828"/>
    </row>
    <row r="51" spans="1:11" x14ac:dyDescent="0.25">
      <c r="A51" s="826"/>
      <c r="B51" s="619"/>
      <c r="C51" s="619"/>
      <c r="D51" s="619"/>
      <c r="E51" s="619"/>
      <c r="F51" s="827"/>
      <c r="G51" s="777"/>
      <c r="H51" s="828"/>
    </row>
    <row r="52" spans="1:11" x14ac:dyDescent="0.25">
      <c r="A52" s="826"/>
      <c r="B52" s="619"/>
      <c r="C52" s="615" t="s">
        <v>6656</v>
      </c>
      <c r="D52" s="619"/>
      <c r="E52" s="619"/>
      <c r="F52" s="827"/>
      <c r="G52" s="777"/>
      <c r="H52" s="828"/>
    </row>
    <row r="53" spans="1:11" x14ac:dyDescent="0.25">
      <c r="A53" s="826"/>
      <c r="B53" s="619"/>
      <c r="C53" s="619" t="s">
        <v>6653</v>
      </c>
      <c r="D53" s="619"/>
      <c r="E53" s="619"/>
      <c r="F53" s="827" t="s">
        <v>3</v>
      </c>
      <c r="G53" s="777">
        <f>0.17*0.01*2*8*1.12</f>
        <v>3.0464000000000005E-2</v>
      </c>
      <c r="H53" s="828"/>
    </row>
    <row r="54" spans="1:11" x14ac:dyDescent="0.25">
      <c r="A54" s="826"/>
      <c r="B54" s="619"/>
      <c r="C54" s="619"/>
      <c r="D54" s="619"/>
      <c r="E54" s="619"/>
      <c r="F54" s="827"/>
      <c r="G54" s="777"/>
      <c r="H54" s="828"/>
    </row>
    <row r="55" spans="1:11" x14ac:dyDescent="0.25">
      <c r="A55" s="826"/>
      <c r="B55" s="619"/>
      <c r="C55" s="615" t="s">
        <v>6655</v>
      </c>
      <c r="D55" s="619"/>
      <c r="E55" s="619"/>
      <c r="F55" s="827"/>
      <c r="G55" s="777"/>
      <c r="H55" s="828"/>
    </row>
    <row r="56" spans="1:11" x14ac:dyDescent="0.25">
      <c r="A56" s="826"/>
      <c r="B56" s="619"/>
      <c r="C56" s="619" t="s">
        <v>6653</v>
      </c>
      <c r="D56" s="619"/>
      <c r="E56" s="619"/>
      <c r="F56" s="827" t="s">
        <v>3</v>
      </c>
      <c r="G56" s="777">
        <f>0.185*0.01*2*8*1.18</f>
        <v>3.4928000000000001E-2</v>
      </c>
      <c r="H56" s="828"/>
    </row>
    <row r="57" spans="1:11" x14ac:dyDescent="0.25">
      <c r="A57" s="826"/>
      <c r="B57" s="619"/>
      <c r="C57" s="619"/>
      <c r="D57" s="619"/>
      <c r="E57" s="619"/>
      <c r="F57" s="827"/>
      <c r="G57" s="777"/>
      <c r="H57" s="828"/>
    </row>
    <row r="58" spans="1:11" x14ac:dyDescent="0.25">
      <c r="A58" s="826"/>
      <c r="B58" s="619"/>
      <c r="C58" s="615" t="s">
        <v>6654</v>
      </c>
      <c r="D58" s="619"/>
      <c r="E58" s="619"/>
      <c r="F58" s="827"/>
      <c r="G58" s="777"/>
      <c r="H58" s="828"/>
    </row>
    <row r="59" spans="1:11" x14ac:dyDescent="0.25">
      <c r="A59" s="826"/>
      <c r="B59" s="619"/>
      <c r="C59" s="619" t="s">
        <v>6653</v>
      </c>
      <c r="D59" s="619"/>
      <c r="E59" s="619"/>
      <c r="F59" s="827" t="s">
        <v>3</v>
      </c>
      <c r="G59" s="777">
        <f>0.335*0.01*2*8*1.12</f>
        <v>6.0032000000000009E-2</v>
      </c>
      <c r="H59" s="828"/>
    </row>
    <row r="60" spans="1:11" ht="15.75" thickBot="1" x14ac:dyDescent="0.3">
      <c r="A60" s="829"/>
      <c r="B60" s="830"/>
      <c r="C60" s="830"/>
      <c r="D60" s="830"/>
      <c r="E60" s="830"/>
      <c r="F60" s="831"/>
      <c r="G60" s="832"/>
      <c r="H60" s="833"/>
    </row>
    <row r="61" spans="1:11" x14ac:dyDescent="0.25">
      <c r="A61" s="819"/>
      <c r="B61" s="820"/>
      <c r="C61" s="820"/>
      <c r="D61" s="820"/>
      <c r="E61" s="820"/>
      <c r="F61" s="821"/>
      <c r="G61" s="822"/>
      <c r="H61" s="622" t="s">
        <v>6652</v>
      </c>
    </row>
    <row r="62" spans="1:11" ht="18.75" x14ac:dyDescent="0.3">
      <c r="A62" s="826"/>
      <c r="B62" s="835"/>
      <c r="C62" s="619"/>
      <c r="D62" s="619"/>
      <c r="E62" s="621" t="s">
        <v>6651</v>
      </c>
      <c r="F62" s="827"/>
      <c r="G62" s="777"/>
      <c r="H62" s="828"/>
      <c r="K62" s="836"/>
    </row>
    <row r="63" spans="1:11" x14ac:dyDescent="0.25">
      <c r="A63" s="826"/>
      <c r="B63" s="835"/>
      <c r="C63" s="619"/>
      <c r="D63" s="619"/>
      <c r="E63" s="619"/>
      <c r="F63" s="827"/>
      <c r="G63" s="777"/>
      <c r="H63" s="828"/>
      <c r="K63" s="836"/>
    </row>
    <row r="64" spans="1:11" x14ac:dyDescent="0.25">
      <c r="A64" s="826"/>
      <c r="B64" s="835"/>
      <c r="C64" s="615" t="s">
        <v>6650</v>
      </c>
      <c r="D64" s="619"/>
      <c r="E64" s="619"/>
      <c r="F64" s="827"/>
      <c r="G64" s="777"/>
      <c r="H64" s="828"/>
      <c r="K64" s="836"/>
    </row>
    <row r="65" spans="1:11" x14ac:dyDescent="0.25">
      <c r="A65" s="826"/>
      <c r="B65" s="835"/>
      <c r="C65" s="619" t="s">
        <v>6648</v>
      </c>
      <c r="D65" s="619"/>
      <c r="E65" s="619"/>
      <c r="F65" s="827" t="s">
        <v>3</v>
      </c>
      <c r="G65" s="777">
        <f>0.375*0.195*1*2.7*1.12-0.001</f>
        <v>0.22013000000000002</v>
      </c>
      <c r="H65" s="828"/>
      <c r="K65" s="836"/>
    </row>
    <row r="66" spans="1:11" x14ac:dyDescent="0.25">
      <c r="A66" s="826"/>
      <c r="B66" s="835"/>
      <c r="C66" s="619"/>
      <c r="D66" s="619"/>
      <c r="E66" s="619"/>
      <c r="F66" s="827"/>
      <c r="G66" s="777"/>
      <c r="H66" s="828"/>
      <c r="K66" s="836"/>
    </row>
    <row r="67" spans="1:11" x14ac:dyDescent="0.25">
      <c r="A67" s="826"/>
      <c r="B67" s="835"/>
      <c r="C67" s="615" t="s">
        <v>6649</v>
      </c>
      <c r="D67" s="619"/>
      <c r="E67" s="619"/>
      <c r="F67" s="827"/>
      <c r="G67" s="777"/>
      <c r="H67" s="828"/>
      <c r="K67" s="836"/>
    </row>
    <row r="68" spans="1:11" x14ac:dyDescent="0.25">
      <c r="A68" s="826"/>
      <c r="B68" s="835"/>
      <c r="C68" s="619" t="s">
        <v>6648</v>
      </c>
      <c r="D68" s="619"/>
      <c r="E68" s="619"/>
      <c r="F68" s="827" t="s">
        <v>3</v>
      </c>
      <c r="G68" s="777">
        <f>0.405*0.145*1*2.7*1.165</f>
        <v>0.18471948750000003</v>
      </c>
      <c r="H68" s="828"/>
      <c r="K68" s="836"/>
    </row>
    <row r="69" spans="1:11" x14ac:dyDescent="0.25">
      <c r="A69" s="826"/>
      <c r="B69" s="835"/>
      <c r="C69" s="619"/>
      <c r="D69" s="619"/>
      <c r="E69" s="619"/>
      <c r="F69" s="827"/>
      <c r="G69" s="777"/>
      <c r="H69" s="828"/>
      <c r="K69" s="836"/>
    </row>
    <row r="70" spans="1:11" x14ac:dyDescent="0.25">
      <c r="A70" s="826"/>
      <c r="B70" s="835"/>
      <c r="C70" s="615" t="s">
        <v>6647</v>
      </c>
      <c r="D70" s="619"/>
      <c r="E70" s="619"/>
      <c r="F70" s="827"/>
      <c r="G70" s="777"/>
      <c r="H70" s="828"/>
      <c r="K70" s="836"/>
    </row>
    <row r="71" spans="1:11" x14ac:dyDescent="0.25">
      <c r="A71" s="826"/>
      <c r="B71" s="835"/>
      <c r="C71" s="834" t="s">
        <v>39</v>
      </c>
      <c r="D71" s="619"/>
      <c r="E71" s="619"/>
      <c r="F71" s="827" t="s">
        <v>3</v>
      </c>
      <c r="G71" s="785">
        <f>0.3*0.08*1.1</f>
        <v>2.6400000000000003E-2</v>
      </c>
      <c r="H71" s="828"/>
      <c r="K71" s="836"/>
    </row>
    <row r="72" spans="1:11" ht="17.25" x14ac:dyDescent="0.25">
      <c r="A72" s="826"/>
      <c r="B72" s="835"/>
      <c r="C72" s="834" t="s">
        <v>1055</v>
      </c>
      <c r="D72" s="619"/>
      <c r="E72" s="619"/>
      <c r="F72" s="827" t="s">
        <v>596</v>
      </c>
      <c r="G72" s="777">
        <f>1.5*G71</f>
        <v>3.9600000000000003E-2</v>
      </c>
      <c r="H72" s="828"/>
      <c r="K72" s="836"/>
    </row>
    <row r="73" spans="1:11" x14ac:dyDescent="0.25">
      <c r="A73" s="826"/>
      <c r="B73" s="835"/>
      <c r="C73" s="834" t="s">
        <v>1021</v>
      </c>
      <c r="D73" s="834"/>
      <c r="E73" s="834"/>
      <c r="F73" s="827" t="s">
        <v>3</v>
      </c>
      <c r="G73" s="777">
        <f>0.04*3.14*1.3*2*0.12*1.1*0.63</f>
        <v>2.7156729600000009E-2</v>
      </c>
      <c r="H73" s="828"/>
      <c r="K73" s="836"/>
    </row>
    <row r="74" spans="1:11" x14ac:dyDescent="0.25">
      <c r="A74" s="826"/>
      <c r="B74" s="835"/>
      <c r="C74" s="834" t="s">
        <v>661</v>
      </c>
      <c r="D74" s="834"/>
      <c r="E74" s="834"/>
      <c r="F74" s="827" t="s">
        <v>3</v>
      </c>
      <c r="G74" s="777">
        <f>G73*0.26</f>
        <v>7.0607496960000023E-3</v>
      </c>
      <c r="H74" s="828"/>
      <c r="K74" s="836"/>
    </row>
    <row r="75" spans="1:11" x14ac:dyDescent="0.25">
      <c r="A75" s="826"/>
      <c r="B75" s="835"/>
      <c r="C75" s="834" t="s">
        <v>1993</v>
      </c>
      <c r="D75" s="834"/>
      <c r="E75" s="834"/>
      <c r="F75" s="827" t="s">
        <v>3</v>
      </c>
      <c r="G75" s="777">
        <f>G73*0.12</f>
        <v>3.2588075520000011E-3</v>
      </c>
      <c r="H75" s="828"/>
      <c r="K75" s="836"/>
    </row>
    <row r="76" spans="1:11" x14ac:dyDescent="0.25">
      <c r="A76" s="826"/>
      <c r="B76" s="835"/>
      <c r="C76" s="619"/>
      <c r="D76" s="615" t="s">
        <v>6646</v>
      </c>
      <c r="E76" s="619"/>
      <c r="F76" s="827"/>
      <c r="G76" s="777"/>
      <c r="H76" s="828"/>
      <c r="K76" s="836"/>
    </row>
    <row r="77" spans="1:11" x14ac:dyDescent="0.25">
      <c r="A77" s="826"/>
      <c r="B77" s="835"/>
      <c r="C77" s="619"/>
      <c r="D77" s="619" t="s">
        <v>6632</v>
      </c>
      <c r="E77" s="619"/>
      <c r="F77" s="827" t="s">
        <v>3</v>
      </c>
      <c r="G77" s="777">
        <f>1.35*1.4+0.01</f>
        <v>1.9</v>
      </c>
      <c r="H77" s="828"/>
      <c r="I77" s="780" t="s">
        <v>3819</v>
      </c>
      <c r="K77" s="836"/>
    </row>
    <row r="78" spans="1:11" x14ac:dyDescent="0.25">
      <c r="A78" s="826"/>
      <c r="B78" s="835"/>
      <c r="C78" s="619"/>
      <c r="D78" s="615" t="s">
        <v>6645</v>
      </c>
      <c r="E78" s="619"/>
      <c r="F78" s="827"/>
      <c r="G78" s="777"/>
      <c r="H78" s="828"/>
      <c r="K78" s="836"/>
    </row>
    <row r="79" spans="1:11" x14ac:dyDescent="0.25">
      <c r="A79" s="826"/>
      <c r="B79" s="835"/>
      <c r="C79" s="619"/>
      <c r="D79" s="619" t="s">
        <v>6616</v>
      </c>
      <c r="E79" s="619"/>
      <c r="F79" s="827" t="s">
        <v>3</v>
      </c>
      <c r="G79" s="777">
        <f>0.11*0.055*1.5*8*1.1</f>
        <v>7.986E-2</v>
      </c>
      <c r="H79" s="828"/>
      <c r="K79" s="836"/>
    </row>
    <row r="80" spans="1:11" x14ac:dyDescent="0.25">
      <c r="A80" s="826"/>
      <c r="B80" s="835"/>
      <c r="C80" s="619"/>
      <c r="D80" s="619"/>
      <c r="E80" s="619"/>
      <c r="F80" s="827"/>
      <c r="G80" s="777"/>
      <c r="H80" s="828"/>
      <c r="K80" s="836"/>
    </row>
    <row r="81" spans="1:11" x14ac:dyDescent="0.25">
      <c r="A81" s="826"/>
      <c r="B81" s="835"/>
      <c r="C81" s="615" t="s">
        <v>6644</v>
      </c>
      <c r="D81" s="619"/>
      <c r="E81" s="619"/>
      <c r="F81" s="827"/>
      <c r="G81" s="777"/>
      <c r="H81" s="828"/>
      <c r="K81" s="836"/>
    </row>
    <row r="82" spans="1:11" x14ac:dyDescent="0.25">
      <c r="A82" s="826"/>
      <c r="B82" s="835"/>
      <c r="C82" s="834" t="s">
        <v>39</v>
      </c>
      <c r="D82" s="619"/>
      <c r="E82" s="619"/>
      <c r="F82" s="827" t="s">
        <v>3</v>
      </c>
      <c r="G82" s="785">
        <f>0.3*0.08*1.1</f>
        <v>2.6400000000000003E-2</v>
      </c>
      <c r="H82" s="828"/>
      <c r="K82" s="836"/>
    </row>
    <row r="83" spans="1:11" ht="17.25" x14ac:dyDescent="0.25">
      <c r="A83" s="826"/>
      <c r="B83" s="835"/>
      <c r="C83" s="834" t="s">
        <v>1055</v>
      </c>
      <c r="D83" s="619"/>
      <c r="E83" s="619"/>
      <c r="F83" s="827" t="s">
        <v>596</v>
      </c>
      <c r="G83" s="777">
        <f>1.5*G82</f>
        <v>3.9600000000000003E-2</v>
      </c>
      <c r="H83" s="828"/>
      <c r="K83" s="836"/>
    </row>
    <row r="84" spans="1:11" x14ac:dyDescent="0.25">
      <c r="A84" s="826"/>
      <c r="B84" s="835"/>
      <c r="C84" s="834" t="s">
        <v>1021</v>
      </c>
      <c r="D84" s="834"/>
      <c r="E84" s="834"/>
      <c r="F84" s="827" t="s">
        <v>3</v>
      </c>
      <c r="G84" s="777">
        <f>0.04*3.14*1.3*2*0.12*1.1*0.63</f>
        <v>2.7156729600000009E-2</v>
      </c>
      <c r="H84" s="828"/>
      <c r="K84" s="836"/>
    </row>
    <row r="85" spans="1:11" x14ac:dyDescent="0.25">
      <c r="A85" s="826"/>
      <c r="B85" s="835"/>
      <c r="C85" s="834" t="s">
        <v>661</v>
      </c>
      <c r="D85" s="834"/>
      <c r="E85" s="834"/>
      <c r="F85" s="827" t="s">
        <v>3</v>
      </c>
      <c r="G85" s="777">
        <f>G84*0.26</f>
        <v>7.0607496960000023E-3</v>
      </c>
      <c r="H85" s="828"/>
      <c r="K85" s="836"/>
    </row>
    <row r="86" spans="1:11" x14ac:dyDescent="0.25">
      <c r="A86" s="826"/>
      <c r="B86" s="835"/>
      <c r="C86" s="834" t="s">
        <v>1993</v>
      </c>
      <c r="D86" s="834"/>
      <c r="E86" s="834"/>
      <c r="F86" s="827" t="s">
        <v>3</v>
      </c>
      <c r="G86" s="777">
        <f>G84*0.12</f>
        <v>3.2588075520000011E-3</v>
      </c>
      <c r="H86" s="828"/>
      <c r="K86" s="836"/>
    </row>
    <row r="87" spans="1:11" x14ac:dyDescent="0.25">
      <c r="A87" s="826"/>
      <c r="B87" s="835"/>
      <c r="C87" s="619"/>
      <c r="D87" s="615" t="s">
        <v>6643</v>
      </c>
      <c r="E87" s="619"/>
      <c r="F87" s="827"/>
      <c r="G87" s="777"/>
      <c r="H87" s="828"/>
      <c r="K87" s="836"/>
    </row>
    <row r="88" spans="1:11" x14ac:dyDescent="0.25">
      <c r="A88" s="826"/>
      <c r="B88" s="835"/>
      <c r="C88" s="619"/>
      <c r="D88" s="619" t="s">
        <v>6632</v>
      </c>
      <c r="E88" s="619"/>
      <c r="F88" s="827" t="s">
        <v>3</v>
      </c>
      <c r="G88" s="777">
        <f>1.35*1.4+0.01</f>
        <v>1.9</v>
      </c>
      <c r="H88" s="828"/>
      <c r="I88" s="780" t="s">
        <v>3819</v>
      </c>
      <c r="K88" s="836"/>
    </row>
    <row r="89" spans="1:11" x14ac:dyDescent="0.25">
      <c r="A89" s="826"/>
      <c r="B89" s="835"/>
      <c r="C89" s="619"/>
      <c r="D89" s="615" t="s">
        <v>6642</v>
      </c>
      <c r="E89" s="619"/>
      <c r="F89" s="827"/>
      <c r="G89" s="777"/>
      <c r="H89" s="828"/>
      <c r="K89" s="836"/>
    </row>
    <row r="90" spans="1:11" x14ac:dyDescent="0.25">
      <c r="A90" s="826"/>
      <c r="B90" s="835"/>
      <c r="C90" s="619"/>
      <c r="D90" s="619" t="s">
        <v>6616</v>
      </c>
      <c r="E90" s="619"/>
      <c r="F90" s="827" t="s">
        <v>3</v>
      </c>
      <c r="G90" s="777">
        <f>0.115*0.055*1.5*8*1.1</f>
        <v>8.3489999999999995E-2</v>
      </c>
      <c r="H90" s="828"/>
      <c r="K90" s="836"/>
    </row>
    <row r="91" spans="1:11" x14ac:dyDescent="0.25">
      <c r="A91" s="826"/>
      <c r="B91" s="835"/>
      <c r="C91" s="619"/>
      <c r="D91" s="619"/>
      <c r="E91" s="619"/>
      <c r="F91" s="827"/>
      <c r="G91" s="777"/>
      <c r="H91" s="828"/>
      <c r="K91" s="836"/>
    </row>
    <row r="92" spans="1:11" x14ac:dyDescent="0.25">
      <c r="A92" s="826"/>
      <c r="B92" s="835"/>
      <c r="C92" s="615" t="s">
        <v>6641</v>
      </c>
      <c r="D92" s="619"/>
      <c r="E92" s="619"/>
      <c r="F92" s="827"/>
      <c r="G92" s="777"/>
      <c r="H92" s="828"/>
      <c r="K92" s="836"/>
    </row>
    <row r="93" spans="1:11" x14ac:dyDescent="0.25">
      <c r="A93" s="826"/>
      <c r="B93" s="835"/>
      <c r="C93" s="619" t="s">
        <v>6640</v>
      </c>
      <c r="D93" s="619"/>
      <c r="E93" s="619"/>
      <c r="F93" s="827" t="s">
        <v>1516</v>
      </c>
      <c r="G93" s="777">
        <v>4</v>
      </c>
      <c r="H93" s="828"/>
      <c r="K93" s="836"/>
    </row>
    <row r="94" spans="1:11" x14ac:dyDescent="0.25">
      <c r="A94" s="826"/>
      <c r="B94" s="835"/>
      <c r="C94" s="619" t="s">
        <v>6639</v>
      </c>
      <c r="D94" s="619"/>
      <c r="E94" s="619"/>
      <c r="F94" s="827" t="s">
        <v>1516</v>
      </c>
      <c r="G94" s="777">
        <v>4</v>
      </c>
      <c r="H94" s="828"/>
      <c r="K94" s="836"/>
    </row>
    <row r="95" spans="1:11" x14ac:dyDescent="0.25">
      <c r="A95" s="826"/>
      <c r="B95" s="835"/>
      <c r="C95" s="619" t="s">
        <v>1307</v>
      </c>
      <c r="D95" s="619"/>
      <c r="E95" s="619"/>
      <c r="F95" s="827" t="s">
        <v>3</v>
      </c>
      <c r="G95" s="777">
        <v>5.0000000000000001E-3</v>
      </c>
      <c r="H95" s="828"/>
      <c r="K95" s="836"/>
    </row>
    <row r="96" spans="1:11" x14ac:dyDescent="0.25">
      <c r="A96" s="826"/>
      <c r="B96" s="835"/>
      <c r="C96" s="619"/>
      <c r="D96" s="615" t="s">
        <v>6638</v>
      </c>
      <c r="E96" s="619"/>
      <c r="F96" s="827"/>
      <c r="G96" s="777"/>
      <c r="H96" s="828"/>
      <c r="K96" s="836"/>
    </row>
    <row r="97" spans="1:11" x14ac:dyDescent="0.25">
      <c r="A97" s="826"/>
      <c r="B97" s="835"/>
      <c r="C97" s="619"/>
      <c r="D97" s="834" t="s">
        <v>39</v>
      </c>
      <c r="E97" s="619"/>
      <c r="F97" s="827" t="s">
        <v>3</v>
      </c>
      <c r="G97" s="785">
        <f>(0.04*3.14*3+(0.025*3.14/2+0.06+0.05)*2)*0.08*1.2</f>
        <v>6.4828800000000006E-2</v>
      </c>
      <c r="H97" s="828"/>
      <c r="K97" s="836"/>
    </row>
    <row r="98" spans="1:11" ht="17.25" x14ac:dyDescent="0.25">
      <c r="A98" s="826"/>
      <c r="B98" s="835"/>
      <c r="C98" s="619"/>
      <c r="D98" s="834" t="s">
        <v>1055</v>
      </c>
      <c r="E98" s="619"/>
      <c r="F98" s="827" t="s">
        <v>596</v>
      </c>
      <c r="G98" s="777">
        <f>1.5*G97</f>
        <v>9.7243200000000002E-2</v>
      </c>
      <c r="H98" s="828"/>
      <c r="K98" s="836"/>
    </row>
    <row r="99" spans="1:11" x14ac:dyDescent="0.25">
      <c r="A99" s="826"/>
      <c r="B99" s="835"/>
      <c r="C99" s="619"/>
      <c r="D99" s="834" t="s">
        <v>1021</v>
      </c>
      <c r="E99" s="834"/>
      <c r="F99" s="827" t="s">
        <v>3</v>
      </c>
      <c r="G99" s="777">
        <f>0.05*3.14*0.125*2*0.12*1.3*2*0.63</f>
        <v>7.7149800000000015E-3</v>
      </c>
      <c r="H99" s="828"/>
      <c r="K99" s="836"/>
    </row>
    <row r="100" spans="1:11" x14ac:dyDescent="0.25">
      <c r="A100" s="826"/>
      <c r="B100" s="835"/>
      <c r="C100" s="619"/>
      <c r="D100" s="834" t="s">
        <v>661</v>
      </c>
      <c r="E100" s="834"/>
      <c r="F100" s="827" t="s">
        <v>3</v>
      </c>
      <c r="G100" s="777">
        <f>G99*0.26</f>
        <v>2.0058948000000005E-3</v>
      </c>
      <c r="H100" s="828"/>
      <c r="K100" s="836"/>
    </row>
    <row r="101" spans="1:11" x14ac:dyDescent="0.25">
      <c r="A101" s="826"/>
      <c r="B101" s="835"/>
      <c r="C101" s="619"/>
      <c r="D101" s="834" t="s">
        <v>1993</v>
      </c>
      <c r="E101" s="834"/>
      <c r="F101" s="827" t="s">
        <v>3</v>
      </c>
      <c r="G101" s="777">
        <f>G99*0.12</f>
        <v>9.2579760000000011E-4</v>
      </c>
      <c r="H101" s="828"/>
      <c r="K101" s="836"/>
    </row>
    <row r="102" spans="1:11" x14ac:dyDescent="0.25">
      <c r="A102" s="826"/>
      <c r="B102" s="835"/>
      <c r="C102" s="619"/>
      <c r="D102" s="619"/>
      <c r="E102" s="615" t="s">
        <v>6637</v>
      </c>
      <c r="F102" s="827"/>
      <c r="G102" s="777"/>
      <c r="H102" s="828"/>
      <c r="K102" s="836"/>
    </row>
    <row r="103" spans="1:11" x14ac:dyDescent="0.25">
      <c r="A103" s="826"/>
      <c r="B103" s="835"/>
      <c r="C103" s="619"/>
      <c r="D103" s="619"/>
      <c r="E103" s="619" t="s">
        <v>6616</v>
      </c>
      <c r="F103" s="827" t="s">
        <v>3</v>
      </c>
      <c r="G103" s="777">
        <f>(0.05*3.14/2+0.06)*0.066*1.5*8*1.185</f>
        <v>0.12998502000000001</v>
      </c>
      <c r="H103" s="828"/>
      <c r="K103" s="836"/>
    </row>
    <row r="104" spans="1:11" x14ac:dyDescent="0.25">
      <c r="A104" s="826"/>
      <c r="B104" s="835"/>
      <c r="C104" s="619"/>
      <c r="D104" s="619"/>
      <c r="E104" s="615" t="s">
        <v>6636</v>
      </c>
      <c r="F104" s="827"/>
      <c r="G104" s="777"/>
      <c r="H104" s="828"/>
      <c r="K104" s="836"/>
    </row>
    <row r="105" spans="1:11" x14ac:dyDescent="0.25">
      <c r="A105" s="826"/>
      <c r="B105" s="835"/>
      <c r="C105" s="619"/>
      <c r="D105" s="619"/>
      <c r="E105" s="619" t="s">
        <v>6616</v>
      </c>
      <c r="F105" s="827" t="s">
        <v>3</v>
      </c>
      <c r="G105" s="777">
        <f>0.065*0.065*1.5*8*1.15</f>
        <v>5.8305000000000003E-2</v>
      </c>
      <c r="H105" s="828"/>
      <c r="K105" s="836"/>
    </row>
    <row r="106" spans="1:11" x14ac:dyDescent="0.25">
      <c r="A106" s="826"/>
      <c r="B106" s="835"/>
      <c r="C106" s="619"/>
      <c r="D106" s="619"/>
      <c r="E106" s="615" t="s">
        <v>6635</v>
      </c>
      <c r="F106" s="827"/>
      <c r="G106" s="777"/>
      <c r="H106" s="828"/>
      <c r="K106" s="836"/>
    </row>
    <row r="107" spans="1:11" x14ac:dyDescent="0.25">
      <c r="A107" s="826"/>
      <c r="B107" s="835"/>
      <c r="C107" s="619"/>
      <c r="D107" s="619"/>
      <c r="E107" s="619" t="s">
        <v>6632</v>
      </c>
      <c r="F107" s="827" t="s">
        <v>3</v>
      </c>
      <c r="G107" s="777">
        <f>1.35*0.04+0.001</f>
        <v>5.5000000000000007E-2</v>
      </c>
      <c r="H107" s="828"/>
      <c r="I107" s="780" t="s">
        <v>6634</v>
      </c>
      <c r="K107" s="836"/>
    </row>
    <row r="108" spans="1:11" x14ac:dyDescent="0.25">
      <c r="A108" s="826"/>
      <c r="B108" s="835"/>
      <c r="C108" s="619"/>
      <c r="D108" s="619"/>
      <c r="E108" s="615" t="s">
        <v>6633</v>
      </c>
      <c r="F108" s="827"/>
      <c r="G108" s="777"/>
      <c r="H108" s="828"/>
      <c r="K108" s="836"/>
    </row>
    <row r="109" spans="1:11" x14ac:dyDescent="0.25">
      <c r="A109" s="826"/>
      <c r="B109" s="835"/>
      <c r="C109" s="619"/>
      <c r="D109" s="619"/>
      <c r="E109" s="619" t="s">
        <v>6632</v>
      </c>
      <c r="F109" s="827" t="s">
        <v>3</v>
      </c>
      <c r="G109" s="777">
        <f>1.35*0.07</f>
        <v>9.4500000000000015E-2</v>
      </c>
      <c r="H109" s="828"/>
      <c r="I109" s="780" t="s">
        <v>6631</v>
      </c>
      <c r="K109" s="836"/>
    </row>
    <row r="110" spans="1:11" x14ac:dyDescent="0.25">
      <c r="A110" s="826"/>
      <c r="B110" s="835"/>
      <c r="C110" s="619"/>
      <c r="D110" s="615" t="s">
        <v>6630</v>
      </c>
      <c r="E110" s="615"/>
      <c r="F110" s="827"/>
      <c r="G110" s="777"/>
      <c r="H110" s="828"/>
      <c r="K110" s="836"/>
    </row>
    <row r="111" spans="1:11" x14ac:dyDescent="0.25">
      <c r="A111" s="826"/>
      <c r="B111" s="835"/>
      <c r="C111" s="619"/>
      <c r="D111" s="619" t="s">
        <v>6629</v>
      </c>
      <c r="E111" s="615"/>
      <c r="F111" s="827" t="s">
        <v>3</v>
      </c>
      <c r="G111" s="777">
        <f>0.072*0.05*3*8*1.152</f>
        <v>9.9532800000000005E-2</v>
      </c>
      <c r="H111" s="828"/>
      <c r="K111" s="836"/>
    </row>
    <row r="112" spans="1:11" x14ac:dyDescent="0.25">
      <c r="A112" s="826"/>
      <c r="B112" s="835"/>
      <c r="C112" s="619"/>
      <c r="D112" s="615" t="s">
        <v>6628</v>
      </c>
      <c r="E112" s="615"/>
      <c r="F112" s="827"/>
      <c r="G112" s="777"/>
      <c r="H112" s="828"/>
      <c r="K112" s="836"/>
    </row>
    <row r="113" spans="1:11" x14ac:dyDescent="0.25">
      <c r="A113" s="826"/>
      <c r="B113" s="835"/>
      <c r="C113" s="619"/>
      <c r="D113" s="619" t="s">
        <v>6627</v>
      </c>
      <c r="E113" s="615"/>
      <c r="F113" s="827" t="s">
        <v>3</v>
      </c>
      <c r="G113" s="777">
        <f>0.072*0.05*2*2*1.12</f>
        <v>1.6128E-2</v>
      </c>
      <c r="H113" s="828"/>
      <c r="K113" s="836"/>
    </row>
    <row r="114" spans="1:11" x14ac:dyDescent="0.25">
      <c r="A114" s="826"/>
      <c r="B114" s="835"/>
      <c r="C114" s="619"/>
      <c r="D114" s="615" t="s">
        <v>6626</v>
      </c>
      <c r="E114" s="615"/>
      <c r="F114" s="827"/>
      <c r="G114" s="777"/>
      <c r="H114" s="828"/>
      <c r="K114" s="836"/>
    </row>
    <row r="115" spans="1:11" x14ac:dyDescent="0.25">
      <c r="A115" s="826"/>
      <c r="B115" s="835"/>
      <c r="C115" s="619"/>
      <c r="D115" s="619" t="s">
        <v>6625</v>
      </c>
      <c r="E115" s="615"/>
      <c r="F115" s="827" t="s">
        <v>3</v>
      </c>
      <c r="G115" s="777">
        <f>0.07*0.05*1.5*8</f>
        <v>4.200000000000001E-2</v>
      </c>
      <c r="H115" s="828"/>
      <c r="K115" s="836"/>
    </row>
    <row r="116" spans="1:11" x14ac:dyDescent="0.25">
      <c r="A116" s="826"/>
      <c r="B116" s="835"/>
      <c r="C116" s="619"/>
      <c r="D116" s="615"/>
      <c r="E116" s="615"/>
      <c r="F116" s="827"/>
      <c r="G116" s="777"/>
      <c r="H116" s="828"/>
      <c r="K116" s="836"/>
    </row>
    <row r="117" spans="1:11" x14ac:dyDescent="0.25">
      <c r="A117" s="826"/>
      <c r="B117" s="835"/>
      <c r="C117" s="615" t="s">
        <v>6624</v>
      </c>
      <c r="D117" s="615"/>
      <c r="E117" s="615"/>
      <c r="F117" s="827" t="s">
        <v>2180</v>
      </c>
      <c r="G117" s="777"/>
      <c r="H117" s="828"/>
      <c r="K117" s="836"/>
    </row>
    <row r="118" spans="1:11" x14ac:dyDescent="0.25">
      <c r="A118" s="826"/>
      <c r="B118" s="835"/>
      <c r="C118" s="619"/>
      <c r="D118" s="615" t="s">
        <v>6623</v>
      </c>
      <c r="E118" s="615"/>
      <c r="F118" s="827"/>
      <c r="G118" s="777"/>
      <c r="H118" s="828"/>
      <c r="K118" s="836"/>
    </row>
    <row r="119" spans="1:11" x14ac:dyDescent="0.25">
      <c r="A119" s="826"/>
      <c r="B119" s="835"/>
      <c r="C119" s="619"/>
      <c r="D119" s="619" t="s">
        <v>6622</v>
      </c>
      <c r="E119" s="615"/>
      <c r="F119" s="827" t="s">
        <v>3</v>
      </c>
      <c r="G119" s="777">
        <f>1.475*(0.055*0.1)*1.12</f>
        <v>9.0860000000000021E-3</v>
      </c>
      <c r="H119" s="828"/>
      <c r="K119" s="836"/>
    </row>
    <row r="120" spans="1:11" x14ac:dyDescent="0.25">
      <c r="A120" s="826"/>
      <c r="B120" s="835"/>
      <c r="C120" s="619"/>
      <c r="D120" s="615" t="s">
        <v>6621</v>
      </c>
      <c r="E120" s="615"/>
      <c r="F120" s="827"/>
      <c r="G120" s="777"/>
      <c r="H120" s="828"/>
      <c r="K120" s="836"/>
    </row>
    <row r="121" spans="1:11" x14ac:dyDescent="0.25">
      <c r="A121" s="826"/>
      <c r="B121" s="835"/>
      <c r="C121" s="619"/>
      <c r="D121" s="619" t="s">
        <v>6620</v>
      </c>
      <c r="E121" s="615"/>
      <c r="F121" s="827" t="s">
        <v>3</v>
      </c>
      <c r="G121" s="777">
        <f>(0.066*3.14/2+0.07)*0.05*0.5*8*1.15</f>
        <v>3.9932599999999992E-2</v>
      </c>
      <c r="H121" s="828"/>
      <c r="K121" s="836"/>
    </row>
    <row r="122" spans="1:11" x14ac:dyDescent="0.25">
      <c r="A122" s="826"/>
      <c r="B122" s="835"/>
      <c r="C122" s="619"/>
      <c r="D122" s="615"/>
      <c r="E122" s="615"/>
      <c r="F122" s="827"/>
      <c r="G122" s="777"/>
      <c r="H122" s="828"/>
      <c r="K122" s="836"/>
    </row>
    <row r="123" spans="1:11" x14ac:dyDescent="0.25">
      <c r="A123" s="826"/>
      <c r="B123" s="835"/>
      <c r="C123" s="615" t="s">
        <v>6619</v>
      </c>
      <c r="D123" s="615"/>
      <c r="E123" s="615"/>
      <c r="F123" s="827" t="s">
        <v>2180</v>
      </c>
      <c r="G123" s="777"/>
      <c r="H123" s="828"/>
      <c r="K123" s="836"/>
    </row>
    <row r="124" spans="1:11" x14ac:dyDescent="0.25">
      <c r="A124" s="826"/>
      <c r="B124" s="835"/>
      <c r="C124" s="619" t="s">
        <v>6618</v>
      </c>
      <c r="D124" s="619"/>
      <c r="E124" s="615"/>
      <c r="F124" s="827" t="s">
        <v>1516</v>
      </c>
      <c r="G124" s="777">
        <v>1</v>
      </c>
      <c r="H124" s="828"/>
      <c r="K124" s="836"/>
    </row>
    <row r="125" spans="1:11" x14ac:dyDescent="0.25">
      <c r="A125" s="826"/>
      <c r="B125" s="835"/>
      <c r="C125" s="619"/>
      <c r="D125" s="615" t="s">
        <v>6617</v>
      </c>
      <c r="E125" s="615"/>
      <c r="F125" s="827"/>
      <c r="G125" s="777"/>
      <c r="H125" s="828"/>
      <c r="K125" s="836"/>
    </row>
    <row r="126" spans="1:11" x14ac:dyDescent="0.25">
      <c r="A126" s="826"/>
      <c r="B126" s="835"/>
      <c r="C126" s="619"/>
      <c r="D126" s="619" t="s">
        <v>6616</v>
      </c>
      <c r="E126" s="615"/>
      <c r="F126" s="827" t="s">
        <v>3</v>
      </c>
      <c r="G126" s="777">
        <f>0.235*0.05*1.5*8*1.132</f>
        <v>0.159612</v>
      </c>
      <c r="H126" s="828"/>
      <c r="K126" s="836"/>
    </row>
    <row r="127" spans="1:11" x14ac:dyDescent="0.25">
      <c r="A127" s="826"/>
      <c r="B127" s="835"/>
      <c r="C127" s="619"/>
      <c r="D127" s="615" t="s">
        <v>6615</v>
      </c>
      <c r="E127" s="615"/>
      <c r="F127" s="827"/>
      <c r="G127" s="777"/>
      <c r="H127" s="828"/>
      <c r="K127" s="836"/>
    </row>
    <row r="128" spans="1:11" x14ac:dyDescent="0.25">
      <c r="A128" s="826"/>
      <c r="B128" s="835"/>
      <c r="C128" s="619"/>
      <c r="D128" s="619" t="s">
        <v>6614</v>
      </c>
      <c r="E128" s="615"/>
      <c r="F128" s="827" t="s">
        <v>3</v>
      </c>
      <c r="G128" s="777">
        <f>0.055*0.025*1*8*1.12</f>
        <v>1.2320000000000003E-2</v>
      </c>
      <c r="H128" s="828"/>
      <c r="K128" s="836"/>
    </row>
    <row r="129" spans="1:11" x14ac:dyDescent="0.25">
      <c r="A129" s="826"/>
      <c r="B129" s="835"/>
      <c r="C129" s="619"/>
      <c r="D129" s="615"/>
      <c r="E129" s="615"/>
      <c r="F129" s="827"/>
      <c r="G129" s="777"/>
      <c r="H129" s="828"/>
      <c r="K129" s="836"/>
    </row>
    <row r="130" spans="1:11" x14ac:dyDescent="0.25">
      <c r="A130" s="826"/>
      <c r="B130" s="835"/>
      <c r="C130" s="615" t="s">
        <v>6613</v>
      </c>
      <c r="D130" s="615"/>
      <c r="E130" s="615"/>
      <c r="F130" s="827"/>
      <c r="G130" s="777"/>
      <c r="H130" s="828"/>
      <c r="K130" s="836"/>
    </row>
    <row r="131" spans="1:11" x14ac:dyDescent="0.25">
      <c r="A131" s="826"/>
      <c r="B131" s="835"/>
      <c r="C131" s="619" t="s">
        <v>6612</v>
      </c>
      <c r="D131" s="615"/>
      <c r="E131" s="615"/>
      <c r="F131" s="827" t="s">
        <v>3</v>
      </c>
      <c r="G131" s="777">
        <f>(0.039*3.14+0.016*2)*0.025*1*8*1.15</f>
        <v>3.5525799999999996E-2</v>
      </c>
      <c r="H131" s="828"/>
      <c r="K131" s="836"/>
    </row>
    <row r="132" spans="1:11" x14ac:dyDescent="0.25">
      <c r="A132" s="826"/>
      <c r="B132" s="835"/>
      <c r="C132" s="619"/>
      <c r="D132" s="615"/>
      <c r="E132" s="615"/>
      <c r="F132" s="827"/>
      <c r="G132" s="777"/>
      <c r="H132" s="828"/>
      <c r="K132" s="836"/>
    </row>
    <row r="133" spans="1:11" x14ac:dyDescent="0.25">
      <c r="A133" s="826"/>
      <c r="B133" s="835"/>
      <c r="C133" s="615" t="s">
        <v>6611</v>
      </c>
      <c r="D133" s="615"/>
      <c r="E133" s="615"/>
      <c r="F133" s="827"/>
      <c r="G133" s="777"/>
      <c r="H133" s="828"/>
      <c r="K133" s="836"/>
    </row>
    <row r="134" spans="1:11" x14ac:dyDescent="0.25">
      <c r="A134" s="826"/>
      <c r="B134" s="835"/>
      <c r="C134" s="619" t="s">
        <v>6610</v>
      </c>
      <c r="D134" s="615"/>
      <c r="E134" s="615"/>
      <c r="F134" s="827" t="s">
        <v>3</v>
      </c>
      <c r="G134" s="777">
        <f>0.43*0.18*1.5*2.7*1.15</f>
        <v>0.36049049999999999</v>
      </c>
      <c r="H134" s="828"/>
      <c r="K134" s="836"/>
    </row>
    <row r="135" spans="1:11" x14ac:dyDescent="0.25">
      <c r="A135" s="826"/>
      <c r="B135" s="835"/>
      <c r="C135" s="619"/>
      <c r="D135" s="615"/>
      <c r="E135" s="615"/>
      <c r="F135" s="827"/>
      <c r="G135" s="777"/>
      <c r="H135" s="828"/>
      <c r="K135" s="836"/>
    </row>
    <row r="136" spans="1:11" x14ac:dyDescent="0.25">
      <c r="A136" s="826"/>
      <c r="B136" s="835"/>
      <c r="C136" s="615" t="s">
        <v>6609</v>
      </c>
      <c r="D136" s="615"/>
      <c r="E136" s="615"/>
      <c r="F136" s="827"/>
      <c r="G136" s="777"/>
      <c r="H136" s="828"/>
      <c r="K136" s="836"/>
    </row>
    <row r="137" spans="1:11" x14ac:dyDescent="0.25">
      <c r="A137" s="826"/>
      <c r="B137" s="835"/>
      <c r="C137" s="619" t="s">
        <v>6608</v>
      </c>
      <c r="D137" s="615"/>
      <c r="E137" s="615"/>
      <c r="F137" s="827" t="s">
        <v>3</v>
      </c>
      <c r="G137" s="777">
        <f>0.1*0.06*2*2.7*1.03</f>
        <v>3.3372000000000006E-2</v>
      </c>
      <c r="H137" s="828"/>
      <c r="K137" s="836"/>
    </row>
    <row r="138" spans="1:11" x14ac:dyDescent="0.25">
      <c r="A138" s="826"/>
      <c r="B138" s="835"/>
      <c r="C138" s="619"/>
      <c r="D138" s="615"/>
      <c r="E138" s="615"/>
      <c r="F138" s="827"/>
      <c r="G138" s="777"/>
      <c r="H138" s="828"/>
      <c r="K138" s="836"/>
    </row>
    <row r="139" spans="1:11" x14ac:dyDescent="0.25">
      <c r="A139" s="826"/>
      <c r="B139" s="835"/>
      <c r="C139" s="615" t="s">
        <v>6607</v>
      </c>
      <c r="D139" s="615"/>
      <c r="E139" s="615"/>
      <c r="F139" s="827"/>
      <c r="G139" s="777"/>
      <c r="H139" s="828"/>
      <c r="K139" s="836"/>
    </row>
    <row r="140" spans="1:11" x14ac:dyDescent="0.25">
      <c r="A140" s="826"/>
      <c r="B140" s="835"/>
      <c r="C140" s="619" t="s">
        <v>6606</v>
      </c>
      <c r="D140" s="615"/>
      <c r="E140" s="615"/>
      <c r="F140" s="827" t="s">
        <v>3</v>
      </c>
      <c r="G140" s="777">
        <f>0.1*0.06*3*2.7*1.03</f>
        <v>5.0058000000000012E-2</v>
      </c>
      <c r="H140" s="828"/>
      <c r="K140" s="836"/>
    </row>
    <row r="141" spans="1:11" x14ac:dyDescent="0.25">
      <c r="A141" s="826"/>
      <c r="B141" s="835"/>
      <c r="C141" s="619"/>
      <c r="D141" s="615"/>
      <c r="E141" s="615"/>
      <c r="F141" s="827"/>
      <c r="G141" s="777"/>
      <c r="H141" s="828"/>
      <c r="K141" s="836"/>
    </row>
    <row r="142" spans="1:11" x14ac:dyDescent="0.25">
      <c r="A142" s="826"/>
      <c r="B142" s="835"/>
      <c r="C142" s="615" t="s">
        <v>6605</v>
      </c>
      <c r="D142" s="615"/>
      <c r="E142" s="615"/>
      <c r="F142" s="827"/>
      <c r="G142" s="777"/>
      <c r="H142" s="828"/>
      <c r="K142" s="836"/>
    </row>
    <row r="143" spans="1:11" x14ac:dyDescent="0.25">
      <c r="A143" s="826"/>
      <c r="B143" s="835"/>
      <c r="C143" s="619" t="s">
        <v>6604</v>
      </c>
      <c r="D143" s="615"/>
      <c r="E143" s="615"/>
      <c r="F143" s="827" t="s">
        <v>3</v>
      </c>
      <c r="G143" s="777">
        <f>0.1*0.06*4*2.7*1.03</f>
        <v>6.6744000000000012E-2</v>
      </c>
      <c r="H143" s="828"/>
      <c r="K143" s="836"/>
    </row>
    <row r="144" spans="1:11" x14ac:dyDescent="0.25">
      <c r="A144" s="826"/>
      <c r="B144" s="835"/>
      <c r="C144" s="619"/>
      <c r="D144" s="615"/>
      <c r="E144" s="615"/>
      <c r="F144" s="827"/>
      <c r="G144" s="777"/>
      <c r="H144" s="828"/>
      <c r="K144" s="836"/>
    </row>
    <row r="145" spans="1:11" x14ac:dyDescent="0.25">
      <c r="A145" s="826"/>
      <c r="B145" s="835"/>
      <c r="C145" s="615" t="s">
        <v>6603</v>
      </c>
      <c r="D145" s="615"/>
      <c r="E145" s="615"/>
      <c r="F145" s="827"/>
      <c r="G145" s="777"/>
      <c r="H145" s="828"/>
      <c r="K145" s="836"/>
    </row>
    <row r="146" spans="1:11" x14ac:dyDescent="0.25">
      <c r="A146" s="826"/>
      <c r="B146" s="835"/>
      <c r="C146" s="619" t="s">
        <v>6602</v>
      </c>
      <c r="D146" s="615"/>
      <c r="E146" s="615"/>
      <c r="F146" s="827" t="s">
        <v>3</v>
      </c>
      <c r="G146" s="777">
        <f>0.1*0.06*5*2.7*1.05</f>
        <v>8.5050000000000001E-2</v>
      </c>
      <c r="H146" s="828"/>
      <c r="K146" s="836"/>
    </row>
    <row r="147" spans="1:11" x14ac:dyDescent="0.25">
      <c r="A147" s="826"/>
      <c r="B147" s="835"/>
      <c r="C147" s="619"/>
      <c r="D147" s="615"/>
      <c r="E147" s="615"/>
      <c r="F147" s="827"/>
      <c r="G147" s="777"/>
      <c r="H147" s="828"/>
      <c r="K147" s="836"/>
    </row>
    <row r="148" spans="1:11" x14ac:dyDescent="0.25">
      <c r="A148" s="826"/>
      <c r="B148" s="835"/>
      <c r="C148" s="615" t="s">
        <v>6601</v>
      </c>
      <c r="D148" s="615"/>
      <c r="E148" s="615"/>
      <c r="F148" s="827"/>
      <c r="G148" s="777"/>
      <c r="H148" s="828"/>
      <c r="K148" s="836"/>
    </row>
    <row r="149" spans="1:11" x14ac:dyDescent="0.25">
      <c r="A149" s="826"/>
      <c r="B149" s="835"/>
      <c r="C149" s="619" t="s">
        <v>115</v>
      </c>
      <c r="D149" s="615"/>
      <c r="E149" s="615"/>
      <c r="F149" s="827" t="s">
        <v>3</v>
      </c>
      <c r="G149" s="777">
        <f>0.125*0.025*2*1.2</f>
        <v>7.4999999999999997E-3</v>
      </c>
      <c r="H149" s="828"/>
      <c r="K149" s="836"/>
    </row>
    <row r="150" spans="1:11" x14ac:dyDescent="0.25">
      <c r="A150" s="826"/>
      <c r="B150" s="835"/>
      <c r="C150" s="619" t="s">
        <v>8</v>
      </c>
      <c r="D150" s="615"/>
      <c r="E150" s="615"/>
      <c r="F150" s="827" t="s">
        <v>3</v>
      </c>
      <c r="G150" s="777">
        <f>G149*0.7</f>
        <v>5.2499999999999995E-3</v>
      </c>
      <c r="H150" s="828"/>
      <c r="K150" s="836"/>
    </row>
    <row r="151" spans="1:11" x14ac:dyDescent="0.25">
      <c r="A151" s="826"/>
      <c r="B151" s="835"/>
      <c r="C151" s="619" t="s">
        <v>12</v>
      </c>
      <c r="D151" s="615"/>
      <c r="E151" s="615"/>
      <c r="F151" s="827" t="s">
        <v>3</v>
      </c>
      <c r="G151" s="777">
        <f>0.3*(G150+G149)</f>
        <v>3.8249999999999994E-3</v>
      </c>
      <c r="H151" s="828"/>
      <c r="K151" s="836"/>
    </row>
    <row r="152" spans="1:11" ht="15.75" thickBot="1" x14ac:dyDescent="0.3">
      <c r="A152" s="829"/>
      <c r="B152" s="830"/>
      <c r="C152" s="830"/>
      <c r="D152" s="830"/>
      <c r="E152" s="830"/>
      <c r="F152" s="831"/>
      <c r="G152" s="832"/>
      <c r="H152" s="833"/>
    </row>
    <row r="153" spans="1:11" x14ac:dyDescent="0.25">
      <c r="A153" s="819"/>
      <c r="B153" s="820"/>
      <c r="C153" s="820"/>
      <c r="D153" s="820"/>
      <c r="E153" s="820"/>
      <c r="F153" s="821"/>
      <c r="G153" s="822"/>
      <c r="H153" s="837" t="s">
        <v>6600</v>
      </c>
    </row>
    <row r="154" spans="1:11" ht="18.75" x14ac:dyDescent="0.3">
      <c r="A154" s="826"/>
      <c r="B154" s="619"/>
      <c r="C154" s="619"/>
      <c r="D154" s="619"/>
      <c r="E154" s="620" t="s">
        <v>6599</v>
      </c>
      <c r="F154" s="827"/>
      <c r="G154" s="777"/>
      <c r="H154" s="828"/>
    </row>
    <row r="155" spans="1:11" x14ac:dyDescent="0.25">
      <c r="A155" s="826"/>
      <c r="B155" s="619"/>
      <c r="C155" s="619"/>
      <c r="D155" s="619"/>
      <c r="E155" s="619"/>
      <c r="F155" s="827"/>
      <c r="G155" s="777"/>
      <c r="H155" s="828"/>
    </row>
    <row r="156" spans="1:11" x14ac:dyDescent="0.25">
      <c r="A156" s="826"/>
      <c r="B156" s="619"/>
      <c r="C156" s="615" t="s">
        <v>6598</v>
      </c>
      <c r="D156" s="619"/>
      <c r="E156" s="619"/>
      <c r="F156" s="827"/>
      <c r="G156" s="777"/>
      <c r="H156" s="828"/>
    </row>
    <row r="157" spans="1:11" x14ac:dyDescent="0.25">
      <c r="A157" s="826"/>
      <c r="B157" s="619"/>
      <c r="C157" s="834" t="s">
        <v>3394</v>
      </c>
      <c r="D157" s="619"/>
      <c r="E157" s="619"/>
      <c r="F157" s="827" t="s">
        <v>3</v>
      </c>
      <c r="G157" s="777">
        <f>0.012*3.14*2*0.08*1.2</f>
        <v>7.234560000000001E-3</v>
      </c>
      <c r="H157" s="828"/>
    </row>
    <row r="158" spans="1:11" ht="17.25" x14ac:dyDescent="0.25">
      <c r="A158" s="826"/>
      <c r="B158" s="619"/>
      <c r="C158" s="834" t="s">
        <v>121</v>
      </c>
      <c r="D158" s="619"/>
      <c r="E158" s="619"/>
      <c r="F158" s="827" t="s">
        <v>596</v>
      </c>
      <c r="G158" s="777">
        <f>G157*1.1</f>
        <v>7.9580160000000018E-3</v>
      </c>
      <c r="H158" s="828"/>
    </row>
    <row r="159" spans="1:11" x14ac:dyDescent="0.25">
      <c r="A159" s="826"/>
      <c r="B159" s="619"/>
      <c r="C159" s="834" t="s">
        <v>6589</v>
      </c>
      <c r="D159" s="619"/>
      <c r="E159" s="619"/>
      <c r="F159" s="827" t="s">
        <v>3</v>
      </c>
      <c r="G159" s="777">
        <f>0.93*0.011*2*1.25</f>
        <v>2.5575000000000001E-2</v>
      </c>
      <c r="H159" s="828"/>
    </row>
    <row r="160" spans="1:11" x14ac:dyDescent="0.25">
      <c r="A160" s="826"/>
      <c r="B160" s="619"/>
      <c r="C160" s="834" t="s">
        <v>12</v>
      </c>
      <c r="D160" s="619"/>
      <c r="E160" s="619"/>
      <c r="F160" s="827" t="s">
        <v>3</v>
      </c>
      <c r="G160" s="777">
        <f>0.3*G159</f>
        <v>7.6724999999999996E-3</v>
      </c>
      <c r="H160" s="828"/>
    </row>
    <row r="161" spans="1:9" x14ac:dyDescent="0.25">
      <c r="A161" s="826"/>
      <c r="B161" s="619"/>
      <c r="C161" s="834" t="s">
        <v>114</v>
      </c>
      <c r="D161" s="619"/>
      <c r="E161" s="619"/>
      <c r="F161" s="827" t="s">
        <v>3</v>
      </c>
      <c r="G161" s="777">
        <f>G159*0.7</f>
        <v>1.7902499999999998E-2</v>
      </c>
      <c r="H161" s="828"/>
    </row>
    <row r="162" spans="1:9" x14ac:dyDescent="0.25">
      <c r="A162" s="826"/>
      <c r="B162" s="619"/>
      <c r="C162" s="834" t="s">
        <v>164</v>
      </c>
      <c r="D162" s="619"/>
      <c r="E162" s="619"/>
      <c r="F162" s="827" t="s">
        <v>3</v>
      </c>
      <c r="G162" s="777">
        <f>0.3*G161</f>
        <v>5.3707499999999997E-3</v>
      </c>
      <c r="H162" s="828"/>
    </row>
    <row r="163" spans="1:9" x14ac:dyDescent="0.25">
      <c r="A163" s="826"/>
      <c r="B163" s="619"/>
      <c r="C163" s="834" t="s">
        <v>1021</v>
      </c>
      <c r="D163" s="619"/>
      <c r="E163" s="619"/>
      <c r="F163" s="827" t="s">
        <v>3</v>
      </c>
      <c r="G163" s="777">
        <f>G161</f>
        <v>1.7902499999999998E-2</v>
      </c>
      <c r="H163" s="828"/>
    </row>
    <row r="164" spans="1:9" x14ac:dyDescent="0.25">
      <c r="A164" s="826"/>
      <c r="B164" s="619"/>
      <c r="C164" s="834" t="s">
        <v>661</v>
      </c>
      <c r="D164" s="619"/>
      <c r="E164" s="619"/>
      <c r="F164" s="827" t="s">
        <v>3</v>
      </c>
      <c r="G164" s="777">
        <f>G163*0.4</f>
        <v>7.1609999999999998E-3</v>
      </c>
      <c r="H164" s="828"/>
    </row>
    <row r="165" spans="1:9" x14ac:dyDescent="0.25">
      <c r="A165" s="826"/>
      <c r="B165" s="619"/>
      <c r="C165" s="834" t="s">
        <v>1993</v>
      </c>
      <c r="D165" s="619"/>
      <c r="E165" s="619"/>
      <c r="F165" s="827" t="s">
        <v>3</v>
      </c>
      <c r="G165" s="777">
        <f>G164*0.5</f>
        <v>3.5804999999999999E-3</v>
      </c>
      <c r="H165" s="828"/>
    </row>
    <row r="166" spans="1:9" x14ac:dyDescent="0.25">
      <c r="A166" s="826"/>
      <c r="B166" s="619"/>
      <c r="C166" s="619"/>
      <c r="D166" s="615" t="s">
        <v>6597</v>
      </c>
      <c r="E166" s="619"/>
      <c r="F166" s="827"/>
      <c r="G166" s="777"/>
      <c r="H166" s="828"/>
    </row>
    <row r="167" spans="1:9" x14ac:dyDescent="0.25">
      <c r="A167" s="826"/>
      <c r="B167" s="619"/>
      <c r="C167" s="619"/>
      <c r="D167" s="619" t="s">
        <v>6587</v>
      </c>
      <c r="E167" s="619"/>
      <c r="F167" s="827" t="s">
        <v>3</v>
      </c>
      <c r="G167" s="777">
        <f>0.271*0.9+0.001</f>
        <v>0.24490000000000003</v>
      </c>
      <c r="H167" s="828"/>
      <c r="I167" s="780" t="s">
        <v>6596</v>
      </c>
    </row>
    <row r="168" spans="1:9" x14ac:dyDescent="0.25">
      <c r="A168" s="826"/>
      <c r="B168" s="619"/>
      <c r="C168" s="619"/>
      <c r="D168" s="619"/>
      <c r="E168" s="619"/>
      <c r="F168" s="827"/>
      <c r="G168" s="777"/>
      <c r="H168" s="828"/>
    </row>
    <row r="169" spans="1:9" x14ac:dyDescent="0.25">
      <c r="A169" s="826"/>
      <c r="B169" s="619"/>
      <c r="C169" s="615" t="s">
        <v>6595</v>
      </c>
      <c r="D169" s="619"/>
      <c r="E169" s="619"/>
      <c r="F169" s="827"/>
      <c r="G169" s="777"/>
      <c r="H169" s="828"/>
    </row>
    <row r="170" spans="1:9" x14ac:dyDescent="0.25">
      <c r="A170" s="826"/>
      <c r="B170" s="619"/>
      <c r="C170" s="834" t="s">
        <v>3394</v>
      </c>
      <c r="D170" s="619"/>
      <c r="E170" s="619"/>
      <c r="F170" s="827" t="s">
        <v>3</v>
      </c>
      <c r="G170" s="777">
        <f>0.012*3.14*3*0.08*1.2</f>
        <v>1.0851840000000001E-2</v>
      </c>
      <c r="H170" s="828"/>
    </row>
    <row r="171" spans="1:9" ht="17.25" x14ac:dyDescent="0.25">
      <c r="A171" s="826"/>
      <c r="B171" s="619"/>
      <c r="C171" s="834" t="s">
        <v>121</v>
      </c>
      <c r="D171" s="619"/>
      <c r="E171" s="619"/>
      <c r="F171" s="827" t="s">
        <v>596</v>
      </c>
      <c r="G171" s="777">
        <f>G170*1.1</f>
        <v>1.1937024000000003E-2</v>
      </c>
      <c r="H171" s="828"/>
    </row>
    <row r="172" spans="1:9" x14ac:dyDescent="0.25">
      <c r="A172" s="826"/>
      <c r="B172" s="619"/>
      <c r="C172" s="834" t="s">
        <v>6589</v>
      </c>
      <c r="D172" s="619"/>
      <c r="E172" s="619"/>
      <c r="F172" s="827" t="s">
        <v>3</v>
      </c>
      <c r="G172" s="777">
        <f>0.22*0.011*2*1.35</f>
        <v>6.5339999999999999E-3</v>
      </c>
      <c r="H172" s="828"/>
    </row>
    <row r="173" spans="1:9" x14ac:dyDescent="0.25">
      <c r="A173" s="826"/>
      <c r="B173" s="619"/>
      <c r="C173" s="834" t="s">
        <v>12</v>
      </c>
      <c r="D173" s="619"/>
      <c r="E173" s="619"/>
      <c r="F173" s="827" t="s">
        <v>3</v>
      </c>
      <c r="G173" s="777">
        <f>0.3*G172</f>
        <v>1.9602E-3</v>
      </c>
      <c r="H173" s="828"/>
    </row>
    <row r="174" spans="1:9" x14ac:dyDescent="0.25">
      <c r="A174" s="826"/>
      <c r="B174" s="619"/>
      <c r="C174" s="834" t="s">
        <v>114</v>
      </c>
      <c r="D174" s="619"/>
      <c r="E174" s="619"/>
      <c r="F174" s="827" t="s">
        <v>3</v>
      </c>
      <c r="G174" s="777">
        <f>G172*0.7</f>
        <v>4.5737999999999994E-3</v>
      </c>
      <c r="H174" s="828"/>
    </row>
    <row r="175" spans="1:9" x14ac:dyDescent="0.25">
      <c r="A175" s="826"/>
      <c r="B175" s="619"/>
      <c r="C175" s="834" t="s">
        <v>164</v>
      </c>
      <c r="D175" s="619"/>
      <c r="E175" s="619"/>
      <c r="F175" s="827" t="s">
        <v>3</v>
      </c>
      <c r="G175" s="777">
        <f>0.3*G174</f>
        <v>1.3721399999999998E-3</v>
      </c>
      <c r="H175" s="828"/>
    </row>
    <row r="176" spans="1:9" x14ac:dyDescent="0.25">
      <c r="A176" s="826"/>
      <c r="B176" s="619"/>
      <c r="C176" s="834" t="s">
        <v>1021</v>
      </c>
      <c r="D176" s="619"/>
      <c r="E176" s="619"/>
      <c r="F176" s="827" t="s">
        <v>3</v>
      </c>
      <c r="G176" s="777">
        <f>G174</f>
        <v>4.5737999999999994E-3</v>
      </c>
      <c r="H176" s="828"/>
    </row>
    <row r="177" spans="1:9" x14ac:dyDescent="0.25">
      <c r="A177" s="826"/>
      <c r="B177" s="619"/>
      <c r="C177" s="834" t="s">
        <v>661</v>
      </c>
      <c r="D177" s="619"/>
      <c r="E177" s="619"/>
      <c r="F177" s="827" t="s">
        <v>3</v>
      </c>
      <c r="G177" s="777">
        <f>G176*0.4</f>
        <v>1.8295199999999998E-3</v>
      </c>
      <c r="H177" s="828"/>
    </row>
    <row r="178" spans="1:9" x14ac:dyDescent="0.25">
      <c r="A178" s="826"/>
      <c r="B178" s="619"/>
      <c r="C178" s="834" t="s">
        <v>1993</v>
      </c>
      <c r="D178" s="619"/>
      <c r="E178" s="619"/>
      <c r="F178" s="827" t="s">
        <v>3</v>
      </c>
      <c r="G178" s="777">
        <f>G177*0.5</f>
        <v>9.1475999999999992E-4</v>
      </c>
      <c r="H178" s="828"/>
    </row>
    <row r="179" spans="1:9" x14ac:dyDescent="0.25">
      <c r="A179" s="826"/>
      <c r="B179" s="619"/>
      <c r="C179" s="619"/>
      <c r="D179" s="615" t="s">
        <v>6594</v>
      </c>
      <c r="E179" s="619"/>
      <c r="F179" s="827"/>
      <c r="G179" s="777"/>
      <c r="H179" s="828"/>
    </row>
    <row r="180" spans="1:9" x14ac:dyDescent="0.25">
      <c r="A180" s="826"/>
      <c r="B180" s="619"/>
      <c r="C180" s="619"/>
      <c r="D180" s="834" t="s">
        <v>3394</v>
      </c>
      <c r="E180" s="619"/>
      <c r="F180" s="827" t="s">
        <v>3</v>
      </c>
      <c r="G180" s="777">
        <f>0.012*3.14*0.08*1.2</f>
        <v>3.6172800000000005E-3</v>
      </c>
      <c r="H180" s="828"/>
    </row>
    <row r="181" spans="1:9" ht="17.25" x14ac:dyDescent="0.25">
      <c r="A181" s="826"/>
      <c r="B181" s="619"/>
      <c r="C181" s="619"/>
      <c r="D181" s="834" t="s">
        <v>121</v>
      </c>
      <c r="E181" s="619"/>
      <c r="F181" s="827" t="s">
        <v>596</v>
      </c>
      <c r="G181" s="777">
        <f>G180*1.1</f>
        <v>3.9790080000000009E-3</v>
      </c>
      <c r="H181" s="828"/>
    </row>
    <row r="182" spans="1:9" x14ac:dyDescent="0.25">
      <c r="A182" s="826"/>
      <c r="B182" s="619"/>
      <c r="C182" s="619"/>
      <c r="D182" s="619"/>
      <c r="E182" s="615" t="s">
        <v>6593</v>
      </c>
      <c r="F182" s="827"/>
      <c r="G182" s="777"/>
      <c r="H182" s="828"/>
    </row>
    <row r="183" spans="1:9" x14ac:dyDescent="0.25">
      <c r="A183" s="826"/>
      <c r="B183" s="619"/>
      <c r="C183" s="619"/>
      <c r="D183" s="619"/>
      <c r="E183" s="619" t="s">
        <v>6587</v>
      </c>
      <c r="F183" s="827" t="s">
        <v>3</v>
      </c>
      <c r="G183" s="777">
        <f>0.271*0.08</f>
        <v>2.1680000000000001E-2</v>
      </c>
      <c r="H183" s="828"/>
      <c r="I183" s="780" t="s">
        <v>6592</v>
      </c>
    </row>
    <row r="184" spans="1:9" x14ac:dyDescent="0.25">
      <c r="A184" s="826"/>
      <c r="B184" s="619"/>
      <c r="C184" s="619"/>
      <c r="D184" s="615" t="s">
        <v>6591</v>
      </c>
      <c r="E184" s="619"/>
      <c r="F184" s="827"/>
      <c r="G184" s="777"/>
      <c r="H184" s="828"/>
    </row>
    <row r="185" spans="1:9" x14ac:dyDescent="0.25">
      <c r="A185" s="826"/>
      <c r="B185" s="619"/>
      <c r="C185" s="619"/>
      <c r="D185" s="619" t="s">
        <v>6587</v>
      </c>
      <c r="E185" s="619"/>
      <c r="F185" s="827" t="s">
        <v>3</v>
      </c>
      <c r="G185" s="777">
        <f>0.271*0.13</f>
        <v>3.5230000000000004E-2</v>
      </c>
      <c r="H185" s="828"/>
      <c r="I185" s="780" t="s">
        <v>3385</v>
      </c>
    </row>
    <row r="186" spans="1:9" x14ac:dyDescent="0.25">
      <c r="A186" s="826"/>
      <c r="B186" s="619"/>
      <c r="C186" s="619"/>
      <c r="D186" s="619"/>
      <c r="E186" s="619"/>
      <c r="F186" s="827"/>
      <c r="G186" s="777"/>
      <c r="H186" s="828"/>
    </row>
    <row r="187" spans="1:9" x14ac:dyDescent="0.25">
      <c r="A187" s="826"/>
      <c r="B187" s="619"/>
      <c r="C187" s="615" t="s">
        <v>6590</v>
      </c>
      <c r="D187" s="619"/>
      <c r="E187" s="619"/>
      <c r="F187" s="827"/>
      <c r="G187" s="777"/>
      <c r="H187" s="828"/>
    </row>
    <row r="188" spans="1:9" x14ac:dyDescent="0.25">
      <c r="A188" s="826"/>
      <c r="B188" s="619"/>
      <c r="C188" s="834" t="s">
        <v>3394</v>
      </c>
      <c r="D188" s="619"/>
      <c r="E188" s="619"/>
      <c r="F188" s="827" t="s">
        <v>3</v>
      </c>
      <c r="G188" s="777">
        <f>0.012*3.14*3*0.08*1.2</f>
        <v>1.0851840000000001E-2</v>
      </c>
      <c r="H188" s="828"/>
    </row>
    <row r="189" spans="1:9" ht="17.25" x14ac:dyDescent="0.25">
      <c r="A189" s="826"/>
      <c r="B189" s="619"/>
      <c r="C189" s="834" t="s">
        <v>121</v>
      </c>
      <c r="D189" s="619"/>
      <c r="E189" s="619"/>
      <c r="F189" s="827" t="s">
        <v>596</v>
      </c>
      <c r="G189" s="777">
        <f>G188*1.1</f>
        <v>1.1937024000000003E-2</v>
      </c>
      <c r="H189" s="828"/>
    </row>
    <row r="190" spans="1:9" x14ac:dyDescent="0.25">
      <c r="A190" s="826"/>
      <c r="B190" s="619"/>
      <c r="C190" s="834" t="s">
        <v>6589</v>
      </c>
      <c r="D190" s="619"/>
      <c r="E190" s="619"/>
      <c r="F190" s="827" t="s">
        <v>3</v>
      </c>
      <c r="G190" s="777">
        <f>0.25*0.011*2*1.35</f>
        <v>7.4250000000000002E-3</v>
      </c>
      <c r="H190" s="828"/>
    </row>
    <row r="191" spans="1:9" x14ac:dyDescent="0.25">
      <c r="A191" s="826"/>
      <c r="B191" s="619"/>
      <c r="C191" s="834" t="s">
        <v>12</v>
      </c>
      <c r="D191" s="619"/>
      <c r="E191" s="619"/>
      <c r="F191" s="827" t="s">
        <v>3</v>
      </c>
      <c r="G191" s="777">
        <f>0.3*G190</f>
        <v>2.2274999999999999E-3</v>
      </c>
      <c r="H191" s="828"/>
    </row>
    <row r="192" spans="1:9" x14ac:dyDescent="0.25">
      <c r="A192" s="826"/>
      <c r="B192" s="619"/>
      <c r="C192" s="834" t="s">
        <v>114</v>
      </c>
      <c r="D192" s="619"/>
      <c r="E192" s="619"/>
      <c r="F192" s="827" t="s">
        <v>3</v>
      </c>
      <c r="G192" s="777">
        <f>G190*0.7</f>
        <v>5.1974999999999999E-3</v>
      </c>
      <c r="H192" s="828"/>
    </row>
    <row r="193" spans="1:9" x14ac:dyDescent="0.25">
      <c r="A193" s="826"/>
      <c r="B193" s="619"/>
      <c r="C193" s="834" t="s">
        <v>164</v>
      </c>
      <c r="D193" s="619"/>
      <c r="E193" s="619"/>
      <c r="F193" s="827" t="s">
        <v>3</v>
      </c>
      <c r="G193" s="777">
        <f>0.3*G192</f>
        <v>1.5592499999999999E-3</v>
      </c>
      <c r="H193" s="828"/>
    </row>
    <row r="194" spans="1:9" x14ac:dyDescent="0.25">
      <c r="A194" s="826"/>
      <c r="B194" s="619"/>
      <c r="C194" s="834" t="s">
        <v>1021</v>
      </c>
      <c r="D194" s="619"/>
      <c r="E194" s="619"/>
      <c r="F194" s="827" t="s">
        <v>3</v>
      </c>
      <c r="G194" s="777">
        <f>G192</f>
        <v>5.1974999999999999E-3</v>
      </c>
      <c r="H194" s="828"/>
    </row>
    <row r="195" spans="1:9" x14ac:dyDescent="0.25">
      <c r="A195" s="826"/>
      <c r="B195" s="619"/>
      <c r="C195" s="834" t="s">
        <v>661</v>
      </c>
      <c r="D195" s="619"/>
      <c r="E195" s="619"/>
      <c r="F195" s="827" t="s">
        <v>3</v>
      </c>
      <c r="G195" s="777">
        <f>G194*0.4</f>
        <v>2.0790000000000001E-3</v>
      </c>
      <c r="H195" s="828"/>
    </row>
    <row r="196" spans="1:9" x14ac:dyDescent="0.25">
      <c r="A196" s="826"/>
      <c r="B196" s="619"/>
      <c r="C196" s="834" t="s">
        <v>1993</v>
      </c>
      <c r="D196" s="619"/>
      <c r="E196" s="619"/>
      <c r="F196" s="827" t="s">
        <v>3</v>
      </c>
      <c r="G196" s="777">
        <f>G195*0.5</f>
        <v>1.0395000000000001E-3</v>
      </c>
      <c r="H196" s="828"/>
    </row>
    <row r="197" spans="1:9" x14ac:dyDescent="0.25">
      <c r="A197" s="826"/>
      <c r="B197" s="619"/>
      <c r="C197" s="619"/>
      <c r="D197" s="615" t="s">
        <v>6588</v>
      </c>
      <c r="E197" s="619"/>
      <c r="F197" s="827"/>
      <c r="G197" s="777"/>
      <c r="H197" s="828"/>
    </row>
    <row r="198" spans="1:9" x14ac:dyDescent="0.25">
      <c r="A198" s="826"/>
      <c r="B198" s="619"/>
      <c r="C198" s="619"/>
      <c r="D198" s="619" t="s">
        <v>6587</v>
      </c>
      <c r="E198" s="619"/>
      <c r="F198" s="827" t="s">
        <v>3</v>
      </c>
      <c r="G198" s="777">
        <f>0.271*0.13</f>
        <v>3.5230000000000004E-2</v>
      </c>
      <c r="H198" s="828"/>
      <c r="I198" s="780" t="s">
        <v>3385</v>
      </c>
    </row>
    <row r="199" spans="1:9" ht="15.75" thickBot="1" x14ac:dyDescent="0.3">
      <c r="A199" s="829"/>
      <c r="B199" s="830"/>
      <c r="C199" s="830"/>
      <c r="D199" s="830"/>
      <c r="E199" s="830"/>
      <c r="F199" s="831"/>
      <c r="G199" s="832"/>
      <c r="H199" s="833"/>
    </row>
    <row r="201" spans="1:9" ht="18.75" x14ac:dyDescent="0.3">
      <c r="E201" s="620" t="s">
        <v>6586</v>
      </c>
    </row>
    <row r="203" spans="1:9" x14ac:dyDescent="0.25">
      <c r="C203" s="610" t="s">
        <v>6585</v>
      </c>
    </row>
    <row r="204" spans="1:9" x14ac:dyDescent="0.25">
      <c r="C204" s="746" t="s">
        <v>6584</v>
      </c>
      <c r="F204" s="836" t="s">
        <v>3</v>
      </c>
      <c r="G204" s="782" t="s">
        <v>6583</v>
      </c>
      <c r="I204" s="780" t="s">
        <v>6582</v>
      </c>
    </row>
    <row r="205" spans="1:9" x14ac:dyDescent="0.25">
      <c r="G205" s="782" t="s">
        <v>6581</v>
      </c>
    </row>
    <row r="206" spans="1:9" ht="15.75" thickBot="1" x14ac:dyDescent="0.3"/>
    <row r="207" spans="1:9" x14ac:dyDescent="0.25">
      <c r="A207" s="819"/>
      <c r="B207" s="820"/>
      <c r="C207" s="820"/>
      <c r="D207" s="820"/>
      <c r="E207" s="820"/>
      <c r="F207" s="821"/>
      <c r="G207" s="822"/>
      <c r="H207" s="837" t="s">
        <v>6580</v>
      </c>
    </row>
    <row r="208" spans="1:9" ht="18.75" x14ac:dyDescent="0.3">
      <c r="A208" s="826"/>
      <c r="B208" s="619"/>
      <c r="C208" s="619"/>
      <c r="D208" s="619"/>
      <c r="E208" s="620" t="s">
        <v>6579</v>
      </c>
      <c r="F208" s="827"/>
      <c r="G208" s="777"/>
      <c r="H208" s="828"/>
    </row>
    <row r="209" spans="1:11" ht="18.75" x14ac:dyDescent="0.3">
      <c r="A209" s="826"/>
      <c r="B209" s="619"/>
      <c r="C209" s="619"/>
      <c r="D209" s="619"/>
      <c r="E209" s="620"/>
      <c r="F209" s="827"/>
      <c r="G209" s="777"/>
      <c r="H209" s="828"/>
    </row>
    <row r="210" spans="1:11" x14ac:dyDescent="0.25">
      <c r="A210" s="826"/>
      <c r="B210" s="619"/>
      <c r="C210" s="619"/>
      <c r="D210" s="619"/>
      <c r="E210" s="619"/>
      <c r="F210" s="827"/>
      <c r="G210" s="777"/>
      <c r="H210" s="828"/>
      <c r="I210" s="788" t="s">
        <v>6686</v>
      </c>
    </row>
    <row r="211" spans="1:11" x14ac:dyDescent="0.25">
      <c r="A211" s="826"/>
      <c r="B211" s="619"/>
      <c r="C211" s="615" t="s">
        <v>6578</v>
      </c>
      <c r="D211" s="619"/>
      <c r="E211" s="619"/>
      <c r="F211" s="827"/>
      <c r="G211" s="777"/>
      <c r="H211" s="828"/>
      <c r="K211" s="609" t="s">
        <v>6577</v>
      </c>
    </row>
    <row r="212" spans="1:11" x14ac:dyDescent="0.25">
      <c r="A212" s="826"/>
      <c r="B212" s="619"/>
      <c r="C212" s="834" t="s">
        <v>39</v>
      </c>
      <c r="D212" s="619"/>
      <c r="E212" s="619"/>
      <c r="F212" s="827" t="s">
        <v>3</v>
      </c>
      <c r="G212" s="785">
        <f>(0.25*2+(0.08*3.14/2)*2)*0.08*1.16</f>
        <v>6.9711360000000014E-2</v>
      </c>
      <c r="H212" s="828"/>
      <c r="I212" s="751" t="s">
        <v>6575</v>
      </c>
      <c r="K212" s="838">
        <v>2</v>
      </c>
    </row>
    <row r="213" spans="1:11" ht="17.25" x14ac:dyDescent="0.25">
      <c r="A213" s="826"/>
      <c r="B213" s="619"/>
      <c r="C213" s="834" t="s">
        <v>1055</v>
      </c>
      <c r="D213" s="619"/>
      <c r="E213" s="619"/>
      <c r="F213" s="827" t="s">
        <v>596</v>
      </c>
      <c r="G213" s="777">
        <f>1.5*G212</f>
        <v>0.10456704000000003</v>
      </c>
      <c r="H213" s="828"/>
      <c r="I213" s="751" t="s">
        <v>6574</v>
      </c>
      <c r="K213" s="838">
        <v>3</v>
      </c>
    </row>
    <row r="214" spans="1:11" x14ac:dyDescent="0.25">
      <c r="A214" s="826"/>
      <c r="B214" s="619"/>
      <c r="C214" s="834" t="s">
        <v>8</v>
      </c>
      <c r="D214" s="619"/>
      <c r="E214" s="619"/>
      <c r="F214" s="827" t="s">
        <v>3</v>
      </c>
      <c r="G214" s="777">
        <f>G216*0.7</f>
        <v>6.9747384000000009E-2</v>
      </c>
      <c r="H214" s="828"/>
      <c r="I214" s="751" t="s">
        <v>6573</v>
      </c>
      <c r="K214" s="838">
        <v>3</v>
      </c>
    </row>
    <row r="215" spans="1:11" x14ac:dyDescent="0.25">
      <c r="A215" s="826"/>
      <c r="B215" s="619"/>
      <c r="C215" s="834" t="s">
        <v>12</v>
      </c>
      <c r="D215" s="619"/>
      <c r="E215" s="619"/>
      <c r="F215" s="827" t="s">
        <v>3</v>
      </c>
      <c r="G215" s="777">
        <f>0.3*G214</f>
        <v>2.0924215200000002E-2</v>
      </c>
      <c r="H215" s="828"/>
      <c r="K215" s="838"/>
    </row>
    <row r="216" spans="1:11" x14ac:dyDescent="0.25">
      <c r="A216" s="826"/>
      <c r="B216" s="619"/>
      <c r="C216" s="834" t="s">
        <v>72</v>
      </c>
      <c r="D216" s="619"/>
      <c r="E216" s="619"/>
      <c r="F216" s="827" t="s">
        <v>3</v>
      </c>
      <c r="G216" s="777">
        <f>(0.256*0.335+0.25*0.07*2+0.1*0.05*2)*2*0.15*2*1.27</f>
        <v>9.9639120000000012E-2</v>
      </c>
      <c r="H216" s="828"/>
      <c r="K216" s="838"/>
    </row>
    <row r="217" spans="1:11" x14ac:dyDescent="0.25">
      <c r="A217" s="826"/>
      <c r="B217" s="619"/>
      <c r="C217" s="834" t="s">
        <v>11</v>
      </c>
      <c r="D217" s="619"/>
      <c r="E217" s="619"/>
      <c r="F217" s="827" t="s">
        <v>3</v>
      </c>
      <c r="G217" s="777">
        <f>0.3*G216</f>
        <v>2.9891736000000002E-2</v>
      </c>
      <c r="H217" s="828"/>
      <c r="K217" s="838"/>
    </row>
    <row r="218" spans="1:11" x14ac:dyDescent="0.25">
      <c r="A218" s="826"/>
      <c r="B218" s="619"/>
      <c r="C218" s="834" t="s">
        <v>6576</v>
      </c>
      <c r="D218" s="619"/>
      <c r="E218" s="619"/>
      <c r="F218" s="827" t="s">
        <v>3</v>
      </c>
      <c r="G218" s="777">
        <v>0.05</v>
      </c>
      <c r="H218" s="828"/>
      <c r="K218" s="838"/>
    </row>
    <row r="219" spans="1:11" x14ac:dyDescent="0.25">
      <c r="A219" s="826"/>
      <c r="B219" s="619"/>
      <c r="C219" s="619"/>
      <c r="D219" s="615" t="s">
        <v>6575</v>
      </c>
      <c r="E219" s="619"/>
      <c r="F219" s="827"/>
      <c r="G219" s="777"/>
      <c r="H219" s="828"/>
      <c r="K219" s="838"/>
    </row>
    <row r="220" spans="1:11" x14ac:dyDescent="0.25">
      <c r="A220" s="826"/>
      <c r="B220" s="619"/>
      <c r="C220" s="619"/>
      <c r="D220" s="619" t="s">
        <v>6561</v>
      </c>
      <c r="E220" s="619"/>
      <c r="F220" s="827" t="s">
        <v>3</v>
      </c>
      <c r="G220" s="777">
        <f>0.335*0.256*2*8*1.13-0.001</f>
        <v>1.5495407999999999</v>
      </c>
      <c r="H220" s="828"/>
      <c r="K220" s="838"/>
    </row>
    <row r="221" spans="1:11" x14ac:dyDescent="0.25">
      <c r="A221" s="826"/>
      <c r="B221" s="619"/>
      <c r="C221" s="619"/>
      <c r="D221" s="615" t="s">
        <v>6574</v>
      </c>
      <c r="E221" s="619"/>
      <c r="F221" s="827"/>
      <c r="G221" s="777"/>
      <c r="H221" s="828"/>
      <c r="K221" s="838"/>
    </row>
    <row r="222" spans="1:11" x14ac:dyDescent="0.25">
      <c r="A222" s="826"/>
      <c r="B222" s="619"/>
      <c r="C222" s="619"/>
      <c r="D222" s="619" t="s">
        <v>6572</v>
      </c>
      <c r="E222" s="619"/>
      <c r="F222" s="827" t="s">
        <v>3</v>
      </c>
      <c r="G222" s="777">
        <f>0.13*0.042*3*8*1.145</f>
        <v>0.15004080000000003</v>
      </c>
      <c r="H222" s="828"/>
      <c r="K222" s="838"/>
    </row>
    <row r="223" spans="1:11" x14ac:dyDescent="0.25">
      <c r="A223" s="826"/>
      <c r="B223" s="619"/>
      <c r="C223" s="619"/>
      <c r="D223" s="615" t="s">
        <v>6573</v>
      </c>
      <c r="E223" s="619"/>
      <c r="F223" s="827"/>
      <c r="G223" s="777"/>
      <c r="H223" s="828"/>
      <c r="K223" s="838"/>
    </row>
    <row r="224" spans="1:11" x14ac:dyDescent="0.25">
      <c r="A224" s="826"/>
      <c r="B224" s="619"/>
      <c r="C224" s="619"/>
      <c r="D224" s="619" t="s">
        <v>6572</v>
      </c>
      <c r="E224" s="619"/>
      <c r="F224" s="827" t="s">
        <v>3</v>
      </c>
      <c r="G224" s="777">
        <f>0.25*0.075*3*8*1.134</f>
        <v>0.51029999999999986</v>
      </c>
      <c r="H224" s="828"/>
      <c r="K224" s="838"/>
    </row>
    <row r="225" spans="1:11" x14ac:dyDescent="0.25">
      <c r="A225" s="826"/>
      <c r="B225" s="619"/>
      <c r="C225" s="619"/>
      <c r="D225" s="619"/>
      <c r="E225" s="619"/>
      <c r="F225" s="827"/>
      <c r="G225" s="777"/>
      <c r="H225" s="828"/>
      <c r="K225" s="838"/>
    </row>
    <row r="226" spans="1:11" x14ac:dyDescent="0.25">
      <c r="A226" s="826"/>
      <c r="B226" s="619"/>
      <c r="C226" s="615" t="s">
        <v>6571</v>
      </c>
      <c r="D226" s="619"/>
      <c r="E226" s="619"/>
      <c r="F226" s="827"/>
      <c r="G226" s="777"/>
      <c r="H226" s="828"/>
      <c r="K226" s="838"/>
    </row>
    <row r="227" spans="1:11" x14ac:dyDescent="0.25">
      <c r="A227" s="826"/>
      <c r="B227" s="619"/>
      <c r="C227" s="619" t="s">
        <v>6570</v>
      </c>
      <c r="D227" s="619"/>
      <c r="E227" s="619"/>
      <c r="F227" s="827" t="s">
        <v>3</v>
      </c>
      <c r="G227" s="777">
        <f>0.13*0.13*2.5*8*1.125</f>
        <v>0.38025000000000003</v>
      </c>
      <c r="H227" s="828"/>
      <c r="K227" s="838"/>
    </row>
    <row r="228" spans="1:11" x14ac:dyDescent="0.25">
      <c r="A228" s="826"/>
      <c r="B228" s="619"/>
      <c r="C228" s="619"/>
      <c r="D228" s="619"/>
      <c r="E228" s="619"/>
      <c r="F228" s="827"/>
      <c r="G228" s="777"/>
      <c r="H228" s="828"/>
      <c r="K228" s="838"/>
    </row>
    <row r="229" spans="1:11" x14ac:dyDescent="0.25">
      <c r="A229" s="826"/>
      <c r="B229" s="619"/>
      <c r="C229" s="615" t="s">
        <v>6569</v>
      </c>
      <c r="D229" s="619"/>
      <c r="E229" s="619"/>
      <c r="F229" s="827"/>
      <c r="G229" s="777"/>
      <c r="H229" s="828"/>
      <c r="K229" s="838"/>
    </row>
    <row r="230" spans="1:11" x14ac:dyDescent="0.25">
      <c r="A230" s="826"/>
      <c r="B230" s="619"/>
      <c r="C230" s="619" t="s">
        <v>6568</v>
      </c>
      <c r="D230" s="619"/>
      <c r="E230" s="619"/>
      <c r="F230" s="827" t="s">
        <v>3</v>
      </c>
      <c r="G230" s="777">
        <f>0.11*0.11*0.036*8*1.12</f>
        <v>3.9029759999999998E-3</v>
      </c>
      <c r="H230" s="828"/>
      <c r="K230" s="838"/>
    </row>
    <row r="231" spans="1:11" x14ac:dyDescent="0.25">
      <c r="A231" s="826"/>
      <c r="B231" s="619"/>
      <c r="C231" s="619"/>
      <c r="D231" s="619"/>
      <c r="E231" s="619"/>
      <c r="F231" s="827"/>
      <c r="G231" s="777"/>
      <c r="H231" s="828"/>
      <c r="K231" s="838"/>
    </row>
    <row r="232" spans="1:11" x14ac:dyDescent="0.25">
      <c r="A232" s="826"/>
      <c r="B232" s="619"/>
      <c r="C232" s="615" t="s">
        <v>6567</v>
      </c>
      <c r="D232" s="619"/>
      <c r="E232" s="619"/>
      <c r="F232" s="827"/>
      <c r="G232" s="777"/>
      <c r="H232" s="828"/>
      <c r="K232" s="838"/>
    </row>
    <row r="233" spans="1:11" x14ac:dyDescent="0.25">
      <c r="A233" s="826"/>
      <c r="B233" s="619"/>
      <c r="C233" s="619" t="s">
        <v>6566</v>
      </c>
      <c r="D233" s="619"/>
      <c r="E233" s="619"/>
      <c r="F233" s="827" t="s">
        <v>3</v>
      </c>
      <c r="G233" s="777">
        <f>0.11*0.11*0.5*8*1.13</f>
        <v>5.4691999999999991E-2</v>
      </c>
      <c r="H233" s="828"/>
      <c r="K233" s="838"/>
    </row>
    <row r="234" spans="1:11" x14ac:dyDescent="0.25">
      <c r="A234" s="826"/>
      <c r="B234" s="619"/>
      <c r="C234" s="619"/>
      <c r="D234" s="619"/>
      <c r="E234" s="619"/>
      <c r="F234" s="827"/>
      <c r="G234" s="777"/>
      <c r="H234" s="828"/>
      <c r="K234" s="838"/>
    </row>
    <row r="235" spans="1:11" x14ac:dyDescent="0.25">
      <c r="A235" s="826"/>
      <c r="B235" s="619"/>
      <c r="C235" s="615" t="s">
        <v>6565</v>
      </c>
      <c r="D235" s="619"/>
      <c r="E235" s="619"/>
      <c r="F235" s="827"/>
      <c r="G235" s="777"/>
      <c r="H235" s="828"/>
      <c r="K235" s="838"/>
    </row>
    <row r="236" spans="1:11" x14ac:dyDescent="0.25">
      <c r="A236" s="826"/>
      <c r="B236" s="619"/>
      <c r="C236" s="619" t="s">
        <v>4851</v>
      </c>
      <c r="D236" s="619"/>
      <c r="E236" s="619"/>
      <c r="F236" s="827" t="s">
        <v>3</v>
      </c>
      <c r="G236" s="777">
        <f>0.035*0.025*1*8*1.12</f>
        <v>7.8400000000000015E-3</v>
      </c>
      <c r="H236" s="828"/>
      <c r="K236" s="838"/>
    </row>
    <row r="237" spans="1:11" x14ac:dyDescent="0.25">
      <c r="A237" s="826"/>
      <c r="B237" s="619"/>
      <c r="C237" s="615"/>
      <c r="D237" s="619"/>
      <c r="E237" s="619"/>
      <c r="F237" s="827"/>
      <c r="G237" s="777"/>
      <c r="H237" s="828"/>
      <c r="K237" s="838"/>
    </row>
    <row r="238" spans="1:11" x14ac:dyDescent="0.25">
      <c r="A238" s="826"/>
      <c r="B238" s="619"/>
      <c r="C238" s="615" t="s">
        <v>6564</v>
      </c>
      <c r="D238" s="619"/>
      <c r="E238" s="619"/>
      <c r="F238" s="827"/>
      <c r="G238" s="777"/>
      <c r="H238" s="828"/>
      <c r="K238" s="838"/>
    </row>
    <row r="239" spans="1:11" x14ac:dyDescent="0.25">
      <c r="A239" s="826"/>
      <c r="B239" s="619"/>
      <c r="C239" s="619" t="s">
        <v>6563</v>
      </c>
      <c r="D239" s="619"/>
      <c r="E239" s="619"/>
      <c r="F239" s="827" t="s">
        <v>3</v>
      </c>
      <c r="G239" s="777">
        <f>0.11*0.09*1.6*8*1.145</f>
        <v>0.14509440000000001</v>
      </c>
      <c r="H239" s="828"/>
      <c r="K239" s="838"/>
    </row>
    <row r="240" spans="1:11" x14ac:dyDescent="0.25">
      <c r="A240" s="826"/>
      <c r="B240" s="619"/>
      <c r="C240" s="619"/>
      <c r="D240" s="619"/>
      <c r="E240" s="619"/>
      <c r="F240" s="827"/>
      <c r="G240" s="777"/>
      <c r="H240" s="828"/>
      <c r="K240" s="838"/>
    </row>
    <row r="241" spans="1:11" x14ac:dyDescent="0.25">
      <c r="A241" s="826"/>
      <c r="B241" s="619"/>
      <c r="C241" s="615" t="s">
        <v>6562</v>
      </c>
      <c r="D241" s="619"/>
      <c r="E241" s="619"/>
      <c r="F241" s="827"/>
      <c r="G241" s="777"/>
      <c r="H241" s="828"/>
      <c r="K241" s="838"/>
    </row>
    <row r="242" spans="1:11" x14ac:dyDescent="0.25">
      <c r="A242" s="826"/>
      <c r="B242" s="619"/>
      <c r="C242" s="619" t="s">
        <v>6561</v>
      </c>
      <c r="D242" s="619"/>
      <c r="E242" s="619"/>
      <c r="F242" s="827" t="s">
        <v>3</v>
      </c>
      <c r="G242" s="777">
        <f>0.095*0.095*2*8*1.14</f>
        <v>0.16461599999999998</v>
      </c>
      <c r="H242" s="828"/>
      <c r="K242" s="838"/>
    </row>
    <row r="243" spans="1:11" x14ac:dyDescent="0.25">
      <c r="A243" s="826"/>
      <c r="B243" s="619"/>
      <c r="C243" s="619"/>
      <c r="D243" s="619"/>
      <c r="E243" s="619"/>
      <c r="F243" s="827"/>
      <c r="G243" s="777"/>
      <c r="H243" s="828"/>
      <c r="K243" s="838"/>
    </row>
    <row r="244" spans="1:11" x14ac:dyDescent="0.25">
      <c r="A244" s="826"/>
      <c r="B244" s="619"/>
      <c r="C244" s="615" t="s">
        <v>6560</v>
      </c>
      <c r="D244" s="619"/>
      <c r="E244" s="619"/>
      <c r="F244" s="827"/>
      <c r="G244" s="777"/>
      <c r="H244" s="828"/>
      <c r="K244" s="838"/>
    </row>
    <row r="245" spans="1:11" x14ac:dyDescent="0.25">
      <c r="A245" s="826"/>
      <c r="B245" s="619"/>
      <c r="C245" s="619" t="s">
        <v>6559</v>
      </c>
      <c r="D245" s="619"/>
      <c r="E245" s="619"/>
      <c r="F245" s="827" t="s">
        <v>3</v>
      </c>
      <c r="G245" s="777">
        <f>0.09*0.09*3*8*1.105</f>
        <v>0.21481199999999998</v>
      </c>
      <c r="H245" s="828"/>
      <c r="K245" s="838"/>
    </row>
    <row r="246" spans="1:11" x14ac:dyDescent="0.25">
      <c r="A246" s="826"/>
      <c r="B246" s="619"/>
      <c r="C246" s="619"/>
      <c r="D246" s="619"/>
      <c r="E246" s="619"/>
      <c r="F246" s="827"/>
      <c r="G246" s="777"/>
      <c r="H246" s="828"/>
      <c r="K246" s="838"/>
    </row>
    <row r="247" spans="1:11" x14ac:dyDescent="0.25">
      <c r="A247" s="826"/>
      <c r="B247" s="619"/>
      <c r="C247" s="615" t="s">
        <v>6558</v>
      </c>
      <c r="D247" s="619"/>
      <c r="E247" s="619"/>
      <c r="F247" s="827"/>
      <c r="G247" s="777"/>
      <c r="H247" s="828"/>
      <c r="K247" s="838"/>
    </row>
    <row r="248" spans="1:11" x14ac:dyDescent="0.25">
      <c r="A248" s="826"/>
      <c r="B248" s="619"/>
      <c r="C248" s="619" t="s">
        <v>6557</v>
      </c>
      <c r="D248" s="619"/>
      <c r="E248" s="619"/>
      <c r="F248" s="827" t="s">
        <v>3</v>
      </c>
      <c r="G248" s="777">
        <f>0.06*0.06*4.5*8*1.155</f>
        <v>0.14968799999999999</v>
      </c>
      <c r="H248" s="828"/>
      <c r="K248" s="838"/>
    </row>
    <row r="249" spans="1:11" x14ac:dyDescent="0.25">
      <c r="A249" s="826"/>
      <c r="B249" s="619"/>
      <c r="C249" s="619"/>
      <c r="D249" s="619"/>
      <c r="E249" s="619"/>
      <c r="F249" s="827"/>
      <c r="G249" s="777"/>
      <c r="H249" s="828"/>
      <c r="K249" s="838"/>
    </row>
    <row r="250" spans="1:11" x14ac:dyDescent="0.25">
      <c r="A250" s="826"/>
      <c r="B250" s="619"/>
      <c r="C250" s="615" t="s">
        <v>6456</v>
      </c>
      <c r="D250" s="619"/>
      <c r="E250" s="619"/>
      <c r="F250" s="827"/>
      <c r="G250" s="777"/>
      <c r="H250" s="828"/>
      <c r="K250" s="838"/>
    </row>
    <row r="251" spans="1:11" x14ac:dyDescent="0.25">
      <c r="A251" s="826"/>
      <c r="B251" s="619"/>
      <c r="C251" s="619" t="s">
        <v>6455</v>
      </c>
      <c r="D251" s="619"/>
      <c r="E251" s="619"/>
      <c r="F251" s="827" t="s">
        <v>3</v>
      </c>
      <c r="G251" s="777">
        <f>0.02*0.02*3*2.7*1.2</f>
        <v>3.8880000000000008E-3</v>
      </c>
      <c r="H251" s="828"/>
      <c r="K251" s="838"/>
    </row>
    <row r="252" spans="1:11" x14ac:dyDescent="0.25">
      <c r="A252" s="826"/>
      <c r="B252" s="619"/>
      <c r="C252" s="619"/>
      <c r="D252" s="619"/>
      <c r="E252" s="619"/>
      <c r="F252" s="827"/>
      <c r="G252" s="777"/>
      <c r="H252" s="828"/>
      <c r="K252" s="838"/>
    </row>
    <row r="253" spans="1:11" x14ac:dyDescent="0.25">
      <c r="A253" s="826"/>
      <c r="B253" s="619"/>
      <c r="C253" s="615" t="s">
        <v>6556</v>
      </c>
      <c r="D253" s="619"/>
      <c r="E253" s="619"/>
      <c r="F253" s="827"/>
      <c r="G253" s="777"/>
      <c r="H253" s="828"/>
      <c r="K253" s="838"/>
    </row>
    <row r="254" spans="1:11" x14ac:dyDescent="0.25">
      <c r="A254" s="826"/>
      <c r="B254" s="619"/>
      <c r="C254" s="619" t="s">
        <v>6555</v>
      </c>
      <c r="D254" s="619"/>
      <c r="E254" s="619"/>
      <c r="F254" s="827" t="s">
        <v>3</v>
      </c>
      <c r="G254" s="777">
        <f>0.05*0.056*2*2.7*1.18</f>
        <v>1.7841600000000003E-2</v>
      </c>
      <c r="H254" s="828"/>
      <c r="K254" s="838"/>
    </row>
    <row r="255" spans="1:11" x14ac:dyDescent="0.25">
      <c r="A255" s="826"/>
      <c r="B255" s="619"/>
      <c r="C255" s="619"/>
      <c r="D255" s="619"/>
      <c r="E255" s="619"/>
      <c r="F255" s="827"/>
      <c r="G255" s="777"/>
      <c r="H255" s="828"/>
      <c r="K255" s="838"/>
    </row>
    <row r="256" spans="1:11" x14ac:dyDescent="0.25">
      <c r="A256" s="826"/>
      <c r="B256" s="619"/>
      <c r="C256" s="615" t="s">
        <v>6554</v>
      </c>
      <c r="D256" s="619"/>
      <c r="E256" s="619"/>
      <c r="F256" s="827"/>
      <c r="G256" s="777"/>
      <c r="H256" s="828"/>
      <c r="K256" s="838"/>
    </row>
    <row r="257" spans="1:13" x14ac:dyDescent="0.25">
      <c r="A257" s="826"/>
      <c r="B257" s="619"/>
      <c r="C257" s="619" t="s">
        <v>6553</v>
      </c>
      <c r="D257" s="619"/>
      <c r="E257" s="619"/>
      <c r="F257" s="827" t="s">
        <v>3</v>
      </c>
      <c r="G257" s="839">
        <f>0.016*0.006*0.5*8*1.2</f>
        <v>4.6079999999999998E-4</v>
      </c>
      <c r="H257" s="828"/>
      <c r="K257" s="838"/>
    </row>
    <row r="258" spans="1:13" x14ac:dyDescent="0.25">
      <c r="A258" s="826"/>
      <c r="B258" s="619"/>
      <c r="C258" s="619"/>
      <c r="D258" s="619"/>
      <c r="E258" s="619"/>
      <c r="F258" s="827"/>
      <c r="G258" s="777"/>
      <c r="H258" s="828"/>
      <c r="K258" s="838"/>
    </row>
    <row r="259" spans="1:13" x14ac:dyDescent="0.25">
      <c r="A259" s="826"/>
      <c r="B259" s="619"/>
      <c r="C259" s="615" t="s">
        <v>6552</v>
      </c>
      <c r="D259" s="619"/>
      <c r="E259" s="619"/>
      <c r="F259" s="827"/>
      <c r="G259" s="777"/>
      <c r="H259" s="828"/>
    </row>
    <row r="260" spans="1:13" x14ac:dyDescent="0.25">
      <c r="A260" s="826"/>
      <c r="B260" s="619"/>
      <c r="C260" s="619" t="s">
        <v>6551</v>
      </c>
      <c r="D260" s="619"/>
      <c r="E260" s="619"/>
      <c r="F260" s="827" t="s">
        <v>3</v>
      </c>
      <c r="G260" s="777">
        <f>0.666*0.11</f>
        <v>7.3260000000000006E-2</v>
      </c>
      <c r="H260" s="828"/>
      <c r="I260" s="780" t="s">
        <v>6550</v>
      </c>
    </row>
    <row r="261" spans="1:13" x14ac:dyDescent="0.25">
      <c r="A261" s="826"/>
      <c r="B261" s="619"/>
      <c r="C261" s="619"/>
      <c r="D261" s="619"/>
      <c r="E261" s="619"/>
      <c r="F261" s="827"/>
      <c r="G261" s="777"/>
      <c r="H261" s="828"/>
    </row>
    <row r="262" spans="1:13" x14ac:dyDescent="0.25">
      <c r="A262" s="826"/>
      <c r="B262" s="619"/>
      <c r="C262" s="615" t="s">
        <v>6549</v>
      </c>
      <c r="D262" s="619"/>
      <c r="E262" s="619"/>
      <c r="F262" s="827"/>
      <c r="G262" s="777"/>
      <c r="H262" s="828"/>
    </row>
    <row r="263" spans="1:13" x14ac:dyDescent="0.25">
      <c r="A263" s="826"/>
      <c r="B263" s="619"/>
      <c r="C263" s="619" t="s">
        <v>6457</v>
      </c>
      <c r="D263" s="619"/>
      <c r="E263" s="619"/>
      <c r="F263" s="827" t="s">
        <v>3</v>
      </c>
      <c r="G263" s="777">
        <f>0.051*0.032*4*8*1.15</f>
        <v>6.0057599999999996E-2</v>
      </c>
      <c r="H263" s="828"/>
    </row>
    <row r="264" spans="1:13" x14ac:dyDescent="0.25">
      <c r="A264" s="826"/>
      <c r="B264" s="619"/>
      <c r="C264" s="619"/>
      <c r="D264" s="619"/>
      <c r="E264" s="619"/>
      <c r="F264" s="827"/>
      <c r="G264" s="777"/>
      <c r="H264" s="828"/>
    </row>
    <row r="265" spans="1:13" x14ac:dyDescent="0.25">
      <c r="A265" s="826"/>
      <c r="B265" s="619"/>
      <c r="C265" s="615" t="s">
        <v>6548</v>
      </c>
      <c r="D265" s="619"/>
      <c r="E265" s="619"/>
      <c r="F265" s="827"/>
      <c r="G265" s="777"/>
      <c r="H265" s="828"/>
    </row>
    <row r="266" spans="1:13" x14ac:dyDescent="0.25">
      <c r="A266" s="826"/>
      <c r="B266" s="619"/>
      <c r="C266" s="834" t="s">
        <v>6501</v>
      </c>
      <c r="D266" s="619"/>
      <c r="E266" s="619"/>
      <c r="F266" s="827" t="s">
        <v>3</v>
      </c>
      <c r="G266" s="777">
        <f>(0.014*3.14*4+0.008*3.14)*0.08*1.2</f>
        <v>1.9292160000000003E-2</v>
      </c>
      <c r="H266" s="828"/>
    </row>
    <row r="267" spans="1:13" ht="17.25" x14ac:dyDescent="0.25">
      <c r="A267" s="826"/>
      <c r="B267" s="619"/>
      <c r="C267" s="834" t="s">
        <v>121</v>
      </c>
      <c r="D267" s="619"/>
      <c r="E267" s="619"/>
      <c r="F267" s="827" t="s">
        <v>596</v>
      </c>
      <c r="G267" s="777">
        <f>G266*1.1</f>
        <v>2.1221376000000004E-2</v>
      </c>
      <c r="H267" s="828"/>
    </row>
    <row r="268" spans="1:13" x14ac:dyDescent="0.25">
      <c r="A268" s="826"/>
      <c r="B268" s="619"/>
      <c r="C268" s="619"/>
      <c r="D268" s="615" t="s">
        <v>6547</v>
      </c>
      <c r="E268" s="619"/>
      <c r="F268" s="827"/>
      <c r="G268" s="777"/>
      <c r="H268" s="828"/>
    </row>
    <row r="269" spans="1:13" x14ac:dyDescent="0.25">
      <c r="A269" s="826"/>
      <c r="B269" s="619"/>
      <c r="C269" s="619"/>
      <c r="D269" s="619" t="s">
        <v>6522</v>
      </c>
      <c r="E269" s="619"/>
      <c r="F269" s="827" t="s">
        <v>3</v>
      </c>
      <c r="G269" s="777">
        <f>0.271*0.055</f>
        <v>1.4905000000000002E-2</v>
      </c>
      <c r="H269" s="828"/>
      <c r="I269" s="780" t="s">
        <v>6546</v>
      </c>
    </row>
    <row r="270" spans="1:13" x14ac:dyDescent="0.25">
      <c r="A270" s="826"/>
      <c r="B270" s="619"/>
      <c r="C270" s="619"/>
      <c r="D270" s="615" t="s">
        <v>6545</v>
      </c>
      <c r="E270" s="619"/>
      <c r="F270" s="827"/>
      <c r="G270" s="777"/>
      <c r="H270" s="828"/>
    </row>
    <row r="271" spans="1:13" x14ac:dyDescent="0.25">
      <c r="A271" s="826"/>
      <c r="B271" s="619"/>
      <c r="C271" s="619"/>
      <c r="D271" s="619" t="s">
        <v>6471</v>
      </c>
      <c r="E271" s="619"/>
      <c r="F271" s="827" t="s">
        <v>3</v>
      </c>
      <c r="G271" s="777">
        <f>0.321*0.38</f>
        <v>0.12198000000000001</v>
      </c>
      <c r="H271" s="828"/>
      <c r="I271" s="780" t="s">
        <v>3676</v>
      </c>
      <c r="M271" s="746">
        <v>0.122</v>
      </c>
    </row>
    <row r="272" spans="1:13" x14ac:dyDescent="0.25">
      <c r="A272" s="826"/>
      <c r="B272" s="619"/>
      <c r="C272" s="619"/>
      <c r="D272" s="615" t="s">
        <v>6544</v>
      </c>
      <c r="E272" s="619"/>
      <c r="F272" s="827"/>
      <c r="G272" s="777"/>
      <c r="H272" s="828"/>
    </row>
    <row r="273" spans="1:13" x14ac:dyDescent="0.25">
      <c r="A273" s="826"/>
      <c r="B273" s="619"/>
      <c r="C273" s="619"/>
      <c r="D273" s="619" t="s">
        <v>6471</v>
      </c>
      <c r="E273" s="619"/>
      <c r="F273" s="827" t="s">
        <v>3</v>
      </c>
      <c r="G273" s="777">
        <f>0.321*0.85+0.002</f>
        <v>0.27484999999999998</v>
      </c>
      <c r="H273" s="828"/>
      <c r="I273" s="780" t="s">
        <v>6543</v>
      </c>
      <c r="M273" s="746">
        <v>0.27500000000000002</v>
      </c>
    </row>
    <row r="274" spans="1:13" x14ac:dyDescent="0.25">
      <c r="A274" s="826"/>
      <c r="B274" s="619"/>
      <c r="C274" s="619"/>
      <c r="D274" s="615" t="s">
        <v>6542</v>
      </c>
      <c r="E274" s="619"/>
      <c r="F274" s="827"/>
      <c r="G274" s="777"/>
      <c r="H274" s="828"/>
    </row>
    <row r="275" spans="1:13" x14ac:dyDescent="0.25">
      <c r="A275" s="826"/>
      <c r="B275" s="619"/>
      <c r="C275" s="619"/>
      <c r="D275" s="619" t="s">
        <v>3006</v>
      </c>
      <c r="E275" s="619"/>
      <c r="F275" s="827" t="s">
        <v>3</v>
      </c>
      <c r="G275" s="777">
        <f>0.173*0.28</f>
        <v>4.8440000000000004E-2</v>
      </c>
      <c r="H275" s="828"/>
      <c r="I275" s="780" t="s">
        <v>6541</v>
      </c>
    </row>
    <row r="276" spans="1:13" x14ac:dyDescent="0.25">
      <c r="A276" s="826"/>
      <c r="B276" s="619"/>
      <c r="C276" s="619"/>
      <c r="D276" s="619"/>
      <c r="E276" s="619"/>
      <c r="F276" s="827"/>
      <c r="G276" s="777"/>
      <c r="H276" s="828"/>
    </row>
    <row r="277" spans="1:13" x14ac:dyDescent="0.25">
      <c r="A277" s="826"/>
      <c r="B277" s="619"/>
      <c r="C277" s="615" t="s">
        <v>6540</v>
      </c>
      <c r="D277" s="619"/>
      <c r="E277" s="619"/>
      <c r="F277" s="827"/>
      <c r="G277" s="619"/>
      <c r="H277" s="828"/>
    </row>
    <row r="278" spans="1:13" x14ac:dyDescent="0.25">
      <c r="A278" s="826"/>
      <c r="B278" s="619"/>
      <c r="C278" s="834" t="s">
        <v>6501</v>
      </c>
      <c r="D278" s="619"/>
      <c r="E278" s="619"/>
      <c r="F278" s="827" t="s">
        <v>3</v>
      </c>
      <c r="G278" s="777">
        <f>(0.014*3.14*2)*0.08*1.2</f>
        <v>8.4403200000000012E-3</v>
      </c>
      <c r="H278" s="828"/>
    </row>
    <row r="279" spans="1:13" ht="17.25" x14ac:dyDescent="0.25">
      <c r="A279" s="826"/>
      <c r="B279" s="619"/>
      <c r="C279" s="834" t="s">
        <v>121</v>
      </c>
      <c r="D279" s="619"/>
      <c r="E279" s="619"/>
      <c r="F279" s="827" t="s">
        <v>596</v>
      </c>
      <c r="G279" s="777">
        <f>G278*1.1</f>
        <v>9.2843520000000027E-3</v>
      </c>
      <c r="H279" s="828"/>
    </row>
    <row r="280" spans="1:13" x14ac:dyDescent="0.25">
      <c r="A280" s="826"/>
      <c r="B280" s="619"/>
      <c r="C280" s="619"/>
      <c r="D280" s="615" t="s">
        <v>6539</v>
      </c>
      <c r="E280" s="619"/>
      <c r="F280" s="827"/>
      <c r="G280" s="619"/>
      <c r="H280" s="828"/>
    </row>
    <row r="281" spans="1:13" x14ac:dyDescent="0.25">
      <c r="A281" s="826"/>
      <c r="B281" s="619"/>
      <c r="C281" s="619"/>
      <c r="D281" s="619" t="s">
        <v>6471</v>
      </c>
      <c r="E281" s="619"/>
      <c r="F281" s="827" t="s">
        <v>3</v>
      </c>
      <c r="G281" s="777">
        <f>0.321*0.405</f>
        <v>0.13000500000000001</v>
      </c>
      <c r="H281" s="828"/>
      <c r="I281" s="780" t="s">
        <v>6538</v>
      </c>
    </row>
    <row r="282" spans="1:13" x14ac:dyDescent="0.25">
      <c r="A282" s="826"/>
      <c r="B282" s="619"/>
      <c r="C282" s="619"/>
      <c r="D282" s="615" t="s">
        <v>6537</v>
      </c>
      <c r="E282" s="619"/>
      <c r="F282" s="827"/>
      <c r="G282" s="619"/>
      <c r="H282" s="828"/>
    </row>
    <row r="283" spans="1:13" x14ac:dyDescent="0.25">
      <c r="A283" s="826"/>
      <c r="B283" s="619"/>
      <c r="C283" s="619"/>
      <c r="D283" s="619" t="s">
        <v>6471</v>
      </c>
      <c r="E283" s="619"/>
      <c r="F283" s="827" t="s">
        <v>3</v>
      </c>
      <c r="G283" s="777">
        <f>0.321*0.055</f>
        <v>1.7655000000000001E-2</v>
      </c>
      <c r="H283" s="828"/>
      <c r="I283" s="780" t="s">
        <v>6536</v>
      </c>
      <c r="M283" s="746">
        <v>1.7999999999999999E-2</v>
      </c>
    </row>
    <row r="284" spans="1:13" x14ac:dyDescent="0.25">
      <c r="A284" s="826"/>
      <c r="B284" s="619"/>
      <c r="C284" s="619"/>
      <c r="D284" s="619"/>
      <c r="E284" s="619"/>
      <c r="F284" s="827"/>
      <c r="G284" s="619"/>
      <c r="H284" s="828"/>
    </row>
    <row r="285" spans="1:13" x14ac:dyDescent="0.25">
      <c r="A285" s="826"/>
      <c r="B285" s="619"/>
      <c r="C285" s="615" t="s">
        <v>6535</v>
      </c>
      <c r="D285" s="619"/>
      <c r="E285" s="619"/>
      <c r="F285" s="827"/>
      <c r="G285" s="619"/>
      <c r="H285" s="828"/>
    </row>
    <row r="286" spans="1:13" x14ac:dyDescent="0.25">
      <c r="A286" s="826"/>
      <c r="B286" s="619"/>
      <c r="C286" s="834" t="s">
        <v>6501</v>
      </c>
      <c r="D286" s="619"/>
      <c r="E286" s="619"/>
      <c r="F286" s="827" t="s">
        <v>3</v>
      </c>
      <c r="G286" s="777">
        <f>(0.012*3.14*2)*0.08*1.2</f>
        <v>7.234560000000001E-3</v>
      </c>
      <c r="H286" s="828"/>
    </row>
    <row r="287" spans="1:13" ht="17.25" x14ac:dyDescent="0.25">
      <c r="A287" s="826"/>
      <c r="B287" s="619"/>
      <c r="C287" s="834" t="s">
        <v>121</v>
      </c>
      <c r="D287" s="619"/>
      <c r="E287" s="619"/>
      <c r="F287" s="827" t="s">
        <v>596</v>
      </c>
      <c r="G287" s="777">
        <f>G286*1.1</f>
        <v>7.9580160000000018E-3</v>
      </c>
      <c r="H287" s="828"/>
    </row>
    <row r="288" spans="1:13" x14ac:dyDescent="0.25">
      <c r="A288" s="826"/>
      <c r="B288" s="619"/>
      <c r="C288" s="619"/>
      <c r="D288" s="615" t="s">
        <v>6534</v>
      </c>
      <c r="E288" s="619"/>
      <c r="F288" s="827"/>
      <c r="G288" s="619"/>
      <c r="H288" s="828"/>
    </row>
    <row r="289" spans="1:9" x14ac:dyDescent="0.25">
      <c r="A289" s="826"/>
      <c r="B289" s="619"/>
      <c r="C289" s="619"/>
      <c r="D289" s="619" t="s">
        <v>6522</v>
      </c>
      <c r="E289" s="619"/>
      <c r="F289" s="827" t="s">
        <v>3</v>
      </c>
      <c r="G289" s="777">
        <f>0.271*0.442</f>
        <v>0.11978200000000001</v>
      </c>
      <c r="H289" s="828"/>
      <c r="I289" s="780" t="s">
        <v>6533</v>
      </c>
    </row>
    <row r="290" spans="1:9" x14ac:dyDescent="0.25">
      <c r="A290" s="826"/>
      <c r="B290" s="619"/>
      <c r="C290" s="619"/>
      <c r="D290" s="615" t="s">
        <v>6532</v>
      </c>
      <c r="E290" s="619"/>
      <c r="F290" s="827"/>
      <c r="G290" s="619"/>
      <c r="H290" s="828"/>
    </row>
    <row r="291" spans="1:9" x14ac:dyDescent="0.25">
      <c r="A291" s="826"/>
      <c r="B291" s="619"/>
      <c r="C291" s="619"/>
      <c r="D291" s="619" t="s">
        <v>6522</v>
      </c>
      <c r="E291" s="619"/>
      <c r="F291" s="827" t="s">
        <v>3</v>
      </c>
      <c r="G291" s="777">
        <f>0.271*0.515</f>
        <v>0.13956500000000002</v>
      </c>
      <c r="H291" s="828"/>
      <c r="I291" s="780" t="s">
        <v>6531</v>
      </c>
    </row>
    <row r="292" spans="1:9" x14ac:dyDescent="0.25">
      <c r="A292" s="826"/>
      <c r="B292" s="619"/>
      <c r="C292" s="619"/>
      <c r="D292" s="619"/>
      <c r="E292" s="619"/>
      <c r="F292" s="827"/>
      <c r="G292" s="777"/>
      <c r="H292" s="828"/>
    </row>
    <row r="293" spans="1:9" x14ac:dyDescent="0.25">
      <c r="A293" s="826"/>
      <c r="B293" s="619"/>
      <c r="C293" s="615" t="s">
        <v>6530</v>
      </c>
      <c r="D293" s="619"/>
      <c r="E293" s="619"/>
      <c r="F293" s="827"/>
      <c r="G293" s="777"/>
      <c r="H293" s="828"/>
    </row>
    <row r="294" spans="1:9" x14ac:dyDescent="0.25">
      <c r="A294" s="826"/>
      <c r="B294" s="619"/>
      <c r="C294" s="834" t="s">
        <v>6501</v>
      </c>
      <c r="D294" s="619"/>
      <c r="E294" s="619"/>
      <c r="F294" s="827" t="s">
        <v>3</v>
      </c>
      <c r="G294" s="777">
        <f>(0.012*3.14*2)*0.08*1.2</f>
        <v>7.234560000000001E-3</v>
      </c>
      <c r="H294" s="828"/>
    </row>
    <row r="295" spans="1:9" ht="17.25" x14ac:dyDescent="0.25">
      <c r="A295" s="826"/>
      <c r="B295" s="619"/>
      <c r="C295" s="834" t="s">
        <v>121</v>
      </c>
      <c r="D295" s="619"/>
      <c r="E295" s="619"/>
      <c r="F295" s="827" t="s">
        <v>596</v>
      </c>
      <c r="G295" s="777">
        <f>G294*1.1</f>
        <v>7.9580160000000018E-3</v>
      </c>
      <c r="H295" s="828"/>
    </row>
    <row r="296" spans="1:9" x14ac:dyDescent="0.25">
      <c r="A296" s="826"/>
      <c r="B296" s="619"/>
      <c r="C296" s="619"/>
      <c r="D296" s="615" t="s">
        <v>6529</v>
      </c>
      <c r="E296" s="619"/>
      <c r="F296" s="827"/>
      <c r="G296" s="777"/>
      <c r="H296" s="828"/>
    </row>
    <row r="297" spans="1:9" x14ac:dyDescent="0.25">
      <c r="A297" s="826"/>
      <c r="B297" s="619"/>
      <c r="C297" s="619"/>
      <c r="D297" s="619" t="s">
        <v>6522</v>
      </c>
      <c r="E297" s="619"/>
      <c r="F297" s="827" t="s">
        <v>3</v>
      </c>
      <c r="G297" s="777">
        <f>0.271*0.425</f>
        <v>0.115175</v>
      </c>
      <c r="H297" s="828"/>
      <c r="I297" s="780" t="s">
        <v>6528</v>
      </c>
    </row>
    <row r="298" spans="1:9" x14ac:dyDescent="0.25">
      <c r="A298" s="826"/>
      <c r="B298" s="619"/>
      <c r="C298" s="619"/>
      <c r="D298" s="615" t="s">
        <v>6527</v>
      </c>
      <c r="E298" s="619"/>
      <c r="F298" s="827"/>
      <c r="G298" s="777"/>
      <c r="H298" s="828"/>
    </row>
    <row r="299" spans="1:9" x14ac:dyDescent="0.25">
      <c r="A299" s="826"/>
      <c r="B299" s="619"/>
      <c r="C299" s="619"/>
      <c r="D299" s="619" t="s">
        <v>6522</v>
      </c>
      <c r="E299" s="619"/>
      <c r="F299" s="827" t="s">
        <v>3</v>
      </c>
      <c r="G299" s="777">
        <f>0.271*0.25</f>
        <v>6.7750000000000005E-2</v>
      </c>
      <c r="H299" s="828"/>
      <c r="I299" s="780" t="s">
        <v>2401</v>
      </c>
    </row>
    <row r="300" spans="1:9" x14ac:dyDescent="0.25">
      <c r="A300" s="826"/>
      <c r="B300" s="619"/>
      <c r="C300" s="619"/>
      <c r="D300" s="619"/>
      <c r="E300" s="619"/>
      <c r="F300" s="827"/>
      <c r="G300" s="777"/>
      <c r="H300" s="828"/>
    </row>
    <row r="301" spans="1:9" x14ac:dyDescent="0.25">
      <c r="A301" s="826"/>
      <c r="B301" s="619"/>
      <c r="C301" s="618" t="s">
        <v>6526</v>
      </c>
      <c r="D301" s="619"/>
      <c r="E301" s="619"/>
      <c r="F301" s="827"/>
      <c r="G301" s="777"/>
      <c r="H301" s="828"/>
    </row>
    <row r="302" spans="1:9" x14ac:dyDescent="0.25">
      <c r="A302" s="826"/>
      <c r="B302" s="619"/>
      <c r="C302" s="834" t="s">
        <v>6501</v>
      </c>
      <c r="D302" s="619"/>
      <c r="E302" s="619"/>
      <c r="F302" s="827" t="s">
        <v>3</v>
      </c>
      <c r="G302" s="777">
        <f>(0.012*3.14*2)*0.08*1.2</f>
        <v>7.234560000000001E-3</v>
      </c>
      <c r="H302" s="828"/>
    </row>
    <row r="303" spans="1:9" ht="17.25" x14ac:dyDescent="0.25">
      <c r="A303" s="826"/>
      <c r="B303" s="619"/>
      <c r="C303" s="834" t="s">
        <v>121</v>
      </c>
      <c r="D303" s="619"/>
      <c r="E303" s="619"/>
      <c r="F303" s="827" t="s">
        <v>596</v>
      </c>
      <c r="G303" s="777">
        <f>G302*1.1</f>
        <v>7.9580160000000018E-3</v>
      </c>
      <c r="H303" s="828"/>
    </row>
    <row r="304" spans="1:9" x14ac:dyDescent="0.25">
      <c r="A304" s="826"/>
      <c r="B304" s="619"/>
      <c r="C304" s="619"/>
      <c r="D304" s="618" t="s">
        <v>6525</v>
      </c>
      <c r="E304" s="619"/>
      <c r="F304" s="827"/>
      <c r="G304" s="777"/>
      <c r="H304" s="828"/>
    </row>
    <row r="305" spans="1:13" x14ac:dyDescent="0.25">
      <c r="A305" s="826"/>
      <c r="B305" s="619"/>
      <c r="C305" s="619"/>
      <c r="D305" s="619" t="s">
        <v>6522</v>
      </c>
      <c r="E305" s="619"/>
      <c r="F305" s="827" t="s">
        <v>3</v>
      </c>
      <c r="G305" s="777">
        <f>0.271*0.41</f>
        <v>0.11111</v>
      </c>
      <c r="H305" s="828"/>
      <c r="I305" s="780" t="s">
        <v>6524</v>
      </c>
    </row>
    <row r="306" spans="1:13" x14ac:dyDescent="0.25">
      <c r="A306" s="826"/>
      <c r="B306" s="619"/>
      <c r="C306" s="619"/>
      <c r="D306" s="615" t="s">
        <v>6523</v>
      </c>
      <c r="E306" s="619"/>
      <c r="F306" s="827"/>
      <c r="G306" s="777"/>
      <c r="H306" s="828"/>
    </row>
    <row r="307" spans="1:13" x14ac:dyDescent="0.25">
      <c r="A307" s="826"/>
      <c r="B307" s="619"/>
      <c r="C307" s="619"/>
      <c r="D307" s="619" t="s">
        <v>6522</v>
      </c>
      <c r="E307" s="619"/>
      <c r="F307" s="827" t="s">
        <v>3</v>
      </c>
      <c r="G307" s="777">
        <f>0.271*0.11</f>
        <v>2.9810000000000003E-2</v>
      </c>
      <c r="H307" s="828"/>
      <c r="I307" s="780" t="s">
        <v>6521</v>
      </c>
    </row>
    <row r="308" spans="1:13" x14ac:dyDescent="0.25">
      <c r="A308" s="826"/>
      <c r="B308" s="619"/>
      <c r="C308" s="619"/>
      <c r="D308" s="619"/>
      <c r="E308" s="619"/>
      <c r="F308" s="827"/>
      <c r="G308" s="777"/>
      <c r="H308" s="828"/>
    </row>
    <row r="309" spans="1:13" x14ac:dyDescent="0.25">
      <c r="A309" s="826"/>
      <c r="B309" s="619"/>
      <c r="C309" s="615" t="s">
        <v>6520</v>
      </c>
      <c r="D309" s="619"/>
      <c r="E309" s="619"/>
      <c r="F309" s="827" t="s">
        <v>2180</v>
      </c>
      <c r="G309" s="777"/>
      <c r="H309" s="828"/>
    </row>
    <row r="310" spans="1:13" x14ac:dyDescent="0.25">
      <c r="A310" s="826"/>
      <c r="B310" s="619"/>
      <c r="C310" s="619"/>
      <c r="D310" s="615" t="s">
        <v>6519</v>
      </c>
      <c r="E310" s="619"/>
      <c r="F310" s="827"/>
      <c r="G310" s="777"/>
      <c r="H310" s="828"/>
    </row>
    <row r="311" spans="1:13" x14ac:dyDescent="0.25">
      <c r="A311" s="826"/>
      <c r="B311" s="619"/>
      <c r="C311" s="619"/>
      <c r="D311" s="619" t="s">
        <v>3006</v>
      </c>
      <c r="E311" s="619"/>
      <c r="F311" s="827" t="s">
        <v>3</v>
      </c>
      <c r="G311" s="777">
        <f>0.173*0.3</f>
        <v>5.1899999999999995E-2</v>
      </c>
      <c r="H311" s="828"/>
      <c r="I311" s="780" t="s">
        <v>6518</v>
      </c>
    </row>
    <row r="312" spans="1:13" x14ac:dyDescent="0.25">
      <c r="A312" s="826"/>
      <c r="B312" s="619"/>
      <c r="C312" s="619"/>
      <c r="D312" s="619"/>
      <c r="E312" s="619"/>
      <c r="F312" s="827"/>
      <c r="G312" s="777"/>
      <c r="H312" s="828"/>
    </row>
    <row r="313" spans="1:13" x14ac:dyDescent="0.25">
      <c r="A313" s="826"/>
      <c r="B313" s="619"/>
      <c r="C313" s="619"/>
      <c r="D313" s="619"/>
      <c r="E313" s="619"/>
      <c r="F313" s="827"/>
      <c r="G313" s="777"/>
      <c r="H313" s="828"/>
    </row>
    <row r="314" spans="1:13" x14ac:dyDescent="0.25">
      <c r="A314" s="826"/>
      <c r="B314" s="619"/>
      <c r="C314" s="615" t="s">
        <v>6517</v>
      </c>
      <c r="D314" s="619"/>
      <c r="E314" s="619"/>
      <c r="F314" s="827" t="s">
        <v>2180</v>
      </c>
      <c r="G314" s="777"/>
      <c r="H314" s="828"/>
    </row>
    <row r="315" spans="1:13" x14ac:dyDescent="0.25">
      <c r="A315" s="826"/>
      <c r="B315" s="619"/>
      <c r="C315" s="619"/>
      <c r="D315" s="615" t="s">
        <v>6516</v>
      </c>
      <c r="E315" s="619"/>
      <c r="F315" s="827"/>
      <c r="G315" s="777"/>
      <c r="H315" s="828"/>
    </row>
    <row r="316" spans="1:13" x14ac:dyDescent="0.25">
      <c r="A316" s="826"/>
      <c r="B316" s="619"/>
      <c r="C316" s="619"/>
      <c r="D316" s="619" t="s">
        <v>3006</v>
      </c>
      <c r="E316" s="619"/>
      <c r="F316" s="827" t="s">
        <v>3</v>
      </c>
      <c r="G316" s="777">
        <f>0.173*0.84</f>
        <v>0.14531999999999998</v>
      </c>
      <c r="H316" s="828"/>
      <c r="I316" s="780" t="s">
        <v>6515</v>
      </c>
    </row>
    <row r="317" spans="1:13" x14ac:dyDescent="0.25">
      <c r="A317" s="826"/>
      <c r="B317" s="619"/>
      <c r="C317" s="619"/>
      <c r="D317" s="619"/>
      <c r="E317" s="619"/>
      <c r="F317" s="827"/>
      <c r="G317" s="777"/>
      <c r="H317" s="828"/>
    </row>
    <row r="318" spans="1:13" x14ac:dyDescent="0.25">
      <c r="A318" s="826"/>
      <c r="B318" s="619"/>
      <c r="C318" s="615" t="s">
        <v>6514</v>
      </c>
      <c r="D318" s="619"/>
      <c r="E318" s="619"/>
      <c r="F318" s="827" t="s">
        <v>2180</v>
      </c>
      <c r="G318" s="777"/>
      <c r="H318" s="828"/>
    </row>
    <row r="319" spans="1:13" x14ac:dyDescent="0.25">
      <c r="A319" s="826"/>
      <c r="B319" s="619"/>
      <c r="C319" s="619"/>
      <c r="D319" s="615" t="s">
        <v>6513</v>
      </c>
      <c r="E319" s="619"/>
      <c r="F319" s="827"/>
      <c r="G319" s="777"/>
      <c r="H319" s="828"/>
    </row>
    <row r="320" spans="1:13" x14ac:dyDescent="0.25">
      <c r="A320" s="826"/>
      <c r="B320" s="619"/>
      <c r="C320" s="619"/>
      <c r="D320" s="619" t="s">
        <v>6471</v>
      </c>
      <c r="E320" s="619"/>
      <c r="F320" s="827" t="s">
        <v>3</v>
      </c>
      <c r="G320" s="777">
        <f>0.321*0.36</f>
        <v>0.11556</v>
      </c>
      <c r="H320" s="828"/>
      <c r="I320" s="780" t="s">
        <v>6512</v>
      </c>
      <c r="M320" s="746">
        <v>0.11600000000000001</v>
      </c>
    </row>
    <row r="321" spans="1:15" x14ac:dyDescent="0.25">
      <c r="A321" s="826"/>
      <c r="B321" s="619"/>
      <c r="C321" s="619"/>
      <c r="D321" s="619"/>
      <c r="E321" s="619"/>
      <c r="F321" s="827"/>
      <c r="G321" s="777"/>
      <c r="H321" s="828"/>
    </row>
    <row r="322" spans="1:15" x14ac:dyDescent="0.25">
      <c r="A322" s="826"/>
      <c r="B322" s="619"/>
      <c r="C322" s="615" t="s">
        <v>6511</v>
      </c>
      <c r="D322" s="619"/>
      <c r="E322" s="619"/>
      <c r="F322" s="827" t="s">
        <v>2180</v>
      </c>
      <c r="G322" s="777"/>
      <c r="H322" s="828"/>
    </row>
    <row r="323" spans="1:15" x14ac:dyDescent="0.25">
      <c r="A323" s="826"/>
      <c r="B323" s="619"/>
      <c r="C323" s="619"/>
      <c r="D323" s="615" t="s">
        <v>6510</v>
      </c>
      <c r="E323" s="619"/>
      <c r="F323" s="827"/>
      <c r="G323" s="777"/>
      <c r="H323" s="828"/>
    </row>
    <row r="324" spans="1:15" x14ac:dyDescent="0.25">
      <c r="A324" s="826"/>
      <c r="B324" s="619"/>
      <c r="C324" s="619"/>
      <c r="D324" s="619" t="s">
        <v>6471</v>
      </c>
      <c r="E324" s="619"/>
      <c r="F324" s="827" t="s">
        <v>3</v>
      </c>
      <c r="G324" s="777">
        <f>0.321*0.66</f>
        <v>0.21186000000000002</v>
      </c>
      <c r="H324" s="828"/>
      <c r="I324" s="780" t="s">
        <v>6509</v>
      </c>
      <c r="M324" s="746">
        <v>0.21199999999999999</v>
      </c>
    </row>
    <row r="325" spans="1:15" x14ac:dyDescent="0.25">
      <c r="A325" s="826"/>
      <c r="B325" s="619"/>
      <c r="C325" s="619"/>
      <c r="D325" s="619"/>
      <c r="E325" s="619"/>
      <c r="F325" s="827"/>
      <c r="G325" s="777"/>
      <c r="H325" s="828"/>
    </row>
    <row r="326" spans="1:15" x14ac:dyDescent="0.25">
      <c r="A326" s="826"/>
      <c r="B326" s="619"/>
      <c r="C326" s="615" t="s">
        <v>6508</v>
      </c>
      <c r="D326" s="619"/>
      <c r="E326" s="619"/>
      <c r="F326" s="827"/>
      <c r="G326" s="777"/>
      <c r="H326" s="828"/>
    </row>
    <row r="327" spans="1:15" x14ac:dyDescent="0.25">
      <c r="A327" s="826"/>
      <c r="B327" s="619"/>
      <c r="C327" s="834" t="s">
        <v>6501</v>
      </c>
      <c r="D327" s="619"/>
      <c r="E327" s="619"/>
      <c r="F327" s="827" t="s">
        <v>3</v>
      </c>
      <c r="G327" s="777">
        <f>(0.014*3.14*2+0.008*3.14)*0.08*1.22</f>
        <v>1.1032704000000001E-2</v>
      </c>
      <c r="H327" s="828"/>
    </row>
    <row r="328" spans="1:15" ht="17.25" x14ac:dyDescent="0.25">
      <c r="A328" s="826"/>
      <c r="B328" s="619"/>
      <c r="C328" s="834" t="s">
        <v>121</v>
      </c>
      <c r="D328" s="619"/>
      <c r="E328" s="619"/>
      <c r="F328" s="827" t="s">
        <v>596</v>
      </c>
      <c r="G328" s="777">
        <f>G327*1.1</f>
        <v>1.2135974400000003E-2</v>
      </c>
      <c r="H328" s="828"/>
      <c r="K328" s="780"/>
      <c r="L328" s="824"/>
      <c r="M328" s="780"/>
      <c r="N328" s="780"/>
    </row>
    <row r="329" spans="1:15" x14ac:dyDescent="0.25">
      <c r="A329" s="826"/>
      <c r="B329" s="619"/>
      <c r="C329" s="619"/>
      <c r="D329" s="615" t="s">
        <v>6507</v>
      </c>
      <c r="E329" s="619"/>
      <c r="F329" s="827"/>
      <c r="G329" s="777"/>
      <c r="H329" s="828"/>
      <c r="K329" s="780"/>
      <c r="L329" s="824"/>
      <c r="M329" s="780"/>
      <c r="N329" s="780"/>
    </row>
    <row r="330" spans="1:15" x14ac:dyDescent="0.25">
      <c r="A330" s="826"/>
      <c r="B330" s="619"/>
      <c r="C330" s="619"/>
      <c r="D330" s="619" t="s">
        <v>3006</v>
      </c>
      <c r="E330" s="619"/>
      <c r="F330" s="827" t="s">
        <v>3</v>
      </c>
      <c r="G330" s="777">
        <f>0.173*0.19</f>
        <v>3.2869999999999996E-2</v>
      </c>
      <c r="H330" s="828"/>
      <c r="I330" s="780" t="s">
        <v>1471</v>
      </c>
      <c r="K330" s="780"/>
      <c r="L330" s="824"/>
      <c r="M330" s="780"/>
      <c r="N330" s="780"/>
    </row>
    <row r="331" spans="1:15" x14ac:dyDescent="0.25">
      <c r="A331" s="826"/>
      <c r="B331" s="619"/>
      <c r="C331" s="619"/>
      <c r="D331" s="615" t="s">
        <v>6506</v>
      </c>
      <c r="E331" s="619"/>
      <c r="F331" s="827"/>
      <c r="G331" s="777"/>
      <c r="H331" s="828"/>
      <c r="K331" s="780"/>
      <c r="L331" s="824"/>
      <c r="M331" s="840"/>
      <c r="N331" s="840"/>
    </row>
    <row r="332" spans="1:15" x14ac:dyDescent="0.25">
      <c r="A332" s="826"/>
      <c r="B332" s="619"/>
      <c r="C332" s="619"/>
      <c r="D332" s="619" t="s">
        <v>6471</v>
      </c>
      <c r="E332" s="619"/>
      <c r="F332" s="827" t="s">
        <v>3</v>
      </c>
      <c r="G332" s="777">
        <f>0.321*0.15</f>
        <v>4.8149999999999998E-2</v>
      </c>
      <c r="H332" s="828"/>
      <c r="I332" s="780" t="s">
        <v>6505</v>
      </c>
      <c r="K332" s="780"/>
      <c r="L332" s="824"/>
      <c r="M332" s="965">
        <v>4.8000000000000001E-2</v>
      </c>
      <c r="N332" s="840"/>
    </row>
    <row r="333" spans="1:15" x14ac:dyDescent="0.25">
      <c r="A333" s="826"/>
      <c r="B333" s="619"/>
      <c r="C333" s="619"/>
      <c r="D333" s="615" t="s">
        <v>6504</v>
      </c>
      <c r="E333" s="619"/>
      <c r="F333" s="827"/>
      <c r="G333" s="777"/>
      <c r="H333" s="828"/>
      <c r="K333" s="780"/>
      <c r="L333" s="824"/>
      <c r="M333" s="966"/>
      <c r="N333" s="840"/>
    </row>
    <row r="334" spans="1:15" x14ac:dyDescent="0.25">
      <c r="A334" s="826"/>
      <c r="B334" s="619"/>
      <c r="C334" s="619"/>
      <c r="D334" s="619" t="s">
        <v>6471</v>
      </c>
      <c r="E334" s="619"/>
      <c r="F334" s="827" t="s">
        <v>3</v>
      </c>
      <c r="G334" s="777">
        <f>0.321*0.235</f>
        <v>7.5435000000000002E-2</v>
      </c>
      <c r="H334" s="828"/>
      <c r="I334" s="780" t="s">
        <v>6503</v>
      </c>
      <c r="K334" s="780"/>
      <c r="L334" s="824"/>
      <c r="M334" s="966">
        <v>7.4999999999999997E-2</v>
      </c>
      <c r="N334" s="840"/>
    </row>
    <row r="335" spans="1:15" x14ac:dyDescent="0.25">
      <c r="A335" s="826"/>
      <c r="B335" s="619"/>
      <c r="C335" s="619"/>
      <c r="D335" s="619"/>
      <c r="E335" s="619"/>
      <c r="F335" s="827"/>
      <c r="G335" s="777"/>
      <c r="H335" s="828"/>
      <c r="K335" s="780"/>
      <c r="L335" s="824"/>
      <c r="M335" s="780"/>
      <c r="N335" s="780"/>
    </row>
    <row r="336" spans="1:15" x14ac:dyDescent="0.25">
      <c r="A336" s="826"/>
      <c r="B336" s="619"/>
      <c r="C336" s="615" t="s">
        <v>6502</v>
      </c>
      <c r="D336" s="619"/>
      <c r="E336" s="619"/>
      <c r="F336" s="827"/>
      <c r="G336" s="777"/>
      <c r="H336" s="828"/>
      <c r="K336" s="780"/>
      <c r="L336" s="824"/>
      <c r="M336" s="966"/>
      <c r="N336" s="840"/>
      <c r="O336" s="841"/>
    </row>
    <row r="337" spans="1:15" x14ac:dyDescent="0.25">
      <c r="A337" s="826"/>
      <c r="B337" s="619"/>
      <c r="C337" s="834" t="s">
        <v>6501</v>
      </c>
      <c r="D337" s="619"/>
      <c r="E337" s="619"/>
      <c r="F337" s="827" t="s">
        <v>3</v>
      </c>
      <c r="G337" s="777">
        <f>(0.014*3.14*4+0.008*3.14*2)*0.08*1.22</f>
        <v>2.2065408000000002E-2</v>
      </c>
      <c r="H337" s="828"/>
      <c r="K337" s="780"/>
      <c r="L337" s="824"/>
      <c r="M337" s="966"/>
      <c r="N337" s="840"/>
      <c r="O337" s="841"/>
    </row>
    <row r="338" spans="1:15" ht="17.25" x14ac:dyDescent="0.25">
      <c r="A338" s="826"/>
      <c r="B338" s="619"/>
      <c r="C338" s="834" t="s">
        <v>121</v>
      </c>
      <c r="D338" s="619"/>
      <c r="E338" s="619"/>
      <c r="F338" s="827" t="s">
        <v>596</v>
      </c>
      <c r="G338" s="777">
        <f>G337*1.1</f>
        <v>2.4271948800000005E-2</v>
      </c>
      <c r="H338" s="828"/>
      <c r="K338" s="780"/>
      <c r="L338" s="824"/>
      <c r="M338" s="966"/>
      <c r="N338" s="840"/>
      <c r="O338" s="841"/>
    </row>
    <row r="339" spans="1:15" x14ac:dyDescent="0.25">
      <c r="A339" s="826"/>
      <c r="B339" s="619"/>
      <c r="C339" s="619"/>
      <c r="D339" s="615" t="s">
        <v>6500</v>
      </c>
      <c r="E339" s="619"/>
      <c r="F339" s="827"/>
      <c r="G339" s="777"/>
      <c r="H339" s="828"/>
      <c r="K339" s="780"/>
      <c r="L339" s="824"/>
      <c r="M339" s="966"/>
      <c r="N339" s="840"/>
      <c r="O339" s="841"/>
    </row>
    <row r="340" spans="1:15" x14ac:dyDescent="0.25">
      <c r="A340" s="826"/>
      <c r="B340" s="619"/>
      <c r="C340" s="619"/>
      <c r="D340" s="619" t="s">
        <v>6471</v>
      </c>
      <c r="E340" s="619"/>
      <c r="F340" s="827" t="s">
        <v>3</v>
      </c>
      <c r="G340" s="777">
        <f>0.321*0.33</f>
        <v>0.10593000000000001</v>
      </c>
      <c r="H340" s="828"/>
      <c r="I340" s="780" t="s">
        <v>6499</v>
      </c>
      <c r="K340" s="780"/>
      <c r="L340" s="824"/>
      <c r="M340" s="966">
        <v>0.106</v>
      </c>
      <c r="N340" s="840"/>
      <c r="O340" s="841"/>
    </row>
    <row r="341" spans="1:15" x14ac:dyDescent="0.25">
      <c r="A341" s="826"/>
      <c r="B341" s="619"/>
      <c r="C341" s="619"/>
      <c r="D341" s="615" t="s">
        <v>6498</v>
      </c>
      <c r="E341" s="619"/>
      <c r="F341" s="827"/>
      <c r="G341" s="777"/>
      <c r="H341" s="828"/>
      <c r="K341" s="780"/>
      <c r="L341" s="824"/>
      <c r="M341" s="966"/>
      <c r="N341" s="840"/>
      <c r="O341" s="841"/>
    </row>
    <row r="342" spans="1:15" x14ac:dyDescent="0.25">
      <c r="A342" s="826"/>
      <c r="B342" s="619"/>
      <c r="C342" s="619"/>
      <c r="D342" s="619" t="s">
        <v>6471</v>
      </c>
      <c r="E342" s="619"/>
      <c r="F342" s="827" t="s">
        <v>3</v>
      </c>
      <c r="G342" s="777">
        <f>0.321*0.32</f>
        <v>0.10272000000000001</v>
      </c>
      <c r="H342" s="828"/>
      <c r="I342" s="780" t="s">
        <v>6497</v>
      </c>
      <c r="K342" s="780"/>
      <c r="L342" s="824"/>
      <c r="M342" s="966">
        <v>0.10299999999999999</v>
      </c>
      <c r="N342" s="840"/>
      <c r="O342" s="841"/>
    </row>
    <row r="343" spans="1:15" x14ac:dyDescent="0.25">
      <c r="A343" s="826"/>
      <c r="B343" s="619"/>
      <c r="C343" s="619"/>
      <c r="D343" s="615" t="s">
        <v>6496</v>
      </c>
      <c r="E343" s="619"/>
      <c r="F343" s="827"/>
      <c r="G343" s="777"/>
      <c r="H343" s="828"/>
      <c r="K343" s="780"/>
      <c r="L343" s="824"/>
      <c r="M343" s="966"/>
      <c r="N343" s="840"/>
      <c r="O343" s="841"/>
    </row>
    <row r="344" spans="1:15" x14ac:dyDescent="0.25">
      <c r="A344" s="826"/>
      <c r="B344" s="619"/>
      <c r="C344" s="619"/>
      <c r="D344" s="619" t="s">
        <v>3006</v>
      </c>
      <c r="E344" s="619"/>
      <c r="F344" s="827" t="s">
        <v>3</v>
      </c>
      <c r="G344" s="777">
        <f>0.173*0.27</f>
        <v>4.6710000000000002E-2</v>
      </c>
      <c r="H344" s="828"/>
      <c r="I344" s="780" t="s">
        <v>6495</v>
      </c>
      <c r="K344" s="780"/>
      <c r="L344" s="824"/>
      <c r="M344" s="966"/>
      <c r="N344" s="840"/>
      <c r="O344" s="841"/>
    </row>
    <row r="345" spans="1:15" x14ac:dyDescent="0.25">
      <c r="A345" s="826"/>
      <c r="B345" s="619"/>
      <c r="C345" s="619"/>
      <c r="D345" s="615" t="s">
        <v>6494</v>
      </c>
      <c r="E345" s="619"/>
      <c r="F345" s="827"/>
      <c r="G345" s="777"/>
      <c r="H345" s="828"/>
      <c r="K345" s="780"/>
      <c r="L345" s="824"/>
      <c r="M345" s="966"/>
      <c r="N345" s="780"/>
    </row>
    <row r="346" spans="1:15" x14ac:dyDescent="0.25">
      <c r="A346" s="826"/>
      <c r="B346" s="619"/>
      <c r="C346" s="619"/>
      <c r="D346" s="619" t="s">
        <v>6471</v>
      </c>
      <c r="E346" s="619"/>
      <c r="F346" s="827" t="s">
        <v>3</v>
      </c>
      <c r="G346" s="777">
        <f>0.321*0.3</f>
        <v>9.6299999999999997E-2</v>
      </c>
      <c r="H346" s="828"/>
      <c r="I346" s="780" t="s">
        <v>6493</v>
      </c>
      <c r="K346" s="780"/>
      <c r="L346" s="824"/>
      <c r="M346" s="966">
        <v>9.6000000000000002E-2</v>
      </c>
      <c r="N346" s="780"/>
    </row>
    <row r="347" spans="1:15" x14ac:dyDescent="0.25">
      <c r="A347" s="826"/>
      <c r="B347" s="619"/>
      <c r="C347" s="619"/>
      <c r="D347" s="615" t="s">
        <v>6492</v>
      </c>
      <c r="E347" s="619"/>
      <c r="F347" s="827"/>
      <c r="G347" s="777"/>
      <c r="H347" s="828"/>
      <c r="M347" s="967"/>
    </row>
    <row r="348" spans="1:15" x14ac:dyDescent="0.25">
      <c r="A348" s="826"/>
      <c r="B348" s="619"/>
      <c r="C348" s="619"/>
      <c r="D348" s="619" t="s">
        <v>3006</v>
      </c>
      <c r="E348" s="619"/>
      <c r="F348" s="827" t="s">
        <v>3</v>
      </c>
      <c r="G348" s="777">
        <f>0.173*0.15</f>
        <v>2.5949999999999997E-2</v>
      </c>
      <c r="H348" s="828"/>
      <c r="I348" s="780" t="s">
        <v>3635</v>
      </c>
      <c r="M348" s="967"/>
    </row>
    <row r="349" spans="1:15" x14ac:dyDescent="0.25">
      <c r="A349" s="826"/>
      <c r="B349" s="619"/>
      <c r="C349" s="619"/>
      <c r="D349" s="619"/>
      <c r="E349" s="619"/>
      <c r="F349" s="827"/>
      <c r="G349" s="777"/>
      <c r="H349" s="828"/>
      <c r="M349" s="967"/>
    </row>
    <row r="350" spans="1:15" x14ac:dyDescent="0.25">
      <c r="A350" s="826"/>
      <c r="B350" s="619"/>
      <c r="C350" s="615" t="s">
        <v>6491</v>
      </c>
      <c r="D350" s="619"/>
      <c r="E350" s="619"/>
      <c r="F350" s="827" t="s">
        <v>2180</v>
      </c>
      <c r="G350" s="777"/>
      <c r="H350" s="828"/>
      <c r="M350" s="967"/>
    </row>
    <row r="351" spans="1:15" x14ac:dyDescent="0.25">
      <c r="A351" s="826"/>
      <c r="B351" s="619"/>
      <c r="C351" s="619"/>
      <c r="D351" s="615" t="s">
        <v>6490</v>
      </c>
      <c r="E351" s="619"/>
      <c r="F351" s="827"/>
      <c r="G351" s="777"/>
      <c r="H351" s="828"/>
      <c r="M351" s="967"/>
    </row>
    <row r="352" spans="1:15" x14ac:dyDescent="0.25">
      <c r="A352" s="826"/>
      <c r="B352" s="619"/>
      <c r="C352" s="619"/>
      <c r="D352" s="619" t="s">
        <v>6471</v>
      </c>
      <c r="E352" s="619"/>
      <c r="F352" s="827" t="s">
        <v>3</v>
      </c>
      <c r="G352" s="777">
        <f>0.321*0.36</f>
        <v>0.11556</v>
      </c>
      <c r="H352" s="828"/>
      <c r="I352" s="780" t="s">
        <v>6489</v>
      </c>
      <c r="M352" s="967">
        <v>0.11600000000000001</v>
      </c>
    </row>
    <row r="353" spans="1:13" x14ac:dyDescent="0.25">
      <c r="A353" s="826"/>
      <c r="B353" s="619"/>
      <c r="C353" s="619"/>
      <c r="D353" s="619"/>
      <c r="E353" s="619"/>
      <c r="F353" s="827"/>
      <c r="G353" s="777"/>
      <c r="H353" s="828"/>
      <c r="M353" s="967"/>
    </row>
    <row r="354" spans="1:13" x14ac:dyDescent="0.25">
      <c r="A354" s="826"/>
      <c r="B354" s="619"/>
      <c r="C354" s="615" t="s">
        <v>6488</v>
      </c>
      <c r="D354" s="619"/>
      <c r="E354" s="619"/>
      <c r="F354" s="827" t="s">
        <v>2180</v>
      </c>
      <c r="G354" s="777"/>
      <c r="H354" s="828"/>
      <c r="M354" s="967"/>
    </row>
    <row r="355" spans="1:13" x14ac:dyDescent="0.25">
      <c r="A355" s="826"/>
      <c r="B355" s="619"/>
      <c r="C355" s="619"/>
      <c r="D355" s="615" t="s">
        <v>6487</v>
      </c>
      <c r="E355" s="619"/>
      <c r="F355" s="827"/>
      <c r="G355" s="777"/>
      <c r="H355" s="828"/>
      <c r="M355" s="967"/>
    </row>
    <row r="356" spans="1:13" x14ac:dyDescent="0.25">
      <c r="A356" s="826"/>
      <c r="B356" s="619"/>
      <c r="C356" s="619"/>
      <c r="D356" s="619" t="s">
        <v>3006</v>
      </c>
      <c r="E356" s="619"/>
      <c r="F356" s="827" t="s">
        <v>3</v>
      </c>
      <c r="G356" s="777">
        <f>0.173*0.55</f>
        <v>9.5149999999999998E-2</v>
      </c>
      <c r="H356" s="828"/>
      <c r="I356" s="780" t="s">
        <v>6486</v>
      </c>
      <c r="M356" s="967"/>
    </row>
    <row r="357" spans="1:13" x14ac:dyDescent="0.25">
      <c r="A357" s="826"/>
      <c r="B357" s="619"/>
      <c r="C357" s="619"/>
      <c r="D357" s="619"/>
      <c r="E357" s="619"/>
      <c r="F357" s="827"/>
      <c r="G357" s="777"/>
      <c r="H357" s="828"/>
      <c r="M357" s="967"/>
    </row>
    <row r="358" spans="1:13" x14ac:dyDescent="0.25">
      <c r="A358" s="826"/>
      <c r="B358" s="619"/>
      <c r="C358" s="615" t="s">
        <v>6485</v>
      </c>
      <c r="D358" s="619"/>
      <c r="E358" s="619"/>
      <c r="F358" s="827" t="s">
        <v>2180</v>
      </c>
      <c r="G358" s="777"/>
      <c r="H358" s="828"/>
    </row>
    <row r="359" spans="1:13" x14ac:dyDescent="0.25">
      <c r="A359" s="826"/>
      <c r="B359" s="619"/>
      <c r="C359" s="619"/>
      <c r="D359" s="615" t="s">
        <v>6484</v>
      </c>
      <c r="E359" s="619"/>
      <c r="F359" s="827"/>
      <c r="G359" s="777"/>
      <c r="H359" s="828"/>
    </row>
    <row r="360" spans="1:13" x14ac:dyDescent="0.25">
      <c r="A360" s="826"/>
      <c r="B360" s="619"/>
      <c r="C360" s="619"/>
      <c r="D360" s="619" t="s">
        <v>6471</v>
      </c>
      <c r="E360" s="619"/>
      <c r="F360" s="827" t="s">
        <v>3</v>
      </c>
      <c r="G360" s="777">
        <f>0.321*0.405</f>
        <v>0.13000500000000001</v>
      </c>
      <c r="H360" s="828"/>
      <c r="I360" s="780" t="s">
        <v>6483</v>
      </c>
      <c r="M360" s="746">
        <v>0.13</v>
      </c>
    </row>
    <row r="361" spans="1:13" x14ac:dyDescent="0.25">
      <c r="A361" s="826"/>
      <c r="B361" s="619"/>
      <c r="C361" s="619"/>
      <c r="D361" s="619"/>
      <c r="E361" s="619"/>
      <c r="F361" s="827"/>
      <c r="G361" s="777"/>
      <c r="H361" s="828"/>
    </row>
    <row r="362" spans="1:13" x14ac:dyDescent="0.25">
      <c r="A362" s="826"/>
      <c r="B362" s="619"/>
      <c r="C362" s="615" t="s">
        <v>6482</v>
      </c>
      <c r="D362" s="619"/>
      <c r="E362" s="619"/>
      <c r="F362" s="827" t="s">
        <v>2180</v>
      </c>
      <c r="G362" s="777"/>
      <c r="H362" s="828"/>
    </row>
    <row r="363" spans="1:13" x14ac:dyDescent="0.25">
      <c r="A363" s="826"/>
      <c r="B363" s="619"/>
      <c r="C363" s="619"/>
      <c r="D363" s="615" t="s">
        <v>6481</v>
      </c>
      <c r="E363" s="619"/>
      <c r="F363" s="827"/>
      <c r="G363" s="777"/>
      <c r="H363" s="828"/>
    </row>
    <row r="364" spans="1:13" x14ac:dyDescent="0.25">
      <c r="A364" s="826"/>
      <c r="B364" s="619"/>
      <c r="C364" s="619"/>
      <c r="D364" s="619" t="s">
        <v>6471</v>
      </c>
      <c r="E364" s="619"/>
      <c r="F364" s="827" t="s">
        <v>3</v>
      </c>
      <c r="G364" s="777">
        <f>0.321*0.31</f>
        <v>9.9510000000000001E-2</v>
      </c>
      <c r="H364" s="828"/>
      <c r="I364" s="780" t="s">
        <v>6480</v>
      </c>
      <c r="M364" s="746">
        <v>0.1</v>
      </c>
    </row>
    <row r="365" spans="1:13" x14ac:dyDescent="0.25">
      <c r="A365" s="826"/>
      <c r="B365" s="619"/>
      <c r="C365" s="619"/>
      <c r="D365" s="619"/>
      <c r="E365" s="619"/>
      <c r="F365" s="827"/>
      <c r="G365" s="777"/>
      <c r="H365" s="828"/>
    </row>
    <row r="366" spans="1:13" x14ac:dyDescent="0.25">
      <c r="A366" s="826"/>
      <c r="B366" s="619"/>
      <c r="C366" s="619"/>
      <c r="D366" s="619"/>
      <c r="E366" s="619"/>
      <c r="F366" s="827"/>
      <c r="G366" s="777"/>
      <c r="H366" s="828"/>
    </row>
    <row r="367" spans="1:13" x14ac:dyDescent="0.25">
      <c r="A367" s="826"/>
      <c r="B367" s="619"/>
      <c r="C367" s="615" t="s">
        <v>6479</v>
      </c>
      <c r="D367" s="619"/>
      <c r="E367" s="619"/>
      <c r="F367" s="827" t="s">
        <v>2180</v>
      </c>
      <c r="G367" s="777"/>
      <c r="H367" s="828"/>
    </row>
    <row r="368" spans="1:13" x14ac:dyDescent="0.25">
      <c r="A368" s="826"/>
      <c r="B368" s="619"/>
      <c r="C368" s="619"/>
      <c r="D368" s="615" t="s">
        <v>6478</v>
      </c>
      <c r="E368" s="619"/>
      <c r="F368" s="827"/>
      <c r="G368" s="777"/>
      <c r="H368" s="828"/>
    </row>
    <row r="369" spans="1:13" x14ac:dyDescent="0.25">
      <c r="A369" s="826"/>
      <c r="B369" s="619"/>
      <c r="C369" s="619"/>
      <c r="D369" s="619" t="s">
        <v>6471</v>
      </c>
      <c r="E369" s="619"/>
      <c r="F369" s="827" t="s">
        <v>3</v>
      </c>
      <c r="G369" s="777">
        <f>0.321*1.168</f>
        <v>0.37492799999999998</v>
      </c>
      <c r="H369" s="828"/>
      <c r="I369" s="780" t="s">
        <v>6477</v>
      </c>
      <c r="M369" s="746">
        <v>0.375</v>
      </c>
    </row>
    <row r="370" spans="1:13" x14ac:dyDescent="0.25">
      <c r="A370" s="826"/>
      <c r="B370" s="619"/>
      <c r="C370" s="619"/>
      <c r="D370" s="619"/>
      <c r="E370" s="619"/>
      <c r="F370" s="827"/>
      <c r="G370" s="777"/>
      <c r="H370" s="828"/>
    </row>
    <row r="371" spans="1:13" x14ac:dyDescent="0.25">
      <c r="A371" s="826"/>
      <c r="B371" s="619"/>
      <c r="C371" s="615" t="s">
        <v>6476</v>
      </c>
      <c r="D371" s="619"/>
      <c r="E371" s="619"/>
      <c r="F371" s="827" t="s">
        <v>2180</v>
      </c>
      <c r="G371" s="777"/>
      <c r="H371" s="828"/>
    </row>
    <row r="372" spans="1:13" x14ac:dyDescent="0.25">
      <c r="A372" s="826"/>
      <c r="B372" s="619"/>
      <c r="C372" s="619"/>
      <c r="D372" s="615" t="s">
        <v>6475</v>
      </c>
      <c r="E372" s="619"/>
      <c r="F372" s="827"/>
      <c r="G372" s="777"/>
      <c r="H372" s="828"/>
    </row>
    <row r="373" spans="1:13" x14ac:dyDescent="0.25">
      <c r="A373" s="826"/>
      <c r="B373" s="619"/>
      <c r="C373" s="619"/>
      <c r="D373" s="619" t="s">
        <v>6471</v>
      </c>
      <c r="E373" s="619"/>
      <c r="F373" s="827" t="s">
        <v>3</v>
      </c>
      <c r="G373" s="777">
        <f>0.321*3.505</f>
        <v>1.125105</v>
      </c>
      <c r="H373" s="828"/>
      <c r="I373" s="780" t="s">
        <v>6474</v>
      </c>
      <c r="M373" s="746">
        <v>1.125</v>
      </c>
    </row>
    <row r="374" spans="1:13" x14ac:dyDescent="0.25">
      <c r="A374" s="826"/>
      <c r="B374" s="619"/>
      <c r="C374" s="619"/>
      <c r="D374" s="619"/>
      <c r="E374" s="619"/>
      <c r="F374" s="827"/>
      <c r="G374" s="777"/>
      <c r="H374" s="828"/>
    </row>
    <row r="375" spans="1:13" x14ac:dyDescent="0.25">
      <c r="A375" s="826"/>
      <c r="B375" s="619"/>
      <c r="C375" s="615" t="s">
        <v>6473</v>
      </c>
      <c r="D375" s="619"/>
      <c r="E375" s="619"/>
      <c r="F375" s="827" t="s">
        <v>2180</v>
      </c>
      <c r="G375" s="777"/>
      <c r="H375" s="828"/>
    </row>
    <row r="376" spans="1:13" x14ac:dyDescent="0.25">
      <c r="A376" s="826"/>
      <c r="B376" s="619"/>
      <c r="C376" s="619"/>
      <c r="D376" s="615" t="s">
        <v>6472</v>
      </c>
      <c r="E376" s="619"/>
      <c r="F376" s="827"/>
      <c r="G376" s="777"/>
      <c r="H376" s="828"/>
    </row>
    <row r="377" spans="1:13" x14ac:dyDescent="0.25">
      <c r="A377" s="826"/>
      <c r="B377" s="619"/>
      <c r="C377" s="619"/>
      <c r="D377" s="619" t="s">
        <v>6471</v>
      </c>
      <c r="E377" s="619"/>
      <c r="F377" s="827" t="s">
        <v>3</v>
      </c>
      <c r="G377" s="777">
        <f>0.321*3.005</f>
        <v>0.96460499999999993</v>
      </c>
      <c r="H377" s="828"/>
      <c r="I377" s="780" t="s">
        <v>6470</v>
      </c>
      <c r="M377" s="746">
        <v>0.96499999999999997</v>
      </c>
    </row>
    <row r="378" spans="1:13" x14ac:dyDescent="0.25">
      <c r="A378" s="826"/>
      <c r="B378" s="619"/>
      <c r="C378" s="619"/>
      <c r="D378" s="619"/>
      <c r="E378" s="619"/>
      <c r="F378" s="827"/>
      <c r="G378" s="777"/>
      <c r="H378" s="828"/>
    </row>
    <row r="379" spans="1:13" x14ac:dyDescent="0.25">
      <c r="A379" s="826"/>
      <c r="B379" s="619"/>
      <c r="C379" s="615" t="s">
        <v>6469</v>
      </c>
      <c r="D379" s="619"/>
      <c r="E379" s="619"/>
      <c r="F379" s="827" t="s">
        <v>2180</v>
      </c>
      <c r="G379" s="777"/>
      <c r="H379" s="828"/>
    </row>
    <row r="380" spans="1:13" x14ac:dyDescent="0.25">
      <c r="A380" s="826"/>
      <c r="B380" s="619"/>
      <c r="C380" s="619"/>
      <c r="D380" s="619" t="s">
        <v>6468</v>
      </c>
      <c r="E380" s="619"/>
      <c r="F380" s="827"/>
      <c r="G380" s="777"/>
      <c r="H380" s="828"/>
    </row>
    <row r="381" spans="1:13" x14ac:dyDescent="0.25">
      <c r="A381" s="826"/>
      <c r="B381" s="619"/>
      <c r="C381" s="619"/>
      <c r="D381" s="619" t="s">
        <v>3006</v>
      </c>
      <c r="E381" s="619"/>
      <c r="F381" s="827" t="s">
        <v>3</v>
      </c>
      <c r="G381" s="777">
        <f>0.173*0.98</f>
        <v>0.16954</v>
      </c>
      <c r="H381" s="828"/>
      <c r="I381" s="780" t="s">
        <v>6467</v>
      </c>
    </row>
    <row r="382" spans="1:13" x14ac:dyDescent="0.25">
      <c r="A382" s="826"/>
      <c r="B382" s="619"/>
      <c r="C382" s="619"/>
      <c r="D382" s="619"/>
      <c r="E382" s="619"/>
      <c r="F382" s="827"/>
      <c r="G382" s="777"/>
      <c r="H382" s="828"/>
    </row>
    <row r="383" spans="1:13" x14ac:dyDescent="0.25">
      <c r="A383" s="826"/>
      <c r="B383" s="619"/>
      <c r="C383" s="615" t="s">
        <v>6466</v>
      </c>
      <c r="D383" s="619"/>
      <c r="E383" s="619"/>
      <c r="F383" s="827"/>
      <c r="G383" s="777"/>
      <c r="H383" s="828"/>
    </row>
    <row r="384" spans="1:13" x14ac:dyDescent="0.25">
      <c r="A384" s="826"/>
      <c r="B384" s="619"/>
      <c r="C384" s="619" t="s">
        <v>6465</v>
      </c>
      <c r="D384" s="619"/>
      <c r="E384" s="619"/>
      <c r="F384" s="827" t="s">
        <v>3</v>
      </c>
      <c r="G384" s="777">
        <f>0.082*0.035*0.25*8*1.15</f>
        <v>6.601000000000001E-3</v>
      </c>
      <c r="H384" s="828"/>
    </row>
    <row r="385" spans="1:8" x14ac:dyDescent="0.25">
      <c r="A385" s="826"/>
      <c r="B385" s="619"/>
      <c r="C385" s="619"/>
      <c r="D385" s="619"/>
      <c r="E385" s="619"/>
      <c r="F385" s="827"/>
      <c r="G385" s="777"/>
      <c r="H385" s="828"/>
    </row>
    <row r="386" spans="1:8" x14ac:dyDescent="0.25">
      <c r="A386" s="826"/>
      <c r="B386" s="619"/>
      <c r="C386" s="615" t="s">
        <v>6464</v>
      </c>
      <c r="D386" s="619"/>
      <c r="E386" s="619"/>
      <c r="F386" s="827"/>
      <c r="G386" s="777"/>
      <c r="H386" s="828"/>
    </row>
    <row r="387" spans="1:8" x14ac:dyDescent="0.25">
      <c r="A387" s="826"/>
      <c r="B387" s="619"/>
      <c r="C387" s="619" t="s">
        <v>6463</v>
      </c>
      <c r="D387" s="619"/>
      <c r="E387" s="619"/>
      <c r="F387" s="827" t="s">
        <v>3</v>
      </c>
      <c r="G387" s="777">
        <f>0.25*0.25*0.6*2*1.13</f>
        <v>8.4749999999999992E-2</v>
      </c>
      <c r="H387" s="828"/>
    </row>
    <row r="388" spans="1:8" x14ac:dyDescent="0.25">
      <c r="A388" s="826"/>
      <c r="B388" s="619"/>
      <c r="C388" s="619"/>
      <c r="D388" s="619"/>
      <c r="E388" s="619"/>
      <c r="F388" s="827"/>
      <c r="G388" s="777"/>
      <c r="H388" s="828"/>
    </row>
    <row r="389" spans="1:8" x14ac:dyDescent="0.25">
      <c r="A389" s="826"/>
      <c r="B389" s="619"/>
      <c r="C389" s="615" t="s">
        <v>6462</v>
      </c>
      <c r="D389" s="619"/>
      <c r="E389" s="619"/>
      <c r="F389" s="827"/>
      <c r="G389" s="777"/>
      <c r="H389" s="828"/>
    </row>
    <row r="390" spans="1:8" x14ac:dyDescent="0.25">
      <c r="A390" s="826"/>
      <c r="B390" s="619"/>
      <c r="C390" s="619" t="s">
        <v>6461</v>
      </c>
      <c r="D390" s="619"/>
      <c r="E390" s="619"/>
      <c r="F390" s="827" t="s">
        <v>3</v>
      </c>
      <c r="G390" s="777">
        <f>0.13*0.016*1*8*1.15</f>
        <v>1.9136E-2</v>
      </c>
      <c r="H390" s="828"/>
    </row>
    <row r="391" spans="1:8" x14ac:dyDescent="0.25">
      <c r="A391" s="826"/>
      <c r="B391" s="619"/>
      <c r="C391" s="619"/>
      <c r="D391" s="619"/>
      <c r="E391" s="619"/>
      <c r="F391" s="827"/>
      <c r="G391" s="777"/>
      <c r="H391" s="828"/>
    </row>
    <row r="392" spans="1:8" x14ac:dyDescent="0.25">
      <c r="A392" s="826"/>
      <c r="B392" s="619"/>
      <c r="C392" s="615" t="s">
        <v>6460</v>
      </c>
      <c r="D392" s="619"/>
      <c r="E392" s="619"/>
      <c r="F392" s="827"/>
      <c r="G392" s="777"/>
      <c r="H392" s="828"/>
    </row>
    <row r="393" spans="1:8" x14ac:dyDescent="0.25">
      <c r="A393" s="826"/>
      <c r="B393" s="619"/>
      <c r="C393" s="619" t="s">
        <v>6459</v>
      </c>
      <c r="D393" s="619"/>
      <c r="E393" s="619"/>
      <c r="F393" s="827" t="s">
        <v>3</v>
      </c>
      <c r="G393" s="777">
        <f>0.15*0.016*1*8*1.12</f>
        <v>2.1503999999999999E-2</v>
      </c>
      <c r="H393" s="828"/>
    </row>
    <row r="394" spans="1:8" x14ac:dyDescent="0.25">
      <c r="A394" s="826"/>
      <c r="B394" s="619"/>
      <c r="C394" s="619"/>
      <c r="D394" s="619"/>
      <c r="E394" s="619"/>
      <c r="F394" s="827"/>
      <c r="G394" s="777"/>
      <c r="H394" s="828"/>
    </row>
    <row r="395" spans="1:8" x14ac:dyDescent="0.25">
      <c r="A395" s="826"/>
      <c r="B395" s="619"/>
      <c r="C395" s="615" t="s">
        <v>6458</v>
      </c>
      <c r="D395" s="619"/>
      <c r="E395" s="619"/>
      <c r="F395" s="827"/>
      <c r="G395" s="777"/>
      <c r="H395" s="828"/>
    </row>
    <row r="396" spans="1:8" x14ac:dyDescent="0.25">
      <c r="A396" s="826"/>
      <c r="B396" s="619"/>
      <c r="C396" s="619" t="s">
        <v>6457</v>
      </c>
      <c r="D396" s="619"/>
      <c r="E396" s="619"/>
      <c r="F396" s="827" t="s">
        <v>3</v>
      </c>
      <c r="G396" s="777">
        <f>0.18*0.075*4*8*1.123</f>
        <v>0.48513600000000001</v>
      </c>
      <c r="H396" s="828"/>
    </row>
    <row r="397" spans="1:8" x14ac:dyDescent="0.25">
      <c r="A397" s="826"/>
      <c r="B397" s="619"/>
      <c r="C397" s="619"/>
      <c r="D397" s="619"/>
      <c r="E397" s="619"/>
      <c r="F397" s="827"/>
      <c r="G397" s="777"/>
      <c r="H397" s="828"/>
    </row>
    <row r="398" spans="1:8" x14ac:dyDescent="0.25">
      <c r="A398" s="826"/>
      <c r="B398" s="619"/>
      <c r="C398" s="615" t="s">
        <v>6456</v>
      </c>
      <c r="D398" s="619"/>
      <c r="E398" s="619"/>
      <c r="F398" s="827"/>
      <c r="G398" s="777"/>
      <c r="H398" s="828"/>
    </row>
    <row r="399" spans="1:8" x14ac:dyDescent="0.25">
      <c r="A399" s="826"/>
      <c r="B399" s="619"/>
      <c r="C399" s="619" t="s">
        <v>6455</v>
      </c>
      <c r="D399" s="619"/>
      <c r="E399" s="619"/>
      <c r="F399" s="827" t="s">
        <v>3</v>
      </c>
      <c r="G399" s="777">
        <f>0.02*0.02*3*2.7*1.12</f>
        <v>3.628800000000001E-3</v>
      </c>
      <c r="H399" s="828"/>
    </row>
    <row r="400" spans="1:8" x14ac:dyDescent="0.25">
      <c r="A400" s="826"/>
      <c r="B400" s="619"/>
      <c r="C400" s="619"/>
      <c r="D400" s="619"/>
      <c r="E400" s="619"/>
      <c r="F400" s="827"/>
      <c r="G400" s="777"/>
      <c r="H400" s="828"/>
    </row>
    <row r="401" spans="1:8" x14ac:dyDescent="0.25">
      <c r="A401" s="826"/>
      <c r="B401" s="619"/>
      <c r="C401" s="615" t="s">
        <v>6454</v>
      </c>
      <c r="D401" s="619"/>
      <c r="E401" s="619"/>
      <c r="F401" s="827"/>
      <c r="G401" s="777"/>
      <c r="H401" s="828"/>
    </row>
    <row r="402" spans="1:8" x14ac:dyDescent="0.25">
      <c r="A402" s="826"/>
      <c r="B402" s="619"/>
      <c r="C402" s="619" t="s">
        <v>6453</v>
      </c>
      <c r="D402" s="619"/>
      <c r="E402" s="619"/>
      <c r="F402" s="827" t="s">
        <v>3</v>
      </c>
      <c r="G402" s="777">
        <f>0.1*0.055*1*8*1.125</f>
        <v>4.9500000000000002E-2</v>
      </c>
      <c r="H402" s="828"/>
    </row>
    <row r="403" spans="1:8" x14ac:dyDescent="0.25">
      <c r="A403" s="826"/>
      <c r="B403" s="619"/>
      <c r="C403" s="619"/>
      <c r="D403" s="619"/>
      <c r="E403" s="619"/>
      <c r="F403" s="827"/>
      <c r="G403" s="777"/>
      <c r="H403" s="828"/>
    </row>
    <row r="404" spans="1:8" x14ac:dyDescent="0.25">
      <c r="A404" s="826"/>
      <c r="B404" s="619"/>
      <c r="C404" s="615" t="s">
        <v>6452</v>
      </c>
      <c r="D404" s="619"/>
      <c r="E404" s="619"/>
      <c r="F404" s="827"/>
      <c r="G404" s="777"/>
      <c r="H404" s="828"/>
    </row>
    <row r="405" spans="1:8" x14ac:dyDescent="0.25">
      <c r="A405" s="826"/>
      <c r="B405" s="619"/>
      <c r="C405" s="619" t="s">
        <v>6446</v>
      </c>
      <c r="D405" s="619"/>
      <c r="E405" s="619"/>
      <c r="F405" s="827" t="s">
        <v>3</v>
      </c>
      <c r="G405" s="777">
        <f>0.1*0.055*2*8*1.135</f>
        <v>9.988000000000001E-2</v>
      </c>
      <c r="H405" s="828"/>
    </row>
    <row r="406" spans="1:8" x14ac:dyDescent="0.25">
      <c r="A406" s="826"/>
      <c r="B406" s="619"/>
      <c r="C406" s="619"/>
      <c r="D406" s="619"/>
      <c r="E406" s="619"/>
      <c r="F406" s="827"/>
      <c r="G406" s="777"/>
      <c r="H406" s="828"/>
    </row>
    <row r="407" spans="1:8" x14ac:dyDescent="0.25">
      <c r="A407" s="826"/>
      <c r="B407" s="619"/>
      <c r="C407" s="615" t="s">
        <v>6451</v>
      </c>
      <c r="D407" s="619"/>
      <c r="E407" s="619"/>
      <c r="F407" s="827"/>
      <c r="G407" s="777"/>
      <c r="H407" s="828"/>
    </row>
    <row r="408" spans="1:8" x14ac:dyDescent="0.25">
      <c r="A408" s="826"/>
      <c r="B408" s="619"/>
      <c r="C408" s="619" t="s">
        <v>6446</v>
      </c>
      <c r="D408" s="619"/>
      <c r="E408" s="619"/>
      <c r="F408" s="827" t="s">
        <v>3</v>
      </c>
      <c r="G408" s="777">
        <f>0.265*0.1*2*8*1.133</f>
        <v>0.48039200000000004</v>
      </c>
      <c r="H408" s="828"/>
    </row>
    <row r="409" spans="1:8" x14ac:dyDescent="0.25">
      <c r="A409" s="826"/>
      <c r="B409" s="619"/>
      <c r="C409" s="619" t="s">
        <v>420</v>
      </c>
      <c r="D409" s="619"/>
      <c r="E409" s="619"/>
      <c r="F409" s="827" t="s">
        <v>3</v>
      </c>
      <c r="G409" s="777">
        <v>3.0000000000000001E-3</v>
      </c>
      <c r="H409" s="828"/>
    </row>
    <row r="410" spans="1:8" x14ac:dyDescent="0.25">
      <c r="A410" s="826"/>
      <c r="B410" s="619"/>
      <c r="C410" s="619"/>
      <c r="D410" s="619"/>
      <c r="E410" s="619"/>
      <c r="F410" s="827"/>
      <c r="G410" s="777"/>
      <c r="H410" s="828"/>
    </row>
    <row r="411" spans="1:8" x14ac:dyDescent="0.25">
      <c r="A411" s="826"/>
      <c r="B411" s="619"/>
      <c r="C411" s="615" t="s">
        <v>6450</v>
      </c>
      <c r="D411" s="619"/>
      <c r="E411" s="619"/>
      <c r="F411" s="827"/>
      <c r="G411" s="777"/>
      <c r="H411" s="828"/>
    </row>
    <row r="412" spans="1:8" x14ac:dyDescent="0.25">
      <c r="A412" s="826"/>
      <c r="B412" s="619"/>
      <c r="C412" s="619" t="s">
        <v>6446</v>
      </c>
      <c r="D412" s="619"/>
      <c r="E412" s="619"/>
      <c r="F412" s="827" t="s">
        <v>3</v>
      </c>
      <c r="G412" s="777">
        <f>0.265*0.1*2*8*1.133</f>
        <v>0.48039200000000004</v>
      </c>
      <c r="H412" s="828"/>
    </row>
    <row r="413" spans="1:8" x14ac:dyDescent="0.25">
      <c r="A413" s="826"/>
      <c r="B413" s="619"/>
      <c r="C413" s="619" t="s">
        <v>420</v>
      </c>
      <c r="D413" s="619"/>
      <c r="E413" s="619"/>
      <c r="F413" s="827"/>
      <c r="G413" s="777">
        <v>3.0000000000000001E-3</v>
      </c>
      <c r="H413" s="828"/>
    </row>
    <row r="414" spans="1:8" ht="15.75" thickBot="1" x14ac:dyDescent="0.3">
      <c r="A414" s="829"/>
      <c r="B414" s="830"/>
      <c r="C414" s="830"/>
      <c r="D414" s="830"/>
      <c r="E414" s="830"/>
      <c r="F414" s="831"/>
      <c r="G414" s="832"/>
      <c r="H414" s="833"/>
    </row>
    <row r="415" spans="1:8" x14ac:dyDescent="0.25">
      <c r="A415" s="819"/>
      <c r="B415" s="820"/>
      <c r="C415" s="820"/>
      <c r="D415" s="820"/>
      <c r="E415" s="820"/>
      <c r="F415" s="821"/>
      <c r="G415" s="822"/>
      <c r="H415" s="837" t="s">
        <v>6449</v>
      </c>
    </row>
    <row r="416" spans="1:8" ht="15.75" x14ac:dyDescent="0.25">
      <c r="A416" s="826"/>
      <c r="B416" s="619"/>
      <c r="C416" s="619"/>
      <c r="D416" s="619"/>
      <c r="E416" s="616" t="s">
        <v>6448</v>
      </c>
      <c r="F416" s="827"/>
      <c r="G416" s="777"/>
      <c r="H416" s="828"/>
    </row>
    <row r="417" spans="1:8" ht="15.75" x14ac:dyDescent="0.25">
      <c r="A417" s="826"/>
      <c r="B417" s="619"/>
      <c r="C417" s="619"/>
      <c r="D417" s="619"/>
      <c r="E417" s="616"/>
      <c r="F417" s="827"/>
      <c r="G417" s="777"/>
      <c r="H417" s="828"/>
    </row>
    <row r="418" spans="1:8" x14ac:dyDescent="0.25">
      <c r="A418" s="826"/>
      <c r="B418" s="619"/>
      <c r="C418" s="619"/>
      <c r="D418" s="619"/>
      <c r="E418" s="619"/>
      <c r="F418" s="827"/>
      <c r="G418" s="777"/>
      <c r="H418" s="828"/>
    </row>
    <row r="419" spans="1:8" x14ac:dyDescent="0.25">
      <c r="A419" s="826"/>
      <c r="B419" s="619"/>
      <c r="C419" s="615" t="s">
        <v>6447</v>
      </c>
      <c r="D419" s="619"/>
      <c r="E419" s="619"/>
      <c r="F419" s="827"/>
      <c r="G419" s="777"/>
      <c r="H419" s="828"/>
    </row>
    <row r="420" spans="1:8" x14ac:dyDescent="0.25">
      <c r="A420" s="826"/>
      <c r="B420" s="619"/>
      <c r="C420" s="619" t="s">
        <v>6446</v>
      </c>
      <c r="D420" s="619"/>
      <c r="E420" s="619"/>
      <c r="F420" s="827" t="s">
        <v>3</v>
      </c>
      <c r="G420" s="777">
        <f>0.039*0.056*2*8*1.14</f>
        <v>3.9836160000000002E-2</v>
      </c>
      <c r="H420" s="828"/>
    </row>
    <row r="421" spans="1:8" x14ac:dyDescent="0.25">
      <c r="A421" s="826"/>
      <c r="B421" s="619"/>
      <c r="C421" s="619"/>
      <c r="D421" s="619"/>
      <c r="E421" s="619"/>
      <c r="F421" s="827"/>
      <c r="G421" s="777"/>
      <c r="H421" s="828"/>
    </row>
    <row r="422" spans="1:8" x14ac:dyDescent="0.25">
      <c r="A422" s="826"/>
      <c r="B422" s="619"/>
      <c r="C422" s="615" t="s">
        <v>6445</v>
      </c>
      <c r="D422" s="619"/>
      <c r="E422" s="619"/>
      <c r="F422" s="827"/>
      <c r="G422" s="777"/>
      <c r="H422" s="828"/>
    </row>
    <row r="423" spans="1:8" x14ac:dyDescent="0.25">
      <c r="A423" s="826"/>
      <c r="B423" s="619"/>
      <c r="C423" s="619" t="s">
        <v>6444</v>
      </c>
      <c r="D423" s="619"/>
      <c r="E423" s="619"/>
      <c r="F423" s="827" t="s">
        <v>3</v>
      </c>
      <c r="G423" s="777">
        <f>0.03*0.025*1*8*1.12</f>
        <v>6.7200000000000011E-3</v>
      </c>
      <c r="H423" s="828"/>
    </row>
    <row r="424" spans="1:8" x14ac:dyDescent="0.25">
      <c r="A424" s="826"/>
      <c r="B424" s="619"/>
      <c r="C424" s="619"/>
      <c r="D424" s="619"/>
      <c r="E424" s="619"/>
      <c r="F424" s="827"/>
      <c r="G424" s="777"/>
      <c r="H424" s="828"/>
    </row>
    <row r="425" spans="1:8" ht="15.75" thickBot="1" x14ac:dyDescent="0.3">
      <c r="A425" s="829"/>
      <c r="B425" s="830"/>
      <c r="C425" s="830"/>
      <c r="D425" s="830"/>
      <c r="E425" s="830"/>
      <c r="F425" s="831"/>
      <c r="G425" s="832"/>
      <c r="H425" s="833"/>
    </row>
    <row r="426" spans="1:8" x14ac:dyDescent="0.25">
      <c r="H426" s="837" t="s">
        <v>9509</v>
      </c>
    </row>
    <row r="427" spans="1:8" ht="15.75" x14ac:dyDescent="0.25">
      <c r="E427" s="611" t="s">
        <v>9505</v>
      </c>
      <c r="G427" s="782" t="s">
        <v>9506</v>
      </c>
      <c r="H427" s="842"/>
    </row>
    <row r="428" spans="1:8" x14ac:dyDescent="0.25">
      <c r="G428" s="734"/>
      <c r="H428" s="842"/>
    </row>
    <row r="429" spans="1:8" x14ac:dyDescent="0.25">
      <c r="C429" s="610" t="s">
        <v>9504</v>
      </c>
      <c r="H429" s="842"/>
    </row>
    <row r="430" spans="1:8" x14ac:dyDescent="0.25">
      <c r="C430" s="843" t="s">
        <v>3394</v>
      </c>
      <c r="D430" s="844"/>
      <c r="F430" s="845" t="s">
        <v>3</v>
      </c>
      <c r="G430" s="779">
        <f>0.012*3.14*0.08*1.2</f>
        <v>3.6172800000000005E-3</v>
      </c>
      <c r="H430" s="842"/>
    </row>
    <row r="431" spans="1:8" ht="17.25" x14ac:dyDescent="0.25">
      <c r="C431" s="843" t="s">
        <v>121</v>
      </c>
      <c r="D431" s="844"/>
      <c r="F431" s="845" t="s">
        <v>596</v>
      </c>
      <c r="G431" s="779">
        <f>G430*1.1</f>
        <v>3.9790080000000009E-3</v>
      </c>
      <c r="H431" s="842"/>
    </row>
    <row r="432" spans="1:8" x14ac:dyDescent="0.25">
      <c r="D432" s="610" t="s">
        <v>9507</v>
      </c>
      <c r="H432" s="842"/>
    </row>
    <row r="433" spans="1:9" x14ac:dyDescent="0.25">
      <c r="D433" s="746" t="s">
        <v>9508</v>
      </c>
      <c r="F433" s="836" t="s">
        <v>3</v>
      </c>
      <c r="G433" s="782">
        <f>0.365*0.15</f>
        <v>5.475E-2</v>
      </c>
      <c r="H433" s="842"/>
      <c r="I433" s="780" t="s">
        <v>6505</v>
      </c>
    </row>
    <row r="434" spans="1:9" x14ac:dyDescent="0.25">
      <c r="H434" s="842"/>
    </row>
    <row r="435" spans="1:9" ht="15.75" thickBot="1" x14ac:dyDescent="0.3">
      <c r="A435" s="738"/>
      <c r="B435" s="738"/>
      <c r="C435" s="738"/>
      <c r="D435" s="738"/>
      <c r="E435" s="738"/>
      <c r="F435" s="846"/>
      <c r="G435" s="778"/>
      <c r="H435" s="847"/>
    </row>
    <row r="436" spans="1:9" x14ac:dyDescent="0.25">
      <c r="H436" s="837" t="s">
        <v>9509</v>
      </c>
    </row>
    <row r="437" spans="1:9" ht="15.75" x14ac:dyDescent="0.25">
      <c r="E437" s="611" t="s">
        <v>9515</v>
      </c>
      <c r="H437" s="842"/>
    </row>
    <row r="438" spans="1:9" x14ac:dyDescent="0.25">
      <c r="H438" s="842"/>
    </row>
    <row r="439" spans="1:9" x14ac:dyDescent="0.25">
      <c r="C439" s="610" t="s">
        <v>9510</v>
      </c>
      <c r="H439" s="842"/>
    </row>
    <row r="440" spans="1:9" x14ac:dyDescent="0.25">
      <c r="C440" s="746" t="s">
        <v>9514</v>
      </c>
      <c r="F440" s="836" t="s">
        <v>3</v>
      </c>
      <c r="G440" s="782">
        <f>0.12*0.04*1*8*1.15</f>
        <v>4.4159999999999991E-2</v>
      </c>
      <c r="H440" s="842"/>
    </row>
    <row r="441" spans="1:9" x14ac:dyDescent="0.25">
      <c r="H441" s="842"/>
    </row>
    <row r="442" spans="1:9" x14ac:dyDescent="0.25">
      <c r="C442" s="610" t="s">
        <v>9511</v>
      </c>
      <c r="H442" s="842"/>
    </row>
    <row r="443" spans="1:9" x14ac:dyDescent="0.25">
      <c r="C443" s="746" t="s">
        <v>9514</v>
      </c>
      <c r="F443" s="836" t="s">
        <v>3</v>
      </c>
      <c r="G443" s="782">
        <f>0.1*0.04*1*8*1.15</f>
        <v>3.6799999999999999E-2</v>
      </c>
      <c r="H443" s="842"/>
    </row>
    <row r="444" spans="1:9" x14ac:dyDescent="0.25">
      <c r="H444" s="842"/>
    </row>
    <row r="445" spans="1:9" x14ac:dyDescent="0.25">
      <c r="C445" s="610" t="s">
        <v>9512</v>
      </c>
      <c r="H445" s="842"/>
    </row>
    <row r="446" spans="1:9" x14ac:dyDescent="0.25">
      <c r="C446" s="746" t="s">
        <v>9514</v>
      </c>
      <c r="F446" s="836" t="s">
        <v>3</v>
      </c>
      <c r="G446" s="782">
        <f>0.085*0.04*1*8*1.15</f>
        <v>3.1280000000000002E-2</v>
      </c>
      <c r="H446" s="842"/>
    </row>
    <row r="447" spans="1:9" x14ac:dyDescent="0.25">
      <c r="H447" s="842"/>
    </row>
    <row r="448" spans="1:9" x14ac:dyDescent="0.25">
      <c r="C448" s="610" t="s">
        <v>9513</v>
      </c>
      <c r="H448" s="842"/>
    </row>
    <row r="449" spans="1:8" x14ac:dyDescent="0.25">
      <c r="C449" s="746" t="s">
        <v>9514</v>
      </c>
      <c r="F449" s="836" t="s">
        <v>3</v>
      </c>
      <c r="G449" s="782">
        <f>0.07*0.04*1*8*1.15</f>
        <v>2.5760000000000002E-2</v>
      </c>
      <c r="H449" s="842"/>
    </row>
    <row r="450" spans="1:8" x14ac:dyDescent="0.25">
      <c r="H450" s="842"/>
    </row>
    <row r="451" spans="1:8" x14ac:dyDescent="0.25">
      <c r="A451" s="738"/>
      <c r="B451" s="738"/>
      <c r="C451" s="738"/>
      <c r="D451" s="738"/>
      <c r="E451" s="738"/>
      <c r="F451" s="846"/>
      <c r="G451" s="778"/>
      <c r="H451" s="847"/>
    </row>
    <row r="452" spans="1:8" x14ac:dyDescent="0.25">
      <c r="A452" s="619"/>
      <c r="B452" s="619"/>
      <c r="C452" s="615"/>
      <c r="D452" s="619"/>
      <c r="E452" s="619"/>
      <c r="F452" s="827"/>
      <c r="G452" s="777"/>
      <c r="H452" s="848" t="s">
        <v>9509</v>
      </c>
    </row>
    <row r="453" spans="1:8" x14ac:dyDescent="0.25">
      <c r="A453" s="619"/>
      <c r="B453" s="619"/>
      <c r="C453" s="615"/>
      <c r="D453" s="619"/>
      <c r="E453" s="619"/>
      <c r="F453" s="827"/>
      <c r="G453" s="739" t="s">
        <v>9555</v>
      </c>
      <c r="H453" s="842"/>
    </row>
    <row r="454" spans="1:8" ht="18.75" x14ac:dyDescent="0.3">
      <c r="A454" s="619"/>
      <c r="B454" s="619"/>
      <c r="C454" s="615"/>
      <c r="D454" s="619"/>
      <c r="E454" s="740" t="s">
        <v>9559</v>
      </c>
      <c r="F454" s="827"/>
      <c r="G454" s="777"/>
      <c r="H454" s="842"/>
    </row>
    <row r="455" spans="1:8" ht="15.75" x14ac:dyDescent="0.25">
      <c r="A455" s="619"/>
      <c r="B455" s="619"/>
      <c r="C455" s="615"/>
      <c r="D455" s="619"/>
      <c r="E455" s="611"/>
      <c r="F455" s="827"/>
      <c r="G455" s="777"/>
      <c r="H455" s="842"/>
    </row>
    <row r="456" spans="1:8" ht="15.75" x14ac:dyDescent="0.25">
      <c r="A456" s="619"/>
      <c r="B456" s="619"/>
      <c r="C456" s="615"/>
      <c r="D456" s="619"/>
      <c r="E456" s="611"/>
      <c r="F456" s="827"/>
      <c r="G456" s="777"/>
      <c r="H456" s="842"/>
    </row>
    <row r="457" spans="1:8" x14ac:dyDescent="0.25">
      <c r="A457" s="619"/>
      <c r="B457" s="619"/>
      <c r="C457" s="615" t="s">
        <v>9551</v>
      </c>
      <c r="D457" s="619"/>
      <c r="E457" s="619"/>
      <c r="F457" s="827"/>
      <c r="G457" s="777"/>
      <c r="H457" s="842"/>
    </row>
    <row r="458" spans="1:8" x14ac:dyDescent="0.25">
      <c r="A458" s="619"/>
      <c r="B458" s="619"/>
      <c r="C458" s="619" t="s">
        <v>9554</v>
      </c>
      <c r="D458" s="619"/>
      <c r="E458" s="619"/>
      <c r="F458" s="827" t="s">
        <v>3</v>
      </c>
      <c r="G458" s="777">
        <f>8.5/1000*1.12</f>
        <v>9.5200000000000024E-3</v>
      </c>
      <c r="H458" s="842"/>
    </row>
    <row r="459" spans="1:8" x14ac:dyDescent="0.25">
      <c r="A459" s="619"/>
      <c r="B459" s="619"/>
      <c r="C459" s="615"/>
      <c r="D459" s="619"/>
      <c r="E459" s="619"/>
      <c r="F459" s="827"/>
      <c r="G459" s="839"/>
      <c r="H459" s="842"/>
    </row>
    <row r="460" spans="1:8" x14ac:dyDescent="0.25">
      <c r="A460" s="619"/>
      <c r="B460" s="619"/>
      <c r="C460" s="615" t="s">
        <v>9552</v>
      </c>
      <c r="D460" s="619"/>
      <c r="E460" s="619"/>
      <c r="G460" s="839"/>
      <c r="H460" s="842"/>
    </row>
    <row r="461" spans="1:8" x14ac:dyDescent="0.25">
      <c r="A461" s="619"/>
      <c r="B461" s="619"/>
      <c r="C461" s="619" t="s">
        <v>9554</v>
      </c>
      <c r="D461" s="619"/>
      <c r="E461" s="619"/>
      <c r="F461" s="827" t="s">
        <v>3</v>
      </c>
      <c r="G461" s="777">
        <f>11/1000*1.15</f>
        <v>1.2649999999999998E-2</v>
      </c>
      <c r="H461" s="842"/>
    </row>
    <row r="462" spans="1:8" x14ac:dyDescent="0.25">
      <c r="A462" s="619"/>
      <c r="B462" s="619"/>
      <c r="C462" s="619"/>
      <c r="D462" s="619"/>
      <c r="E462" s="619"/>
      <c r="F462" s="827"/>
      <c r="G462" s="839"/>
      <c r="H462" s="842"/>
    </row>
    <row r="463" spans="1:8" x14ac:dyDescent="0.25">
      <c r="C463" s="615" t="s">
        <v>9553</v>
      </c>
      <c r="G463" s="849"/>
      <c r="H463" s="842"/>
    </row>
    <row r="464" spans="1:8" x14ac:dyDescent="0.25">
      <c r="C464" s="619" t="s">
        <v>9554</v>
      </c>
      <c r="F464" s="836" t="s">
        <v>3</v>
      </c>
      <c r="G464" s="782">
        <f>13/1000*1.15</f>
        <v>1.4949999999999998E-2</v>
      </c>
      <c r="H464" s="842"/>
    </row>
    <row r="465" spans="1:9" x14ac:dyDescent="0.25">
      <c r="C465" s="619"/>
      <c r="H465" s="842"/>
    </row>
    <row r="466" spans="1:9" x14ac:dyDescent="0.25">
      <c r="A466" s="738"/>
      <c r="B466" s="738"/>
      <c r="C466" s="738"/>
      <c r="D466" s="738"/>
      <c r="E466" s="738"/>
      <c r="F466" s="846"/>
      <c r="G466" s="778"/>
      <c r="H466" s="847"/>
    </row>
    <row r="467" spans="1:9" x14ac:dyDescent="0.25">
      <c r="C467" s="619"/>
      <c r="H467" s="848" t="s">
        <v>9607</v>
      </c>
    </row>
    <row r="468" spans="1:9" x14ac:dyDescent="0.25">
      <c r="C468" s="619"/>
      <c r="G468" s="739" t="s">
        <v>9555</v>
      </c>
      <c r="H468" s="842"/>
    </row>
    <row r="469" spans="1:9" ht="18.75" x14ac:dyDescent="0.3">
      <c r="C469" s="619"/>
      <c r="E469" s="740" t="s">
        <v>9608</v>
      </c>
      <c r="H469" s="842"/>
    </row>
    <row r="470" spans="1:9" x14ac:dyDescent="0.25">
      <c r="C470" s="619"/>
      <c r="H470" s="842"/>
    </row>
    <row r="471" spans="1:9" x14ac:dyDescent="0.25">
      <c r="C471" s="619"/>
      <c r="H471" s="842"/>
    </row>
    <row r="472" spans="1:9" x14ac:dyDescent="0.25">
      <c r="C472" s="615" t="s">
        <v>9602</v>
      </c>
      <c r="H472" s="842"/>
    </row>
    <row r="473" spans="1:9" x14ac:dyDescent="0.25">
      <c r="C473" s="619" t="s">
        <v>9604</v>
      </c>
      <c r="D473" s="75"/>
      <c r="E473" s="844"/>
      <c r="F473" s="845" t="s">
        <v>3</v>
      </c>
      <c r="G473" s="779">
        <f>0.016*3.14*0.08*1.15</f>
        <v>4.6220799999999989E-3</v>
      </c>
      <c r="H473" s="842"/>
    </row>
    <row r="474" spans="1:9" ht="17.25" x14ac:dyDescent="0.25">
      <c r="C474" s="844" t="s">
        <v>23</v>
      </c>
      <c r="D474" s="75"/>
      <c r="E474" s="844"/>
      <c r="F474" s="845" t="s">
        <v>596</v>
      </c>
      <c r="G474" s="779">
        <f>G473*2</f>
        <v>9.2441599999999978E-3</v>
      </c>
      <c r="H474" s="842"/>
    </row>
    <row r="475" spans="1:9" x14ac:dyDescent="0.25">
      <c r="C475" s="844" t="s">
        <v>142</v>
      </c>
      <c r="D475" s="75"/>
      <c r="E475" s="844"/>
      <c r="F475" s="845" t="s">
        <v>3</v>
      </c>
      <c r="G475" s="779">
        <f>G473/4+0.001</f>
        <v>2.1555199999999997E-3</v>
      </c>
      <c r="H475" s="842"/>
    </row>
    <row r="476" spans="1:9" x14ac:dyDescent="0.25">
      <c r="H476" s="842"/>
    </row>
    <row r="477" spans="1:9" x14ac:dyDescent="0.25">
      <c r="C477" s="615" t="s">
        <v>9603</v>
      </c>
      <c r="H477" s="842"/>
    </row>
    <row r="478" spans="1:9" x14ac:dyDescent="0.25">
      <c r="C478" s="746" t="s">
        <v>9605</v>
      </c>
      <c r="F478" s="836" t="s">
        <v>3</v>
      </c>
      <c r="G478" s="782">
        <f>0.37*0.07</f>
        <v>2.5900000000000003E-2</v>
      </c>
      <c r="H478" s="842"/>
      <c r="I478" s="780" t="s">
        <v>9606</v>
      </c>
    </row>
    <row r="479" spans="1:9" x14ac:dyDescent="0.25">
      <c r="E479" s="746" t="s">
        <v>10192</v>
      </c>
      <c r="H479" s="842"/>
    </row>
    <row r="480" spans="1:9" x14ac:dyDescent="0.25">
      <c r="C480" s="746" t="s">
        <v>10193</v>
      </c>
      <c r="F480" s="836" t="s">
        <v>3</v>
      </c>
      <c r="G480" s="782">
        <f>0.419*0.072</f>
        <v>3.0167999999999997E-2</v>
      </c>
      <c r="H480" s="842"/>
      <c r="I480" s="780" t="s">
        <v>10194</v>
      </c>
    </row>
    <row r="481" spans="1:8" x14ac:dyDescent="0.25">
      <c r="H481" s="842"/>
    </row>
    <row r="482" spans="1:8" x14ac:dyDescent="0.25">
      <c r="A482" s="738"/>
      <c r="B482" s="738"/>
      <c r="C482" s="738"/>
      <c r="D482" s="738"/>
      <c r="E482" s="738"/>
      <c r="F482" s="846"/>
      <c r="G482" s="778"/>
      <c r="H482" s="847"/>
    </row>
    <row r="483" spans="1:8" x14ac:dyDescent="0.25">
      <c r="A483" s="619"/>
      <c r="B483" s="619"/>
      <c r="C483" s="619"/>
      <c r="D483" s="619"/>
      <c r="E483" s="619"/>
      <c r="F483" s="827"/>
      <c r="G483" s="777"/>
      <c r="H483" s="848" t="s">
        <v>9617</v>
      </c>
    </row>
    <row r="484" spans="1:8" x14ac:dyDescent="0.25">
      <c r="A484" s="619"/>
      <c r="B484" s="619"/>
      <c r="C484" s="619"/>
      <c r="D484" s="619"/>
      <c r="E484" s="619"/>
      <c r="F484" s="827"/>
      <c r="G484" s="777"/>
      <c r="H484" s="842"/>
    </row>
    <row r="485" spans="1:8" ht="18.75" x14ac:dyDescent="0.3">
      <c r="A485" s="619"/>
      <c r="B485" s="619"/>
      <c r="C485" s="619"/>
      <c r="D485" s="619"/>
      <c r="E485" s="740" t="s">
        <v>9516</v>
      </c>
      <c r="F485" s="827"/>
      <c r="G485" s="777"/>
      <c r="H485" s="842"/>
    </row>
    <row r="486" spans="1:8" x14ac:dyDescent="0.25">
      <c r="A486" s="619"/>
      <c r="B486" s="619"/>
      <c r="C486" s="619"/>
      <c r="D486" s="619"/>
      <c r="E486" s="619"/>
      <c r="F486" s="827"/>
      <c r="G486" s="777"/>
      <c r="H486" s="842"/>
    </row>
    <row r="487" spans="1:8" x14ac:dyDescent="0.25">
      <c r="A487" s="619"/>
      <c r="B487" s="619"/>
      <c r="C487" s="619"/>
      <c r="D487" s="619"/>
      <c r="E487" s="619"/>
      <c r="F487" s="827"/>
      <c r="G487" s="777"/>
      <c r="H487" s="842"/>
    </row>
    <row r="488" spans="1:8" x14ac:dyDescent="0.25">
      <c r="A488" s="619"/>
      <c r="B488" s="619"/>
      <c r="C488" s="615" t="s">
        <v>9517</v>
      </c>
      <c r="D488" s="619"/>
      <c r="E488" s="619"/>
      <c r="F488" s="827"/>
      <c r="G488" s="777"/>
      <c r="H488" s="842"/>
    </row>
    <row r="489" spans="1:8" x14ac:dyDescent="0.25">
      <c r="A489" s="619"/>
      <c r="B489" s="619"/>
      <c r="C489" s="844" t="s">
        <v>140</v>
      </c>
      <c r="D489" s="844"/>
      <c r="E489" s="844"/>
      <c r="F489" s="845" t="s">
        <v>3</v>
      </c>
      <c r="G489" s="779">
        <f>0.008*3.14*2*0.08*1.2</f>
        <v>4.8230399999999998E-3</v>
      </c>
      <c r="H489" s="842"/>
    </row>
    <row r="490" spans="1:8" ht="17.25" x14ac:dyDescent="0.25">
      <c r="A490" s="619"/>
      <c r="B490" s="619"/>
      <c r="C490" s="844" t="s">
        <v>23</v>
      </c>
      <c r="D490" s="844"/>
      <c r="E490" s="844"/>
      <c r="F490" s="845" t="s">
        <v>596</v>
      </c>
      <c r="G490" s="779">
        <f>G489*2</f>
        <v>9.6460799999999996E-3</v>
      </c>
      <c r="H490" s="842"/>
    </row>
    <row r="491" spans="1:8" x14ac:dyDescent="0.25">
      <c r="A491" s="619"/>
      <c r="B491" s="619"/>
      <c r="C491" s="844" t="s">
        <v>142</v>
      </c>
      <c r="D491" s="844"/>
      <c r="E491" s="844"/>
      <c r="F491" s="845" t="s">
        <v>3</v>
      </c>
      <c r="G491" s="779">
        <f>G489/4</f>
        <v>1.2057599999999999E-3</v>
      </c>
      <c r="H491" s="842"/>
    </row>
    <row r="492" spans="1:8" x14ac:dyDescent="0.25">
      <c r="A492" s="619"/>
      <c r="B492" s="619"/>
      <c r="C492" s="843" t="s">
        <v>143</v>
      </c>
      <c r="D492" s="844"/>
      <c r="E492" s="844"/>
      <c r="F492" s="845" t="s">
        <v>3</v>
      </c>
      <c r="G492" s="779">
        <f>G494</f>
        <v>4.4899999999999995E-2</v>
      </c>
      <c r="H492" s="842"/>
    </row>
    <row r="493" spans="1:8" x14ac:dyDescent="0.25">
      <c r="A493" s="619"/>
      <c r="B493" s="619"/>
      <c r="C493" s="843" t="s">
        <v>152</v>
      </c>
      <c r="D493" s="843"/>
      <c r="E493" s="843"/>
      <c r="F493" s="845" t="s">
        <v>3</v>
      </c>
      <c r="G493" s="779">
        <f>2.5*0.011*2*1.3</f>
        <v>7.1499999999999994E-2</v>
      </c>
      <c r="H493" s="842"/>
    </row>
    <row r="494" spans="1:8" x14ac:dyDescent="0.25">
      <c r="A494" s="619"/>
      <c r="B494" s="619"/>
      <c r="C494" s="843" t="s">
        <v>4872</v>
      </c>
      <c r="D494" s="843"/>
      <c r="E494" s="843"/>
      <c r="F494" s="845" t="s">
        <v>3</v>
      </c>
      <c r="G494" s="779">
        <f>G493*0.6+0.002</f>
        <v>4.4899999999999995E-2</v>
      </c>
      <c r="H494" s="842"/>
    </row>
    <row r="495" spans="1:8" x14ac:dyDescent="0.25">
      <c r="A495" s="619"/>
      <c r="B495" s="619"/>
      <c r="C495" s="843" t="s">
        <v>12</v>
      </c>
      <c r="D495" s="843"/>
      <c r="E495" s="843"/>
      <c r="F495" s="845" t="s">
        <v>3</v>
      </c>
      <c r="G495" s="779">
        <f>0.3*(G494+G493+G492)</f>
        <v>4.8389999999999996E-2</v>
      </c>
      <c r="H495" s="842"/>
    </row>
    <row r="496" spans="1:8" x14ac:dyDescent="0.25">
      <c r="A496" s="619"/>
      <c r="B496" s="619"/>
      <c r="C496" s="619"/>
      <c r="D496" s="615" t="s">
        <v>9518</v>
      </c>
      <c r="E496" s="619"/>
      <c r="F496" s="827"/>
      <c r="G496" s="777"/>
      <c r="H496" s="842"/>
    </row>
    <row r="497" spans="1:12" x14ac:dyDescent="0.25">
      <c r="A497" s="619"/>
      <c r="B497" s="619"/>
      <c r="C497" s="619"/>
      <c r="D497" s="619" t="s">
        <v>9537</v>
      </c>
      <c r="E497" s="619"/>
      <c r="F497" s="827" t="s">
        <v>3</v>
      </c>
      <c r="G497" s="779">
        <f>0.227*2.5+0.002</f>
        <v>0.56950000000000001</v>
      </c>
      <c r="H497" s="842"/>
      <c r="I497" s="780" t="s">
        <v>9536</v>
      </c>
    </row>
    <row r="498" spans="1:12" x14ac:dyDescent="0.25">
      <c r="A498" s="619"/>
      <c r="B498" s="619"/>
      <c r="C498" s="619"/>
      <c r="D498" s="619"/>
      <c r="E498" s="619"/>
      <c r="F498" s="827"/>
      <c r="G498" s="777"/>
      <c r="H498" s="842"/>
    </row>
    <row r="499" spans="1:12" s="780" customFormat="1" x14ac:dyDescent="0.25">
      <c r="A499" s="834"/>
      <c r="B499" s="834"/>
      <c r="C499" s="744" t="s">
        <v>9628</v>
      </c>
      <c r="D499" s="834"/>
      <c r="E499" s="834"/>
      <c r="F499" s="850"/>
      <c r="G499" s="785"/>
      <c r="H499" s="851"/>
      <c r="J499" s="824"/>
      <c r="L499" s="824"/>
    </row>
    <row r="500" spans="1:12" s="780" customFormat="1" x14ac:dyDescent="0.25">
      <c r="A500" s="834"/>
      <c r="B500" s="834"/>
      <c r="C500" s="844" t="s">
        <v>140</v>
      </c>
      <c r="D500" s="844"/>
      <c r="E500" s="844"/>
      <c r="F500" s="845" t="s">
        <v>3</v>
      </c>
      <c r="G500" s="779">
        <f>0.008*3.14*2*0.08*1.2</f>
        <v>4.8230399999999998E-3</v>
      </c>
      <c r="H500" s="851"/>
      <c r="J500" s="824"/>
      <c r="L500" s="824"/>
    </row>
    <row r="501" spans="1:12" s="780" customFormat="1" ht="17.25" x14ac:dyDescent="0.25">
      <c r="A501" s="834"/>
      <c r="B501" s="834"/>
      <c r="C501" s="844" t="s">
        <v>23</v>
      </c>
      <c r="D501" s="844"/>
      <c r="E501" s="844"/>
      <c r="F501" s="845" t="s">
        <v>596</v>
      </c>
      <c r="G501" s="779">
        <f>G500*2</f>
        <v>9.6460799999999996E-3</v>
      </c>
      <c r="H501" s="851"/>
      <c r="J501" s="824"/>
      <c r="L501" s="824"/>
    </row>
    <row r="502" spans="1:12" s="780" customFormat="1" x14ac:dyDescent="0.25">
      <c r="A502" s="834"/>
      <c r="B502" s="834"/>
      <c r="C502" s="844" t="s">
        <v>142</v>
      </c>
      <c r="D502" s="844"/>
      <c r="E502" s="844"/>
      <c r="F502" s="845" t="s">
        <v>3</v>
      </c>
      <c r="G502" s="779">
        <f>G500/4</f>
        <v>1.2057599999999999E-3</v>
      </c>
      <c r="H502" s="851"/>
      <c r="J502" s="824"/>
      <c r="L502" s="824"/>
    </row>
    <row r="503" spans="1:12" s="780" customFormat="1" x14ac:dyDescent="0.25">
      <c r="A503" s="834"/>
      <c r="B503" s="834"/>
      <c r="C503" s="843" t="s">
        <v>143</v>
      </c>
      <c r="D503" s="844"/>
      <c r="E503" s="844"/>
      <c r="F503" s="845" t="s">
        <v>3</v>
      </c>
      <c r="G503" s="779">
        <f>G505</f>
        <v>5.1880000000000003E-2</v>
      </c>
      <c r="H503" s="851"/>
      <c r="J503" s="824"/>
      <c r="L503" s="824"/>
    </row>
    <row r="504" spans="1:12" s="780" customFormat="1" x14ac:dyDescent="0.25">
      <c r="A504" s="834"/>
      <c r="B504" s="834"/>
      <c r="C504" s="843" t="s">
        <v>152</v>
      </c>
      <c r="D504" s="843"/>
      <c r="E504" s="843"/>
      <c r="F504" s="845" t="s">
        <v>3</v>
      </c>
      <c r="G504" s="779">
        <f>3*0.011*2*1.3-0.001</f>
        <v>8.48E-2</v>
      </c>
      <c r="H504" s="851"/>
      <c r="J504" s="824"/>
      <c r="L504" s="824"/>
    </row>
    <row r="505" spans="1:12" s="780" customFormat="1" x14ac:dyDescent="0.25">
      <c r="A505" s="834"/>
      <c r="B505" s="834"/>
      <c r="C505" s="843" t="s">
        <v>4872</v>
      </c>
      <c r="D505" s="843"/>
      <c r="E505" s="843"/>
      <c r="F505" s="845" t="s">
        <v>3</v>
      </c>
      <c r="G505" s="779">
        <f>G504*0.6+0.001</f>
        <v>5.1880000000000003E-2</v>
      </c>
      <c r="H505" s="851"/>
      <c r="J505" s="824"/>
      <c r="L505" s="824"/>
    </row>
    <row r="506" spans="1:12" s="780" customFormat="1" x14ac:dyDescent="0.25">
      <c r="A506" s="834"/>
      <c r="B506" s="834"/>
      <c r="C506" s="843" t="s">
        <v>12</v>
      </c>
      <c r="D506" s="843"/>
      <c r="E506" s="843"/>
      <c r="F506" s="845" t="s">
        <v>3</v>
      </c>
      <c r="G506" s="779">
        <f>0.3*(G505+G504+G503)</f>
        <v>5.6568E-2</v>
      </c>
      <c r="H506" s="851"/>
      <c r="J506" s="824"/>
      <c r="L506" s="824"/>
    </row>
    <row r="507" spans="1:12" s="780" customFormat="1" x14ac:dyDescent="0.25">
      <c r="A507" s="834"/>
      <c r="B507" s="834"/>
      <c r="C507" s="834"/>
      <c r="D507" s="744" t="s">
        <v>9538</v>
      </c>
      <c r="E507" s="834"/>
      <c r="F507" s="850"/>
      <c r="G507" s="785"/>
      <c r="H507" s="851"/>
      <c r="J507" s="824"/>
      <c r="L507" s="824"/>
    </row>
    <row r="508" spans="1:12" x14ac:dyDescent="0.25">
      <c r="A508" s="619"/>
      <c r="B508" s="619"/>
      <c r="C508" s="619"/>
      <c r="D508" s="619" t="s">
        <v>9537</v>
      </c>
      <c r="E508" s="619"/>
      <c r="F508" s="827" t="s">
        <v>3</v>
      </c>
      <c r="G508" s="777">
        <f>0.227*3.2-0.001</f>
        <v>0.72540000000000004</v>
      </c>
      <c r="H508" s="842"/>
      <c r="I508" s="780" t="s">
        <v>9614</v>
      </c>
    </row>
    <row r="509" spans="1:12" x14ac:dyDescent="0.25">
      <c r="A509" s="619"/>
      <c r="B509" s="619"/>
      <c r="C509" s="619"/>
      <c r="D509" s="619"/>
      <c r="E509" s="619"/>
      <c r="F509" s="827"/>
      <c r="G509" s="777"/>
      <c r="H509" s="842"/>
    </row>
    <row r="510" spans="1:12" s="780" customFormat="1" x14ac:dyDescent="0.25">
      <c r="A510" s="834"/>
      <c r="B510" s="834"/>
      <c r="C510" s="744" t="s">
        <v>9627</v>
      </c>
      <c r="D510" s="834"/>
      <c r="E510" s="834"/>
      <c r="F510" s="850"/>
      <c r="G510" s="785"/>
      <c r="H510" s="851"/>
      <c r="J510" s="824"/>
      <c r="L510" s="824"/>
    </row>
    <row r="511" spans="1:12" s="780" customFormat="1" x14ac:dyDescent="0.25">
      <c r="A511" s="834"/>
      <c r="B511" s="834"/>
      <c r="C511" s="844" t="s">
        <v>140</v>
      </c>
      <c r="D511" s="844"/>
      <c r="E511" s="844"/>
      <c r="F511" s="845" t="s">
        <v>3</v>
      </c>
      <c r="G511" s="779">
        <f>0.008*3.14*2*0.08*1.2</f>
        <v>4.8230399999999998E-3</v>
      </c>
      <c r="H511" s="851"/>
      <c r="J511" s="824"/>
      <c r="L511" s="824"/>
    </row>
    <row r="512" spans="1:12" s="780" customFormat="1" ht="17.25" x14ac:dyDescent="0.25">
      <c r="A512" s="834"/>
      <c r="B512" s="834"/>
      <c r="C512" s="844" t="s">
        <v>23</v>
      </c>
      <c r="D512" s="844"/>
      <c r="E512" s="844"/>
      <c r="F512" s="845" t="s">
        <v>596</v>
      </c>
      <c r="G512" s="779">
        <f>G511*2</f>
        <v>9.6460799999999996E-3</v>
      </c>
      <c r="H512" s="851"/>
      <c r="J512" s="824"/>
      <c r="L512" s="824"/>
    </row>
    <row r="513" spans="1:12" s="780" customFormat="1" x14ac:dyDescent="0.25">
      <c r="A513" s="834"/>
      <c r="B513" s="834"/>
      <c r="C513" s="844" t="s">
        <v>142</v>
      </c>
      <c r="D513" s="844"/>
      <c r="E513" s="844"/>
      <c r="F513" s="845" t="s">
        <v>3</v>
      </c>
      <c r="G513" s="779">
        <f>G511/4</f>
        <v>1.2057599999999999E-3</v>
      </c>
      <c r="H513" s="851"/>
      <c r="J513" s="824"/>
      <c r="L513" s="824"/>
    </row>
    <row r="514" spans="1:12" s="780" customFormat="1" x14ac:dyDescent="0.25">
      <c r="A514" s="834"/>
      <c r="B514" s="834"/>
      <c r="C514" s="843" t="s">
        <v>143</v>
      </c>
      <c r="D514" s="844"/>
      <c r="E514" s="844"/>
      <c r="F514" s="845" t="s">
        <v>3</v>
      </c>
      <c r="G514" s="779">
        <f>G516</f>
        <v>5.1880000000000003E-2</v>
      </c>
      <c r="H514" s="851"/>
      <c r="J514" s="824"/>
      <c r="L514" s="824"/>
    </row>
    <row r="515" spans="1:12" s="780" customFormat="1" x14ac:dyDescent="0.25">
      <c r="A515" s="834"/>
      <c r="B515" s="834"/>
      <c r="C515" s="843" t="s">
        <v>152</v>
      </c>
      <c r="D515" s="843"/>
      <c r="E515" s="843"/>
      <c r="F515" s="845" t="s">
        <v>3</v>
      </c>
      <c r="G515" s="779">
        <f>3*0.011*2*1.3-0.001</f>
        <v>8.48E-2</v>
      </c>
      <c r="H515" s="851"/>
      <c r="J515" s="824"/>
      <c r="L515" s="824"/>
    </row>
    <row r="516" spans="1:12" s="780" customFormat="1" x14ac:dyDescent="0.25">
      <c r="A516" s="834"/>
      <c r="B516" s="834"/>
      <c r="C516" s="843" t="s">
        <v>4872</v>
      </c>
      <c r="D516" s="843"/>
      <c r="E516" s="843"/>
      <c r="F516" s="845" t="s">
        <v>3</v>
      </c>
      <c r="G516" s="779">
        <f>G515*0.6+0.001</f>
        <v>5.1880000000000003E-2</v>
      </c>
      <c r="H516" s="851"/>
      <c r="J516" s="824"/>
      <c r="L516" s="824"/>
    </row>
    <row r="517" spans="1:12" s="780" customFormat="1" x14ac:dyDescent="0.25">
      <c r="A517" s="834"/>
      <c r="B517" s="834"/>
      <c r="C517" s="843" t="s">
        <v>12</v>
      </c>
      <c r="D517" s="843"/>
      <c r="E517" s="843"/>
      <c r="F517" s="845" t="s">
        <v>3</v>
      </c>
      <c r="G517" s="779">
        <f>0.3*(G516+G515+G514)</f>
        <v>5.6568E-2</v>
      </c>
      <c r="H517" s="851"/>
      <c r="J517" s="824"/>
      <c r="L517" s="824"/>
    </row>
    <row r="518" spans="1:12" s="780" customFormat="1" x14ac:dyDescent="0.25">
      <c r="A518" s="834"/>
      <c r="B518" s="834"/>
      <c r="C518" s="834"/>
      <c r="D518" s="744" t="s">
        <v>9539</v>
      </c>
      <c r="E518" s="834"/>
      <c r="F518" s="850"/>
      <c r="G518" s="785"/>
      <c r="H518" s="851"/>
      <c r="J518" s="824"/>
      <c r="L518" s="824"/>
    </row>
    <row r="519" spans="1:12" x14ac:dyDescent="0.25">
      <c r="A519" s="619"/>
      <c r="B519" s="619"/>
      <c r="C519" s="619"/>
      <c r="D519" s="619" t="s">
        <v>9537</v>
      </c>
      <c r="E519" s="619"/>
      <c r="F519" s="827" t="s">
        <v>3</v>
      </c>
      <c r="G519" s="777">
        <f>0.227*3.2-0.001</f>
        <v>0.72540000000000004</v>
      </c>
      <c r="H519" s="842"/>
      <c r="I519" s="780" t="s">
        <v>9615</v>
      </c>
    </row>
    <row r="520" spans="1:12" x14ac:dyDescent="0.25">
      <c r="A520" s="619"/>
      <c r="B520" s="619"/>
      <c r="C520" s="619"/>
      <c r="D520" s="619"/>
      <c r="E520" s="619"/>
      <c r="F520" s="827"/>
      <c r="G520" s="777"/>
      <c r="H520" s="842"/>
    </row>
    <row r="521" spans="1:12" s="780" customFormat="1" x14ac:dyDescent="0.25">
      <c r="A521" s="834"/>
      <c r="B521" s="834"/>
      <c r="C521" s="744" t="s">
        <v>9626</v>
      </c>
      <c r="D521" s="834"/>
      <c r="E521" s="834"/>
      <c r="F521" s="850"/>
      <c r="G521" s="785"/>
      <c r="H521" s="851"/>
      <c r="J521" s="824"/>
      <c r="L521" s="824"/>
    </row>
    <row r="522" spans="1:12" s="780" customFormat="1" x14ac:dyDescent="0.25">
      <c r="A522" s="834"/>
      <c r="B522" s="834"/>
      <c r="C522" s="844" t="s">
        <v>140</v>
      </c>
      <c r="D522" s="844"/>
      <c r="E522" s="844"/>
      <c r="F522" s="845" t="s">
        <v>3</v>
      </c>
      <c r="G522" s="779">
        <f>0.008*3.14*2*0.08*1.2</f>
        <v>4.8230399999999998E-3</v>
      </c>
      <c r="H522" s="851"/>
      <c r="J522" s="824"/>
      <c r="L522" s="824"/>
    </row>
    <row r="523" spans="1:12" s="780" customFormat="1" ht="17.25" x14ac:dyDescent="0.25">
      <c r="A523" s="834"/>
      <c r="B523" s="834"/>
      <c r="C523" s="844" t="s">
        <v>23</v>
      </c>
      <c r="D523" s="844"/>
      <c r="E523" s="844"/>
      <c r="F523" s="845" t="s">
        <v>596</v>
      </c>
      <c r="G523" s="779">
        <f>G522*2</f>
        <v>9.6460799999999996E-3</v>
      </c>
      <c r="H523" s="851"/>
      <c r="J523" s="824"/>
      <c r="L523" s="824"/>
    </row>
    <row r="524" spans="1:12" s="780" customFormat="1" x14ac:dyDescent="0.25">
      <c r="A524" s="834"/>
      <c r="B524" s="834"/>
      <c r="C524" s="844" t="s">
        <v>142</v>
      </c>
      <c r="D524" s="844"/>
      <c r="E524" s="844"/>
      <c r="F524" s="845" t="s">
        <v>3</v>
      </c>
      <c r="G524" s="779">
        <f>G522/4</f>
        <v>1.2057599999999999E-3</v>
      </c>
      <c r="H524" s="851"/>
      <c r="J524" s="824"/>
      <c r="L524" s="824"/>
    </row>
    <row r="525" spans="1:12" s="780" customFormat="1" x14ac:dyDescent="0.25">
      <c r="A525" s="834"/>
      <c r="B525" s="834"/>
      <c r="C525" s="843" t="s">
        <v>143</v>
      </c>
      <c r="D525" s="844"/>
      <c r="E525" s="844"/>
      <c r="F525" s="845" t="s">
        <v>3</v>
      </c>
      <c r="G525" s="779">
        <f>G527</f>
        <v>1.3270000000000001E-2</v>
      </c>
      <c r="H525" s="851"/>
      <c r="J525" s="824"/>
      <c r="L525" s="824"/>
    </row>
    <row r="526" spans="1:12" s="780" customFormat="1" x14ac:dyDescent="0.25">
      <c r="A526" s="834"/>
      <c r="B526" s="834"/>
      <c r="C526" s="843" t="s">
        <v>152</v>
      </c>
      <c r="D526" s="843"/>
      <c r="E526" s="843"/>
      <c r="F526" s="845" t="s">
        <v>3</v>
      </c>
      <c r="G526" s="779">
        <f>0.75*0.011*2*1.3-0.001</f>
        <v>2.0449999999999999E-2</v>
      </c>
      <c r="H526" s="851"/>
      <c r="J526" s="824"/>
      <c r="L526" s="824"/>
    </row>
    <row r="527" spans="1:12" s="780" customFormat="1" x14ac:dyDescent="0.25">
      <c r="A527" s="834"/>
      <c r="B527" s="834"/>
      <c r="C527" s="843" t="s">
        <v>4872</v>
      </c>
      <c r="D527" s="843"/>
      <c r="E527" s="843"/>
      <c r="F527" s="845" t="s">
        <v>3</v>
      </c>
      <c r="G527" s="779">
        <f>G526*0.6+0.001</f>
        <v>1.3270000000000001E-2</v>
      </c>
      <c r="H527" s="851"/>
      <c r="J527" s="824"/>
      <c r="L527" s="824"/>
    </row>
    <row r="528" spans="1:12" s="780" customFormat="1" x14ac:dyDescent="0.25">
      <c r="A528" s="834"/>
      <c r="B528" s="834"/>
      <c r="C528" s="843" t="s">
        <v>12</v>
      </c>
      <c r="D528" s="843"/>
      <c r="E528" s="843"/>
      <c r="F528" s="845" t="s">
        <v>3</v>
      </c>
      <c r="G528" s="779">
        <f>0.3*(G527+G526+G525)</f>
        <v>1.4097E-2</v>
      </c>
      <c r="H528" s="851"/>
      <c r="J528" s="824"/>
      <c r="L528" s="824"/>
    </row>
    <row r="529" spans="1:12" s="780" customFormat="1" x14ac:dyDescent="0.25">
      <c r="A529" s="834"/>
      <c r="B529" s="834"/>
      <c r="C529" s="834"/>
      <c r="D529" s="744" t="s">
        <v>9540</v>
      </c>
      <c r="E529" s="834"/>
      <c r="F529" s="850"/>
      <c r="G529" s="785"/>
      <c r="H529" s="851"/>
      <c r="J529" s="824"/>
      <c r="L529" s="824"/>
    </row>
    <row r="530" spans="1:12" s="780" customFormat="1" x14ac:dyDescent="0.25">
      <c r="A530" s="834"/>
      <c r="B530" s="834"/>
      <c r="C530" s="834"/>
      <c r="D530" s="834" t="s">
        <v>9537</v>
      </c>
      <c r="E530" s="834"/>
      <c r="F530" s="850" t="s">
        <v>3</v>
      </c>
      <c r="G530" s="785">
        <f>0.227*0.42</f>
        <v>9.5339999999999994E-2</v>
      </c>
      <c r="H530" s="851"/>
      <c r="I530" s="780" t="s">
        <v>9616</v>
      </c>
      <c r="J530" s="824"/>
      <c r="L530" s="824"/>
    </row>
    <row r="531" spans="1:12" s="780" customFormat="1" x14ac:dyDescent="0.25">
      <c r="A531" s="834"/>
      <c r="B531" s="834"/>
      <c r="C531" s="834"/>
      <c r="D531" s="834"/>
      <c r="E531" s="834"/>
      <c r="F531" s="850"/>
      <c r="G531" s="785"/>
      <c r="H531" s="851"/>
      <c r="J531" s="824"/>
      <c r="L531" s="824"/>
    </row>
    <row r="532" spans="1:12" x14ac:dyDescent="0.25">
      <c r="A532" s="619"/>
      <c r="B532" s="619"/>
      <c r="C532" s="615" t="s">
        <v>9541</v>
      </c>
      <c r="D532" s="619"/>
      <c r="E532" s="619"/>
      <c r="F532" s="827"/>
      <c r="G532" s="777"/>
      <c r="H532" s="842"/>
    </row>
    <row r="533" spans="1:12" x14ac:dyDescent="0.25">
      <c r="A533" s="619"/>
      <c r="B533" s="619"/>
      <c r="C533" s="844" t="s">
        <v>140</v>
      </c>
      <c r="D533" s="844"/>
      <c r="E533" s="844"/>
      <c r="F533" s="845" t="s">
        <v>3</v>
      </c>
      <c r="G533" s="779">
        <f>0.008*3.14*2*0.08*1.2</f>
        <v>4.8230399999999998E-3</v>
      </c>
      <c r="H533" s="842"/>
    </row>
    <row r="534" spans="1:12" ht="17.25" x14ac:dyDescent="0.25">
      <c r="A534" s="619"/>
      <c r="B534" s="619"/>
      <c r="C534" s="844" t="s">
        <v>23</v>
      </c>
      <c r="D534" s="844"/>
      <c r="E534" s="844"/>
      <c r="F534" s="845" t="s">
        <v>596</v>
      </c>
      <c r="G534" s="779">
        <f>G533*2</f>
        <v>9.6460799999999996E-3</v>
      </c>
      <c r="H534" s="842"/>
    </row>
    <row r="535" spans="1:12" x14ac:dyDescent="0.25">
      <c r="A535" s="619"/>
      <c r="B535" s="619"/>
      <c r="C535" s="844" t="s">
        <v>142</v>
      </c>
      <c r="D535" s="844"/>
      <c r="E535" s="844"/>
      <c r="F535" s="845" t="s">
        <v>3</v>
      </c>
      <c r="G535" s="779">
        <f>G533/4</f>
        <v>1.2057599999999999E-3</v>
      </c>
      <c r="H535" s="842"/>
    </row>
    <row r="536" spans="1:12" x14ac:dyDescent="0.25">
      <c r="A536" s="619"/>
      <c r="B536" s="619"/>
      <c r="C536" s="843" t="s">
        <v>143</v>
      </c>
      <c r="D536" s="844"/>
      <c r="E536" s="844"/>
      <c r="F536" s="845" t="s">
        <v>3</v>
      </c>
      <c r="G536" s="779">
        <f>G538</f>
        <v>1.9733999999999998E-2</v>
      </c>
      <c r="H536" s="842"/>
    </row>
    <row r="537" spans="1:12" x14ac:dyDescent="0.25">
      <c r="A537" s="619"/>
      <c r="B537" s="619"/>
      <c r="C537" s="843" t="s">
        <v>152</v>
      </c>
      <c r="D537" s="843"/>
      <c r="E537" s="843"/>
      <c r="F537" s="845" t="s">
        <v>3</v>
      </c>
      <c r="G537" s="779">
        <f>1.15*0.011*2*1.3</f>
        <v>3.2889999999999996E-2</v>
      </c>
      <c r="H537" s="842"/>
    </row>
    <row r="538" spans="1:12" x14ac:dyDescent="0.25">
      <c r="A538" s="619"/>
      <c r="B538" s="619"/>
      <c r="C538" s="843" t="s">
        <v>4872</v>
      </c>
      <c r="D538" s="843"/>
      <c r="E538" s="843"/>
      <c r="F538" s="845" t="s">
        <v>3</v>
      </c>
      <c r="G538" s="779">
        <f>G537*0.6</f>
        <v>1.9733999999999998E-2</v>
      </c>
      <c r="H538" s="842"/>
    </row>
    <row r="539" spans="1:12" x14ac:dyDescent="0.25">
      <c r="A539" s="619"/>
      <c r="B539" s="619"/>
      <c r="C539" s="843" t="s">
        <v>12</v>
      </c>
      <c r="D539" s="843"/>
      <c r="E539" s="843"/>
      <c r="F539" s="845" t="s">
        <v>3</v>
      </c>
      <c r="G539" s="779">
        <f>0.3*(G538+G537+G536)</f>
        <v>2.1707399999999998E-2</v>
      </c>
      <c r="H539" s="842"/>
    </row>
    <row r="540" spans="1:12" x14ac:dyDescent="0.25">
      <c r="A540" s="619"/>
      <c r="B540" s="619"/>
      <c r="C540" s="615"/>
      <c r="D540" s="615" t="s">
        <v>9519</v>
      </c>
      <c r="E540" s="619"/>
      <c r="F540" s="827"/>
      <c r="G540" s="777"/>
      <c r="H540" s="842"/>
    </row>
    <row r="541" spans="1:12" x14ac:dyDescent="0.25">
      <c r="A541" s="619"/>
      <c r="B541" s="619"/>
      <c r="C541" s="615"/>
      <c r="D541" s="619" t="s">
        <v>9537</v>
      </c>
      <c r="E541" s="619"/>
      <c r="F541" s="827" t="s">
        <v>3</v>
      </c>
      <c r="G541" s="779">
        <f>0.227*1.2+0.003</f>
        <v>0.27539999999999998</v>
      </c>
      <c r="H541" s="842"/>
      <c r="I541" s="780" t="s">
        <v>9542</v>
      </c>
    </row>
    <row r="542" spans="1:12" x14ac:dyDescent="0.25">
      <c r="A542" s="619"/>
      <c r="B542" s="619"/>
      <c r="C542" s="615"/>
      <c r="D542" s="619"/>
      <c r="E542" s="619"/>
      <c r="F542" s="827"/>
      <c r="G542" s="777"/>
      <c r="H542" s="842"/>
    </row>
    <row r="543" spans="1:12" x14ac:dyDescent="0.25">
      <c r="A543" s="619"/>
      <c r="B543" s="619"/>
      <c r="C543" s="615"/>
      <c r="D543" s="619"/>
      <c r="E543" s="619"/>
      <c r="F543" s="827"/>
      <c r="G543" s="777"/>
      <c r="H543" s="842"/>
    </row>
    <row r="544" spans="1:12" x14ac:dyDescent="0.25">
      <c r="A544" s="619"/>
      <c r="B544" s="619"/>
      <c r="C544" s="615" t="s">
        <v>9520</v>
      </c>
      <c r="D544" s="619"/>
      <c r="E544" s="619"/>
      <c r="F544" s="827"/>
      <c r="G544" s="777"/>
      <c r="H544" s="842"/>
    </row>
    <row r="545" spans="1:9" x14ac:dyDescent="0.25">
      <c r="A545" s="619"/>
      <c r="B545" s="619"/>
      <c r="C545" s="619" t="s">
        <v>9543</v>
      </c>
      <c r="D545" s="619"/>
      <c r="E545" s="619"/>
      <c r="F545" s="827" t="s">
        <v>3</v>
      </c>
      <c r="G545" s="777">
        <f>0.1</f>
        <v>0.1</v>
      </c>
      <c r="H545" s="842"/>
      <c r="I545" s="780" t="s">
        <v>9544</v>
      </c>
    </row>
    <row r="546" spans="1:9" x14ac:dyDescent="0.25">
      <c r="A546" s="619"/>
      <c r="B546" s="619"/>
      <c r="C546" s="615"/>
      <c r="D546" s="615" t="s">
        <v>9521</v>
      </c>
      <c r="E546" s="619"/>
      <c r="F546" s="827"/>
      <c r="G546" s="777"/>
      <c r="H546" s="842"/>
    </row>
    <row r="547" spans="1:9" x14ac:dyDescent="0.25">
      <c r="A547" s="619"/>
      <c r="B547" s="619"/>
      <c r="D547" s="844" t="s">
        <v>140</v>
      </c>
      <c r="E547" s="844"/>
      <c r="F547" s="845" t="s">
        <v>3</v>
      </c>
      <c r="G547" s="779">
        <f>0.016*3.14*2*0.08*1.2</f>
        <v>9.6460799999999996E-3</v>
      </c>
      <c r="H547" s="842"/>
    </row>
    <row r="548" spans="1:9" ht="17.25" x14ac:dyDescent="0.25">
      <c r="A548" s="619"/>
      <c r="B548" s="619"/>
      <c r="D548" s="844" t="s">
        <v>23</v>
      </c>
      <c r="E548" s="844"/>
      <c r="F548" s="845" t="s">
        <v>596</v>
      </c>
      <c r="G548" s="779">
        <f>G547*2</f>
        <v>1.9292159999999999E-2</v>
      </c>
      <c r="H548" s="842"/>
    </row>
    <row r="549" spans="1:9" x14ac:dyDescent="0.25">
      <c r="A549" s="619"/>
      <c r="B549" s="619"/>
      <c r="D549" s="844" t="s">
        <v>142</v>
      </c>
      <c r="E549" s="844"/>
      <c r="F549" s="845" t="s">
        <v>3</v>
      </c>
      <c r="G549" s="779">
        <f>G547/4</f>
        <v>2.4115199999999999E-3</v>
      </c>
      <c r="H549" s="842"/>
    </row>
    <row r="550" spans="1:9" x14ac:dyDescent="0.25">
      <c r="A550" s="619"/>
      <c r="B550" s="619"/>
      <c r="D550" s="843" t="s">
        <v>143</v>
      </c>
      <c r="E550" s="844"/>
      <c r="F550" s="845" t="s">
        <v>3</v>
      </c>
      <c r="G550" s="779">
        <f>G552</f>
        <v>1.3068E-2</v>
      </c>
      <c r="H550" s="842"/>
    </row>
    <row r="551" spans="1:9" x14ac:dyDescent="0.25">
      <c r="A551" s="619"/>
      <c r="B551" s="619"/>
      <c r="D551" s="843" t="s">
        <v>9545</v>
      </c>
      <c r="E551" s="843"/>
      <c r="F551" s="845" t="s">
        <v>3</v>
      </c>
      <c r="G551" s="779">
        <f>0.9*0.011*2*1.1</f>
        <v>2.1780000000000001E-2</v>
      </c>
      <c r="H551" s="842"/>
    </row>
    <row r="552" spans="1:9" x14ac:dyDescent="0.25">
      <c r="A552" s="619"/>
      <c r="B552" s="619"/>
      <c r="D552" s="843" t="s">
        <v>4872</v>
      </c>
      <c r="E552" s="843"/>
      <c r="F552" s="845" t="s">
        <v>3</v>
      </c>
      <c r="G552" s="779">
        <f>G551*0.6</f>
        <v>1.3068E-2</v>
      </c>
      <c r="H552" s="842"/>
    </row>
    <row r="553" spans="1:9" x14ac:dyDescent="0.25">
      <c r="A553" s="619"/>
      <c r="B553" s="619"/>
      <c r="D553" s="843" t="s">
        <v>12</v>
      </c>
      <c r="E553" s="843"/>
      <c r="F553" s="845" t="s">
        <v>3</v>
      </c>
      <c r="G553" s="779">
        <f>0.3*(G552+G551+G550)</f>
        <v>1.43748E-2</v>
      </c>
      <c r="H553" s="842"/>
    </row>
    <row r="554" spans="1:9" x14ac:dyDescent="0.25">
      <c r="A554" s="619"/>
      <c r="B554" s="619"/>
      <c r="C554" s="615"/>
      <c r="D554" s="619"/>
      <c r="E554" s="615" t="s">
        <v>9522</v>
      </c>
      <c r="F554" s="827"/>
      <c r="G554" s="777"/>
      <c r="H554" s="842"/>
    </row>
    <row r="555" spans="1:9" x14ac:dyDescent="0.25">
      <c r="A555" s="619"/>
      <c r="B555" s="619"/>
      <c r="C555" s="615"/>
      <c r="D555" s="619"/>
      <c r="E555" s="619" t="s">
        <v>9546</v>
      </c>
      <c r="F555" s="827" t="s">
        <v>3</v>
      </c>
      <c r="G555" s="777">
        <f>0.37*0.4+0.002</f>
        <v>0.15</v>
      </c>
      <c r="H555" s="842"/>
      <c r="I555" s="780" t="s">
        <v>9547</v>
      </c>
    </row>
    <row r="556" spans="1:9" x14ac:dyDescent="0.25">
      <c r="A556" s="619"/>
      <c r="B556" s="619"/>
      <c r="C556" s="615"/>
      <c r="D556" s="619"/>
      <c r="E556" s="615" t="s">
        <v>9523</v>
      </c>
      <c r="F556" s="827"/>
      <c r="G556" s="777"/>
      <c r="H556" s="842"/>
    </row>
    <row r="557" spans="1:9" x14ac:dyDescent="0.25">
      <c r="A557" s="619"/>
      <c r="B557" s="619"/>
      <c r="C557" s="615"/>
      <c r="D557" s="619"/>
      <c r="E557" s="619" t="s">
        <v>9548</v>
      </c>
      <c r="F557" s="827" t="s">
        <v>3</v>
      </c>
      <c r="G557" s="777">
        <f>0.321*0.62+0.001</f>
        <v>0.20002</v>
      </c>
      <c r="H557" s="842"/>
      <c r="I557" s="780" t="s">
        <v>9549</v>
      </c>
    </row>
    <row r="558" spans="1:9" x14ac:dyDescent="0.25">
      <c r="A558" s="738"/>
      <c r="B558" s="738"/>
      <c r="C558" s="745"/>
      <c r="D558" s="738"/>
      <c r="E558" s="738"/>
      <c r="F558" s="846"/>
      <c r="G558" s="778"/>
      <c r="H558" s="847"/>
    </row>
    <row r="559" spans="1:9" x14ac:dyDescent="0.25">
      <c r="C559" s="619"/>
      <c r="H559" s="848" t="s">
        <v>9617</v>
      </c>
    </row>
    <row r="560" spans="1:9" x14ac:dyDescent="0.25">
      <c r="A560" s="619"/>
      <c r="B560" s="619"/>
      <c r="C560" s="619"/>
      <c r="D560" s="619"/>
      <c r="E560" s="619"/>
      <c r="F560" s="827"/>
      <c r="G560" s="739" t="s">
        <v>9555</v>
      </c>
      <c r="H560" s="842"/>
    </row>
    <row r="561" spans="1:9" ht="18.75" x14ac:dyDescent="0.3">
      <c r="A561" s="619"/>
      <c r="B561" s="619"/>
      <c r="C561" s="619"/>
      <c r="D561" s="619"/>
      <c r="E561" s="740" t="s">
        <v>9550</v>
      </c>
      <c r="F561" s="827"/>
      <c r="G561" s="777"/>
      <c r="H561" s="842"/>
    </row>
    <row r="562" spans="1:9" x14ac:dyDescent="0.25">
      <c r="A562" s="619"/>
      <c r="B562" s="619"/>
      <c r="C562" s="619"/>
      <c r="D562" s="619"/>
      <c r="E562" s="619"/>
      <c r="F562" s="827"/>
      <c r="G562" s="777"/>
      <c r="H562" s="842"/>
    </row>
    <row r="563" spans="1:9" x14ac:dyDescent="0.25">
      <c r="A563" s="619"/>
      <c r="B563" s="619"/>
      <c r="C563" s="619"/>
      <c r="D563" s="619"/>
      <c r="E563" s="619"/>
      <c r="F563" s="827"/>
      <c r="G563" s="777"/>
      <c r="H563" s="842"/>
    </row>
    <row r="564" spans="1:9" x14ac:dyDescent="0.25">
      <c r="A564" s="619"/>
      <c r="B564" s="619"/>
      <c r="C564" s="615" t="s">
        <v>9560</v>
      </c>
      <c r="D564" s="619"/>
      <c r="E564" s="619"/>
      <c r="F564" s="827"/>
      <c r="G564" s="777"/>
      <c r="H564" s="842"/>
    </row>
    <row r="565" spans="1:9" x14ac:dyDescent="0.25">
      <c r="A565" s="619"/>
      <c r="B565" s="619"/>
      <c r="C565" s="619" t="s">
        <v>9618</v>
      </c>
      <c r="D565" s="619"/>
      <c r="E565" s="619"/>
      <c r="F565" s="827" t="s">
        <v>3</v>
      </c>
      <c r="G565" s="777">
        <f>0.065*0.065*2*8*1.12</f>
        <v>7.5712000000000015E-2</v>
      </c>
      <c r="H565" s="842"/>
    </row>
    <row r="566" spans="1:9" x14ac:dyDescent="0.25">
      <c r="A566" s="619"/>
      <c r="B566" s="619"/>
      <c r="C566" s="619" t="s">
        <v>8260</v>
      </c>
      <c r="D566" s="619"/>
      <c r="E566" s="619"/>
      <c r="F566" s="827" t="s">
        <v>3</v>
      </c>
      <c r="G566" s="777">
        <f>G568*0.7</f>
        <v>4.0040000000000015E-3</v>
      </c>
      <c r="H566" s="842"/>
    </row>
    <row r="567" spans="1:9" x14ac:dyDescent="0.25">
      <c r="A567" s="619"/>
      <c r="B567" s="619"/>
      <c r="C567" s="619" t="s">
        <v>12</v>
      </c>
      <c r="D567" s="619"/>
      <c r="E567" s="619"/>
      <c r="F567" s="827" t="s">
        <v>3</v>
      </c>
      <c r="G567" s="777">
        <f>0.3*G566</f>
        <v>1.2012000000000004E-3</v>
      </c>
      <c r="H567" s="842"/>
    </row>
    <row r="568" spans="1:9" x14ac:dyDescent="0.25">
      <c r="A568" s="619"/>
      <c r="B568" s="619"/>
      <c r="C568" s="619" t="s">
        <v>854</v>
      </c>
      <c r="D568" s="619"/>
      <c r="E568" s="619"/>
      <c r="F568" s="827" t="s">
        <v>3</v>
      </c>
      <c r="G568" s="777">
        <f>0.1*0.1*2*0.11*2*1.3</f>
        <v>5.720000000000002E-3</v>
      </c>
      <c r="H568" s="842"/>
    </row>
    <row r="569" spans="1:9" x14ac:dyDescent="0.25">
      <c r="A569" s="619"/>
      <c r="B569" s="619"/>
      <c r="C569" s="619" t="s">
        <v>313</v>
      </c>
      <c r="D569" s="619"/>
      <c r="E569" s="619"/>
      <c r="F569" s="827" t="s">
        <v>3</v>
      </c>
      <c r="G569" s="777">
        <f>0.3*G568</f>
        <v>1.7160000000000005E-3</v>
      </c>
      <c r="H569" s="842"/>
    </row>
    <row r="570" spans="1:9" x14ac:dyDescent="0.25">
      <c r="A570" s="619"/>
      <c r="B570" s="619"/>
      <c r="C570" s="619"/>
      <c r="D570" s="619"/>
      <c r="E570" s="619"/>
      <c r="F570" s="827"/>
      <c r="G570" s="777"/>
      <c r="H570" s="842"/>
    </row>
    <row r="571" spans="1:9" x14ac:dyDescent="0.25">
      <c r="A571" s="619"/>
      <c r="B571" s="619"/>
      <c r="C571" s="615" t="s">
        <v>9561</v>
      </c>
      <c r="D571" s="619"/>
      <c r="E571" s="619"/>
      <c r="F571" s="827"/>
      <c r="G571" s="777"/>
      <c r="H571" s="842"/>
    </row>
    <row r="572" spans="1:9" x14ac:dyDescent="0.25">
      <c r="A572" s="619"/>
      <c r="B572" s="619"/>
      <c r="C572" s="746" t="s">
        <v>9619</v>
      </c>
      <c r="D572" s="619"/>
      <c r="E572" s="619"/>
      <c r="F572" s="827" t="s">
        <v>3</v>
      </c>
      <c r="G572" s="777">
        <f>0.135*0.095*4*2.7*1.12</f>
        <v>0.15513120000000005</v>
      </c>
      <c r="H572" s="842"/>
    </row>
    <row r="573" spans="1:9" x14ac:dyDescent="0.25">
      <c r="A573" s="619"/>
      <c r="B573" s="619"/>
      <c r="D573" s="619"/>
      <c r="E573" s="619"/>
      <c r="F573" s="827"/>
      <c r="G573" s="777"/>
      <c r="H573" s="842"/>
    </row>
    <row r="574" spans="1:9" x14ac:dyDescent="0.25">
      <c r="A574" s="619"/>
      <c r="B574" s="619"/>
      <c r="C574" s="615" t="s">
        <v>9562</v>
      </c>
      <c r="D574" s="619"/>
      <c r="E574" s="619"/>
      <c r="F574" s="827"/>
      <c r="G574" s="777"/>
      <c r="H574" s="842"/>
    </row>
    <row r="575" spans="1:9" x14ac:dyDescent="0.25">
      <c r="A575" s="619"/>
      <c r="B575" s="619"/>
      <c r="C575" s="746" t="s">
        <v>266</v>
      </c>
      <c r="D575" s="619"/>
      <c r="E575" s="619"/>
      <c r="F575" s="827" t="s">
        <v>3</v>
      </c>
      <c r="G575" s="777">
        <v>1.4E-2</v>
      </c>
      <c r="H575" s="842"/>
      <c r="I575" s="780" t="s">
        <v>9620</v>
      </c>
    </row>
    <row r="576" spans="1:9" x14ac:dyDescent="0.25">
      <c r="A576" s="619"/>
      <c r="B576" s="619"/>
      <c r="C576" s="619"/>
      <c r="D576" s="619"/>
      <c r="E576" s="619"/>
      <c r="F576" s="827"/>
      <c r="G576" s="777"/>
      <c r="H576" s="842"/>
    </row>
    <row r="577" spans="1:8" x14ac:dyDescent="0.25">
      <c r="A577" s="619"/>
      <c r="B577" s="619"/>
      <c r="C577" s="615" t="s">
        <v>9563</v>
      </c>
      <c r="D577" s="619"/>
      <c r="E577" s="619"/>
      <c r="F577" s="827"/>
      <c r="G577" s="777"/>
      <c r="H577" s="842"/>
    </row>
    <row r="578" spans="1:8" x14ac:dyDescent="0.25">
      <c r="A578" s="619"/>
      <c r="B578" s="619"/>
      <c r="C578" s="619" t="s">
        <v>9621</v>
      </c>
      <c r="D578" s="619"/>
      <c r="E578" s="619"/>
      <c r="F578" s="827" t="s">
        <v>3</v>
      </c>
      <c r="G578" s="777">
        <f>0.04*0.045*3*8*1.12</f>
        <v>4.838400000000001E-2</v>
      </c>
      <c r="H578" s="842"/>
    </row>
    <row r="579" spans="1:8" x14ac:dyDescent="0.25">
      <c r="A579" s="738"/>
      <c r="B579" s="738"/>
      <c r="C579" s="738"/>
      <c r="D579" s="738"/>
      <c r="E579" s="738"/>
      <c r="F579" s="846"/>
      <c r="G579" s="778"/>
      <c r="H579" s="847"/>
    </row>
    <row r="580" spans="1:8" x14ac:dyDescent="0.25">
      <c r="A580" s="619"/>
      <c r="B580" s="619"/>
      <c r="C580" s="619"/>
      <c r="D580" s="619"/>
      <c r="E580" s="619"/>
      <c r="F580" s="827"/>
      <c r="G580" s="777"/>
      <c r="H580" s="848" t="s">
        <v>9617</v>
      </c>
    </row>
    <row r="581" spans="1:8" x14ac:dyDescent="0.25">
      <c r="A581" s="619"/>
      <c r="B581" s="619"/>
      <c r="C581" s="619"/>
      <c r="D581" s="619"/>
      <c r="E581" s="619"/>
      <c r="F581" s="827"/>
      <c r="G581" s="739" t="s">
        <v>9555</v>
      </c>
      <c r="H581" s="842"/>
    </row>
    <row r="582" spans="1:8" ht="18.75" x14ac:dyDescent="0.3">
      <c r="A582" s="619"/>
      <c r="B582" s="619"/>
      <c r="C582" s="619"/>
      <c r="D582" s="619"/>
      <c r="E582" s="740" t="s">
        <v>9629</v>
      </c>
      <c r="F582" s="827"/>
      <c r="G582" s="777"/>
      <c r="H582" s="842"/>
    </row>
    <row r="583" spans="1:8" x14ac:dyDescent="0.25">
      <c r="A583" s="619"/>
      <c r="B583" s="619"/>
      <c r="C583" s="619"/>
      <c r="D583" s="619"/>
      <c r="E583" s="619"/>
      <c r="F583" s="827"/>
      <c r="G583" s="777"/>
      <c r="H583" s="842"/>
    </row>
    <row r="584" spans="1:8" x14ac:dyDescent="0.25">
      <c r="A584" s="619"/>
      <c r="B584" s="619"/>
      <c r="C584" s="610" t="s">
        <v>9630</v>
      </c>
      <c r="D584" s="619"/>
      <c r="E584" s="619"/>
      <c r="F584" s="827"/>
      <c r="G584" s="777"/>
      <c r="H584" s="842"/>
    </row>
    <row r="585" spans="1:8" x14ac:dyDescent="0.25">
      <c r="A585" s="619"/>
      <c r="B585" s="619"/>
      <c r="C585" s="834" t="s">
        <v>39</v>
      </c>
      <c r="D585" s="619"/>
      <c r="E585" s="619"/>
      <c r="F585" s="827" t="s">
        <v>3</v>
      </c>
      <c r="G585" s="785">
        <f>(0.193+0.184+0.19+0.16+0.062*4+0.45)*0.08*1.15-0.001</f>
        <v>0.13009999999999999</v>
      </c>
      <c r="H585" s="842"/>
    </row>
    <row r="586" spans="1:8" ht="17.25" x14ac:dyDescent="0.25">
      <c r="A586" s="619"/>
      <c r="B586" s="619"/>
      <c r="C586" s="834" t="s">
        <v>1055</v>
      </c>
      <c r="D586" s="619"/>
      <c r="E586" s="619"/>
      <c r="F586" s="827" t="s">
        <v>596</v>
      </c>
      <c r="G586" s="777">
        <f>1.1*G585</f>
        <v>0.14311000000000001</v>
      </c>
      <c r="H586" s="842"/>
    </row>
    <row r="587" spans="1:8" x14ac:dyDescent="0.25">
      <c r="A587" s="619"/>
      <c r="B587" s="619"/>
      <c r="C587" s="746" t="s">
        <v>8260</v>
      </c>
      <c r="D587" s="619"/>
      <c r="E587" s="619"/>
      <c r="F587" s="827" t="s">
        <v>3</v>
      </c>
      <c r="G587" s="777">
        <f>(G589+G590)*0.7</f>
        <v>5.0499540000000009E-2</v>
      </c>
      <c r="H587" s="842"/>
    </row>
    <row r="588" spans="1:8" x14ac:dyDescent="0.25">
      <c r="A588" s="619"/>
      <c r="B588" s="619"/>
      <c r="C588" s="746" t="s">
        <v>313</v>
      </c>
      <c r="D588" s="619"/>
      <c r="E588" s="619"/>
      <c r="F588" s="827" t="s">
        <v>3</v>
      </c>
      <c r="G588" s="777">
        <f>G587*0.3</f>
        <v>1.5149862000000002E-2</v>
      </c>
      <c r="H588" s="842"/>
    </row>
    <row r="589" spans="1:8" x14ac:dyDescent="0.25">
      <c r="A589" s="619"/>
      <c r="B589" s="619"/>
      <c r="C589" s="746" t="s">
        <v>9631</v>
      </c>
      <c r="D589" s="619"/>
      <c r="E589" s="619"/>
      <c r="F589" s="827" t="s">
        <v>3</v>
      </c>
      <c r="G589" s="777">
        <f>(0.26*0.16+(0.193+0.184+0.19+0.16)*0.07)*0.15*2*1.3</f>
        <v>3.6071100000000009E-2</v>
      </c>
      <c r="H589" s="842"/>
    </row>
    <row r="590" spans="1:8" x14ac:dyDescent="0.25">
      <c r="A590" s="619"/>
      <c r="B590" s="619"/>
      <c r="C590" s="746" t="s">
        <v>9632</v>
      </c>
      <c r="D590" s="619"/>
      <c r="E590" s="619"/>
      <c r="F590" s="827" t="s">
        <v>3</v>
      </c>
      <c r="G590" s="777">
        <f>(0.26*0.16+(0.193+0.184+0.19+0.16)*0.07)*0.15*2*1.3</f>
        <v>3.6071100000000009E-2</v>
      </c>
      <c r="H590" s="842"/>
    </row>
    <row r="591" spans="1:8" x14ac:dyDescent="0.25">
      <c r="A591" s="619"/>
      <c r="B591" s="619"/>
      <c r="C591" s="746" t="s">
        <v>9633</v>
      </c>
      <c r="D591" s="619"/>
      <c r="E591" s="619"/>
      <c r="F591" s="827" t="s">
        <v>3</v>
      </c>
      <c r="G591" s="777">
        <f>0.003</f>
        <v>3.0000000000000001E-3</v>
      </c>
      <c r="H591" s="842"/>
    </row>
    <row r="592" spans="1:8" x14ac:dyDescent="0.25">
      <c r="A592" s="619"/>
      <c r="B592" s="619"/>
      <c r="C592" s="746" t="s">
        <v>12</v>
      </c>
      <c r="D592" s="619"/>
      <c r="E592" s="619"/>
      <c r="F592" s="827" t="s">
        <v>3</v>
      </c>
      <c r="G592" s="777">
        <f>0.3*(G591+G590+G589)</f>
        <v>2.2542660000000006E-2</v>
      </c>
      <c r="H592" s="842"/>
    </row>
    <row r="593" spans="1:8" x14ac:dyDescent="0.25">
      <c r="A593" s="619"/>
      <c r="B593" s="619"/>
      <c r="D593" s="610" t="s">
        <v>9564</v>
      </c>
      <c r="E593" s="619"/>
      <c r="F593" s="827"/>
      <c r="G593" s="777"/>
      <c r="H593" s="842"/>
    </row>
    <row r="594" spans="1:8" x14ac:dyDescent="0.25">
      <c r="A594" s="619"/>
      <c r="B594" s="619"/>
      <c r="D594" s="619" t="s">
        <v>9621</v>
      </c>
      <c r="E594" s="619"/>
      <c r="F594" s="827" t="s">
        <v>3</v>
      </c>
      <c r="G594" s="777">
        <f>0.26*0.165*3*8*1.146</f>
        <v>1.1799215999999999</v>
      </c>
      <c r="H594" s="842"/>
    </row>
    <row r="595" spans="1:8" x14ac:dyDescent="0.25">
      <c r="A595" s="619"/>
      <c r="B595" s="619"/>
      <c r="D595" s="610"/>
      <c r="E595" s="619"/>
      <c r="F595" s="827"/>
      <c r="G595" s="777"/>
      <c r="H595" s="842"/>
    </row>
    <row r="596" spans="1:8" x14ac:dyDescent="0.25">
      <c r="A596" s="619"/>
      <c r="B596" s="619"/>
      <c r="D596" s="610" t="s">
        <v>9565</v>
      </c>
      <c r="E596" s="619"/>
      <c r="F596" s="827"/>
      <c r="G596" s="777"/>
      <c r="H596" s="842"/>
    </row>
    <row r="597" spans="1:8" x14ac:dyDescent="0.25">
      <c r="A597" s="619"/>
      <c r="B597" s="619"/>
      <c r="D597" s="619" t="s">
        <v>9621</v>
      </c>
      <c r="E597" s="619"/>
      <c r="F597" s="827" t="s">
        <v>3</v>
      </c>
      <c r="G597" s="777">
        <f>0.186*0.062*3*8*1.12</f>
        <v>0.30998016000000006</v>
      </c>
      <c r="H597" s="842"/>
    </row>
    <row r="598" spans="1:8" x14ac:dyDescent="0.25">
      <c r="A598" s="619"/>
      <c r="B598" s="619"/>
      <c r="D598" s="610"/>
      <c r="E598" s="619"/>
      <c r="F598" s="827"/>
      <c r="G598" s="777"/>
      <c r="H598" s="842"/>
    </row>
    <row r="599" spans="1:8" x14ac:dyDescent="0.25">
      <c r="A599" s="619"/>
      <c r="B599" s="619"/>
      <c r="D599" s="610" t="s">
        <v>9566</v>
      </c>
      <c r="E599" s="619"/>
      <c r="F599" s="827"/>
      <c r="G599" s="777"/>
      <c r="H599" s="842"/>
    </row>
    <row r="600" spans="1:8" x14ac:dyDescent="0.25">
      <c r="A600" s="619"/>
      <c r="B600" s="619"/>
      <c r="D600" s="619" t="s">
        <v>9621</v>
      </c>
      <c r="E600" s="619"/>
      <c r="F600" s="827" t="s">
        <v>3</v>
      </c>
      <c r="G600" s="777">
        <f>0.19*0.062*3*8*1.132</f>
        <v>0.32003904</v>
      </c>
      <c r="H600" s="842"/>
    </row>
    <row r="601" spans="1:8" x14ac:dyDescent="0.25">
      <c r="A601" s="619"/>
      <c r="B601" s="619"/>
      <c r="D601" s="610"/>
      <c r="E601" s="619"/>
      <c r="F601" s="827"/>
      <c r="G601" s="777"/>
      <c r="H601" s="842"/>
    </row>
    <row r="602" spans="1:8" x14ac:dyDescent="0.25">
      <c r="A602" s="619"/>
      <c r="B602" s="619"/>
      <c r="D602" s="610" t="s">
        <v>9567</v>
      </c>
      <c r="E602" s="619"/>
      <c r="F602" s="827"/>
      <c r="G602" s="777"/>
      <c r="H602" s="842"/>
    </row>
    <row r="603" spans="1:8" x14ac:dyDescent="0.25">
      <c r="A603" s="619"/>
      <c r="B603" s="619"/>
      <c r="D603" s="619" t="s">
        <v>9621</v>
      </c>
      <c r="E603" s="619"/>
      <c r="F603" s="827" t="s">
        <v>3</v>
      </c>
      <c r="G603" s="777">
        <f>0.185*0.062*3*8*1.125</f>
        <v>0.30968999999999997</v>
      </c>
      <c r="H603" s="842"/>
    </row>
    <row r="604" spans="1:8" x14ac:dyDescent="0.25">
      <c r="A604" s="619"/>
      <c r="B604" s="619"/>
      <c r="D604" s="610"/>
      <c r="E604" s="619"/>
      <c r="F604" s="827"/>
      <c r="G604" s="777"/>
      <c r="H604" s="842"/>
    </row>
    <row r="605" spans="1:8" x14ac:dyDescent="0.25">
      <c r="A605" s="619"/>
      <c r="B605" s="619"/>
      <c r="D605" s="610" t="s">
        <v>9568</v>
      </c>
      <c r="E605" s="619"/>
      <c r="F605" s="827"/>
      <c r="G605" s="777"/>
      <c r="H605" s="842"/>
    </row>
    <row r="606" spans="1:8" x14ac:dyDescent="0.25">
      <c r="A606" s="619"/>
      <c r="B606" s="619"/>
      <c r="D606" s="619" t="s">
        <v>9621</v>
      </c>
      <c r="E606" s="619"/>
      <c r="F606" s="827" t="s">
        <v>3</v>
      </c>
      <c r="G606" s="777">
        <f>0.195*0.062*3*8*1.122</f>
        <v>0.32555951999999999</v>
      </c>
      <c r="H606" s="842"/>
    </row>
    <row r="607" spans="1:8" x14ac:dyDescent="0.25">
      <c r="A607" s="619"/>
      <c r="B607" s="619"/>
      <c r="D607" s="610"/>
      <c r="E607" s="619"/>
      <c r="F607" s="827"/>
      <c r="G607" s="777"/>
      <c r="H607" s="842"/>
    </row>
    <row r="608" spans="1:8" x14ac:dyDescent="0.25">
      <c r="A608" s="619"/>
      <c r="B608" s="619"/>
      <c r="D608" s="610" t="s">
        <v>9569</v>
      </c>
      <c r="E608" s="619"/>
      <c r="F608" s="827"/>
      <c r="G608" s="777"/>
      <c r="H608" s="842"/>
    </row>
    <row r="609" spans="1:9" x14ac:dyDescent="0.25">
      <c r="A609" s="619"/>
      <c r="B609" s="619"/>
      <c r="D609" s="619" t="s">
        <v>9621</v>
      </c>
      <c r="E609" s="619"/>
      <c r="F609" s="827" t="s">
        <v>3</v>
      </c>
      <c r="G609" s="777">
        <f>0.17*0.008*3*8*1.12</f>
        <v>3.6556800000000007E-2</v>
      </c>
      <c r="H609" s="842"/>
    </row>
    <row r="610" spans="1:9" x14ac:dyDescent="0.25">
      <c r="A610" s="619"/>
      <c r="B610" s="619"/>
      <c r="D610" s="610"/>
      <c r="E610" s="619"/>
      <c r="F610" s="827"/>
      <c r="G610" s="777"/>
      <c r="H610" s="842"/>
    </row>
    <row r="611" spans="1:9" x14ac:dyDescent="0.25">
      <c r="A611" s="619"/>
      <c r="B611" s="619"/>
      <c r="D611" s="610" t="s">
        <v>9570</v>
      </c>
      <c r="E611" s="619"/>
      <c r="F611" s="827"/>
      <c r="G611" s="777"/>
      <c r="H611" s="842"/>
    </row>
    <row r="612" spans="1:9" x14ac:dyDescent="0.25">
      <c r="A612" s="619"/>
      <c r="B612" s="619"/>
      <c r="D612" s="619" t="s">
        <v>9621</v>
      </c>
      <c r="E612" s="619"/>
      <c r="F612" s="827" t="s">
        <v>3</v>
      </c>
      <c r="G612" s="777">
        <f>0.09*0.008*3*8*1.135</f>
        <v>1.9612799999999996E-2</v>
      </c>
      <c r="H612" s="842"/>
    </row>
    <row r="613" spans="1:9" x14ac:dyDescent="0.25">
      <c r="A613" s="619"/>
      <c r="B613" s="619"/>
      <c r="D613" s="610"/>
      <c r="E613" s="619"/>
      <c r="F613" s="827"/>
      <c r="G613" s="777"/>
      <c r="H613" s="842"/>
    </row>
    <row r="614" spans="1:9" x14ac:dyDescent="0.25">
      <c r="A614" s="619"/>
      <c r="B614" s="619"/>
      <c r="D614" s="610" t="s">
        <v>9571</v>
      </c>
      <c r="E614" s="619"/>
      <c r="F614" s="827"/>
      <c r="G614" s="777"/>
      <c r="H614" s="842"/>
    </row>
    <row r="615" spans="1:9" x14ac:dyDescent="0.25">
      <c r="A615" s="619"/>
      <c r="B615" s="619"/>
      <c r="D615" s="619" t="s">
        <v>9621</v>
      </c>
      <c r="E615" s="619"/>
      <c r="F615" s="827" t="s">
        <v>3</v>
      </c>
      <c r="G615" s="777">
        <f>0.012*0.008*3*8*1.12</f>
        <v>2.5804800000000004E-3</v>
      </c>
      <c r="H615" s="842"/>
    </row>
    <row r="616" spans="1:9" x14ac:dyDescent="0.25">
      <c r="A616" s="619"/>
      <c r="B616" s="619"/>
      <c r="D616" s="619"/>
      <c r="E616" s="619"/>
      <c r="F616" s="827"/>
      <c r="G616" s="777"/>
      <c r="H616" s="842"/>
    </row>
    <row r="617" spans="1:9" x14ac:dyDescent="0.25">
      <c r="A617" s="619"/>
      <c r="B617" s="619"/>
      <c r="C617" s="610" t="s">
        <v>9572</v>
      </c>
      <c r="D617" s="619"/>
      <c r="E617" s="619"/>
      <c r="F617" s="827"/>
      <c r="G617" s="777"/>
      <c r="H617" s="842"/>
    </row>
    <row r="618" spans="1:9" x14ac:dyDescent="0.25">
      <c r="A618" s="619"/>
      <c r="B618" s="619"/>
      <c r="C618" s="746" t="s">
        <v>9634</v>
      </c>
      <c r="D618" s="619"/>
      <c r="E618" s="619"/>
      <c r="F618" s="827" t="s">
        <v>195</v>
      </c>
      <c r="G618" s="777">
        <v>0.15</v>
      </c>
      <c r="H618" s="842"/>
      <c r="I618" s="780" t="s">
        <v>9635</v>
      </c>
    </row>
    <row r="619" spans="1:9" x14ac:dyDescent="0.25">
      <c r="A619" s="619"/>
      <c r="B619" s="619"/>
      <c r="D619" s="615" t="s">
        <v>9624</v>
      </c>
      <c r="E619" s="619"/>
      <c r="F619" s="827"/>
      <c r="G619" s="777"/>
      <c r="H619" s="842"/>
    </row>
    <row r="620" spans="1:9" x14ac:dyDescent="0.25">
      <c r="A620" s="619"/>
      <c r="B620" s="619"/>
      <c r="C620" s="619"/>
      <c r="D620" s="619" t="s">
        <v>9625</v>
      </c>
      <c r="E620" s="619"/>
      <c r="F620" s="827" t="s">
        <v>3</v>
      </c>
      <c r="G620" s="777">
        <v>3.0000000000000001E-3</v>
      </c>
      <c r="H620" s="842"/>
    </row>
    <row r="621" spans="1:9" x14ac:dyDescent="0.25">
      <c r="A621" s="619"/>
      <c r="B621" s="619"/>
      <c r="C621" s="619"/>
      <c r="D621" s="619"/>
      <c r="E621" s="619"/>
      <c r="F621" s="827"/>
      <c r="G621" s="777"/>
      <c r="H621" s="842"/>
    </row>
    <row r="622" spans="1:9" x14ac:dyDescent="0.25">
      <c r="A622" s="619"/>
      <c r="B622" s="619"/>
      <c r="C622" s="615" t="s">
        <v>9574</v>
      </c>
      <c r="D622" s="619"/>
      <c r="E622" s="619"/>
      <c r="F622" s="827"/>
      <c r="G622" s="777"/>
      <c r="H622" s="842"/>
    </row>
    <row r="623" spans="1:9" x14ac:dyDescent="0.25">
      <c r="A623" s="619"/>
      <c r="B623" s="619"/>
      <c r="C623" s="619" t="s">
        <v>9621</v>
      </c>
      <c r="D623" s="619"/>
      <c r="E623" s="619"/>
      <c r="F623" s="827" t="s">
        <v>3</v>
      </c>
      <c r="G623" s="777">
        <f>0.26*0.165*3*8*1.127</f>
        <v>1.1603592</v>
      </c>
      <c r="H623" s="842"/>
    </row>
    <row r="624" spans="1:9" x14ac:dyDescent="0.25">
      <c r="A624" s="619"/>
      <c r="B624" s="619"/>
      <c r="C624" s="619" t="s">
        <v>8</v>
      </c>
      <c r="D624" s="619"/>
      <c r="E624" s="619"/>
      <c r="F624" s="827" t="s">
        <v>3</v>
      </c>
      <c r="G624" s="777">
        <f>G626*0.7</f>
        <v>1.7470880000000001E-2</v>
      </c>
      <c r="H624" s="842"/>
    </row>
    <row r="625" spans="1:8" x14ac:dyDescent="0.25">
      <c r="A625" s="619"/>
      <c r="B625" s="619"/>
      <c r="C625" s="619" t="s">
        <v>12</v>
      </c>
      <c r="D625" s="619"/>
      <c r="E625" s="619"/>
      <c r="F625" s="827" t="s">
        <v>3</v>
      </c>
      <c r="G625" s="777">
        <f>0.3*G624</f>
        <v>5.2412639999999998E-3</v>
      </c>
      <c r="H625" s="842"/>
    </row>
    <row r="626" spans="1:8" x14ac:dyDescent="0.25">
      <c r="A626" s="619"/>
      <c r="B626" s="619"/>
      <c r="C626" s="619" t="s">
        <v>6107</v>
      </c>
      <c r="D626" s="619"/>
      <c r="E626" s="619"/>
      <c r="F626" s="827" t="s">
        <v>3</v>
      </c>
      <c r="G626" s="777">
        <f>0.26*0.16*2*0.12*2*1.3-0.001</f>
        <v>2.4958400000000006E-2</v>
      </c>
      <c r="H626" s="842"/>
    </row>
    <row r="627" spans="1:8" x14ac:dyDescent="0.25">
      <c r="A627" s="619"/>
      <c r="B627" s="619"/>
      <c r="C627" s="619" t="s">
        <v>313</v>
      </c>
      <c r="D627" s="619"/>
      <c r="E627" s="619"/>
      <c r="F627" s="827" t="s">
        <v>3</v>
      </c>
      <c r="G627" s="777">
        <f>0.3*G626</f>
        <v>7.487520000000001E-3</v>
      </c>
      <c r="H627" s="842"/>
    </row>
    <row r="628" spans="1:8" x14ac:dyDescent="0.25">
      <c r="A628" s="619"/>
      <c r="B628" s="619"/>
      <c r="C628" s="619"/>
      <c r="D628" s="619"/>
      <c r="E628" s="619"/>
      <c r="F628" s="827"/>
      <c r="G628" s="777"/>
      <c r="H628" s="842"/>
    </row>
    <row r="629" spans="1:8" x14ac:dyDescent="0.25">
      <c r="A629" s="619"/>
      <c r="B629" s="619"/>
      <c r="C629" s="615" t="s">
        <v>9573</v>
      </c>
      <c r="D629" s="619"/>
      <c r="E629" s="619"/>
      <c r="F629" s="827"/>
      <c r="G629" s="739" t="s">
        <v>4026</v>
      </c>
      <c r="H629" s="842"/>
    </row>
    <row r="630" spans="1:8" x14ac:dyDescent="0.25">
      <c r="A630" s="619"/>
      <c r="B630" s="619"/>
      <c r="C630" s="746" t="s">
        <v>9623</v>
      </c>
      <c r="F630" s="836" t="s">
        <v>3</v>
      </c>
      <c r="G630" s="734">
        <v>0.05</v>
      </c>
      <c r="H630" s="842"/>
    </row>
    <row r="631" spans="1:8" x14ac:dyDescent="0.25">
      <c r="A631" s="619"/>
      <c r="B631" s="619"/>
      <c r="C631" s="619"/>
      <c r="D631" s="619"/>
      <c r="E631" s="619"/>
      <c r="F631" s="827"/>
      <c r="G631" s="777"/>
      <c r="H631" s="842"/>
    </row>
    <row r="632" spans="1:8" x14ac:dyDescent="0.25">
      <c r="A632" s="619"/>
      <c r="B632" s="619"/>
      <c r="C632" s="615" t="s">
        <v>9575</v>
      </c>
      <c r="D632" s="619"/>
      <c r="E632" s="619"/>
      <c r="F632" s="827"/>
      <c r="G632" s="777"/>
      <c r="H632" s="842"/>
    </row>
    <row r="633" spans="1:8" x14ac:dyDescent="0.25">
      <c r="A633" s="619"/>
      <c r="B633" s="619"/>
      <c r="C633" s="619" t="s">
        <v>9622</v>
      </c>
      <c r="D633" s="619"/>
      <c r="E633" s="619"/>
      <c r="F633" s="827" t="s">
        <v>3</v>
      </c>
      <c r="G633" s="777">
        <f>0.07*0.02*2.5*8*1.12-0.001</f>
        <v>3.0360000000000005E-2</v>
      </c>
      <c r="H633" s="842"/>
    </row>
    <row r="634" spans="1:8" x14ac:dyDescent="0.25">
      <c r="A634" s="619"/>
      <c r="B634" s="619"/>
      <c r="C634" s="619"/>
      <c r="D634" s="619"/>
      <c r="E634" s="619"/>
      <c r="F634" s="827"/>
      <c r="G634" s="777"/>
      <c r="H634" s="842"/>
    </row>
    <row r="635" spans="1:8" x14ac:dyDescent="0.25">
      <c r="A635" s="619"/>
      <c r="B635" s="619"/>
      <c r="C635" s="615" t="s">
        <v>9576</v>
      </c>
      <c r="D635" s="619"/>
      <c r="E635" s="619"/>
      <c r="F635" s="827"/>
      <c r="G635" s="777"/>
      <c r="H635" s="842"/>
    </row>
    <row r="636" spans="1:8" x14ac:dyDescent="0.25">
      <c r="A636" s="619"/>
      <c r="B636" s="619"/>
      <c r="C636" s="619" t="s">
        <v>9622</v>
      </c>
      <c r="D636" s="619"/>
      <c r="E636" s="619"/>
      <c r="F636" s="827" t="s">
        <v>3</v>
      </c>
      <c r="G636" s="777">
        <f>0.08*0.022*2.5*8*1.12+0.001</f>
        <v>4.0424000000000002E-2</v>
      </c>
      <c r="H636" s="842"/>
    </row>
    <row r="637" spans="1:8" x14ac:dyDescent="0.25">
      <c r="A637" s="738"/>
      <c r="B637" s="738"/>
      <c r="C637" s="738"/>
      <c r="D637" s="738"/>
      <c r="E637" s="738"/>
      <c r="F637" s="846"/>
      <c r="G637" s="778"/>
      <c r="H637" s="847"/>
    </row>
    <row r="638" spans="1:8" x14ac:dyDescent="0.25">
      <c r="C638" s="619"/>
      <c r="H638" s="848" t="s">
        <v>9688</v>
      </c>
    </row>
    <row r="639" spans="1:8" x14ac:dyDescent="0.25">
      <c r="C639" s="619"/>
      <c r="E639" s="619"/>
      <c r="F639" s="827"/>
      <c r="G639" s="739" t="s">
        <v>9555</v>
      </c>
      <c r="H639" s="842"/>
    </row>
    <row r="640" spans="1:8" ht="18.75" x14ac:dyDescent="0.3">
      <c r="C640" s="619"/>
      <c r="E640" s="740" t="s">
        <v>9683</v>
      </c>
      <c r="F640" s="827"/>
      <c r="G640" s="777"/>
      <c r="H640" s="842"/>
    </row>
    <row r="641" spans="1:9" x14ac:dyDescent="0.25">
      <c r="C641" s="619"/>
      <c r="H641" s="842"/>
    </row>
    <row r="642" spans="1:9" x14ac:dyDescent="0.25">
      <c r="C642" s="619"/>
      <c r="H642" s="842"/>
    </row>
    <row r="643" spans="1:9" x14ac:dyDescent="0.25">
      <c r="C643" s="610" t="s">
        <v>9681</v>
      </c>
      <c r="G643" s="749" t="s">
        <v>9689</v>
      </c>
      <c r="H643" s="842"/>
    </row>
    <row r="644" spans="1:9" x14ac:dyDescent="0.25">
      <c r="C644" s="619" t="s">
        <v>9684</v>
      </c>
      <c r="F644" s="836" t="s">
        <v>3</v>
      </c>
      <c r="G644" s="782">
        <v>3.5000000000000003E-2</v>
      </c>
      <c r="H644" s="842"/>
      <c r="I644" s="780" t="s">
        <v>9687</v>
      </c>
    </row>
    <row r="645" spans="1:9" x14ac:dyDescent="0.25">
      <c r="C645" s="619"/>
      <c r="H645" s="842"/>
    </row>
    <row r="646" spans="1:9" x14ac:dyDescent="0.25">
      <c r="C646" s="610" t="s">
        <v>9682</v>
      </c>
      <c r="H646" s="842"/>
    </row>
    <row r="647" spans="1:9" x14ac:dyDescent="0.25">
      <c r="C647" s="746" t="s">
        <v>9685</v>
      </c>
      <c r="F647" s="836" t="s">
        <v>3</v>
      </c>
      <c r="G647" s="782">
        <f>0.17*0.06*3*2.7*1.125</f>
        <v>9.2947500000000016E-2</v>
      </c>
      <c r="H647" s="842"/>
    </row>
    <row r="648" spans="1:9" x14ac:dyDescent="0.25">
      <c r="C648" s="746" t="s">
        <v>9686</v>
      </c>
      <c r="F648" s="836" t="s">
        <v>3</v>
      </c>
      <c r="G648" s="782">
        <f>G650*0.7</f>
        <v>6.8544000000000001E-3</v>
      </c>
      <c r="H648" s="842"/>
    </row>
    <row r="649" spans="1:9" x14ac:dyDescent="0.25">
      <c r="C649" s="746" t="s">
        <v>12</v>
      </c>
      <c r="F649" s="836" t="s">
        <v>3</v>
      </c>
      <c r="G649" s="782">
        <f>0.3*G648</f>
        <v>2.0563199999999999E-3</v>
      </c>
      <c r="H649" s="842"/>
    </row>
    <row r="650" spans="1:9" x14ac:dyDescent="0.25">
      <c r="C650" s="746" t="s">
        <v>854</v>
      </c>
      <c r="F650" s="836" t="s">
        <v>3</v>
      </c>
      <c r="G650" s="782">
        <f>0.17*0.1*2*0.12*2*1.2</f>
        <v>9.7920000000000004E-3</v>
      </c>
      <c r="H650" s="842"/>
    </row>
    <row r="651" spans="1:9" x14ac:dyDescent="0.25">
      <c r="C651" s="746" t="s">
        <v>313</v>
      </c>
      <c r="F651" s="836" t="s">
        <v>3</v>
      </c>
      <c r="G651" s="782">
        <f>0.3*G650</f>
        <v>2.9375999999999998E-3</v>
      </c>
      <c r="H651" s="842"/>
    </row>
    <row r="652" spans="1:9" x14ac:dyDescent="0.25">
      <c r="A652" s="738"/>
      <c r="B652" s="738"/>
      <c r="C652" s="745"/>
      <c r="D652" s="738"/>
      <c r="E652" s="738"/>
      <c r="F652" s="846"/>
      <c r="G652" s="778"/>
      <c r="H652" s="847"/>
    </row>
    <row r="653" spans="1:9" x14ac:dyDescent="0.25">
      <c r="C653" s="610"/>
      <c r="H653" s="848" t="s">
        <v>9740</v>
      </c>
    </row>
    <row r="654" spans="1:9" x14ac:dyDescent="0.25">
      <c r="C654" s="619"/>
      <c r="E654" s="619"/>
      <c r="F654" s="827"/>
      <c r="G654" s="739" t="s">
        <v>9555</v>
      </c>
      <c r="H654" s="842"/>
    </row>
    <row r="655" spans="1:9" ht="18.75" x14ac:dyDescent="0.3">
      <c r="C655" s="619"/>
      <c r="E655" s="740" t="s">
        <v>9644</v>
      </c>
      <c r="F655" s="827"/>
      <c r="G655" s="777"/>
      <c r="H655" s="842"/>
    </row>
    <row r="656" spans="1:9" x14ac:dyDescent="0.25">
      <c r="C656" s="619"/>
      <c r="H656" s="842"/>
    </row>
    <row r="657" spans="3:9" x14ac:dyDescent="0.25">
      <c r="C657" s="619"/>
      <c r="H657" s="842"/>
    </row>
    <row r="658" spans="3:9" x14ac:dyDescent="0.25">
      <c r="C658" s="610" t="s">
        <v>9636</v>
      </c>
      <c r="H658" s="842"/>
    </row>
    <row r="659" spans="3:9" x14ac:dyDescent="0.25">
      <c r="C659" s="746" t="s">
        <v>9675</v>
      </c>
      <c r="F659" s="836" t="s">
        <v>3</v>
      </c>
      <c r="G659" s="782">
        <v>4.0000000000000001E-3</v>
      </c>
      <c r="H659" s="842"/>
      <c r="I659" s="780" t="s">
        <v>9676</v>
      </c>
    </row>
    <row r="660" spans="3:9" x14ac:dyDescent="0.25">
      <c r="D660" s="610" t="s">
        <v>9637</v>
      </c>
      <c r="H660" s="842"/>
    </row>
    <row r="661" spans="3:9" x14ac:dyDescent="0.25">
      <c r="D661" s="843" t="s">
        <v>39</v>
      </c>
      <c r="E661" s="844"/>
      <c r="F661" s="845" t="s">
        <v>3</v>
      </c>
      <c r="G661" s="852">
        <f>(0.2+0.2+0.1+0.06+0.8+0.15)*0.08*1.1-0.003</f>
        <v>0.12988000000000002</v>
      </c>
      <c r="H661" s="842"/>
    </row>
    <row r="662" spans="3:9" ht="17.25" x14ac:dyDescent="0.25">
      <c r="D662" s="843" t="s">
        <v>1055</v>
      </c>
      <c r="E662" s="844"/>
      <c r="F662" s="845" t="s">
        <v>596</v>
      </c>
      <c r="G662" s="779">
        <f>1.5*G661</f>
        <v>0.19482000000000005</v>
      </c>
      <c r="H662" s="842"/>
    </row>
    <row r="663" spans="3:9" x14ac:dyDescent="0.25">
      <c r="D663" s="746" t="s">
        <v>8</v>
      </c>
      <c r="F663" s="836" t="s">
        <v>3</v>
      </c>
      <c r="G663" s="782">
        <f>0.7*G664-0.003</f>
        <v>4.9679200000000007E-2</v>
      </c>
      <c r="H663" s="842"/>
    </row>
    <row r="664" spans="3:9" x14ac:dyDescent="0.25">
      <c r="D664" s="746" t="s">
        <v>442</v>
      </c>
      <c r="F664" s="836" t="s">
        <v>3</v>
      </c>
      <c r="G664" s="782">
        <f>0.17*0.14*4*2*0.15*2*1.3+0.001</f>
        <v>7.5256000000000017E-2</v>
      </c>
      <c r="H664" s="842"/>
    </row>
    <row r="665" spans="3:9" x14ac:dyDescent="0.25">
      <c r="D665" s="746" t="s">
        <v>12</v>
      </c>
      <c r="F665" s="836" t="s">
        <v>3</v>
      </c>
      <c r="G665" s="782">
        <f>0.3*(G664+G663)</f>
        <v>3.7480560000000003E-2</v>
      </c>
      <c r="H665" s="842"/>
    </row>
    <row r="666" spans="3:9" x14ac:dyDescent="0.25">
      <c r="E666" s="610" t="s">
        <v>9638</v>
      </c>
      <c r="H666" s="842"/>
    </row>
    <row r="667" spans="3:9" x14ac:dyDescent="0.25">
      <c r="E667" s="619" t="s">
        <v>9680</v>
      </c>
      <c r="F667" s="836" t="s">
        <v>3</v>
      </c>
      <c r="G667" s="782">
        <f>0.09*0.015*3*8*1.12</f>
        <v>3.6288000000000001E-2</v>
      </c>
      <c r="H667" s="842"/>
    </row>
    <row r="668" spans="3:9" x14ac:dyDescent="0.25">
      <c r="E668" s="610" t="s">
        <v>9639</v>
      </c>
      <c r="H668" s="842"/>
    </row>
    <row r="669" spans="3:9" x14ac:dyDescent="0.25">
      <c r="E669" s="619" t="s">
        <v>9680</v>
      </c>
      <c r="F669" s="836" t="s">
        <v>3</v>
      </c>
      <c r="G669" s="782">
        <f>0.172*0.14*3*8*1.125</f>
        <v>0.65015999999999996</v>
      </c>
      <c r="H669" s="842"/>
    </row>
    <row r="670" spans="3:9" x14ac:dyDescent="0.25">
      <c r="E670" s="610" t="s">
        <v>9640</v>
      </c>
      <c r="H670" s="842"/>
    </row>
    <row r="671" spans="3:9" x14ac:dyDescent="0.25">
      <c r="E671" s="747" t="s">
        <v>9677</v>
      </c>
      <c r="F671" s="836" t="s">
        <v>3</v>
      </c>
      <c r="G671" s="782">
        <f>1.444*0.14</f>
        <v>0.20216000000000001</v>
      </c>
      <c r="H671" s="842"/>
      <c r="I671" s="780" t="s">
        <v>9678</v>
      </c>
    </row>
    <row r="672" spans="3:9" x14ac:dyDescent="0.25">
      <c r="E672" s="610" t="s">
        <v>9641</v>
      </c>
      <c r="H672" s="842"/>
    </row>
    <row r="673" spans="3:9" x14ac:dyDescent="0.25">
      <c r="E673" s="747" t="s">
        <v>9677</v>
      </c>
      <c r="F673" s="836" t="s">
        <v>3</v>
      </c>
      <c r="G673" s="782">
        <f>1.444*0.34-0.001</f>
        <v>0.48996000000000001</v>
      </c>
      <c r="H673" s="842"/>
      <c r="I673" s="780" t="s">
        <v>9679</v>
      </c>
    </row>
    <row r="674" spans="3:9" x14ac:dyDescent="0.25">
      <c r="E674" s="610" t="s">
        <v>9642</v>
      </c>
      <c r="H674" s="842"/>
    </row>
    <row r="675" spans="3:9" x14ac:dyDescent="0.25">
      <c r="E675" s="619" t="s">
        <v>9621</v>
      </c>
      <c r="F675" s="836" t="s">
        <v>3</v>
      </c>
      <c r="G675" s="782">
        <f>0.172*0.14*3*8*1.125</f>
        <v>0.65015999999999996</v>
      </c>
      <c r="H675" s="842"/>
    </row>
    <row r="676" spans="3:9" x14ac:dyDescent="0.25">
      <c r="E676" s="610" t="s">
        <v>9643</v>
      </c>
      <c r="H676" s="842"/>
    </row>
    <row r="677" spans="3:9" x14ac:dyDescent="0.25">
      <c r="C677" s="619"/>
      <c r="E677" s="619" t="s">
        <v>9621</v>
      </c>
      <c r="F677" s="836" t="s">
        <v>3</v>
      </c>
      <c r="G677" s="782">
        <f>0.105*0.08*3*8*1.12-0.001</f>
        <v>0.22479200000000002</v>
      </c>
      <c r="H677" s="842"/>
    </row>
    <row r="678" spans="3:9" x14ac:dyDescent="0.25">
      <c r="C678" s="619"/>
      <c r="H678" s="842"/>
    </row>
    <row r="679" spans="3:9" x14ac:dyDescent="0.25">
      <c r="C679" s="615" t="s">
        <v>9645</v>
      </c>
      <c r="H679" s="842"/>
    </row>
    <row r="680" spans="3:9" x14ac:dyDescent="0.25">
      <c r="C680" s="843" t="s">
        <v>39</v>
      </c>
      <c r="D680" s="844"/>
      <c r="F680" s="845" t="s">
        <v>3</v>
      </c>
      <c r="G680" s="852">
        <f>(0.02*3.14+0.012*3.14)*0.08*1.25</f>
        <v>1.0048000000000001E-2</v>
      </c>
      <c r="H680" s="842"/>
    </row>
    <row r="681" spans="3:9" ht="17.25" x14ac:dyDescent="0.25">
      <c r="C681" s="843" t="s">
        <v>1055</v>
      </c>
      <c r="D681" s="844"/>
      <c r="F681" s="845" t="s">
        <v>596</v>
      </c>
      <c r="G681" s="779">
        <f>1.5*G680</f>
        <v>1.5072000000000002E-2</v>
      </c>
      <c r="H681" s="842"/>
    </row>
    <row r="682" spans="3:9" x14ac:dyDescent="0.25">
      <c r="C682" s="619"/>
      <c r="H682" s="842"/>
    </row>
    <row r="683" spans="3:9" x14ac:dyDescent="0.25">
      <c r="C683" s="615" t="s">
        <v>9646</v>
      </c>
      <c r="H683" s="842"/>
    </row>
    <row r="684" spans="3:9" x14ac:dyDescent="0.25">
      <c r="C684" s="843" t="s">
        <v>3394</v>
      </c>
      <c r="D684" s="844"/>
      <c r="F684" s="845" t="s">
        <v>3</v>
      </c>
      <c r="G684" s="779">
        <f>(0.025*3.14*4+0.014*3.14*6)*0.08*1.2</f>
        <v>5.5464960000000008E-2</v>
      </c>
      <c r="H684" s="842"/>
    </row>
    <row r="685" spans="3:9" ht="17.25" x14ac:dyDescent="0.25">
      <c r="C685" s="843" t="s">
        <v>121</v>
      </c>
      <c r="D685" s="844"/>
      <c r="F685" s="845" t="s">
        <v>596</v>
      </c>
      <c r="G685" s="779">
        <f>G684*1.1</f>
        <v>6.1011456000000013E-2</v>
      </c>
      <c r="H685" s="842"/>
    </row>
    <row r="686" spans="3:9" x14ac:dyDescent="0.25">
      <c r="C686" s="619"/>
      <c r="D686" s="610" t="s">
        <v>9647</v>
      </c>
      <c r="H686" s="842"/>
    </row>
    <row r="687" spans="3:9" x14ac:dyDescent="0.25">
      <c r="C687" s="619"/>
      <c r="D687" s="746" t="s">
        <v>9690</v>
      </c>
      <c r="F687" s="836" t="s">
        <v>3</v>
      </c>
      <c r="G687" s="782">
        <v>0.625</v>
      </c>
      <c r="H687" s="842"/>
      <c r="I687" s="780" t="s">
        <v>9691</v>
      </c>
    </row>
    <row r="688" spans="3:9" x14ac:dyDescent="0.25">
      <c r="C688" s="619"/>
      <c r="D688" s="610" t="s">
        <v>9648</v>
      </c>
      <c r="H688" s="842"/>
    </row>
    <row r="689" spans="3:9" x14ac:dyDescent="0.25">
      <c r="C689" s="619"/>
      <c r="D689" s="619" t="s">
        <v>9621</v>
      </c>
      <c r="F689" s="836" t="s">
        <v>3</v>
      </c>
      <c r="G689" s="782">
        <f>0.08*0.065*3*8*1.12</f>
        <v>0.13977600000000004</v>
      </c>
      <c r="H689" s="842"/>
    </row>
    <row r="690" spans="3:9" x14ac:dyDescent="0.25">
      <c r="C690" s="619"/>
      <c r="H690" s="842"/>
    </row>
    <row r="691" spans="3:9" x14ac:dyDescent="0.25">
      <c r="C691" s="615" t="s">
        <v>9649</v>
      </c>
      <c r="H691" s="842"/>
    </row>
    <row r="692" spans="3:9" x14ac:dyDescent="0.25">
      <c r="C692" s="843" t="s">
        <v>3394</v>
      </c>
      <c r="D692" s="844"/>
      <c r="F692" s="845" t="s">
        <v>3</v>
      </c>
      <c r="G692" s="779">
        <f>(0.025*3.14*4+0.014*3.14*6)*0.08*1.2</f>
        <v>5.5464960000000008E-2</v>
      </c>
      <c r="H692" s="842"/>
    </row>
    <row r="693" spans="3:9" ht="17.25" x14ac:dyDescent="0.25">
      <c r="C693" s="843" t="s">
        <v>121</v>
      </c>
      <c r="D693" s="844"/>
      <c r="F693" s="845" t="s">
        <v>596</v>
      </c>
      <c r="G693" s="779">
        <f>G692*1.1</f>
        <v>6.1011456000000013E-2</v>
      </c>
      <c r="H693" s="842"/>
    </row>
    <row r="694" spans="3:9" x14ac:dyDescent="0.25">
      <c r="C694" s="619"/>
      <c r="D694" s="610" t="s">
        <v>9650</v>
      </c>
      <c r="H694" s="842"/>
    </row>
    <row r="695" spans="3:9" x14ac:dyDescent="0.25">
      <c r="C695" s="619"/>
      <c r="D695" s="746" t="s">
        <v>9690</v>
      </c>
      <c r="F695" s="836" t="s">
        <v>3</v>
      </c>
      <c r="G695" s="782">
        <v>0.69</v>
      </c>
      <c r="H695" s="842"/>
      <c r="I695" s="780" t="s">
        <v>7693</v>
      </c>
    </row>
    <row r="696" spans="3:9" x14ac:dyDescent="0.25">
      <c r="C696" s="619"/>
      <c r="D696" s="610" t="s">
        <v>9651</v>
      </c>
      <c r="H696" s="842"/>
    </row>
    <row r="697" spans="3:9" x14ac:dyDescent="0.25">
      <c r="C697" s="619"/>
      <c r="D697" s="619" t="s">
        <v>9621</v>
      </c>
      <c r="G697" s="782">
        <f>0.105*0.052*3*8*1.15-0.001</f>
        <v>0.14969599999999997</v>
      </c>
      <c r="H697" s="842"/>
    </row>
    <row r="698" spans="3:9" x14ac:dyDescent="0.25">
      <c r="C698" s="619"/>
      <c r="H698" s="842"/>
    </row>
    <row r="699" spans="3:9" x14ac:dyDescent="0.25">
      <c r="C699" s="615" t="s">
        <v>9652</v>
      </c>
      <c r="H699" s="842"/>
    </row>
    <row r="700" spans="3:9" x14ac:dyDescent="0.25">
      <c r="C700" s="619" t="s">
        <v>114</v>
      </c>
      <c r="F700" s="836" t="s">
        <v>3</v>
      </c>
      <c r="G700" s="782">
        <f>G702*0.8</f>
        <v>4.5760000000000002E-3</v>
      </c>
      <c r="H700" s="842"/>
    </row>
    <row r="701" spans="3:9" x14ac:dyDescent="0.25">
      <c r="C701" s="619" t="s">
        <v>164</v>
      </c>
      <c r="F701" s="836" t="s">
        <v>3</v>
      </c>
      <c r="G701" s="782">
        <f>0.3*G700</f>
        <v>1.3728E-3</v>
      </c>
      <c r="H701" s="842"/>
    </row>
    <row r="702" spans="3:9" x14ac:dyDescent="0.25">
      <c r="C702" s="619" t="s">
        <v>442</v>
      </c>
      <c r="F702" s="836" t="s">
        <v>3</v>
      </c>
      <c r="G702" s="782">
        <f>0.2*0.011*2*1.3</f>
        <v>5.7200000000000003E-3</v>
      </c>
      <c r="H702" s="842"/>
    </row>
    <row r="703" spans="3:9" x14ac:dyDescent="0.25">
      <c r="C703" s="619" t="s">
        <v>12</v>
      </c>
      <c r="F703" s="836" t="s">
        <v>3</v>
      </c>
      <c r="G703" s="782">
        <f>0.3*G702</f>
        <v>1.7160000000000001E-3</v>
      </c>
      <c r="H703" s="842"/>
    </row>
    <row r="704" spans="3:9" x14ac:dyDescent="0.25">
      <c r="C704" s="619"/>
      <c r="D704" s="610" t="s">
        <v>9653</v>
      </c>
      <c r="H704" s="842"/>
    </row>
    <row r="705" spans="3:9" x14ac:dyDescent="0.25">
      <c r="C705" s="619"/>
      <c r="D705" s="746" t="s">
        <v>6587</v>
      </c>
      <c r="F705" s="836" t="s">
        <v>3</v>
      </c>
      <c r="G705" s="782">
        <f>0.271*0.25</f>
        <v>6.7750000000000005E-2</v>
      </c>
      <c r="H705" s="842"/>
      <c r="I705" s="780" t="s">
        <v>9692</v>
      </c>
    </row>
    <row r="706" spans="3:9" x14ac:dyDescent="0.25">
      <c r="C706" s="619"/>
      <c r="H706" s="842"/>
    </row>
    <row r="707" spans="3:9" x14ac:dyDescent="0.25">
      <c r="C707" s="615" t="s">
        <v>9654</v>
      </c>
      <c r="H707" s="842"/>
    </row>
    <row r="708" spans="3:9" x14ac:dyDescent="0.25">
      <c r="C708" s="619" t="s">
        <v>114</v>
      </c>
      <c r="F708" s="836" t="s">
        <v>3</v>
      </c>
      <c r="G708" s="782">
        <f>G710*0.8</f>
        <v>4.5760000000000002E-3</v>
      </c>
      <c r="H708" s="842"/>
    </row>
    <row r="709" spans="3:9" x14ac:dyDescent="0.25">
      <c r="C709" s="619" t="s">
        <v>164</v>
      </c>
      <c r="F709" s="836" t="s">
        <v>3</v>
      </c>
      <c r="G709" s="782">
        <f>0.3*G708</f>
        <v>1.3728E-3</v>
      </c>
      <c r="H709" s="842"/>
    </row>
    <row r="710" spans="3:9" x14ac:dyDescent="0.25">
      <c r="C710" s="619" t="s">
        <v>442</v>
      </c>
      <c r="F710" s="836" t="s">
        <v>3</v>
      </c>
      <c r="G710" s="782">
        <f>0.2*0.011*2*1.3</f>
        <v>5.7200000000000003E-3</v>
      </c>
      <c r="H710" s="842"/>
    </row>
    <row r="711" spans="3:9" x14ac:dyDescent="0.25">
      <c r="C711" s="619" t="s">
        <v>12</v>
      </c>
      <c r="F711" s="836" t="s">
        <v>3</v>
      </c>
      <c r="G711" s="782">
        <f>0.3*G710</f>
        <v>1.7160000000000001E-3</v>
      </c>
      <c r="H711" s="842"/>
    </row>
    <row r="712" spans="3:9" x14ac:dyDescent="0.25">
      <c r="C712" s="619"/>
      <c r="D712" s="610" t="s">
        <v>9655</v>
      </c>
      <c r="H712" s="842"/>
    </row>
    <row r="713" spans="3:9" x14ac:dyDescent="0.25">
      <c r="C713" s="619"/>
      <c r="D713" s="746" t="s">
        <v>6587</v>
      </c>
      <c r="F713" s="836" t="s">
        <v>3</v>
      </c>
      <c r="G713" s="782">
        <f>0.227*0.25+0.003</f>
        <v>5.9750000000000004E-2</v>
      </c>
      <c r="H713" s="842"/>
      <c r="I713" s="780" t="s">
        <v>8553</v>
      </c>
    </row>
    <row r="714" spans="3:9" x14ac:dyDescent="0.25">
      <c r="C714" s="619"/>
      <c r="H714" s="842"/>
    </row>
    <row r="715" spans="3:9" x14ac:dyDescent="0.25">
      <c r="C715" s="615" t="s">
        <v>9656</v>
      </c>
      <c r="H715" s="842"/>
    </row>
    <row r="716" spans="3:9" x14ac:dyDescent="0.25">
      <c r="C716" s="619" t="s">
        <v>114</v>
      </c>
      <c r="F716" s="836" t="s">
        <v>3</v>
      </c>
      <c r="G716" s="782">
        <f>G718*0.8</f>
        <v>8.0079999999999995E-3</v>
      </c>
      <c r="H716" s="842"/>
    </row>
    <row r="717" spans="3:9" x14ac:dyDescent="0.25">
      <c r="C717" s="619" t="s">
        <v>164</v>
      </c>
      <c r="F717" s="836" t="s">
        <v>3</v>
      </c>
      <c r="G717" s="782">
        <f>0.3*G716</f>
        <v>2.4023999999999998E-3</v>
      </c>
      <c r="H717" s="842"/>
    </row>
    <row r="718" spans="3:9" x14ac:dyDescent="0.25">
      <c r="C718" s="619" t="s">
        <v>442</v>
      </c>
      <c r="F718" s="836" t="s">
        <v>3</v>
      </c>
      <c r="G718" s="782">
        <f>0.35*0.011*2*1.3</f>
        <v>1.001E-2</v>
      </c>
      <c r="H718" s="842"/>
    </row>
    <row r="719" spans="3:9" x14ac:dyDescent="0.25">
      <c r="C719" s="619" t="s">
        <v>12</v>
      </c>
      <c r="F719" s="836" t="s">
        <v>3</v>
      </c>
      <c r="G719" s="782">
        <f>0.3*G718</f>
        <v>3.003E-3</v>
      </c>
      <c r="H719" s="842"/>
    </row>
    <row r="720" spans="3:9" x14ac:dyDescent="0.25">
      <c r="C720" s="619"/>
      <c r="D720" s="610" t="s">
        <v>9657</v>
      </c>
      <c r="H720" s="842"/>
    </row>
    <row r="721" spans="3:9" x14ac:dyDescent="0.25">
      <c r="C721" s="619"/>
      <c r="D721" s="746" t="s">
        <v>9693</v>
      </c>
      <c r="F721" s="836" t="s">
        <v>3</v>
      </c>
      <c r="G721" s="782">
        <f>0.321*0.4+0.002</f>
        <v>0.13040000000000002</v>
      </c>
      <c r="H721" s="842"/>
      <c r="I721" s="780" t="s">
        <v>9694</v>
      </c>
    </row>
    <row r="722" spans="3:9" x14ac:dyDescent="0.25">
      <c r="C722" s="619"/>
      <c r="H722" s="842"/>
    </row>
    <row r="723" spans="3:9" x14ac:dyDescent="0.25">
      <c r="C723" s="615" t="s">
        <v>9658</v>
      </c>
      <c r="H723" s="842"/>
    </row>
    <row r="724" spans="3:9" x14ac:dyDescent="0.25">
      <c r="C724" s="619" t="s">
        <v>114</v>
      </c>
      <c r="F724" s="836" t="s">
        <v>3</v>
      </c>
      <c r="G724" s="782">
        <f>G726*0.8</f>
        <v>4.5760000000000002E-3</v>
      </c>
      <c r="H724" s="842"/>
    </row>
    <row r="725" spans="3:9" x14ac:dyDescent="0.25">
      <c r="C725" s="619" t="s">
        <v>164</v>
      </c>
      <c r="F725" s="836" t="s">
        <v>3</v>
      </c>
      <c r="G725" s="782">
        <f>0.3*G724</f>
        <v>1.3728E-3</v>
      </c>
      <c r="H725" s="842"/>
    </row>
    <row r="726" spans="3:9" x14ac:dyDescent="0.25">
      <c r="C726" s="619" t="s">
        <v>442</v>
      </c>
      <c r="F726" s="836" t="s">
        <v>3</v>
      </c>
      <c r="G726" s="782">
        <f>0.2*0.011*2*1.3</f>
        <v>5.7200000000000003E-3</v>
      </c>
      <c r="H726" s="842"/>
    </row>
    <row r="727" spans="3:9" x14ac:dyDescent="0.25">
      <c r="C727" s="619" t="s">
        <v>12</v>
      </c>
      <c r="F727" s="836" t="s">
        <v>3</v>
      </c>
      <c r="G727" s="782">
        <f>0.3*G726</f>
        <v>1.7160000000000001E-3</v>
      </c>
      <c r="H727" s="842"/>
    </row>
    <row r="728" spans="3:9" x14ac:dyDescent="0.25">
      <c r="C728" s="619"/>
      <c r="D728" s="610" t="s">
        <v>9659</v>
      </c>
      <c r="H728" s="842"/>
    </row>
    <row r="729" spans="3:9" x14ac:dyDescent="0.25">
      <c r="C729" s="619"/>
      <c r="D729" s="746" t="s">
        <v>9695</v>
      </c>
      <c r="F729" s="836" t="s">
        <v>3</v>
      </c>
      <c r="G729" s="782">
        <f>0.173*0.26</f>
        <v>4.4979999999999999E-2</v>
      </c>
      <c r="H729" s="842"/>
      <c r="I729" s="780" t="s">
        <v>9696</v>
      </c>
    </row>
    <row r="730" spans="3:9" x14ac:dyDescent="0.25">
      <c r="C730" s="619"/>
      <c r="H730" s="842"/>
    </row>
    <row r="731" spans="3:9" x14ac:dyDescent="0.25">
      <c r="C731" s="615" t="s">
        <v>9660</v>
      </c>
      <c r="H731" s="842"/>
    </row>
    <row r="732" spans="3:9" x14ac:dyDescent="0.25">
      <c r="C732" s="619" t="s">
        <v>114</v>
      </c>
      <c r="F732" s="836" t="s">
        <v>3</v>
      </c>
      <c r="G732" s="782">
        <f>G734*0.8</f>
        <v>4.5760000000000002E-3</v>
      </c>
      <c r="H732" s="842"/>
    </row>
    <row r="733" spans="3:9" x14ac:dyDescent="0.25">
      <c r="C733" s="619" t="s">
        <v>164</v>
      </c>
      <c r="F733" s="836" t="s">
        <v>3</v>
      </c>
      <c r="G733" s="782">
        <f>0.3*G732</f>
        <v>1.3728E-3</v>
      </c>
      <c r="H733" s="842"/>
    </row>
    <row r="734" spans="3:9" x14ac:dyDescent="0.25">
      <c r="C734" s="619" t="s">
        <v>442</v>
      </c>
      <c r="F734" s="836" t="s">
        <v>3</v>
      </c>
      <c r="G734" s="782">
        <f>0.2*0.011*2*1.3</f>
        <v>5.7200000000000003E-3</v>
      </c>
      <c r="H734" s="842"/>
    </row>
    <row r="735" spans="3:9" x14ac:dyDescent="0.25">
      <c r="C735" s="619" t="s">
        <v>12</v>
      </c>
      <c r="F735" s="836" t="s">
        <v>3</v>
      </c>
      <c r="G735" s="782">
        <f>0.3*G734</f>
        <v>1.7160000000000001E-3</v>
      </c>
      <c r="H735" s="842"/>
    </row>
    <row r="736" spans="3:9" x14ac:dyDescent="0.25">
      <c r="C736" s="619"/>
      <c r="D736" s="610" t="s">
        <v>9662</v>
      </c>
      <c r="H736" s="842"/>
    </row>
    <row r="737" spans="3:9" x14ac:dyDescent="0.25">
      <c r="C737" s="619"/>
      <c r="D737" s="746" t="s">
        <v>9695</v>
      </c>
      <c r="F737" s="836" t="s">
        <v>3</v>
      </c>
      <c r="G737" s="782">
        <f>0.173*0.26</f>
        <v>4.4979999999999999E-2</v>
      </c>
      <c r="H737" s="842"/>
      <c r="I737" s="780" t="s">
        <v>9696</v>
      </c>
    </row>
    <row r="738" spans="3:9" x14ac:dyDescent="0.25">
      <c r="C738" s="619"/>
      <c r="H738" s="842"/>
    </row>
    <row r="739" spans="3:9" x14ac:dyDescent="0.25">
      <c r="C739" s="615" t="s">
        <v>9661</v>
      </c>
      <c r="H739" s="842"/>
    </row>
    <row r="740" spans="3:9" x14ac:dyDescent="0.25">
      <c r="C740" s="619" t="s">
        <v>114</v>
      </c>
      <c r="F740" s="836" t="s">
        <v>3</v>
      </c>
      <c r="G740" s="782">
        <f>G742*0.8</f>
        <v>8.4656000000000002E-3</v>
      </c>
      <c r="H740" s="842"/>
    </row>
    <row r="741" spans="3:9" x14ac:dyDescent="0.25">
      <c r="C741" s="619" t="s">
        <v>164</v>
      </c>
      <c r="F741" s="836" t="s">
        <v>3</v>
      </c>
      <c r="G741" s="782">
        <f>0.3*G740</f>
        <v>2.5396799999999999E-3</v>
      </c>
      <c r="H741" s="842"/>
    </row>
    <row r="742" spans="3:9" x14ac:dyDescent="0.25">
      <c r="C742" s="619" t="s">
        <v>442</v>
      </c>
      <c r="F742" s="836" t="s">
        <v>3</v>
      </c>
      <c r="G742" s="782">
        <f>0.37*0.011*2*1.3</f>
        <v>1.0581999999999999E-2</v>
      </c>
      <c r="H742" s="842"/>
    </row>
    <row r="743" spans="3:9" x14ac:dyDescent="0.25">
      <c r="C743" s="619" t="s">
        <v>12</v>
      </c>
      <c r="F743" s="836" t="s">
        <v>3</v>
      </c>
      <c r="G743" s="782">
        <f>0.3*G742</f>
        <v>3.1745999999999996E-3</v>
      </c>
      <c r="H743" s="842"/>
    </row>
    <row r="744" spans="3:9" x14ac:dyDescent="0.25">
      <c r="C744" s="619"/>
      <c r="D744" s="610" t="s">
        <v>9663</v>
      </c>
      <c r="H744" s="842"/>
    </row>
    <row r="745" spans="3:9" x14ac:dyDescent="0.25">
      <c r="D745" s="746" t="s">
        <v>9693</v>
      </c>
      <c r="F745" s="836" t="s">
        <v>3</v>
      </c>
      <c r="G745" s="782">
        <f>0.321*0.4+0.002</f>
        <v>0.13040000000000002</v>
      </c>
      <c r="H745" s="842"/>
      <c r="I745" s="780" t="s">
        <v>5012</v>
      </c>
    </row>
    <row r="746" spans="3:9" x14ac:dyDescent="0.25">
      <c r="H746" s="842"/>
    </row>
    <row r="747" spans="3:9" x14ac:dyDescent="0.25">
      <c r="C747" s="610" t="s">
        <v>9664</v>
      </c>
      <c r="H747" s="842"/>
    </row>
    <row r="748" spans="3:9" x14ac:dyDescent="0.25">
      <c r="C748" s="619" t="s">
        <v>9621</v>
      </c>
      <c r="F748" s="836" t="s">
        <v>3</v>
      </c>
      <c r="G748" s="782">
        <f>0.08*0.015*3*8*1.15</f>
        <v>3.3119999999999997E-2</v>
      </c>
      <c r="H748" s="842"/>
    </row>
    <row r="749" spans="3:9" x14ac:dyDescent="0.25">
      <c r="H749" s="842"/>
    </row>
    <row r="750" spans="3:9" x14ac:dyDescent="0.25">
      <c r="C750" s="610" t="s">
        <v>9664</v>
      </c>
      <c r="H750" s="842"/>
    </row>
    <row r="751" spans="3:9" x14ac:dyDescent="0.25">
      <c r="C751" s="619" t="s">
        <v>9621</v>
      </c>
      <c r="F751" s="836" t="s">
        <v>3</v>
      </c>
      <c r="G751" s="782">
        <f>0.08*0.015*3*8*1.15</f>
        <v>3.3119999999999997E-2</v>
      </c>
      <c r="H751" s="842"/>
      <c r="I751" s="780" t="s">
        <v>9703</v>
      </c>
    </row>
    <row r="752" spans="3:9" x14ac:dyDescent="0.25">
      <c r="H752" s="842"/>
    </row>
    <row r="753" spans="3:9" x14ac:dyDescent="0.25">
      <c r="C753" s="610" t="s">
        <v>9665</v>
      </c>
      <c r="H753" s="842"/>
    </row>
    <row r="754" spans="3:9" x14ac:dyDescent="0.25">
      <c r="C754" s="746" t="s">
        <v>9697</v>
      </c>
      <c r="F754" s="836" t="s">
        <v>3</v>
      </c>
      <c r="G754" s="782">
        <v>8.9999999999999993E-3</v>
      </c>
      <c r="H754" s="842"/>
    </row>
    <row r="755" spans="3:9" x14ac:dyDescent="0.25">
      <c r="H755" s="842"/>
    </row>
    <row r="756" spans="3:9" x14ac:dyDescent="0.25">
      <c r="C756" s="610" t="s">
        <v>9666</v>
      </c>
      <c r="H756" s="842"/>
    </row>
    <row r="757" spans="3:9" x14ac:dyDescent="0.25">
      <c r="C757" s="746" t="s">
        <v>9698</v>
      </c>
      <c r="F757" s="836" t="s">
        <v>3</v>
      </c>
      <c r="G757" s="782">
        <v>6.0000000000000001E-3</v>
      </c>
      <c r="H757" s="842"/>
    </row>
    <row r="758" spans="3:9" x14ac:dyDescent="0.25">
      <c r="D758" s="610" t="s">
        <v>9667</v>
      </c>
      <c r="H758" s="842"/>
    </row>
    <row r="759" spans="3:9" x14ac:dyDescent="0.25">
      <c r="D759" s="843" t="s">
        <v>3394</v>
      </c>
      <c r="E759" s="844"/>
      <c r="F759" s="845" t="s">
        <v>3</v>
      </c>
      <c r="G759" s="779">
        <f>(0.014*3.14*4)*0.08*1.1</f>
        <v>1.5473920000000004E-2</v>
      </c>
      <c r="H759" s="842"/>
    </row>
    <row r="760" spans="3:9" ht="17.25" x14ac:dyDescent="0.25">
      <c r="D760" s="843" t="s">
        <v>121</v>
      </c>
      <c r="E760" s="844"/>
      <c r="F760" s="845" t="s">
        <v>596</v>
      </c>
      <c r="G760" s="779">
        <f>G759*1.1</f>
        <v>1.7021312000000007E-2</v>
      </c>
      <c r="H760" s="842"/>
    </row>
    <row r="761" spans="3:9" x14ac:dyDescent="0.25">
      <c r="E761" s="610" t="s">
        <v>9741</v>
      </c>
      <c r="H761" s="842"/>
    </row>
    <row r="762" spans="3:9" x14ac:dyDescent="0.25">
      <c r="E762" s="746" t="s">
        <v>6587</v>
      </c>
      <c r="F762" s="836" t="s">
        <v>3</v>
      </c>
      <c r="G762" s="782">
        <f>0.271*0.05</f>
        <v>1.3550000000000001E-2</v>
      </c>
      <c r="H762" s="842"/>
      <c r="I762" s="780" t="s">
        <v>1351</v>
      </c>
    </row>
    <row r="763" spans="3:9" x14ac:dyDescent="0.25">
      <c r="E763" s="610" t="s">
        <v>9742</v>
      </c>
      <c r="F763" s="782"/>
      <c r="G763" s="746"/>
      <c r="H763" s="842"/>
    </row>
    <row r="764" spans="3:9" x14ac:dyDescent="0.25">
      <c r="E764" s="746" t="s">
        <v>6587</v>
      </c>
      <c r="F764" s="836" t="s">
        <v>3</v>
      </c>
      <c r="G764" s="782">
        <f>0.271*0.065</f>
        <v>1.7615000000000002E-2</v>
      </c>
      <c r="H764" s="842"/>
      <c r="I764" s="780" t="s">
        <v>9700</v>
      </c>
    </row>
    <row r="765" spans="3:9" x14ac:dyDescent="0.25">
      <c r="E765" s="610" t="s">
        <v>9743</v>
      </c>
      <c r="F765" s="782"/>
      <c r="G765" s="746"/>
      <c r="H765" s="842"/>
    </row>
    <row r="766" spans="3:9" x14ac:dyDescent="0.25">
      <c r="E766" s="746" t="s">
        <v>9693</v>
      </c>
      <c r="F766" s="836" t="s">
        <v>3</v>
      </c>
      <c r="G766" s="782">
        <f>0.321*0.05</f>
        <v>1.6050000000000002E-2</v>
      </c>
      <c r="H766" s="842"/>
      <c r="I766" s="780" t="s">
        <v>1351</v>
      </c>
    </row>
    <row r="767" spans="3:9" x14ac:dyDescent="0.25">
      <c r="H767" s="842"/>
    </row>
    <row r="768" spans="3:9" x14ac:dyDescent="0.25">
      <c r="C768" s="610" t="s">
        <v>9670</v>
      </c>
      <c r="H768" s="842"/>
    </row>
    <row r="769" spans="3:13" x14ac:dyDescent="0.25">
      <c r="C769" s="843" t="s">
        <v>3394</v>
      </c>
      <c r="D769" s="844"/>
      <c r="F769" s="845" t="s">
        <v>3</v>
      </c>
      <c r="G769" s="779">
        <f>(0.014*3.14*5)*0.08*1.1</f>
        <v>1.9342400000000003E-2</v>
      </c>
      <c r="H769" s="842"/>
    </row>
    <row r="770" spans="3:13" ht="17.25" x14ac:dyDescent="0.25">
      <c r="C770" s="843" t="s">
        <v>121</v>
      </c>
      <c r="D770" s="844"/>
      <c r="F770" s="845" t="s">
        <v>596</v>
      </c>
      <c r="G770" s="779">
        <f>G769*1.1</f>
        <v>2.1276640000000003E-2</v>
      </c>
      <c r="H770" s="842"/>
    </row>
    <row r="771" spans="3:13" x14ac:dyDescent="0.25">
      <c r="D771" s="610" t="s">
        <v>9671</v>
      </c>
      <c r="H771" s="842"/>
      <c r="M771" s="746" t="s">
        <v>10885</v>
      </c>
    </row>
    <row r="772" spans="3:13" x14ac:dyDescent="0.25">
      <c r="D772" s="746" t="s">
        <v>6587</v>
      </c>
      <c r="F772" s="836" t="s">
        <v>3</v>
      </c>
      <c r="G772" s="782">
        <f>0.271*0.07</f>
        <v>1.8970000000000004E-2</v>
      </c>
      <c r="H772" s="842"/>
      <c r="I772" s="780" t="s">
        <v>9701</v>
      </c>
      <c r="M772" s="746" t="s">
        <v>10951</v>
      </c>
    </row>
    <row r="773" spans="3:13" x14ac:dyDescent="0.25">
      <c r="D773" s="610" t="s">
        <v>9672</v>
      </c>
      <c r="H773" s="842"/>
      <c r="M773" s="746" t="s">
        <v>11428</v>
      </c>
    </row>
    <row r="774" spans="3:13" x14ac:dyDescent="0.25">
      <c r="D774" s="746" t="s">
        <v>6587</v>
      </c>
      <c r="F774" s="836" t="s">
        <v>3</v>
      </c>
      <c r="G774" s="782">
        <f>0.271*0.05</f>
        <v>1.3550000000000001E-2</v>
      </c>
      <c r="H774" s="842"/>
      <c r="I774" s="780" t="s">
        <v>9702</v>
      </c>
      <c r="M774" s="746" t="s">
        <v>11429</v>
      </c>
    </row>
    <row r="775" spans="3:13" x14ac:dyDescent="0.25">
      <c r="D775" s="610" t="s">
        <v>9673</v>
      </c>
      <c r="H775" s="842"/>
      <c r="M775" s="746" t="s">
        <v>11430</v>
      </c>
    </row>
    <row r="776" spans="3:13" x14ac:dyDescent="0.25">
      <c r="D776" s="746" t="s">
        <v>9693</v>
      </c>
      <c r="F776" s="836" t="s">
        <v>3</v>
      </c>
      <c r="G776" s="782">
        <f>0.321*0.05</f>
        <v>1.6050000000000002E-2</v>
      </c>
      <c r="H776" s="842"/>
      <c r="I776" s="780" t="s">
        <v>1351</v>
      </c>
    </row>
    <row r="777" spans="3:13" x14ac:dyDescent="0.25">
      <c r="H777" s="842"/>
    </row>
    <row r="778" spans="3:13" x14ac:dyDescent="0.25">
      <c r="C778" s="751" t="s">
        <v>9674</v>
      </c>
      <c r="D778" s="780"/>
      <c r="E778" s="780"/>
      <c r="F778" s="853"/>
      <c r="G778" s="854"/>
      <c r="H778" s="851"/>
    </row>
    <row r="779" spans="3:13" x14ac:dyDescent="0.25">
      <c r="C779" s="843" t="s">
        <v>3394</v>
      </c>
      <c r="D779" s="843"/>
      <c r="E779" s="780"/>
      <c r="F779" s="855" t="s">
        <v>3</v>
      </c>
      <c r="G779" s="852">
        <f>(0.014*3.14*4)*0.08*1.1</f>
        <v>1.5473920000000004E-2</v>
      </c>
      <c r="H779" s="851"/>
    </row>
    <row r="780" spans="3:13" ht="17.25" x14ac:dyDescent="0.25">
      <c r="C780" s="843" t="s">
        <v>121</v>
      </c>
      <c r="D780" s="843"/>
      <c r="E780" s="780"/>
      <c r="F780" s="855" t="s">
        <v>596</v>
      </c>
      <c r="G780" s="852">
        <f>G779*1.1</f>
        <v>1.7021312000000007E-2</v>
      </c>
      <c r="H780" s="851"/>
    </row>
    <row r="781" spans="3:13" x14ac:dyDescent="0.25">
      <c r="D781" s="610" t="s">
        <v>9668</v>
      </c>
      <c r="H781" s="842"/>
    </row>
    <row r="782" spans="3:13" x14ac:dyDescent="0.25">
      <c r="D782" s="746" t="s">
        <v>9693</v>
      </c>
      <c r="F782" s="836" t="s">
        <v>3</v>
      </c>
      <c r="G782" s="782">
        <f>0.321*0.035</f>
        <v>1.1235000000000002E-2</v>
      </c>
      <c r="H782" s="842"/>
      <c r="I782" s="780" t="s">
        <v>1323</v>
      </c>
    </row>
    <row r="783" spans="3:13" x14ac:dyDescent="0.25">
      <c r="D783" s="610" t="s">
        <v>9669</v>
      </c>
      <c r="H783" s="842"/>
    </row>
    <row r="784" spans="3:13" x14ac:dyDescent="0.25">
      <c r="D784" s="746" t="s">
        <v>9693</v>
      </c>
      <c r="F784" s="836" t="s">
        <v>3</v>
      </c>
      <c r="G784" s="782">
        <f>0.321*0.09</f>
        <v>2.8889999999999999E-2</v>
      </c>
      <c r="H784" s="842"/>
      <c r="I784" s="780" t="s">
        <v>9744</v>
      </c>
    </row>
    <row r="785" spans="1:8" x14ac:dyDescent="0.25">
      <c r="A785" s="738"/>
      <c r="B785" s="738"/>
      <c r="C785" s="738"/>
      <c r="D785" s="738"/>
      <c r="E785" s="738"/>
      <c r="F785" s="846"/>
      <c r="G785" s="778"/>
      <c r="H785" s="847"/>
    </row>
    <row r="786" spans="1:8" x14ac:dyDescent="0.25">
      <c r="H786" s="848" t="s">
        <v>9871</v>
      </c>
    </row>
    <row r="787" spans="1:8" x14ac:dyDescent="0.25">
      <c r="G787" s="739" t="s">
        <v>9555</v>
      </c>
      <c r="H787" s="842"/>
    </row>
    <row r="788" spans="1:8" ht="18.75" x14ac:dyDescent="0.3">
      <c r="E788" s="740" t="s">
        <v>9759</v>
      </c>
      <c r="H788" s="842"/>
    </row>
    <row r="789" spans="1:8" x14ac:dyDescent="0.25">
      <c r="H789" s="842"/>
    </row>
    <row r="790" spans="1:8" x14ac:dyDescent="0.25">
      <c r="H790" s="842"/>
    </row>
    <row r="791" spans="1:8" x14ac:dyDescent="0.25">
      <c r="C791" s="610" t="s">
        <v>10520</v>
      </c>
      <c r="H791" s="842"/>
    </row>
    <row r="792" spans="1:8" x14ac:dyDescent="0.25">
      <c r="C792" s="843" t="s">
        <v>39</v>
      </c>
      <c r="D792" s="844"/>
      <c r="F792" s="845" t="s">
        <v>3</v>
      </c>
      <c r="G792" s="852">
        <f>(0.5*5+1+0.73*2+0.028*3.14+0.18*2+0.16*6+0.1*4+0.028*3.14*4+0.018*3.14*4+0.34*8+0.2*2+0.017*3.14*4)*0.08*1.112</f>
        <v>0.95002163200000023</v>
      </c>
      <c r="H792" s="842"/>
    </row>
    <row r="793" spans="1:8" ht="17.25" x14ac:dyDescent="0.25">
      <c r="C793" s="843" t="s">
        <v>1055</v>
      </c>
      <c r="D793" s="844"/>
      <c r="F793" s="845" t="s">
        <v>596</v>
      </c>
      <c r="G793" s="779">
        <f>1.5*G792</f>
        <v>1.4250324480000003</v>
      </c>
      <c r="H793" s="842"/>
    </row>
    <row r="794" spans="1:8" x14ac:dyDescent="0.25">
      <c r="C794" s="746" t="s">
        <v>1021</v>
      </c>
      <c r="F794" s="836" t="s">
        <v>3</v>
      </c>
      <c r="G794" s="782">
        <f>(1.1*0.77*2+(1.1*2+0.77*2)*0.5)*0.12*2*1.17-0.001</f>
        <v>0.99977119999999997</v>
      </c>
      <c r="H794" s="842"/>
    </row>
    <row r="795" spans="1:8" x14ac:dyDescent="0.25">
      <c r="C795" s="746" t="s">
        <v>661</v>
      </c>
      <c r="F795" s="836" t="s">
        <v>3</v>
      </c>
      <c r="G795" s="782">
        <f>G794*0.45*0.6</f>
        <v>0.26993822399999995</v>
      </c>
      <c r="H795" s="842"/>
    </row>
    <row r="796" spans="1:8" x14ac:dyDescent="0.25">
      <c r="C796" s="746" t="s">
        <v>1993</v>
      </c>
      <c r="F796" s="836" t="s">
        <v>3</v>
      </c>
      <c r="G796" s="782">
        <f>0.65*G795</f>
        <v>0.17545984559999997</v>
      </c>
      <c r="H796" s="856"/>
    </row>
    <row r="797" spans="1:8" x14ac:dyDescent="0.25">
      <c r="C797" s="746" t="s">
        <v>6576</v>
      </c>
      <c r="F797" s="836" t="s">
        <v>3</v>
      </c>
      <c r="G797" s="782">
        <v>1</v>
      </c>
      <c r="H797" s="842"/>
    </row>
    <row r="798" spans="1:8" x14ac:dyDescent="0.25">
      <c r="D798" s="610" t="s">
        <v>9747</v>
      </c>
      <c r="F798" s="857" t="s">
        <v>2180</v>
      </c>
      <c r="H798" s="842"/>
    </row>
    <row r="799" spans="1:8" x14ac:dyDescent="0.25">
      <c r="D799" s="610" t="s">
        <v>9748</v>
      </c>
      <c r="H799" s="842"/>
    </row>
    <row r="800" spans="1:8" x14ac:dyDescent="0.25">
      <c r="D800" s="619" t="s">
        <v>9749</v>
      </c>
      <c r="F800" s="836" t="s">
        <v>3</v>
      </c>
      <c r="G800" s="782">
        <f>0.73*0.53*2*8*1.131-0.001</f>
        <v>7.0003424000000001</v>
      </c>
      <c r="H800" s="842"/>
    </row>
    <row r="801" spans="4:8" x14ac:dyDescent="0.25">
      <c r="D801" s="610" t="s">
        <v>9750</v>
      </c>
      <c r="H801" s="842"/>
    </row>
    <row r="802" spans="4:8" x14ac:dyDescent="0.25">
      <c r="D802" s="619" t="s">
        <v>9621</v>
      </c>
      <c r="F802" s="836" t="s">
        <v>3</v>
      </c>
      <c r="G802" s="782">
        <f>0.055*0.04*3*8*1.14</f>
        <v>6.0191999999999996E-2</v>
      </c>
      <c r="H802" s="842"/>
    </row>
    <row r="803" spans="4:8" x14ac:dyDescent="0.25">
      <c r="D803" s="610" t="s">
        <v>9751</v>
      </c>
      <c r="H803" s="842"/>
    </row>
    <row r="804" spans="4:8" x14ac:dyDescent="0.25">
      <c r="D804" s="619" t="s">
        <v>9621</v>
      </c>
      <c r="F804" s="836" t="s">
        <v>3</v>
      </c>
      <c r="G804" s="782">
        <f>0.04*0.04*3*8*1.12</f>
        <v>4.3008000000000011E-2</v>
      </c>
      <c r="H804" s="842"/>
    </row>
    <row r="805" spans="4:8" x14ac:dyDescent="0.25">
      <c r="D805" s="610" t="s">
        <v>9752</v>
      </c>
      <c r="H805" s="842"/>
    </row>
    <row r="806" spans="4:8" x14ac:dyDescent="0.25">
      <c r="D806" s="619" t="s">
        <v>9621</v>
      </c>
      <c r="F806" s="836" t="s">
        <v>3</v>
      </c>
      <c r="G806" s="782">
        <f>0.025*0.025*3*8*1.12</f>
        <v>1.6800000000000006E-2</v>
      </c>
      <c r="H806" s="842"/>
    </row>
    <row r="807" spans="4:8" x14ac:dyDescent="0.25">
      <c r="D807" s="610" t="s">
        <v>9753</v>
      </c>
      <c r="G807" s="749" t="s">
        <v>624</v>
      </c>
      <c r="H807" s="842"/>
    </row>
    <row r="808" spans="4:8" x14ac:dyDescent="0.25">
      <c r="D808" s="619" t="s">
        <v>9758</v>
      </c>
      <c r="F808" s="836" t="s">
        <v>3</v>
      </c>
      <c r="G808" s="734">
        <f>0.15*0.02*8*8*1.15</f>
        <v>0.2208</v>
      </c>
      <c r="H808" s="842"/>
    </row>
    <row r="809" spans="4:8" x14ac:dyDescent="0.25">
      <c r="D809" s="610" t="s">
        <v>9754</v>
      </c>
      <c r="G809" s="749" t="s">
        <v>624</v>
      </c>
      <c r="H809" s="842"/>
    </row>
    <row r="810" spans="4:8" x14ac:dyDescent="0.25">
      <c r="D810" s="619" t="s">
        <v>9758</v>
      </c>
      <c r="F810" s="836" t="s">
        <v>3</v>
      </c>
      <c r="G810" s="734">
        <f>0.07*0.02*8*8*1.15+0.002</f>
        <v>0.10504000000000001</v>
      </c>
      <c r="H810" s="842"/>
    </row>
    <row r="811" spans="4:8" x14ac:dyDescent="0.25">
      <c r="D811" s="610" t="s">
        <v>9755</v>
      </c>
      <c r="H811" s="842"/>
    </row>
    <row r="812" spans="4:8" x14ac:dyDescent="0.25">
      <c r="D812" s="619" t="s">
        <v>9621</v>
      </c>
      <c r="F812" s="836" t="s">
        <v>3</v>
      </c>
      <c r="G812" s="782">
        <f>0.03*0.03*3*8*1.1</f>
        <v>2.3760000000000003E-2</v>
      </c>
      <c r="H812" s="842"/>
    </row>
    <row r="813" spans="4:8" x14ac:dyDescent="0.25">
      <c r="D813" s="610" t="s">
        <v>9756</v>
      </c>
      <c r="H813" s="842"/>
    </row>
    <row r="814" spans="4:8" x14ac:dyDescent="0.25">
      <c r="D814" s="619" t="s">
        <v>9749</v>
      </c>
      <c r="F814" s="836" t="s">
        <v>3</v>
      </c>
      <c r="G814" s="782">
        <f>0.53*0.29*2*8*1.1385</f>
        <v>2.7997992000000003</v>
      </c>
      <c r="H814" s="842"/>
    </row>
    <row r="815" spans="4:8" x14ac:dyDescent="0.25">
      <c r="D815" s="610" t="s">
        <v>9757</v>
      </c>
      <c r="H815" s="842"/>
    </row>
    <row r="816" spans="4:8" x14ac:dyDescent="0.25">
      <c r="D816" s="619" t="s">
        <v>9749</v>
      </c>
      <c r="F816" s="836" t="s">
        <v>3</v>
      </c>
      <c r="G816" s="782">
        <f>0.53*0.24*2*8*1.13</f>
        <v>2.299776</v>
      </c>
      <c r="H816" s="842"/>
    </row>
    <row r="817" spans="1:9" x14ac:dyDescent="0.25">
      <c r="A817" s="738"/>
      <c r="B817" s="738"/>
      <c r="C817" s="738"/>
      <c r="D817" s="738"/>
      <c r="E817" s="738"/>
      <c r="F817" s="846"/>
      <c r="G817" s="778"/>
      <c r="H817" s="847"/>
    </row>
    <row r="818" spans="1:9" x14ac:dyDescent="0.25">
      <c r="H818" s="848" t="s">
        <v>9870</v>
      </c>
    </row>
    <row r="819" spans="1:9" x14ac:dyDescent="0.25">
      <c r="G819" s="739" t="s">
        <v>9555</v>
      </c>
      <c r="H819" s="842"/>
    </row>
    <row r="820" spans="1:9" ht="18.75" x14ac:dyDescent="0.3">
      <c r="E820" s="740" t="s">
        <v>9763</v>
      </c>
      <c r="H820" s="842"/>
    </row>
    <row r="821" spans="1:9" x14ac:dyDescent="0.25">
      <c r="H821" s="842"/>
    </row>
    <row r="822" spans="1:9" x14ac:dyDescent="0.25">
      <c r="C822" s="610" t="s">
        <v>9761</v>
      </c>
      <c r="H822" s="842"/>
    </row>
    <row r="823" spans="1:9" x14ac:dyDescent="0.25">
      <c r="C823" s="746" t="s">
        <v>9760</v>
      </c>
      <c r="F823" s="836" t="s">
        <v>3</v>
      </c>
      <c r="G823" s="782">
        <f>0.173*0.08</f>
        <v>1.384E-2</v>
      </c>
      <c r="H823" s="842"/>
      <c r="I823" s="780" t="s">
        <v>9762</v>
      </c>
    </row>
    <row r="824" spans="1:9" x14ac:dyDescent="0.25">
      <c r="C824" s="610"/>
      <c r="H824" s="842"/>
    </row>
    <row r="825" spans="1:9" x14ac:dyDescent="0.25">
      <c r="C825" s="610"/>
      <c r="H825" s="842"/>
    </row>
    <row r="826" spans="1:9" ht="18.75" x14ac:dyDescent="0.3">
      <c r="C826" s="610"/>
      <c r="E826" s="740" t="s">
        <v>9764</v>
      </c>
      <c r="H826" s="842"/>
    </row>
    <row r="827" spans="1:9" x14ac:dyDescent="0.25">
      <c r="C827" s="610"/>
      <c r="H827" s="842"/>
    </row>
    <row r="828" spans="1:9" x14ac:dyDescent="0.25">
      <c r="C828" s="610"/>
      <c r="H828" s="842"/>
    </row>
    <row r="829" spans="1:9" x14ac:dyDescent="0.25">
      <c r="C829" s="610" t="s">
        <v>9765</v>
      </c>
      <c r="H829" s="842"/>
    </row>
    <row r="830" spans="1:9" x14ac:dyDescent="0.25">
      <c r="C830" s="746" t="s">
        <v>9772</v>
      </c>
      <c r="F830" s="836" t="s">
        <v>3</v>
      </c>
      <c r="G830" s="782">
        <f>0.04*0.04*2*8</f>
        <v>2.5600000000000001E-2</v>
      </c>
      <c r="H830" s="842"/>
    </row>
    <row r="831" spans="1:9" x14ac:dyDescent="0.25">
      <c r="C831" s="610"/>
      <c r="H831" s="842"/>
    </row>
    <row r="832" spans="1:9" x14ac:dyDescent="0.25">
      <c r="C832" s="610" t="s">
        <v>9776</v>
      </c>
      <c r="H832" s="842"/>
    </row>
    <row r="833" spans="3:9" x14ac:dyDescent="0.25">
      <c r="C833" s="844" t="s">
        <v>140</v>
      </c>
      <c r="D833" s="844"/>
      <c r="F833" s="845" t="s">
        <v>3</v>
      </c>
      <c r="G833" s="779">
        <f>0.017*3.14*3*0.08*1.15</f>
        <v>1.4732879999999999E-2</v>
      </c>
      <c r="H833" s="842"/>
    </row>
    <row r="834" spans="3:9" ht="17.25" x14ac:dyDescent="0.25">
      <c r="C834" s="844" t="s">
        <v>23</v>
      </c>
      <c r="D834" s="844"/>
      <c r="F834" s="845" t="s">
        <v>596</v>
      </c>
      <c r="G834" s="779">
        <f>G833*2+0.001</f>
        <v>3.0465759999999998E-2</v>
      </c>
      <c r="H834" s="842"/>
    </row>
    <row r="835" spans="3:9" x14ac:dyDescent="0.25">
      <c r="C835" s="844" t="s">
        <v>142</v>
      </c>
      <c r="D835" s="844"/>
      <c r="F835" s="845" t="s">
        <v>3</v>
      </c>
      <c r="G835" s="779">
        <f>G833/4</f>
        <v>3.6832199999999996E-3</v>
      </c>
      <c r="H835" s="842"/>
    </row>
    <row r="836" spans="3:9" x14ac:dyDescent="0.25">
      <c r="C836" s="843" t="s">
        <v>148</v>
      </c>
      <c r="D836" s="844"/>
      <c r="F836" s="845" t="s">
        <v>3</v>
      </c>
      <c r="G836" s="779">
        <f>0.8*0.011*2*1.15</f>
        <v>2.0240000000000001E-2</v>
      </c>
      <c r="H836" s="842"/>
    </row>
    <row r="837" spans="3:9" x14ac:dyDescent="0.25">
      <c r="C837" s="746" t="s">
        <v>8</v>
      </c>
      <c r="F837" s="836" t="s">
        <v>3</v>
      </c>
      <c r="G837" s="779">
        <f>G836*0.7</f>
        <v>1.4168E-2</v>
      </c>
      <c r="H837" s="842"/>
    </row>
    <row r="838" spans="3:9" x14ac:dyDescent="0.25">
      <c r="C838" s="746" t="s">
        <v>12</v>
      </c>
      <c r="F838" s="836" t="s">
        <v>3</v>
      </c>
      <c r="G838" s="782">
        <f>0.3*(G837+G836)</f>
        <v>1.0322400000000001E-2</v>
      </c>
      <c r="H838" s="842"/>
    </row>
    <row r="839" spans="3:9" x14ac:dyDescent="0.25">
      <c r="C839" s="610"/>
      <c r="D839" s="610" t="s">
        <v>9777</v>
      </c>
      <c r="H839" s="842"/>
    </row>
    <row r="840" spans="3:9" x14ac:dyDescent="0.25">
      <c r="C840" s="610"/>
      <c r="D840" s="746" t="s">
        <v>9833</v>
      </c>
      <c r="F840" s="836" t="s">
        <v>3</v>
      </c>
      <c r="G840" s="782">
        <f>0.74*0.8</f>
        <v>0.59199999999999997</v>
      </c>
      <c r="H840" s="842"/>
      <c r="I840" s="780" t="s">
        <v>4451</v>
      </c>
    </row>
    <row r="841" spans="3:9" x14ac:dyDescent="0.25">
      <c r="C841" s="610"/>
      <c r="H841" s="842"/>
    </row>
    <row r="842" spans="3:9" x14ac:dyDescent="0.25">
      <c r="C842" s="610" t="s">
        <v>9771</v>
      </c>
      <c r="H842" s="842"/>
    </row>
    <row r="843" spans="3:9" x14ac:dyDescent="0.25">
      <c r="C843" s="844" t="s">
        <v>140</v>
      </c>
      <c r="D843" s="844"/>
      <c r="F843" s="845" t="s">
        <v>3</v>
      </c>
      <c r="G843" s="779">
        <f>0.017*3.14*2*0.08*1.15</f>
        <v>9.8219200000000013E-3</v>
      </c>
      <c r="H843" s="842"/>
    </row>
    <row r="844" spans="3:9" ht="17.25" x14ac:dyDescent="0.25">
      <c r="C844" s="844" t="s">
        <v>23</v>
      </c>
      <c r="D844" s="844"/>
      <c r="F844" s="845" t="s">
        <v>596</v>
      </c>
      <c r="G844" s="779">
        <f>G843*2</f>
        <v>1.9643840000000003E-2</v>
      </c>
      <c r="H844" s="842"/>
    </row>
    <row r="845" spans="3:9" x14ac:dyDescent="0.25">
      <c r="C845" s="844" t="s">
        <v>142</v>
      </c>
      <c r="D845" s="844"/>
      <c r="F845" s="845" t="s">
        <v>3</v>
      </c>
      <c r="G845" s="779">
        <f>G843/4</f>
        <v>2.4554800000000003E-3</v>
      </c>
      <c r="H845" s="842"/>
    </row>
    <row r="846" spans="3:9" x14ac:dyDescent="0.25">
      <c r="C846" s="843" t="s">
        <v>148</v>
      </c>
      <c r="D846" s="844"/>
      <c r="F846" s="845" t="s">
        <v>3</v>
      </c>
      <c r="G846" s="779">
        <f>2.5*0.011*2*1.28</f>
        <v>7.039999999999999E-2</v>
      </c>
      <c r="H846" s="842"/>
    </row>
    <row r="847" spans="3:9" x14ac:dyDescent="0.25">
      <c r="C847" s="746" t="s">
        <v>8</v>
      </c>
      <c r="F847" s="836" t="s">
        <v>3</v>
      </c>
      <c r="G847" s="779">
        <f>G846*0.7</f>
        <v>4.927999999999999E-2</v>
      </c>
      <c r="H847" s="842"/>
    </row>
    <row r="848" spans="3:9" x14ac:dyDescent="0.25">
      <c r="C848" s="746" t="s">
        <v>12</v>
      </c>
      <c r="F848" s="836" t="s">
        <v>3</v>
      </c>
      <c r="G848" s="782">
        <f>0.3*(G847+G846)</f>
        <v>3.5903999999999991E-2</v>
      </c>
      <c r="H848" s="842"/>
    </row>
    <row r="849" spans="3:9" x14ac:dyDescent="0.25">
      <c r="C849" s="610"/>
      <c r="D849" s="610" t="s">
        <v>9775</v>
      </c>
      <c r="H849" s="842"/>
    </row>
    <row r="850" spans="3:9" x14ac:dyDescent="0.25">
      <c r="C850" s="610"/>
      <c r="D850" s="746" t="s">
        <v>9833</v>
      </c>
      <c r="F850" s="836" t="s">
        <v>3</v>
      </c>
      <c r="G850" s="782">
        <f>0.74*2.703</f>
        <v>2.0002199999999997</v>
      </c>
      <c r="H850" s="842"/>
      <c r="I850" s="780" t="s">
        <v>9834</v>
      </c>
    </row>
    <row r="851" spans="3:9" x14ac:dyDescent="0.25">
      <c r="C851" s="610"/>
      <c r="H851" s="842"/>
    </row>
    <row r="852" spans="3:9" x14ac:dyDescent="0.25">
      <c r="C852" s="610" t="s">
        <v>9773</v>
      </c>
      <c r="H852" s="842"/>
    </row>
    <row r="853" spans="3:9" x14ac:dyDescent="0.25">
      <c r="C853" s="844" t="s">
        <v>140</v>
      </c>
      <c r="D853" s="844"/>
      <c r="F853" s="845" t="s">
        <v>3</v>
      </c>
      <c r="G853" s="779">
        <f>0.017*3.14*2*0.08*1.15</f>
        <v>9.8219200000000013E-3</v>
      </c>
      <c r="H853" s="842"/>
    </row>
    <row r="854" spans="3:9" ht="17.25" x14ac:dyDescent="0.25">
      <c r="C854" s="844" t="s">
        <v>23</v>
      </c>
      <c r="D854" s="844"/>
      <c r="F854" s="845" t="s">
        <v>596</v>
      </c>
      <c r="G854" s="779">
        <f>G853*2</f>
        <v>1.9643840000000003E-2</v>
      </c>
      <c r="H854" s="842"/>
    </row>
    <row r="855" spans="3:9" x14ac:dyDescent="0.25">
      <c r="C855" s="844" t="s">
        <v>142</v>
      </c>
      <c r="D855" s="844"/>
      <c r="F855" s="845" t="s">
        <v>3</v>
      </c>
      <c r="G855" s="779">
        <f>G853/4</f>
        <v>2.4554800000000003E-3</v>
      </c>
      <c r="H855" s="842"/>
    </row>
    <row r="856" spans="3:9" x14ac:dyDescent="0.25">
      <c r="C856" s="843" t="s">
        <v>148</v>
      </c>
      <c r="D856" s="844"/>
      <c r="F856" s="845" t="s">
        <v>3</v>
      </c>
      <c r="G856" s="779">
        <f>2.2*0.011*2*1.25-0.001</f>
        <v>5.9499999999999997E-2</v>
      </c>
      <c r="H856" s="842"/>
    </row>
    <row r="857" spans="3:9" x14ac:dyDescent="0.25">
      <c r="C857" s="746" t="s">
        <v>8</v>
      </c>
      <c r="F857" s="836" t="s">
        <v>3</v>
      </c>
      <c r="G857" s="782">
        <f>0.7*G856</f>
        <v>4.1649999999999993E-2</v>
      </c>
      <c r="H857" s="842"/>
    </row>
    <row r="858" spans="3:9" x14ac:dyDescent="0.25">
      <c r="C858" s="746" t="s">
        <v>12</v>
      </c>
      <c r="F858" s="836" t="s">
        <v>3</v>
      </c>
      <c r="G858" s="782">
        <f>0.3*(G857+G856)</f>
        <v>3.0344999999999997E-2</v>
      </c>
      <c r="H858" s="842"/>
    </row>
    <row r="859" spans="3:9" x14ac:dyDescent="0.25">
      <c r="C859" s="610"/>
      <c r="D859" s="610" t="s">
        <v>9774</v>
      </c>
      <c r="H859" s="842"/>
    </row>
    <row r="860" spans="3:9" x14ac:dyDescent="0.25">
      <c r="C860" s="610"/>
      <c r="D860" s="746" t="s">
        <v>9833</v>
      </c>
      <c r="F860" s="836" t="s">
        <v>3</v>
      </c>
      <c r="G860" s="782">
        <f>0.74*2.351</f>
        <v>1.7397400000000001</v>
      </c>
      <c r="H860" s="842"/>
      <c r="I860" s="780" t="s">
        <v>9835</v>
      </c>
    </row>
    <row r="861" spans="3:9" x14ac:dyDescent="0.25">
      <c r="H861" s="842"/>
    </row>
    <row r="862" spans="3:9" x14ac:dyDescent="0.25">
      <c r="C862" s="610" t="s">
        <v>9778</v>
      </c>
      <c r="H862" s="842"/>
    </row>
    <row r="863" spans="3:9" x14ac:dyDescent="0.25">
      <c r="C863" s="844" t="s">
        <v>140</v>
      </c>
      <c r="D863" s="844"/>
      <c r="F863" s="845" t="s">
        <v>3</v>
      </c>
      <c r="G863" s="779">
        <f>0.01*3.14*0.08*1.15</f>
        <v>2.8888E-3</v>
      </c>
      <c r="H863" s="842"/>
    </row>
    <row r="864" spans="3:9" ht="17.25" x14ac:dyDescent="0.25">
      <c r="C864" s="844" t="s">
        <v>23</v>
      </c>
      <c r="D864" s="844"/>
      <c r="F864" s="845" t="s">
        <v>596</v>
      </c>
      <c r="G864" s="779">
        <f>G863*2</f>
        <v>5.7775999999999999E-3</v>
      </c>
      <c r="H864" s="842"/>
    </row>
    <row r="865" spans="3:9" x14ac:dyDescent="0.25">
      <c r="C865" s="844" t="s">
        <v>142</v>
      </c>
      <c r="D865" s="844"/>
      <c r="F865" s="845" t="s">
        <v>3</v>
      </c>
      <c r="G865" s="779">
        <f>G863/4</f>
        <v>7.2219999999999999E-4</v>
      </c>
      <c r="H865" s="842"/>
    </row>
    <row r="866" spans="3:9" x14ac:dyDescent="0.25">
      <c r="C866" s="843" t="s">
        <v>148</v>
      </c>
      <c r="D866" s="844"/>
      <c r="F866" s="845" t="s">
        <v>3</v>
      </c>
      <c r="G866" s="779">
        <f>1.2*0.011*2*1.25</f>
        <v>3.2999999999999995E-2</v>
      </c>
      <c r="H866" s="842"/>
    </row>
    <row r="867" spans="3:9" x14ac:dyDescent="0.25">
      <c r="C867" s="746" t="s">
        <v>8</v>
      </c>
      <c r="F867" s="836" t="s">
        <v>3</v>
      </c>
      <c r="G867" s="782">
        <f>G866*0.7</f>
        <v>2.3099999999999996E-2</v>
      </c>
      <c r="H867" s="842"/>
    </row>
    <row r="868" spans="3:9" x14ac:dyDescent="0.25">
      <c r="C868" s="746" t="s">
        <v>12</v>
      </c>
      <c r="F868" s="836" t="s">
        <v>3</v>
      </c>
      <c r="G868" s="782">
        <f>0.3*(G867+G866)</f>
        <v>1.6829999999999998E-2</v>
      </c>
      <c r="H868" s="842"/>
    </row>
    <row r="869" spans="3:9" x14ac:dyDescent="0.25">
      <c r="D869" s="610" t="s">
        <v>9779</v>
      </c>
      <c r="H869" s="842"/>
    </row>
    <row r="870" spans="3:9" x14ac:dyDescent="0.25">
      <c r="D870" s="746" t="s">
        <v>9836</v>
      </c>
      <c r="F870" s="836" t="s">
        <v>3</v>
      </c>
      <c r="G870" s="782">
        <f>0.314*1.305</f>
        <v>0.40976999999999997</v>
      </c>
      <c r="H870" s="842"/>
      <c r="I870" s="780" t="s">
        <v>9837</v>
      </c>
    </row>
    <row r="871" spans="3:9" x14ac:dyDescent="0.25">
      <c r="H871" s="842"/>
    </row>
    <row r="872" spans="3:9" x14ac:dyDescent="0.25">
      <c r="C872" s="610" t="s">
        <v>9785</v>
      </c>
      <c r="H872" s="842"/>
    </row>
    <row r="873" spans="3:9" x14ac:dyDescent="0.25">
      <c r="C873" s="746" t="s">
        <v>9838</v>
      </c>
      <c r="F873" s="836" t="s">
        <v>3</v>
      </c>
      <c r="G873" s="782">
        <v>2.5000000000000001E-2</v>
      </c>
      <c r="H873" s="842"/>
    </row>
    <row r="874" spans="3:9" x14ac:dyDescent="0.25">
      <c r="H874" s="842"/>
    </row>
    <row r="875" spans="3:9" x14ac:dyDescent="0.25">
      <c r="C875" s="610" t="s">
        <v>9780</v>
      </c>
      <c r="H875" s="842"/>
    </row>
    <row r="876" spans="3:9" x14ac:dyDescent="0.25">
      <c r="C876" s="843" t="s">
        <v>39</v>
      </c>
      <c r="D876" s="844"/>
      <c r="F876" s="845" t="s">
        <v>3</v>
      </c>
      <c r="G876" s="852">
        <f>(0.6+0.25+0.3+0.1)*0.08*1.2</f>
        <v>0.12</v>
      </c>
      <c r="H876" s="842"/>
    </row>
    <row r="877" spans="3:9" ht="17.25" x14ac:dyDescent="0.25">
      <c r="C877" s="843" t="s">
        <v>1055</v>
      </c>
      <c r="D877" s="844"/>
      <c r="F877" s="845" t="s">
        <v>596</v>
      </c>
      <c r="G877" s="779">
        <f>1.5*G876</f>
        <v>0.18</v>
      </c>
      <c r="H877" s="842"/>
    </row>
    <row r="878" spans="3:9" x14ac:dyDescent="0.25">
      <c r="C878" s="746" t="s">
        <v>72</v>
      </c>
      <c r="F878" s="836" t="s">
        <v>3</v>
      </c>
      <c r="G878" s="782">
        <f>(0.35*0.48*2)*0.15*2*1.3+0.22*4*0.03*2*1.3</f>
        <v>0.19968</v>
      </c>
      <c r="H878" s="842"/>
    </row>
    <row r="879" spans="3:9" x14ac:dyDescent="0.25">
      <c r="C879" s="746" t="s">
        <v>11</v>
      </c>
      <c r="F879" s="836" t="s">
        <v>3</v>
      </c>
      <c r="G879" s="782">
        <f>0.3*G878+0.002</f>
        <v>6.1904000000000001E-2</v>
      </c>
      <c r="H879" s="842"/>
    </row>
    <row r="880" spans="3:9" x14ac:dyDescent="0.25">
      <c r="C880" s="746" t="s">
        <v>8</v>
      </c>
      <c r="F880" s="836" t="s">
        <v>3</v>
      </c>
      <c r="G880" s="782">
        <f>G878*0.6505</f>
        <v>0.12989183999999998</v>
      </c>
      <c r="H880" s="842"/>
    </row>
    <row r="881" spans="3:9" x14ac:dyDescent="0.25">
      <c r="C881" s="746" t="s">
        <v>12</v>
      </c>
      <c r="F881" s="836" t="s">
        <v>3</v>
      </c>
      <c r="G881" s="782">
        <f>G880*0.3+0.004</f>
        <v>4.2967551999999992E-2</v>
      </c>
      <c r="H881" s="842"/>
    </row>
    <row r="882" spans="3:9" x14ac:dyDescent="0.25">
      <c r="C882" s="746" t="s">
        <v>6576</v>
      </c>
      <c r="F882" s="836" t="s">
        <v>3</v>
      </c>
      <c r="G882" s="782">
        <v>0.1</v>
      </c>
      <c r="H882" s="842"/>
    </row>
    <row r="883" spans="3:9" x14ac:dyDescent="0.25">
      <c r="D883" s="610" t="s">
        <v>9781</v>
      </c>
      <c r="H883" s="842"/>
    </row>
    <row r="884" spans="3:9" x14ac:dyDescent="0.25">
      <c r="D884" s="746" t="s">
        <v>9849</v>
      </c>
      <c r="F884" s="836" t="s">
        <v>3</v>
      </c>
      <c r="G884" s="782">
        <f>0.55*0.41*2*8*1.1225</f>
        <v>4.0499800000000006</v>
      </c>
      <c r="H884" s="842"/>
    </row>
    <row r="885" spans="3:9" x14ac:dyDescent="0.25">
      <c r="D885" s="610" t="s">
        <v>9782</v>
      </c>
      <c r="H885" s="842"/>
    </row>
    <row r="886" spans="3:9" x14ac:dyDescent="0.25">
      <c r="D886" s="746" t="s">
        <v>9853</v>
      </c>
      <c r="F886" s="836" t="s">
        <v>3</v>
      </c>
      <c r="G886" s="782">
        <v>0.52500000000000002</v>
      </c>
      <c r="H886" s="842"/>
      <c r="I886" s="780" t="s">
        <v>2005</v>
      </c>
    </row>
    <row r="887" spans="3:9" x14ac:dyDescent="0.25">
      <c r="D887" s="610" t="s">
        <v>9783</v>
      </c>
      <c r="H887" s="842"/>
    </row>
    <row r="888" spans="3:9" x14ac:dyDescent="0.25">
      <c r="D888" s="746" t="s">
        <v>9853</v>
      </c>
      <c r="F888" s="836" t="s">
        <v>3</v>
      </c>
      <c r="G888" s="782">
        <v>0.52500000000000002</v>
      </c>
      <c r="H888" s="842"/>
      <c r="I888" s="780" t="s">
        <v>2005</v>
      </c>
    </row>
    <row r="889" spans="3:9" x14ac:dyDescent="0.25">
      <c r="C889" s="610"/>
      <c r="D889" s="610" t="s">
        <v>9784</v>
      </c>
      <c r="H889" s="842"/>
    </row>
    <row r="890" spans="3:9" x14ac:dyDescent="0.25">
      <c r="C890" s="610"/>
      <c r="D890" s="746" t="s">
        <v>9854</v>
      </c>
      <c r="F890" s="836" t="s">
        <v>3</v>
      </c>
      <c r="G890" s="782">
        <f>0.072*0.023*3*8*1.12</f>
        <v>4.4513280000000009E-2</v>
      </c>
      <c r="H890" s="842"/>
    </row>
    <row r="891" spans="3:9" x14ac:dyDescent="0.25">
      <c r="C891" s="610"/>
      <c r="H891" s="842"/>
    </row>
    <row r="892" spans="3:9" x14ac:dyDescent="0.25">
      <c r="C892" s="610" t="s">
        <v>9789</v>
      </c>
      <c r="H892" s="842"/>
    </row>
    <row r="893" spans="3:9" x14ac:dyDescent="0.25">
      <c r="C893" s="746" t="s">
        <v>9852</v>
      </c>
      <c r="F893" s="836" t="s">
        <v>3</v>
      </c>
      <c r="G893" s="782">
        <v>7.0000000000000001E-3</v>
      </c>
      <c r="H893" s="842"/>
    </row>
    <row r="894" spans="3:9" x14ac:dyDescent="0.25">
      <c r="C894" s="843" t="s">
        <v>39</v>
      </c>
      <c r="D894" s="844"/>
      <c r="F894" s="845" t="s">
        <v>3</v>
      </c>
      <c r="G894" s="852">
        <f>(1.3*2+1.5*2+0.16*2+0.2+0.015*3.14+3.2+0.017*3.14*2+0.6+0.1*3.14+0.35+0.35*4+0.45)*0.08*1.192</f>
        <v>1.2003783296000001</v>
      </c>
      <c r="H894" s="842"/>
    </row>
    <row r="895" spans="3:9" ht="17.25" x14ac:dyDescent="0.25">
      <c r="C895" s="843" t="s">
        <v>1055</v>
      </c>
      <c r="D895" s="844"/>
      <c r="F895" s="845" t="s">
        <v>596</v>
      </c>
      <c r="G895" s="779">
        <f>1.5*G894-0.001</f>
        <v>1.7995674944000002</v>
      </c>
      <c r="H895" s="842"/>
    </row>
    <row r="896" spans="3:9" x14ac:dyDescent="0.25">
      <c r="C896" s="746" t="s">
        <v>1021</v>
      </c>
      <c r="F896" s="836" t="s">
        <v>3</v>
      </c>
      <c r="G896" s="782">
        <f>(0.6*1.3*2+0.44*1.3*2+0.6*0.44*2)*0.12*2*1.3-0.008</f>
        <v>1.0003840000000002</v>
      </c>
      <c r="H896" s="842"/>
    </row>
    <row r="897" spans="3:9" x14ac:dyDescent="0.25">
      <c r="C897" s="746" t="s">
        <v>661</v>
      </c>
      <c r="F897" s="836" t="s">
        <v>3</v>
      </c>
      <c r="G897" s="782">
        <f>G896*0.45*0.6</f>
        <v>0.27010368000000007</v>
      </c>
      <c r="H897" s="842"/>
    </row>
    <row r="898" spans="3:9" x14ac:dyDescent="0.25">
      <c r="C898" s="746" t="s">
        <v>1993</v>
      </c>
      <c r="F898" s="836" t="s">
        <v>3</v>
      </c>
      <c r="G898" s="782">
        <f>0.65*G897</f>
        <v>0.17556739200000004</v>
      </c>
      <c r="H898" s="842"/>
    </row>
    <row r="899" spans="3:9" x14ac:dyDescent="0.25">
      <c r="C899" s="746" t="s">
        <v>72</v>
      </c>
      <c r="F899" s="836" t="s">
        <v>3</v>
      </c>
      <c r="G899" s="782">
        <f>(0.6*1.3*2+0.44*1.3*2+0.6*0.44*2)*0.15*2*1.3</f>
        <v>1.26048</v>
      </c>
      <c r="H899" s="842"/>
    </row>
    <row r="900" spans="3:9" x14ac:dyDescent="0.25">
      <c r="C900" s="746" t="s">
        <v>11</v>
      </c>
      <c r="F900" s="836" t="s">
        <v>3</v>
      </c>
      <c r="G900" s="782">
        <f>0.3*G899+0.002</f>
        <v>0.38014399999999998</v>
      </c>
      <c r="H900" s="842"/>
    </row>
    <row r="901" spans="3:9" x14ac:dyDescent="0.25">
      <c r="C901" s="746" t="s">
        <v>8</v>
      </c>
      <c r="F901" s="836" t="s">
        <v>3</v>
      </c>
      <c r="G901" s="782">
        <f>G899*0.6505</f>
        <v>0.81994223999999993</v>
      </c>
      <c r="H901" s="842"/>
    </row>
    <row r="902" spans="3:9" x14ac:dyDescent="0.25">
      <c r="C902" s="746" t="s">
        <v>12</v>
      </c>
      <c r="F902" s="836" t="s">
        <v>3</v>
      </c>
      <c r="G902" s="782">
        <f>G901*0.3+0.004</f>
        <v>0.24998267199999996</v>
      </c>
      <c r="H902" s="842"/>
    </row>
    <row r="903" spans="3:9" x14ac:dyDescent="0.25">
      <c r="C903" s="746" t="s">
        <v>6576</v>
      </c>
      <c r="F903" s="836" t="s">
        <v>3</v>
      </c>
      <c r="G903" s="782">
        <v>1.2</v>
      </c>
      <c r="H903" s="842"/>
    </row>
    <row r="904" spans="3:9" x14ac:dyDescent="0.25">
      <c r="D904" s="610" t="s">
        <v>9790</v>
      </c>
      <c r="H904" s="842"/>
    </row>
    <row r="905" spans="3:9" x14ac:dyDescent="0.25">
      <c r="D905" s="844" t="s">
        <v>140</v>
      </c>
      <c r="E905" s="844"/>
      <c r="F905" s="845" t="s">
        <v>3</v>
      </c>
      <c r="G905" s="779">
        <f>0.017*3.14*0.08*1.15</f>
        <v>4.9109600000000007E-3</v>
      </c>
      <c r="H905" s="842"/>
    </row>
    <row r="906" spans="3:9" ht="17.25" x14ac:dyDescent="0.25">
      <c r="D906" s="844" t="s">
        <v>23</v>
      </c>
      <c r="E906" s="844"/>
      <c r="F906" s="845" t="s">
        <v>596</v>
      </c>
      <c r="G906" s="779">
        <f>G905*2</f>
        <v>9.8219200000000013E-3</v>
      </c>
      <c r="H906" s="842"/>
    </row>
    <row r="907" spans="3:9" x14ac:dyDescent="0.25">
      <c r="D907" s="844" t="s">
        <v>142</v>
      </c>
      <c r="E907" s="844"/>
      <c r="F907" s="845" t="s">
        <v>3</v>
      </c>
      <c r="G907" s="779">
        <f>G905/4</f>
        <v>1.2277400000000002E-3</v>
      </c>
      <c r="H907" s="842"/>
    </row>
    <row r="908" spans="3:9" x14ac:dyDescent="0.25">
      <c r="E908" s="610" t="s">
        <v>9791</v>
      </c>
      <c r="H908" s="842"/>
    </row>
    <row r="909" spans="3:9" x14ac:dyDescent="0.25">
      <c r="E909" s="746" t="s">
        <v>9833</v>
      </c>
      <c r="F909" s="836" t="s">
        <v>3</v>
      </c>
      <c r="G909" s="782">
        <f>0.74*1.42-0.001</f>
        <v>1.0498000000000001</v>
      </c>
      <c r="H909" s="842"/>
      <c r="I909" s="780" t="s">
        <v>9851</v>
      </c>
    </row>
    <row r="910" spans="3:9" x14ac:dyDescent="0.25">
      <c r="C910" s="610"/>
      <c r="D910" s="610" t="s">
        <v>9786</v>
      </c>
      <c r="H910" s="842"/>
    </row>
    <row r="911" spans="3:9" x14ac:dyDescent="0.25">
      <c r="C911" s="610"/>
      <c r="D911" s="844" t="s">
        <v>140</v>
      </c>
      <c r="E911" s="844"/>
      <c r="F911" s="845" t="s">
        <v>3</v>
      </c>
      <c r="G911" s="779">
        <f>0.017*3.14*0.08*1.15</f>
        <v>4.9109600000000007E-3</v>
      </c>
      <c r="H911" s="842"/>
    </row>
    <row r="912" spans="3:9" ht="17.25" x14ac:dyDescent="0.25">
      <c r="C912" s="610"/>
      <c r="D912" s="844" t="s">
        <v>23</v>
      </c>
      <c r="E912" s="844"/>
      <c r="F912" s="845" t="s">
        <v>596</v>
      </c>
      <c r="G912" s="779">
        <f>G911*2</f>
        <v>9.8219200000000013E-3</v>
      </c>
      <c r="H912" s="842"/>
    </row>
    <row r="913" spans="3:9" x14ac:dyDescent="0.25">
      <c r="C913" s="610"/>
      <c r="D913" s="844" t="s">
        <v>142</v>
      </c>
      <c r="E913" s="844"/>
      <c r="F913" s="845" t="s">
        <v>3</v>
      </c>
      <c r="G913" s="779">
        <f>G911/4</f>
        <v>1.2277400000000002E-3</v>
      </c>
      <c r="H913" s="842"/>
    </row>
    <row r="914" spans="3:9" x14ac:dyDescent="0.25">
      <c r="C914" s="610"/>
      <c r="E914" s="610" t="s">
        <v>9787</v>
      </c>
      <c r="H914" s="842"/>
    </row>
    <row r="915" spans="3:9" x14ac:dyDescent="0.25">
      <c r="C915" s="610"/>
      <c r="E915" s="746" t="s">
        <v>9833</v>
      </c>
      <c r="F915" s="836" t="s">
        <v>3</v>
      </c>
      <c r="G915" s="782">
        <f>0.74*0.85+0.001</f>
        <v>0.63</v>
      </c>
      <c r="H915" s="842"/>
      <c r="I915" s="780" t="s">
        <v>9850</v>
      </c>
    </row>
    <row r="916" spans="3:9" x14ac:dyDescent="0.25">
      <c r="D916" s="610" t="s">
        <v>9792</v>
      </c>
      <c r="H916" s="842"/>
    </row>
    <row r="917" spans="3:9" x14ac:dyDescent="0.25">
      <c r="D917" s="746" t="s">
        <v>9848</v>
      </c>
      <c r="F917" s="836" t="s">
        <v>3</v>
      </c>
      <c r="G917" s="782">
        <f>1.51*1.3*2*8*1.09845</f>
        <v>34.500117599999996</v>
      </c>
      <c r="H917" s="842"/>
    </row>
    <row r="918" spans="3:9" x14ac:dyDescent="0.25">
      <c r="D918" s="610" t="s">
        <v>9793</v>
      </c>
      <c r="H918" s="842"/>
    </row>
    <row r="919" spans="3:9" x14ac:dyDescent="0.25">
      <c r="D919" s="746" t="s">
        <v>9848</v>
      </c>
      <c r="F919" s="836" t="s">
        <v>3</v>
      </c>
      <c r="G919" s="782">
        <f>0.62*0.46*2*8*1.1395</f>
        <v>5.1997663999999997</v>
      </c>
      <c r="H919" s="842"/>
    </row>
    <row r="920" spans="3:9" x14ac:dyDescent="0.25">
      <c r="D920" s="610" t="s">
        <v>9794</v>
      </c>
      <c r="H920" s="842"/>
    </row>
    <row r="921" spans="3:9" x14ac:dyDescent="0.25">
      <c r="D921" s="746" t="s">
        <v>9848</v>
      </c>
      <c r="F921" s="836" t="s">
        <v>3</v>
      </c>
      <c r="G921" s="782">
        <f>0.62*0.46*2*8*1.1395</f>
        <v>5.1997663999999997</v>
      </c>
      <c r="H921" s="842"/>
    </row>
    <row r="922" spans="3:9" x14ac:dyDescent="0.25">
      <c r="D922" s="610" t="s">
        <v>9795</v>
      </c>
      <c r="H922" s="842"/>
    </row>
    <row r="923" spans="3:9" x14ac:dyDescent="0.25">
      <c r="D923" s="746" t="s">
        <v>9848</v>
      </c>
      <c r="F923" s="836" t="s">
        <v>3</v>
      </c>
      <c r="G923" s="782">
        <f>0.62*0.46*2*8*1.1395</f>
        <v>5.1997663999999997</v>
      </c>
      <c r="H923" s="842"/>
    </row>
    <row r="924" spans="3:9" x14ac:dyDescent="0.25">
      <c r="D924" s="610" t="s">
        <v>9796</v>
      </c>
      <c r="H924" s="842"/>
    </row>
    <row r="925" spans="3:9" x14ac:dyDescent="0.25">
      <c r="D925" s="746" t="s">
        <v>9848</v>
      </c>
      <c r="F925" s="836" t="s">
        <v>3</v>
      </c>
      <c r="G925" s="782">
        <f>0.62*0.46*2*8*1.1395</f>
        <v>5.1997663999999997</v>
      </c>
      <c r="H925" s="842"/>
    </row>
    <row r="926" spans="3:9" x14ac:dyDescent="0.25">
      <c r="D926" s="610" t="s">
        <v>9797</v>
      </c>
      <c r="H926" s="842"/>
    </row>
    <row r="927" spans="3:9" x14ac:dyDescent="0.25">
      <c r="D927" s="746" t="s">
        <v>9848</v>
      </c>
      <c r="F927" s="836" t="s">
        <v>3</v>
      </c>
      <c r="G927" s="782">
        <f>1.235*0.6*2*8*1.1218</f>
        <v>13.300060799999999</v>
      </c>
      <c r="H927" s="842"/>
    </row>
    <row r="928" spans="3:9" x14ac:dyDescent="0.25">
      <c r="D928" s="610" t="s">
        <v>9798</v>
      </c>
      <c r="H928" s="842"/>
    </row>
    <row r="929" spans="3:8" x14ac:dyDescent="0.25">
      <c r="D929" s="746" t="s">
        <v>9849</v>
      </c>
      <c r="F929" s="836" t="s">
        <v>3</v>
      </c>
      <c r="G929" s="782">
        <f>0.04*0.045*5*8*1.11</f>
        <v>7.9920000000000005E-2</v>
      </c>
      <c r="H929" s="842"/>
    </row>
    <row r="930" spans="3:8" x14ac:dyDescent="0.25">
      <c r="D930" s="610" t="s">
        <v>9799</v>
      </c>
      <c r="H930" s="842"/>
    </row>
    <row r="931" spans="3:8" x14ac:dyDescent="0.25">
      <c r="C931" s="610"/>
      <c r="D931" s="746" t="s">
        <v>9847</v>
      </c>
      <c r="F931" s="836" t="s">
        <v>3</v>
      </c>
      <c r="G931" s="782">
        <f>0.15*0.04*3*8*1.11</f>
        <v>0.15984000000000004</v>
      </c>
      <c r="H931" s="842"/>
    </row>
    <row r="932" spans="3:8" x14ac:dyDescent="0.25">
      <c r="C932" s="610"/>
      <c r="D932" s="610" t="s">
        <v>9800</v>
      </c>
      <c r="H932" s="842"/>
    </row>
    <row r="933" spans="3:8" x14ac:dyDescent="0.25">
      <c r="D933" s="746" t="s">
        <v>9846</v>
      </c>
      <c r="F933" s="836" t="s">
        <v>3</v>
      </c>
      <c r="G933" s="782">
        <f>0.1*0.07*3*8*1.13</f>
        <v>0.18984000000000004</v>
      </c>
      <c r="H933" s="842"/>
    </row>
    <row r="934" spans="3:8" x14ac:dyDescent="0.25">
      <c r="D934" s="610" t="s">
        <v>9801</v>
      </c>
      <c r="H934" s="842"/>
    </row>
    <row r="935" spans="3:8" x14ac:dyDescent="0.25">
      <c r="D935" s="746" t="s">
        <v>9845</v>
      </c>
      <c r="F935" s="836" t="s">
        <v>3</v>
      </c>
      <c r="G935" s="782">
        <f>0.08*0.022*1.5*8*1.12</f>
        <v>2.3654400000000003E-2</v>
      </c>
      <c r="H935" s="842"/>
    </row>
    <row r="936" spans="3:8" x14ac:dyDescent="0.25">
      <c r="D936" s="751" t="s">
        <v>9802</v>
      </c>
      <c r="H936" s="842"/>
    </row>
    <row r="937" spans="3:8" x14ac:dyDescent="0.25">
      <c r="C937" s="610"/>
      <c r="D937" s="746" t="s">
        <v>9868</v>
      </c>
      <c r="F937" s="836" t="s">
        <v>3</v>
      </c>
      <c r="G937" s="782">
        <f>0.105*0.06*5*8*1.129</f>
        <v>0.28450799999999993</v>
      </c>
      <c r="H937" s="842"/>
    </row>
    <row r="938" spans="3:8" x14ac:dyDescent="0.25">
      <c r="C938" s="610"/>
      <c r="H938" s="842"/>
    </row>
    <row r="939" spans="3:8" x14ac:dyDescent="0.25">
      <c r="C939" s="610" t="s">
        <v>5644</v>
      </c>
      <c r="H939" s="842"/>
    </row>
    <row r="940" spans="3:8" x14ac:dyDescent="0.25">
      <c r="C940" s="858" t="s">
        <v>957</v>
      </c>
      <c r="F940" s="859" t="s">
        <v>3</v>
      </c>
      <c r="G940" s="860">
        <f>0.175*0.145*1*8*1.159</f>
        <v>0.23527699999999999</v>
      </c>
      <c r="H940" s="842"/>
    </row>
    <row r="941" spans="3:8" x14ac:dyDescent="0.25">
      <c r="C941" s="861" t="s">
        <v>5415</v>
      </c>
      <c r="F941" s="859" t="s">
        <v>3</v>
      </c>
      <c r="G941" s="860">
        <v>7.0000000000000001E-3</v>
      </c>
      <c r="H941" s="842"/>
    </row>
    <row r="942" spans="3:8" x14ac:dyDescent="0.25">
      <c r="C942" s="861" t="s">
        <v>672</v>
      </c>
      <c r="F942" s="859" t="s">
        <v>3</v>
      </c>
      <c r="G942" s="860">
        <f>G941*2</f>
        <v>1.4E-2</v>
      </c>
      <c r="H942" s="842"/>
    </row>
    <row r="943" spans="3:8" x14ac:dyDescent="0.25">
      <c r="C943" s="610"/>
      <c r="H943" s="842"/>
    </row>
    <row r="944" spans="3:8" x14ac:dyDescent="0.25">
      <c r="C944" s="610" t="s">
        <v>9788</v>
      </c>
      <c r="H944" s="842"/>
    </row>
    <row r="945" spans="3:10" x14ac:dyDescent="0.25">
      <c r="C945" s="861" t="s">
        <v>5649</v>
      </c>
      <c r="F945" s="859" t="s">
        <v>3</v>
      </c>
      <c r="G945" s="860">
        <f>0.05*0.05*1*8.5*1.03</f>
        <v>2.1887500000000004E-2</v>
      </c>
      <c r="H945" s="842"/>
    </row>
    <row r="946" spans="3:10" x14ac:dyDescent="0.25">
      <c r="C946" s="861" t="s">
        <v>671</v>
      </c>
      <c r="F946" s="859" t="s">
        <v>3</v>
      </c>
      <c r="G946" s="860">
        <f>0.002</f>
        <v>2E-3</v>
      </c>
      <c r="H946" s="842"/>
    </row>
    <row r="947" spans="3:10" x14ac:dyDescent="0.25">
      <c r="C947" s="861" t="s">
        <v>672</v>
      </c>
      <c r="F947" s="859" t="s">
        <v>3</v>
      </c>
      <c r="G947" s="860">
        <f>G946*2</f>
        <v>4.0000000000000001E-3</v>
      </c>
      <c r="H947" s="755"/>
      <c r="I947" s="862"/>
      <c r="J947" s="863"/>
    </row>
    <row r="948" spans="3:10" x14ac:dyDescent="0.25">
      <c r="C948" s="610"/>
      <c r="H948" s="842"/>
    </row>
    <row r="949" spans="3:10" x14ac:dyDescent="0.25">
      <c r="C949" s="610" t="s">
        <v>9855</v>
      </c>
      <c r="H949" s="842"/>
    </row>
    <row r="950" spans="3:10" x14ac:dyDescent="0.25">
      <c r="C950" s="746" t="s">
        <v>9852</v>
      </c>
      <c r="F950" s="836" t="s">
        <v>3</v>
      </c>
      <c r="G950" s="782">
        <v>7.0000000000000001E-3</v>
      </c>
      <c r="H950" s="842"/>
    </row>
    <row r="951" spans="3:10" x14ac:dyDescent="0.25">
      <c r="C951" s="843" t="s">
        <v>39</v>
      </c>
      <c r="D951" s="844"/>
      <c r="F951" s="845" t="s">
        <v>3</v>
      </c>
      <c r="G951" s="852">
        <f>(1.3*2+1.5*2+0.16*2+0.2+0.015*3.14+3.2+0.017*3.14*2+0.6+0.1*3.14+0.35+0.35*4+0.45-0.85)*0.08*1.192+0.001</f>
        <v>1.1203223295999998</v>
      </c>
      <c r="H951" s="842"/>
    </row>
    <row r="952" spans="3:10" ht="17.25" x14ac:dyDescent="0.25">
      <c r="C952" s="843" t="s">
        <v>1055</v>
      </c>
      <c r="D952" s="844"/>
      <c r="F952" s="845" t="s">
        <v>596</v>
      </c>
      <c r="G952" s="779">
        <f>1.5*G951</f>
        <v>1.6804834943999998</v>
      </c>
      <c r="H952" s="842"/>
    </row>
    <row r="953" spans="3:10" x14ac:dyDescent="0.25">
      <c r="C953" s="746" t="s">
        <v>1021</v>
      </c>
      <c r="F953" s="836" t="s">
        <v>3</v>
      </c>
      <c r="G953" s="782">
        <f>(0.6*1.3*2+0.44*1.3*2+0.6*0.44*2-2*0.4)*0.12*2*1.3+0.001</f>
        <v>0.75978400000000013</v>
      </c>
      <c r="H953" s="842"/>
    </row>
    <row r="954" spans="3:10" x14ac:dyDescent="0.25">
      <c r="C954" s="746" t="s">
        <v>661</v>
      </c>
      <c r="F954" s="836" t="s">
        <v>3</v>
      </c>
      <c r="G954" s="782">
        <f>G953*0.45*0.6</f>
        <v>0.20514168000000002</v>
      </c>
      <c r="H954" s="842"/>
    </row>
    <row r="955" spans="3:10" x14ac:dyDescent="0.25">
      <c r="C955" s="746" t="s">
        <v>1993</v>
      </c>
      <c r="F955" s="836" t="s">
        <v>3</v>
      </c>
      <c r="G955" s="782">
        <f>0.65*G954</f>
        <v>0.13334209200000002</v>
      </c>
      <c r="H955" s="842"/>
    </row>
    <row r="956" spans="3:10" x14ac:dyDescent="0.25">
      <c r="C956" s="746" t="s">
        <v>72</v>
      </c>
      <c r="F956" s="836" t="s">
        <v>3</v>
      </c>
      <c r="G956" s="782">
        <f>(0.6*1.3*2+0.44*1.3*2+0.6*0.44*2-2*0.4)*0.15*2*1.3+0.002</f>
        <v>0.95048000000000021</v>
      </c>
      <c r="H956" s="842"/>
    </row>
    <row r="957" spans="3:10" x14ac:dyDescent="0.25">
      <c r="C957" s="746" t="s">
        <v>11</v>
      </c>
      <c r="F957" s="836" t="s">
        <v>3</v>
      </c>
      <c r="G957" s="782">
        <f>0.3*G956</f>
        <v>0.28514400000000006</v>
      </c>
      <c r="H957" s="842"/>
    </row>
    <row r="958" spans="3:10" x14ac:dyDescent="0.25">
      <c r="C958" s="746" t="s">
        <v>8</v>
      </c>
      <c r="F958" s="836" t="s">
        <v>3</v>
      </c>
      <c r="G958" s="782">
        <f>G956*0.63+0.001</f>
        <v>0.59980240000000018</v>
      </c>
      <c r="H958" s="842"/>
    </row>
    <row r="959" spans="3:10" x14ac:dyDescent="0.25">
      <c r="C959" s="746" t="s">
        <v>12</v>
      </c>
      <c r="F959" s="836" t="s">
        <v>3</v>
      </c>
      <c r="G959" s="782">
        <f>G958*0.3</f>
        <v>0.17994072000000005</v>
      </c>
      <c r="H959" s="842"/>
    </row>
    <row r="960" spans="3:10" x14ac:dyDescent="0.25">
      <c r="C960" s="746" t="s">
        <v>6576</v>
      </c>
      <c r="F960" s="836" t="s">
        <v>3</v>
      </c>
      <c r="G960" s="782">
        <v>1</v>
      </c>
      <c r="H960" s="842"/>
    </row>
    <row r="961" spans="4:9" ht="15" customHeight="1" x14ac:dyDescent="0.25">
      <c r="D961" s="610" t="s">
        <v>9803</v>
      </c>
      <c r="H961" s="842"/>
    </row>
    <row r="962" spans="4:9" ht="15" customHeight="1" x14ac:dyDescent="0.25">
      <c r="D962" s="844" t="s">
        <v>140</v>
      </c>
      <c r="E962" s="844"/>
      <c r="F962" s="845" t="s">
        <v>3</v>
      </c>
      <c r="G962" s="779">
        <f>0.017*3.14*0.08*1.15</f>
        <v>4.9109600000000007E-3</v>
      </c>
      <c r="H962" s="842"/>
    </row>
    <row r="963" spans="4:9" ht="15" customHeight="1" x14ac:dyDescent="0.25">
      <c r="D963" s="844" t="s">
        <v>23</v>
      </c>
      <c r="E963" s="844"/>
      <c r="F963" s="845" t="s">
        <v>596</v>
      </c>
      <c r="G963" s="779">
        <f>G962*2</f>
        <v>9.8219200000000013E-3</v>
      </c>
      <c r="H963" s="842"/>
    </row>
    <row r="964" spans="4:9" ht="15" customHeight="1" x14ac:dyDescent="0.25">
      <c r="D964" s="844" t="s">
        <v>142</v>
      </c>
      <c r="E964" s="844"/>
      <c r="F964" s="845" t="s">
        <v>3</v>
      </c>
      <c r="G964" s="779">
        <f>G962/4</f>
        <v>1.2277400000000002E-3</v>
      </c>
      <c r="H964" s="842"/>
    </row>
    <row r="965" spans="4:9" ht="15" customHeight="1" x14ac:dyDescent="0.25">
      <c r="E965" s="610" t="s">
        <v>9804</v>
      </c>
      <c r="H965" s="842"/>
    </row>
    <row r="966" spans="4:9" x14ac:dyDescent="0.25">
      <c r="E966" s="746" t="s">
        <v>9833</v>
      </c>
      <c r="F966" s="836" t="s">
        <v>3</v>
      </c>
      <c r="G966" s="782">
        <f>0.74*0.72+0.002</f>
        <v>0.53479999999999994</v>
      </c>
      <c r="H966" s="842"/>
      <c r="I966" s="780" t="s">
        <v>9856</v>
      </c>
    </row>
    <row r="967" spans="4:9" x14ac:dyDescent="0.25">
      <c r="D967" s="610" t="s">
        <v>9805</v>
      </c>
      <c r="H967" s="842"/>
    </row>
    <row r="968" spans="4:9" x14ac:dyDescent="0.25">
      <c r="D968" s="746" t="s">
        <v>9848</v>
      </c>
      <c r="F968" s="836" t="s">
        <v>3</v>
      </c>
      <c r="G968" s="782">
        <f>1.5*0.9*2*8*1.1111</f>
        <v>23.999760000000002</v>
      </c>
      <c r="H968" s="842"/>
    </row>
    <row r="969" spans="4:9" x14ac:dyDescent="0.25">
      <c r="D969" s="610" t="s">
        <v>9806</v>
      </c>
      <c r="H969" s="842"/>
    </row>
    <row r="970" spans="4:9" x14ac:dyDescent="0.25">
      <c r="D970" s="746" t="s">
        <v>9848</v>
      </c>
      <c r="F970" s="836" t="s">
        <v>3</v>
      </c>
      <c r="G970" s="782">
        <f>0.62*0.46*2*8*1.1395</f>
        <v>5.1997663999999997</v>
      </c>
      <c r="H970" s="842"/>
    </row>
    <row r="971" spans="4:9" x14ac:dyDescent="0.25">
      <c r="D971" s="610" t="s">
        <v>9807</v>
      </c>
      <c r="H971" s="842"/>
    </row>
    <row r="972" spans="4:9" x14ac:dyDescent="0.25">
      <c r="D972" s="746" t="s">
        <v>9848</v>
      </c>
      <c r="F972" s="836" t="s">
        <v>3</v>
      </c>
      <c r="G972" s="782">
        <f>0.62*0.46*2*8*1.1395</f>
        <v>5.1997663999999997</v>
      </c>
      <c r="H972" s="842"/>
    </row>
    <row r="973" spans="4:9" x14ac:dyDescent="0.25">
      <c r="D973" s="610" t="s">
        <v>9808</v>
      </c>
      <c r="H973" s="842"/>
    </row>
    <row r="974" spans="4:9" x14ac:dyDescent="0.25">
      <c r="D974" s="746" t="s">
        <v>9848</v>
      </c>
      <c r="F974" s="836" t="s">
        <v>3</v>
      </c>
      <c r="G974" s="782">
        <f>0.7*0.48*2*8*1.1346</f>
        <v>6.0996096</v>
      </c>
      <c r="H974" s="842"/>
    </row>
    <row r="975" spans="4:9" x14ac:dyDescent="0.25">
      <c r="D975" s="610" t="s">
        <v>9809</v>
      </c>
      <c r="H975" s="842"/>
    </row>
    <row r="976" spans="4:9" x14ac:dyDescent="0.25">
      <c r="D976" s="746" t="s">
        <v>9848</v>
      </c>
      <c r="F976" s="836" t="s">
        <v>3</v>
      </c>
      <c r="G976" s="782">
        <f>0.62*0.5*2*8*1.129</f>
        <v>5.5998400000000004</v>
      </c>
      <c r="H976" s="842"/>
    </row>
    <row r="977" spans="3:8" x14ac:dyDescent="0.25">
      <c r="D977" s="610" t="s">
        <v>9810</v>
      </c>
      <c r="H977" s="842"/>
    </row>
    <row r="978" spans="3:8" x14ac:dyDescent="0.25">
      <c r="C978" s="610"/>
      <c r="D978" s="746" t="s">
        <v>9848</v>
      </c>
      <c r="F978" s="836" t="s">
        <v>3</v>
      </c>
      <c r="G978" s="782">
        <f>0.78*0.59*2*8*1.1272</f>
        <v>8.2997990399999999</v>
      </c>
      <c r="H978" s="842"/>
    </row>
    <row r="979" spans="3:8" x14ac:dyDescent="0.25">
      <c r="C979" s="610"/>
      <c r="H979" s="842"/>
    </row>
    <row r="980" spans="3:8" x14ac:dyDescent="0.25">
      <c r="C980" s="751" t="s">
        <v>9811</v>
      </c>
      <c r="H980" s="842"/>
    </row>
    <row r="981" spans="3:8" x14ac:dyDescent="0.25">
      <c r="C981" s="901" t="s">
        <v>9864</v>
      </c>
      <c r="F981" s="836" t="s">
        <v>3</v>
      </c>
      <c r="G981" s="782">
        <f>0.09*0.13*4*8*1.122</f>
        <v>0.42007680000000003</v>
      </c>
      <c r="H981" s="842"/>
    </row>
    <row r="982" spans="3:8" x14ac:dyDescent="0.25">
      <c r="C982" s="610"/>
      <c r="H982" s="842"/>
    </row>
    <row r="983" spans="3:8" x14ac:dyDescent="0.25">
      <c r="C983" s="610" t="s">
        <v>9812</v>
      </c>
      <c r="H983" s="842"/>
    </row>
    <row r="984" spans="3:8" x14ac:dyDescent="0.25">
      <c r="C984" s="746" t="s">
        <v>9841</v>
      </c>
      <c r="F984" s="836" t="s">
        <v>3</v>
      </c>
      <c r="G984" s="782">
        <f>0.09*0.08*4*8*1.13</f>
        <v>0.26035199999999997</v>
      </c>
      <c r="H984" s="842"/>
    </row>
    <row r="985" spans="3:8" x14ac:dyDescent="0.25">
      <c r="C985" s="610"/>
      <c r="H985" s="842"/>
    </row>
    <row r="986" spans="3:8" x14ac:dyDescent="0.25">
      <c r="C986" s="610" t="s">
        <v>9813</v>
      </c>
      <c r="H986" s="842"/>
    </row>
    <row r="987" spans="3:8" x14ac:dyDescent="0.25">
      <c r="C987" s="746" t="s">
        <v>9841</v>
      </c>
      <c r="F987" s="836" t="s">
        <v>3</v>
      </c>
      <c r="G987" s="782">
        <f>0.09*0.08*4*8*1.13</f>
        <v>0.26035199999999997</v>
      </c>
      <c r="H987" s="842"/>
    </row>
    <row r="988" spans="3:8" x14ac:dyDescent="0.25">
      <c r="C988" s="610"/>
      <c r="H988" s="842"/>
    </row>
    <row r="989" spans="3:8" x14ac:dyDescent="0.25">
      <c r="C989" s="610" t="s">
        <v>9814</v>
      </c>
      <c r="H989" s="842"/>
    </row>
    <row r="990" spans="3:8" x14ac:dyDescent="0.25">
      <c r="C990" s="746" t="s">
        <v>9844</v>
      </c>
      <c r="F990" s="836" t="s">
        <v>3</v>
      </c>
      <c r="G990" s="782">
        <f>0.115*0.05*5*8*1.129</f>
        <v>0.25967000000000007</v>
      </c>
      <c r="H990" s="842"/>
    </row>
    <row r="991" spans="3:8" x14ac:dyDescent="0.25">
      <c r="C991" s="610"/>
      <c r="H991" s="842"/>
    </row>
    <row r="992" spans="3:8" x14ac:dyDescent="0.25">
      <c r="C992" s="610" t="s">
        <v>9815</v>
      </c>
      <c r="F992" s="836" t="s">
        <v>2180</v>
      </c>
      <c r="H992" s="842"/>
    </row>
    <row r="993" spans="3:9" x14ac:dyDescent="0.25">
      <c r="C993" s="746" t="s">
        <v>9857</v>
      </c>
      <c r="F993" s="836" t="s">
        <v>1516</v>
      </c>
      <c r="G993" s="782">
        <v>3</v>
      </c>
      <c r="H993" s="842"/>
    </row>
    <row r="994" spans="3:9" x14ac:dyDescent="0.25">
      <c r="D994" s="610" t="s">
        <v>9816</v>
      </c>
      <c r="H994" s="842"/>
    </row>
    <row r="995" spans="3:9" x14ac:dyDescent="0.25">
      <c r="D995" s="844" t="s">
        <v>140</v>
      </c>
      <c r="E995" s="844"/>
      <c r="F995" s="845" t="s">
        <v>3</v>
      </c>
      <c r="G995" s="779">
        <f>0.035*3.14*2*0.08*1.15+0.012*3.14*0.08*1.2</f>
        <v>2.3838880000000003E-2</v>
      </c>
      <c r="H995" s="842"/>
    </row>
    <row r="996" spans="3:9" ht="17.25" x14ac:dyDescent="0.25">
      <c r="D996" s="844" t="s">
        <v>23</v>
      </c>
      <c r="E996" s="844"/>
      <c r="F996" s="845" t="s">
        <v>596</v>
      </c>
      <c r="G996" s="779">
        <f>G995*2</f>
        <v>4.7677760000000007E-2</v>
      </c>
      <c r="H996" s="842"/>
    </row>
    <row r="997" spans="3:9" x14ac:dyDescent="0.25">
      <c r="D997" s="844" t="s">
        <v>142</v>
      </c>
      <c r="E997" s="844"/>
      <c r="F997" s="845" t="s">
        <v>3</v>
      </c>
      <c r="G997" s="779">
        <f>G995/4</f>
        <v>5.9597200000000008E-3</v>
      </c>
      <c r="H997" s="842"/>
    </row>
    <row r="998" spans="3:9" x14ac:dyDescent="0.25">
      <c r="D998" s="746" t="s">
        <v>72</v>
      </c>
      <c r="F998" s="836" t="s">
        <v>3</v>
      </c>
      <c r="G998" s="782">
        <v>0.01</v>
      </c>
      <c r="H998" s="842"/>
    </row>
    <row r="999" spans="3:9" x14ac:dyDescent="0.25">
      <c r="D999" s="746" t="s">
        <v>11</v>
      </c>
      <c r="F999" s="836" t="s">
        <v>3</v>
      </c>
      <c r="G999" s="782">
        <f>0.3*G998</f>
        <v>3.0000000000000001E-3</v>
      </c>
      <c r="H999" s="842"/>
    </row>
    <row r="1000" spans="3:9" x14ac:dyDescent="0.25">
      <c r="D1000" s="746" t="s">
        <v>8</v>
      </c>
      <c r="F1000" s="836" t="s">
        <v>3</v>
      </c>
      <c r="G1000" s="782">
        <f>G998*0.63+0.001</f>
        <v>7.3000000000000001E-3</v>
      </c>
      <c r="H1000" s="842"/>
    </row>
    <row r="1001" spans="3:9" x14ac:dyDescent="0.25">
      <c r="D1001" s="746" t="s">
        <v>12</v>
      </c>
      <c r="F1001" s="836" t="s">
        <v>3</v>
      </c>
      <c r="G1001" s="782">
        <f>G1000*0.3</f>
        <v>2.1900000000000001E-3</v>
      </c>
      <c r="H1001" s="842"/>
    </row>
    <row r="1002" spans="3:9" x14ac:dyDescent="0.25">
      <c r="E1002" s="610" t="s">
        <v>9817</v>
      </c>
      <c r="H1002" s="842"/>
    </row>
    <row r="1003" spans="3:9" x14ac:dyDescent="0.25">
      <c r="C1003" s="610"/>
      <c r="E1003" s="746" t="s">
        <v>9836</v>
      </c>
      <c r="F1003" s="836" t="s">
        <v>3</v>
      </c>
      <c r="G1003" s="782">
        <f>0.314*0.11</f>
        <v>3.4540000000000001E-2</v>
      </c>
      <c r="H1003" s="842"/>
      <c r="I1003" s="780" t="s">
        <v>9858</v>
      </c>
    </row>
    <row r="1004" spans="3:9" x14ac:dyDescent="0.25">
      <c r="C1004" s="610"/>
      <c r="H1004" s="842"/>
    </row>
    <row r="1005" spans="3:9" x14ac:dyDescent="0.25">
      <c r="C1005" s="610" t="s">
        <v>9818</v>
      </c>
      <c r="H1005" s="842"/>
    </row>
    <row r="1006" spans="3:9" x14ac:dyDescent="0.25">
      <c r="C1006" s="746" t="s">
        <v>9859</v>
      </c>
      <c r="F1006" s="836" t="s">
        <v>195</v>
      </c>
      <c r="G1006" s="782">
        <v>0.8</v>
      </c>
      <c r="H1006" s="842"/>
      <c r="I1006" s="780" t="s">
        <v>9860</v>
      </c>
    </row>
    <row r="1007" spans="3:9" x14ac:dyDescent="0.25">
      <c r="C1007" s="746" t="s">
        <v>9861</v>
      </c>
      <c r="F1007" s="836" t="s">
        <v>3</v>
      </c>
      <c r="G1007" s="782">
        <v>5.0000000000000001E-3</v>
      </c>
      <c r="H1007" s="842"/>
    </row>
    <row r="1008" spans="3:9" x14ac:dyDescent="0.25">
      <c r="D1008" s="610" t="s">
        <v>9819</v>
      </c>
      <c r="H1008" s="842"/>
    </row>
    <row r="1009" spans="3:9" x14ac:dyDescent="0.25">
      <c r="D1009" s="844" t="s">
        <v>140</v>
      </c>
      <c r="E1009" s="844"/>
      <c r="F1009" s="845" t="s">
        <v>3</v>
      </c>
      <c r="G1009" s="779">
        <f>0.04*3.14*0.08*1.15</f>
        <v>1.15552E-2</v>
      </c>
      <c r="H1009" s="842"/>
    </row>
    <row r="1010" spans="3:9" ht="17.25" x14ac:dyDescent="0.25">
      <c r="D1010" s="844" t="s">
        <v>23</v>
      </c>
      <c r="E1010" s="844"/>
      <c r="F1010" s="845" t="s">
        <v>596</v>
      </c>
      <c r="G1010" s="779">
        <f>G1009*2</f>
        <v>2.31104E-2</v>
      </c>
      <c r="H1010" s="842"/>
    </row>
    <row r="1011" spans="3:9" x14ac:dyDescent="0.25">
      <c r="D1011" s="844" t="s">
        <v>142</v>
      </c>
      <c r="E1011" s="844"/>
      <c r="F1011" s="845" t="s">
        <v>3</v>
      </c>
      <c r="G1011" s="779">
        <f>G1009/4</f>
        <v>2.8888E-3</v>
      </c>
      <c r="H1011" s="842"/>
    </row>
    <row r="1012" spans="3:9" x14ac:dyDescent="0.25">
      <c r="D1012" s="843" t="s">
        <v>5543</v>
      </c>
      <c r="E1012" s="843"/>
      <c r="F1012" s="855" t="s">
        <v>3</v>
      </c>
      <c r="G1012" s="852">
        <f>0.01</f>
        <v>0.01</v>
      </c>
      <c r="H1012" s="851"/>
    </row>
    <row r="1013" spans="3:9" x14ac:dyDescent="0.25">
      <c r="D1013" s="843" t="s">
        <v>8</v>
      </c>
      <c r="E1013" s="843"/>
      <c r="F1013" s="855" t="s">
        <v>3</v>
      </c>
      <c r="G1013" s="852">
        <f>G1012*0.7</f>
        <v>6.9999999999999993E-3</v>
      </c>
      <c r="H1013" s="851"/>
    </row>
    <row r="1014" spans="3:9" x14ac:dyDescent="0.25">
      <c r="D1014" s="843" t="s">
        <v>143</v>
      </c>
      <c r="E1014" s="843"/>
      <c r="F1014" s="855" t="s">
        <v>3</v>
      </c>
      <c r="G1014" s="852">
        <f>G1012</f>
        <v>0.01</v>
      </c>
      <c r="H1014" s="851"/>
    </row>
    <row r="1015" spans="3:9" x14ac:dyDescent="0.25">
      <c r="D1015" s="843" t="s">
        <v>12</v>
      </c>
      <c r="E1015" s="843"/>
      <c r="F1015" s="855" t="s">
        <v>3</v>
      </c>
      <c r="G1015" s="852">
        <f>0.3*(G1014+G1013+G1012)</f>
        <v>8.1000000000000013E-3</v>
      </c>
      <c r="H1015" s="851"/>
    </row>
    <row r="1016" spans="3:9" x14ac:dyDescent="0.25">
      <c r="E1016" s="610" t="s">
        <v>9820</v>
      </c>
      <c r="H1016" s="842"/>
    </row>
    <row r="1017" spans="3:9" x14ac:dyDescent="0.25">
      <c r="E1017" s="746" t="s">
        <v>5071</v>
      </c>
      <c r="F1017" s="836" t="s">
        <v>3</v>
      </c>
      <c r="G1017" s="782">
        <f>0.37*0.23</f>
        <v>8.5100000000000009E-2</v>
      </c>
      <c r="H1017" s="842"/>
      <c r="I1017" s="780" t="s">
        <v>9869</v>
      </c>
    </row>
    <row r="1018" spans="3:9" x14ac:dyDescent="0.25">
      <c r="C1018" s="610"/>
      <c r="D1018" s="610" t="s">
        <v>9821</v>
      </c>
      <c r="H1018" s="842"/>
    </row>
    <row r="1019" spans="3:9" x14ac:dyDescent="0.25">
      <c r="C1019" s="610"/>
      <c r="D1019" s="844" t="s">
        <v>140</v>
      </c>
      <c r="E1019" s="844"/>
      <c r="F1019" s="845" t="s">
        <v>3</v>
      </c>
      <c r="G1019" s="779">
        <f>0.016*3.14*0.08*1.15</f>
        <v>4.6220799999999989E-3</v>
      </c>
      <c r="H1019" s="842"/>
    </row>
    <row r="1020" spans="3:9" ht="17.25" x14ac:dyDescent="0.25">
      <c r="C1020" s="610"/>
      <c r="D1020" s="844" t="s">
        <v>23</v>
      </c>
      <c r="E1020" s="844"/>
      <c r="F1020" s="845" t="s">
        <v>596</v>
      </c>
      <c r="G1020" s="779">
        <f>G1019*2</f>
        <v>9.2441599999999978E-3</v>
      </c>
      <c r="H1020" s="842"/>
    </row>
    <row r="1021" spans="3:9" x14ac:dyDescent="0.25">
      <c r="C1021" s="610"/>
      <c r="D1021" s="844" t="s">
        <v>142</v>
      </c>
      <c r="E1021" s="844"/>
      <c r="F1021" s="845" t="s">
        <v>3</v>
      </c>
      <c r="G1021" s="779">
        <f>G1019/4</f>
        <v>1.1555199999999997E-3</v>
      </c>
      <c r="H1021" s="842"/>
    </row>
    <row r="1022" spans="3:9" x14ac:dyDescent="0.25">
      <c r="C1022" s="610"/>
      <c r="D1022" s="843" t="s">
        <v>5543</v>
      </c>
      <c r="E1022" s="843"/>
      <c r="F1022" s="855" t="s">
        <v>3</v>
      </c>
      <c r="G1022" s="852">
        <f>0.5*0.011*2*1.3</f>
        <v>1.43E-2</v>
      </c>
      <c r="H1022" s="842"/>
    </row>
    <row r="1023" spans="3:9" x14ac:dyDescent="0.25">
      <c r="C1023" s="610"/>
      <c r="D1023" s="843" t="s">
        <v>8</v>
      </c>
      <c r="E1023" s="843"/>
      <c r="F1023" s="855" t="s">
        <v>3</v>
      </c>
      <c r="G1023" s="852">
        <f>G1022*0.7</f>
        <v>1.001E-2</v>
      </c>
      <c r="H1023" s="842"/>
    </row>
    <row r="1024" spans="3:9" x14ac:dyDescent="0.25">
      <c r="C1024" s="610"/>
      <c r="D1024" s="843" t="s">
        <v>143</v>
      </c>
      <c r="E1024" s="843"/>
      <c r="F1024" s="855" t="s">
        <v>3</v>
      </c>
      <c r="G1024" s="852">
        <f>G1022</f>
        <v>1.43E-2</v>
      </c>
      <c r="H1024" s="842"/>
    </row>
    <row r="1025" spans="3:9" x14ac:dyDescent="0.25">
      <c r="C1025" s="610"/>
      <c r="D1025" s="843" t="s">
        <v>12</v>
      </c>
      <c r="E1025" s="843"/>
      <c r="F1025" s="855" t="s">
        <v>3</v>
      </c>
      <c r="G1025" s="852">
        <f>0.3*(G1024+G1023+G1022)</f>
        <v>1.1583E-2</v>
      </c>
      <c r="H1025" s="842"/>
    </row>
    <row r="1026" spans="3:9" x14ac:dyDescent="0.25">
      <c r="C1026" s="610"/>
      <c r="E1026" s="610" t="s">
        <v>9822</v>
      </c>
      <c r="H1026" s="842"/>
    </row>
    <row r="1027" spans="3:9" x14ac:dyDescent="0.25">
      <c r="E1027" s="746" t="s">
        <v>5071</v>
      </c>
      <c r="F1027" s="836" t="s">
        <v>3</v>
      </c>
      <c r="G1027" s="782">
        <f>0.37*0.48</f>
        <v>0.17759999999999998</v>
      </c>
      <c r="H1027" s="842"/>
      <c r="I1027" s="780" t="s">
        <v>9862</v>
      </c>
    </row>
    <row r="1028" spans="3:9" x14ac:dyDescent="0.25">
      <c r="H1028" s="842"/>
    </row>
    <row r="1029" spans="3:9" x14ac:dyDescent="0.25">
      <c r="C1029" s="610" t="s">
        <v>9823</v>
      </c>
      <c r="F1029" s="836" t="s">
        <v>2180</v>
      </c>
      <c r="H1029" s="842"/>
    </row>
    <row r="1030" spans="3:9" x14ac:dyDescent="0.25">
      <c r="D1030" s="610" t="s">
        <v>9824</v>
      </c>
      <c r="H1030" s="842"/>
    </row>
    <row r="1031" spans="3:9" x14ac:dyDescent="0.25">
      <c r="D1031" s="746" t="s">
        <v>9865</v>
      </c>
      <c r="F1031" s="836" t="s">
        <v>3</v>
      </c>
      <c r="G1031" s="782">
        <f>0.12*0.08*3*2*1.15</f>
        <v>6.6239999999999993E-2</v>
      </c>
      <c r="H1031" s="842"/>
    </row>
    <row r="1032" spans="3:9" x14ac:dyDescent="0.25">
      <c r="D1032" s="610" t="s">
        <v>9825</v>
      </c>
      <c r="H1032" s="842"/>
    </row>
    <row r="1033" spans="3:9" x14ac:dyDescent="0.25">
      <c r="D1033" s="746" t="s">
        <v>9866</v>
      </c>
      <c r="F1033" s="836" t="s">
        <v>3</v>
      </c>
      <c r="G1033" s="782">
        <f>0.12*0.08*1.5*1.2</f>
        <v>1.728E-2</v>
      </c>
      <c r="H1033" s="842"/>
    </row>
    <row r="1034" spans="3:9" x14ac:dyDescent="0.25">
      <c r="D1034" s="610" t="s">
        <v>9826</v>
      </c>
      <c r="H1034" s="842"/>
    </row>
    <row r="1035" spans="3:9" x14ac:dyDescent="0.25">
      <c r="D1035" s="746" t="s">
        <v>9867</v>
      </c>
      <c r="F1035" s="836" t="s">
        <v>3</v>
      </c>
      <c r="G1035" s="782">
        <f>0.16*0.12*0.5*8*1.15</f>
        <v>8.8319999999999982E-2</v>
      </c>
      <c r="H1035" s="842"/>
    </row>
    <row r="1036" spans="3:9" x14ac:dyDescent="0.25">
      <c r="H1036" s="842"/>
    </row>
    <row r="1037" spans="3:9" x14ac:dyDescent="0.25">
      <c r="C1037" s="610" t="s">
        <v>9827</v>
      </c>
      <c r="H1037" s="842"/>
    </row>
    <row r="1038" spans="3:9" x14ac:dyDescent="0.25">
      <c r="C1038" s="746" t="s">
        <v>9836</v>
      </c>
      <c r="F1038" s="836" t="s">
        <v>3</v>
      </c>
      <c r="G1038" s="782">
        <f>0.314*3.503</f>
        <v>1.099942</v>
      </c>
      <c r="H1038" s="842"/>
      <c r="I1038" s="780" t="s">
        <v>9843</v>
      </c>
    </row>
    <row r="1039" spans="3:9" x14ac:dyDescent="0.25">
      <c r="C1039" s="746" t="s">
        <v>72</v>
      </c>
      <c r="F1039" s="836" t="s">
        <v>3</v>
      </c>
      <c r="G1039" s="782">
        <f>3.33*0.011*2*1.16</f>
        <v>8.498159999999999E-2</v>
      </c>
      <c r="H1039" s="842"/>
    </row>
    <row r="1040" spans="3:9" x14ac:dyDescent="0.25">
      <c r="C1040" s="746" t="s">
        <v>9842</v>
      </c>
      <c r="F1040" s="836" t="s">
        <v>3</v>
      </c>
      <c r="G1040" s="782">
        <f>0.3*G1039</f>
        <v>2.5494479999999996E-2</v>
      </c>
      <c r="H1040" s="842"/>
    </row>
    <row r="1041" spans="3:9" x14ac:dyDescent="0.25">
      <c r="C1041" s="746" t="s">
        <v>8</v>
      </c>
      <c r="F1041" s="836" t="s">
        <v>3</v>
      </c>
      <c r="G1041" s="782">
        <f>G1039*0.7+0.001</f>
        <v>6.0487119999999991E-2</v>
      </c>
      <c r="H1041" s="842"/>
    </row>
    <row r="1042" spans="3:9" x14ac:dyDescent="0.25">
      <c r="C1042" s="746" t="s">
        <v>12</v>
      </c>
      <c r="F1042" s="836" t="s">
        <v>3</v>
      </c>
      <c r="G1042" s="782">
        <f>0.3*G1041</f>
        <v>1.8146135999999997E-2</v>
      </c>
      <c r="H1042" s="842"/>
    </row>
    <row r="1043" spans="3:9" x14ac:dyDescent="0.25">
      <c r="H1043" s="842"/>
    </row>
    <row r="1044" spans="3:9" x14ac:dyDescent="0.25">
      <c r="C1044" s="610" t="s">
        <v>9828</v>
      </c>
      <c r="H1044" s="842"/>
    </row>
    <row r="1045" spans="3:9" x14ac:dyDescent="0.25">
      <c r="C1045" s="746" t="s">
        <v>9836</v>
      </c>
      <c r="F1045" s="836" t="s">
        <v>3</v>
      </c>
      <c r="G1045" s="782">
        <f>0.314*0.35</f>
        <v>0.1099</v>
      </c>
      <c r="H1045" s="842"/>
      <c r="I1045" s="780" t="s">
        <v>2003</v>
      </c>
    </row>
    <row r="1046" spans="3:9" x14ac:dyDescent="0.25">
      <c r="C1046" s="746" t="s">
        <v>72</v>
      </c>
      <c r="F1046" s="836" t="s">
        <v>3</v>
      </c>
      <c r="G1046" s="782">
        <f>0.32*0.011*2*1.16</f>
        <v>8.166399999999999E-3</v>
      </c>
      <c r="H1046" s="842"/>
    </row>
    <row r="1047" spans="3:9" x14ac:dyDescent="0.25">
      <c r="C1047" s="746" t="s">
        <v>9842</v>
      </c>
      <c r="F1047" s="836" t="s">
        <v>3</v>
      </c>
      <c r="G1047" s="782">
        <f>3*G1046</f>
        <v>2.4499199999999999E-2</v>
      </c>
      <c r="H1047" s="842"/>
    </row>
    <row r="1048" spans="3:9" x14ac:dyDescent="0.25">
      <c r="C1048" s="746" t="s">
        <v>8</v>
      </c>
      <c r="F1048" s="836" t="s">
        <v>3</v>
      </c>
      <c r="G1048" s="782">
        <f>G1046*0.7+0.001</f>
        <v>6.7164799999999986E-3</v>
      </c>
      <c r="H1048" s="842"/>
    </row>
    <row r="1049" spans="3:9" x14ac:dyDescent="0.25">
      <c r="C1049" s="746" t="s">
        <v>12</v>
      </c>
      <c r="F1049" s="836" t="s">
        <v>3</v>
      </c>
      <c r="G1049" s="782">
        <f>0.3*G1048</f>
        <v>2.0149439999999994E-3</v>
      </c>
      <c r="H1049" s="842"/>
    </row>
    <row r="1050" spans="3:9" x14ac:dyDescent="0.25">
      <c r="H1050" s="842"/>
    </row>
    <row r="1051" spans="3:9" x14ac:dyDescent="0.25">
      <c r="C1051" s="610" t="s">
        <v>9829</v>
      </c>
      <c r="H1051" s="842"/>
    </row>
    <row r="1052" spans="3:9" x14ac:dyDescent="0.25">
      <c r="C1052" s="746" t="s">
        <v>9836</v>
      </c>
      <c r="F1052" s="836" t="s">
        <v>3</v>
      </c>
      <c r="G1052" s="782">
        <f>0.314*0.42</f>
        <v>0.13188</v>
      </c>
      <c r="H1052" s="842"/>
      <c r="I1052" s="780" t="s">
        <v>8786</v>
      </c>
    </row>
    <row r="1053" spans="3:9" x14ac:dyDescent="0.25">
      <c r="C1053" s="746" t="s">
        <v>72</v>
      </c>
      <c r="F1053" s="836" t="s">
        <v>3</v>
      </c>
      <c r="G1053" s="782">
        <f>0.4*0.011*2*1.2</f>
        <v>1.056E-2</v>
      </c>
      <c r="H1053" s="842"/>
    </row>
    <row r="1054" spans="3:9" x14ac:dyDescent="0.25">
      <c r="C1054" s="746" t="s">
        <v>9842</v>
      </c>
      <c r="F1054" s="836" t="s">
        <v>3</v>
      </c>
      <c r="G1054" s="782">
        <f>0.3*G1053</f>
        <v>3.1679999999999998E-3</v>
      </c>
      <c r="H1054" s="842"/>
    </row>
    <row r="1055" spans="3:9" x14ac:dyDescent="0.25">
      <c r="C1055" s="746" t="s">
        <v>8</v>
      </c>
      <c r="F1055" s="836" t="s">
        <v>3</v>
      </c>
      <c r="G1055" s="782">
        <f>G1053*0.7</f>
        <v>7.3919999999999993E-3</v>
      </c>
      <c r="H1055" s="842"/>
    </row>
    <row r="1056" spans="3:9" x14ac:dyDescent="0.25">
      <c r="C1056" s="746" t="s">
        <v>12</v>
      </c>
      <c r="F1056" s="836" t="s">
        <v>3</v>
      </c>
      <c r="G1056" s="782">
        <f>0.3*G1055</f>
        <v>2.2175999999999997E-3</v>
      </c>
      <c r="H1056" s="842"/>
    </row>
    <row r="1057" spans="1:8" x14ac:dyDescent="0.25">
      <c r="C1057" s="610"/>
      <c r="H1057" s="842"/>
    </row>
    <row r="1058" spans="1:8" x14ac:dyDescent="0.25">
      <c r="C1058" s="751" t="s">
        <v>9830</v>
      </c>
      <c r="H1058" s="842"/>
    </row>
    <row r="1059" spans="1:8" x14ac:dyDescent="0.25">
      <c r="C1059" s="746" t="s">
        <v>9863</v>
      </c>
      <c r="F1059" s="836" t="s">
        <v>3</v>
      </c>
      <c r="G1059" s="782">
        <f>0.016*1.25</f>
        <v>0.02</v>
      </c>
      <c r="H1059" s="842"/>
    </row>
    <row r="1060" spans="1:8" x14ac:dyDescent="0.25">
      <c r="H1060" s="842"/>
    </row>
    <row r="1061" spans="1:8" x14ac:dyDescent="0.25">
      <c r="C1061" s="610" t="s">
        <v>9831</v>
      </c>
      <c r="H1061" s="842"/>
    </row>
    <row r="1062" spans="1:8" x14ac:dyDescent="0.25">
      <c r="C1062" s="746" t="s">
        <v>9839</v>
      </c>
      <c r="F1062" s="836" t="s">
        <v>3</v>
      </c>
      <c r="G1062" s="782">
        <f>0.06*0.035*5*8*1.185</f>
        <v>9.9540000000000031E-2</v>
      </c>
      <c r="H1062" s="842"/>
    </row>
    <row r="1063" spans="1:8" x14ac:dyDescent="0.25">
      <c r="C1063" s="746" t="s">
        <v>72</v>
      </c>
      <c r="F1063" s="836" t="s">
        <v>3</v>
      </c>
      <c r="G1063" s="782">
        <v>5.0000000000000001E-3</v>
      </c>
      <c r="H1063" s="842"/>
    </row>
    <row r="1064" spans="1:8" x14ac:dyDescent="0.25">
      <c r="C1064" s="746" t="s">
        <v>11</v>
      </c>
      <c r="F1064" s="836" t="s">
        <v>3</v>
      </c>
      <c r="G1064" s="782">
        <f>0.3*G1063</f>
        <v>1.5E-3</v>
      </c>
      <c r="H1064" s="842"/>
    </row>
    <row r="1065" spans="1:8" x14ac:dyDescent="0.25">
      <c r="C1065" s="746" t="s">
        <v>8</v>
      </c>
      <c r="F1065" s="836" t="s">
        <v>3</v>
      </c>
      <c r="G1065" s="782">
        <v>4.0000000000000001E-3</v>
      </c>
      <c r="H1065" s="842"/>
    </row>
    <row r="1066" spans="1:8" x14ac:dyDescent="0.25">
      <c r="C1066" s="746" t="s">
        <v>12</v>
      </c>
      <c r="F1066" s="836" t="s">
        <v>3</v>
      </c>
      <c r="G1066" s="782">
        <f>0.3*G1065</f>
        <v>1.1999999999999999E-3</v>
      </c>
      <c r="H1066" s="842"/>
    </row>
    <row r="1067" spans="1:8" x14ac:dyDescent="0.25">
      <c r="H1067" s="842"/>
    </row>
    <row r="1068" spans="1:8" x14ac:dyDescent="0.25">
      <c r="C1068" s="610" t="s">
        <v>9832</v>
      </c>
      <c r="H1068" s="842"/>
    </row>
    <row r="1069" spans="1:8" x14ac:dyDescent="0.25">
      <c r="C1069" s="746" t="s">
        <v>9840</v>
      </c>
      <c r="F1069" s="836" t="s">
        <v>3</v>
      </c>
      <c r="G1069" s="782">
        <f>0.006</f>
        <v>6.0000000000000001E-3</v>
      </c>
      <c r="H1069" s="842"/>
    </row>
    <row r="1070" spans="1:8" x14ac:dyDescent="0.25">
      <c r="A1070" s="738"/>
      <c r="B1070" s="738"/>
      <c r="C1070" s="745"/>
      <c r="D1070" s="738"/>
      <c r="E1070" s="738"/>
      <c r="F1070" s="846"/>
      <c r="G1070" s="778"/>
      <c r="H1070" s="847"/>
    </row>
    <row r="1071" spans="1:8" x14ac:dyDescent="0.25">
      <c r="C1071" s="752"/>
      <c r="H1071" s="848" t="s">
        <v>10008</v>
      </c>
    </row>
    <row r="1072" spans="1:8" ht="18.75" x14ac:dyDescent="0.3">
      <c r="C1072" s="752"/>
      <c r="E1072" s="740" t="s">
        <v>10001</v>
      </c>
      <c r="H1072" s="842"/>
    </row>
    <row r="1073" spans="3:8" x14ac:dyDescent="0.25">
      <c r="C1073" s="752"/>
      <c r="H1073" s="842"/>
    </row>
    <row r="1074" spans="3:8" x14ac:dyDescent="0.25">
      <c r="C1074" s="773" t="s">
        <v>10002</v>
      </c>
      <c r="H1074" s="842"/>
    </row>
    <row r="1075" spans="3:8" x14ac:dyDescent="0.25">
      <c r="C1075" s="843" t="s">
        <v>39</v>
      </c>
      <c r="D1075" s="844"/>
      <c r="F1075" s="845" t="s">
        <v>3</v>
      </c>
      <c r="G1075" s="852">
        <f>0.12*0.08*1.3</f>
        <v>1.248E-2</v>
      </c>
      <c r="H1075" s="842"/>
    </row>
    <row r="1076" spans="3:8" ht="17.25" x14ac:dyDescent="0.25">
      <c r="C1076" s="843" t="s">
        <v>1055</v>
      </c>
      <c r="D1076" s="844"/>
      <c r="F1076" s="845" t="s">
        <v>596</v>
      </c>
      <c r="G1076" s="779">
        <f>1.5*G1075</f>
        <v>1.8720000000000001E-2</v>
      </c>
      <c r="H1076" s="842"/>
    </row>
    <row r="1077" spans="3:8" x14ac:dyDescent="0.25">
      <c r="C1077" s="843" t="s">
        <v>8</v>
      </c>
      <c r="D1077" s="844"/>
      <c r="F1077" s="845" t="s">
        <v>3</v>
      </c>
      <c r="G1077" s="779">
        <f>G1079*0.6</f>
        <v>1.7999999999999999E-2</v>
      </c>
      <c r="H1077" s="842"/>
    </row>
    <row r="1078" spans="3:8" x14ac:dyDescent="0.25">
      <c r="C1078" s="843" t="s">
        <v>12</v>
      </c>
      <c r="D1078" s="844"/>
      <c r="F1078" s="845" t="s">
        <v>3</v>
      </c>
      <c r="G1078" s="779">
        <f>0.3*G1077</f>
        <v>5.3999999999999994E-3</v>
      </c>
      <c r="H1078" s="842"/>
    </row>
    <row r="1079" spans="3:8" x14ac:dyDescent="0.25">
      <c r="C1079" s="843" t="s">
        <v>72</v>
      </c>
      <c r="D1079" s="844"/>
      <c r="F1079" s="845" t="s">
        <v>3</v>
      </c>
      <c r="G1079" s="779">
        <f>0.5*0.03*2</f>
        <v>0.03</v>
      </c>
      <c r="H1079" s="842"/>
    </row>
    <row r="1080" spans="3:8" x14ac:dyDescent="0.25">
      <c r="C1080" s="774" t="s">
        <v>11</v>
      </c>
      <c r="F1080" s="836" t="s">
        <v>3</v>
      </c>
      <c r="G1080" s="782">
        <f>0.3*G1079</f>
        <v>8.9999999999999993E-3</v>
      </c>
      <c r="H1080" s="842"/>
    </row>
    <row r="1081" spans="3:8" x14ac:dyDescent="0.25">
      <c r="C1081" s="774" t="s">
        <v>6576</v>
      </c>
      <c r="F1081" s="836" t="s">
        <v>3</v>
      </c>
      <c r="G1081" s="782">
        <v>0.02</v>
      </c>
      <c r="H1081" s="842"/>
    </row>
    <row r="1082" spans="3:8" x14ac:dyDescent="0.25">
      <c r="C1082" s="752"/>
      <c r="D1082" s="610" t="s">
        <v>10003</v>
      </c>
      <c r="H1082" s="842"/>
    </row>
    <row r="1083" spans="3:8" x14ac:dyDescent="0.25">
      <c r="C1083" s="752"/>
      <c r="D1083" s="746" t="s">
        <v>4615</v>
      </c>
      <c r="F1083" s="836" t="s">
        <v>3</v>
      </c>
      <c r="G1083" s="782">
        <f>0.635*0.03*2*8*1.115</f>
        <v>0.33985199999999999</v>
      </c>
      <c r="H1083" s="842"/>
    </row>
    <row r="1084" spans="3:8" x14ac:dyDescent="0.25">
      <c r="C1084" s="752"/>
      <c r="D1084" s="610" t="s">
        <v>10004</v>
      </c>
      <c r="H1084" s="842"/>
    </row>
    <row r="1085" spans="3:8" x14ac:dyDescent="0.25">
      <c r="C1085" s="752"/>
      <c r="D1085" s="746" t="s">
        <v>4615</v>
      </c>
      <c r="F1085" s="836" t="s">
        <v>3</v>
      </c>
      <c r="G1085" s="782">
        <f>0.14*0.03*2*8*1.11</f>
        <v>7.4592000000000019E-2</v>
      </c>
      <c r="H1085" s="842"/>
    </row>
    <row r="1086" spans="3:8" x14ac:dyDescent="0.25">
      <c r="C1086" s="752"/>
      <c r="H1086" s="842"/>
    </row>
    <row r="1087" spans="3:8" x14ac:dyDescent="0.25">
      <c r="C1087" s="773" t="s">
        <v>7005</v>
      </c>
      <c r="H1087" s="842"/>
    </row>
    <row r="1088" spans="3:8" x14ac:dyDescent="0.25">
      <c r="C1088" s="844" t="s">
        <v>140</v>
      </c>
      <c r="D1088" s="844"/>
      <c r="F1088" s="845" t="s">
        <v>3</v>
      </c>
      <c r="G1088" s="779">
        <f>0.005*3.14*0.08*1.15</f>
        <v>1.4444E-3</v>
      </c>
      <c r="H1088" s="842"/>
    </row>
    <row r="1089" spans="1:10" ht="17.25" x14ac:dyDescent="0.25">
      <c r="C1089" s="844" t="s">
        <v>23</v>
      </c>
      <c r="D1089" s="844"/>
      <c r="F1089" s="845" t="s">
        <v>596</v>
      </c>
      <c r="G1089" s="779">
        <f>G1088*2</f>
        <v>2.8888E-3</v>
      </c>
      <c r="H1089" s="842"/>
    </row>
    <row r="1090" spans="1:10" x14ac:dyDescent="0.25">
      <c r="C1090" s="844" t="s">
        <v>142</v>
      </c>
      <c r="D1090" s="844"/>
      <c r="F1090" s="845" t="s">
        <v>3</v>
      </c>
      <c r="G1090" s="779">
        <f>G1088/4+0.001</f>
        <v>1.3611000000000001E-3</v>
      </c>
      <c r="H1090" s="842"/>
    </row>
    <row r="1091" spans="1:10" x14ac:dyDescent="0.25">
      <c r="C1091" s="752"/>
      <c r="H1091" s="842"/>
    </row>
    <row r="1092" spans="1:10" x14ac:dyDescent="0.25">
      <c r="C1092" s="773" t="s">
        <v>10005</v>
      </c>
      <c r="H1092" s="842"/>
    </row>
    <row r="1093" spans="1:10" x14ac:dyDescent="0.25">
      <c r="C1093" s="746" t="s">
        <v>10007</v>
      </c>
      <c r="F1093" s="836" t="s">
        <v>3</v>
      </c>
      <c r="G1093" s="782">
        <f>0.031*0.013*2.5*8*1.15</f>
        <v>9.2689999999999995E-3</v>
      </c>
      <c r="H1093" s="842"/>
      <c r="J1093" s="864"/>
    </row>
    <row r="1094" spans="1:10" x14ac:dyDescent="0.25">
      <c r="A1094" s="738"/>
      <c r="B1094" s="738"/>
      <c r="C1094" s="745"/>
      <c r="D1094" s="738"/>
      <c r="E1094" s="738"/>
      <c r="F1094" s="846"/>
      <c r="G1094" s="776"/>
      <c r="H1094" s="847"/>
      <c r="J1094" s="864"/>
    </row>
    <row r="1095" spans="1:10" x14ac:dyDescent="0.25">
      <c r="C1095" s="610"/>
      <c r="G1095" s="739"/>
      <c r="H1095" s="848" t="s">
        <v>10008</v>
      </c>
      <c r="J1095" s="864"/>
    </row>
    <row r="1096" spans="1:10" ht="18.75" x14ac:dyDescent="0.3">
      <c r="C1096" s="610"/>
      <c r="E1096" s="740" t="s">
        <v>10009</v>
      </c>
      <c r="G1096" s="739"/>
      <c r="H1096" s="842"/>
      <c r="J1096" s="864"/>
    </row>
    <row r="1097" spans="1:10" x14ac:dyDescent="0.25">
      <c r="C1097" s="610"/>
      <c r="G1097" s="739"/>
      <c r="H1097" s="842"/>
      <c r="J1097" s="864"/>
    </row>
    <row r="1098" spans="1:10" x14ac:dyDescent="0.25">
      <c r="C1098" s="610"/>
      <c r="G1098" s="739"/>
      <c r="H1098" s="842"/>
      <c r="J1098" s="864"/>
    </row>
    <row r="1099" spans="1:10" x14ac:dyDescent="0.25">
      <c r="C1099" s="610" t="s">
        <v>10010</v>
      </c>
      <c r="G1099" s="739"/>
      <c r="H1099" s="842"/>
      <c r="J1099" s="864"/>
    </row>
    <row r="1100" spans="1:10" x14ac:dyDescent="0.25">
      <c r="C1100" s="844" t="s">
        <v>140</v>
      </c>
      <c r="D1100" s="844"/>
      <c r="F1100" s="845" t="s">
        <v>3</v>
      </c>
      <c r="G1100" s="779">
        <f>0.01*3.14*0.08*1.15</f>
        <v>2.8888E-3</v>
      </c>
      <c r="H1100" s="842"/>
      <c r="J1100" s="864"/>
    </row>
    <row r="1101" spans="1:10" ht="17.25" x14ac:dyDescent="0.25">
      <c r="C1101" s="844" t="s">
        <v>23</v>
      </c>
      <c r="D1101" s="844"/>
      <c r="F1101" s="845" t="s">
        <v>596</v>
      </c>
      <c r="G1101" s="779">
        <f>G1100*2</f>
        <v>5.7775999999999999E-3</v>
      </c>
      <c r="H1101" s="842"/>
      <c r="J1101" s="864"/>
    </row>
    <row r="1102" spans="1:10" x14ac:dyDescent="0.25">
      <c r="C1102" s="844" t="s">
        <v>142</v>
      </c>
      <c r="D1102" s="844"/>
      <c r="F1102" s="845" t="s">
        <v>3</v>
      </c>
      <c r="G1102" s="779">
        <f>G1100/4</f>
        <v>7.2219999999999999E-4</v>
      </c>
      <c r="H1102" s="842"/>
      <c r="J1102" s="864"/>
    </row>
    <row r="1103" spans="1:10" x14ac:dyDescent="0.25">
      <c r="C1103" s="843" t="s">
        <v>6248</v>
      </c>
      <c r="D1103" s="843"/>
      <c r="F1103" s="855" t="s">
        <v>3</v>
      </c>
      <c r="G1103" s="852">
        <f>0.15*0.011*2*1.3</f>
        <v>4.2899999999999995E-3</v>
      </c>
      <c r="H1103" s="842"/>
      <c r="J1103" s="864"/>
    </row>
    <row r="1104" spans="1:10" x14ac:dyDescent="0.25">
      <c r="C1104" s="843" t="s">
        <v>8</v>
      </c>
      <c r="D1104" s="843"/>
      <c r="F1104" s="855" t="s">
        <v>3</v>
      </c>
      <c r="G1104" s="852">
        <f>G1103*0.7</f>
        <v>3.0029999999999996E-3</v>
      </c>
      <c r="H1104" s="842"/>
      <c r="J1104" s="864"/>
    </row>
    <row r="1105" spans="1:10" x14ac:dyDescent="0.25">
      <c r="C1105" s="843" t="s">
        <v>12</v>
      </c>
      <c r="D1105" s="843"/>
      <c r="F1105" s="855" t="s">
        <v>3</v>
      </c>
      <c r="G1105" s="852">
        <f>0.3*(G1104+G1103)</f>
        <v>2.1878999999999996E-3</v>
      </c>
      <c r="H1105" s="842"/>
      <c r="J1105" s="864"/>
    </row>
    <row r="1106" spans="1:10" x14ac:dyDescent="0.25">
      <c r="D1106" s="78" t="s">
        <v>10011</v>
      </c>
      <c r="F1106" s="746"/>
      <c r="G1106" s="746"/>
      <c r="H1106" s="842"/>
      <c r="J1106" s="864"/>
    </row>
    <row r="1107" spans="1:10" x14ac:dyDescent="0.25">
      <c r="C1107" s="610"/>
      <c r="D1107" s="746" t="s">
        <v>9760</v>
      </c>
      <c r="F1107" s="836" t="s">
        <v>3</v>
      </c>
      <c r="G1107" s="777">
        <f>0.173*0.1</f>
        <v>1.7299999999999999E-2</v>
      </c>
      <c r="H1107" s="842"/>
      <c r="I1107" s="780" t="s">
        <v>7912</v>
      </c>
      <c r="J1107" s="864"/>
    </row>
    <row r="1108" spans="1:10" x14ac:dyDescent="0.25">
      <c r="G1108" s="739"/>
      <c r="H1108" s="842"/>
      <c r="J1108" s="864"/>
    </row>
    <row r="1109" spans="1:10" x14ac:dyDescent="0.25">
      <c r="C1109" s="610" t="s">
        <v>10012</v>
      </c>
      <c r="G1109" s="739"/>
      <c r="H1109" s="842"/>
      <c r="J1109" s="864"/>
    </row>
    <row r="1110" spans="1:10" x14ac:dyDescent="0.25">
      <c r="C1110" s="746" t="s">
        <v>10013</v>
      </c>
      <c r="F1110" s="836" t="s">
        <v>3</v>
      </c>
      <c r="G1110" s="777">
        <f>0.14*0.028*2*8*1.12</f>
        <v>7.0246400000000014E-2</v>
      </c>
      <c r="H1110" s="842"/>
      <c r="J1110" s="864"/>
    </row>
    <row r="1111" spans="1:10" x14ac:dyDescent="0.25">
      <c r="A1111" s="738"/>
      <c r="B1111" s="738"/>
      <c r="C1111" s="745"/>
      <c r="D1111" s="738"/>
      <c r="E1111" s="738"/>
      <c r="F1111" s="846"/>
      <c r="G1111" s="778"/>
      <c r="H1111" s="847"/>
      <c r="J1111" s="864"/>
    </row>
    <row r="1112" spans="1:10" x14ac:dyDescent="0.25">
      <c r="C1112" s="610"/>
      <c r="G1112" s="777"/>
      <c r="H1112" s="848" t="s">
        <v>10042</v>
      </c>
      <c r="J1112" s="864"/>
    </row>
    <row r="1113" spans="1:10" x14ac:dyDescent="0.25">
      <c r="C1113" s="610"/>
      <c r="G1113" s="777"/>
      <c r="H1113" s="842"/>
      <c r="J1113" s="864"/>
    </row>
    <row r="1114" spans="1:10" ht="18.75" x14ac:dyDescent="0.3">
      <c r="C1114" s="610"/>
      <c r="E1114" s="740" t="s">
        <v>10014</v>
      </c>
      <c r="G1114" s="777"/>
      <c r="H1114" s="842"/>
      <c r="J1114" s="864"/>
    </row>
    <row r="1115" spans="1:10" x14ac:dyDescent="0.25">
      <c r="C1115" s="610"/>
      <c r="G1115" s="777"/>
      <c r="H1115" s="842"/>
      <c r="J1115" s="864"/>
    </row>
    <row r="1116" spans="1:10" x14ac:dyDescent="0.25">
      <c r="C1116" s="610"/>
      <c r="G1116" s="777"/>
      <c r="H1116" s="842"/>
      <c r="J1116" s="864"/>
    </row>
    <row r="1117" spans="1:10" x14ac:dyDescent="0.25">
      <c r="C1117" s="610" t="s">
        <v>10015</v>
      </c>
      <c r="G1117" s="777"/>
      <c r="H1117" s="842"/>
      <c r="J1117" s="864"/>
    </row>
    <row r="1118" spans="1:10" x14ac:dyDescent="0.25">
      <c r="C1118" s="843" t="s">
        <v>39</v>
      </c>
      <c r="D1118" s="844"/>
      <c r="F1118" s="845" t="s">
        <v>3</v>
      </c>
      <c r="G1118" s="852">
        <f>(3.6+1+0.9+0.14*4+0.24+1+0.2+0.2+1+0.1*3.14*4.5)*0.08*1.2-0.001</f>
        <v>0.96984800000000004</v>
      </c>
      <c r="H1118" s="842"/>
      <c r="J1118" s="864"/>
    </row>
    <row r="1119" spans="1:10" ht="17.25" x14ac:dyDescent="0.25">
      <c r="C1119" s="843" t="s">
        <v>1055</v>
      </c>
      <c r="D1119" s="844"/>
      <c r="F1119" s="845" t="s">
        <v>596</v>
      </c>
      <c r="G1119" s="779">
        <f>1.1*G1118+0.003</f>
        <v>1.0698327999999999</v>
      </c>
      <c r="H1119" s="842"/>
      <c r="J1119" s="864"/>
    </row>
    <row r="1120" spans="1:10" x14ac:dyDescent="0.25">
      <c r="C1120" s="780" t="s">
        <v>8</v>
      </c>
      <c r="D1120" s="844"/>
      <c r="F1120" s="845" t="s">
        <v>3</v>
      </c>
      <c r="G1120" s="779">
        <f>0.65*G1121</f>
        <v>0.32500000000000001</v>
      </c>
      <c r="H1120" s="842"/>
      <c r="J1120" s="864"/>
    </row>
    <row r="1121" spans="3:10" x14ac:dyDescent="0.25">
      <c r="C1121" s="780" t="s">
        <v>442</v>
      </c>
      <c r="D1121" s="844"/>
      <c r="F1121" s="845" t="s">
        <v>3</v>
      </c>
      <c r="G1121" s="779">
        <f>(0.5*0.5*2+0.5*0.5*2+0.5*0.4*2)*0.15*2*1.2-0.004</f>
        <v>0.5</v>
      </c>
      <c r="H1121" s="842"/>
      <c r="J1121" s="864"/>
    </row>
    <row r="1122" spans="3:10" x14ac:dyDescent="0.25">
      <c r="C1122" s="780" t="s">
        <v>12</v>
      </c>
      <c r="D1122" s="844"/>
      <c r="F1122" s="845" t="s">
        <v>3</v>
      </c>
      <c r="G1122" s="779">
        <f>0.3*(G1121+G1120)+0.002</f>
        <v>0.24949999999999997</v>
      </c>
      <c r="H1122" s="842"/>
      <c r="J1122" s="864"/>
    </row>
    <row r="1123" spans="3:10" x14ac:dyDescent="0.25">
      <c r="C1123" s="834" t="s">
        <v>1021</v>
      </c>
      <c r="D1123" s="619"/>
      <c r="E1123" s="619"/>
      <c r="F1123" s="827" t="s">
        <v>3</v>
      </c>
      <c r="G1123" s="779">
        <f>(0.5*0.5*2+0.5*0.5*2+0.5*0.4*2)*0.11*2*1.3</f>
        <v>0.40040000000000003</v>
      </c>
      <c r="H1123" s="842"/>
      <c r="J1123" s="864"/>
    </row>
    <row r="1124" spans="3:10" x14ac:dyDescent="0.25">
      <c r="C1124" s="834" t="s">
        <v>661</v>
      </c>
      <c r="D1124" s="619"/>
      <c r="E1124" s="619"/>
      <c r="F1124" s="827" t="s">
        <v>3</v>
      </c>
      <c r="G1124" s="777">
        <f>G1123*0.4</f>
        <v>0.16016000000000002</v>
      </c>
      <c r="H1124" s="842"/>
      <c r="J1124" s="864"/>
    </row>
    <row r="1125" spans="3:10" x14ac:dyDescent="0.25">
      <c r="C1125" s="834" t="s">
        <v>1993</v>
      </c>
      <c r="D1125" s="619"/>
      <c r="E1125" s="619"/>
      <c r="F1125" s="827" t="s">
        <v>3</v>
      </c>
      <c r="G1125" s="777">
        <f>G1124*0.5</f>
        <v>8.0080000000000012E-2</v>
      </c>
      <c r="H1125" s="842"/>
      <c r="J1125" s="864"/>
    </row>
    <row r="1126" spans="3:10" x14ac:dyDescent="0.25">
      <c r="C1126" s="610"/>
      <c r="D1126" s="610" t="s">
        <v>10016</v>
      </c>
      <c r="G1126" s="777"/>
      <c r="H1126" s="842"/>
      <c r="J1126" s="864"/>
    </row>
    <row r="1127" spans="3:10" x14ac:dyDescent="0.25">
      <c r="C1127" s="610"/>
      <c r="D1127" s="844" t="s">
        <v>671</v>
      </c>
      <c r="E1127" s="844"/>
      <c r="F1127" s="845" t="s">
        <v>3</v>
      </c>
      <c r="G1127" s="779">
        <f>0.045*3.14*3*0.08-0.004</f>
        <v>2.9912000000000005E-2</v>
      </c>
      <c r="H1127" s="842"/>
      <c r="J1127" s="864"/>
    </row>
    <row r="1128" spans="3:10" x14ac:dyDescent="0.25">
      <c r="C1128" s="610"/>
      <c r="D1128" s="844" t="s">
        <v>672</v>
      </c>
      <c r="E1128" s="844"/>
      <c r="F1128" s="845" t="s">
        <v>3</v>
      </c>
      <c r="G1128" s="779">
        <f>G1127*2</f>
        <v>5.9824000000000009E-2</v>
      </c>
      <c r="H1128" s="842"/>
      <c r="J1128" s="864"/>
    </row>
    <row r="1129" spans="3:10" x14ac:dyDescent="0.25">
      <c r="C1129" s="610"/>
      <c r="E1129" s="610" t="s">
        <v>10017</v>
      </c>
      <c r="G1129" s="777"/>
      <c r="H1129" s="842"/>
      <c r="J1129" s="864"/>
    </row>
    <row r="1130" spans="3:10" x14ac:dyDescent="0.25">
      <c r="C1130" s="610"/>
      <c r="E1130" s="746" t="s">
        <v>10018</v>
      </c>
      <c r="F1130" s="836" t="s">
        <v>3</v>
      </c>
      <c r="G1130" s="777">
        <f>0.045*0.045*1*8*1.12</f>
        <v>1.8144E-2</v>
      </c>
      <c r="H1130" s="842"/>
      <c r="J1130" s="864"/>
    </row>
    <row r="1131" spans="3:10" x14ac:dyDescent="0.25">
      <c r="C1131" s="610"/>
      <c r="E1131" s="610" t="s">
        <v>10019</v>
      </c>
      <c r="G1131" s="777"/>
      <c r="H1131" s="842"/>
      <c r="J1131" s="864"/>
    </row>
    <row r="1132" spans="3:10" x14ac:dyDescent="0.25">
      <c r="C1132" s="610"/>
      <c r="E1132" s="746" t="s">
        <v>10018</v>
      </c>
      <c r="F1132" s="836" t="s">
        <v>3</v>
      </c>
      <c r="G1132" s="777">
        <f>0.15*0.17*1*8*1.125</f>
        <v>0.22950000000000001</v>
      </c>
      <c r="H1132" s="842"/>
      <c r="J1132" s="864"/>
    </row>
    <row r="1133" spans="3:10" x14ac:dyDescent="0.25">
      <c r="C1133" s="610"/>
      <c r="E1133" s="844" t="s">
        <v>671</v>
      </c>
      <c r="F1133" s="845" t="s">
        <v>3</v>
      </c>
      <c r="G1133" s="779">
        <f>0.17*2*0.08-0.004</f>
        <v>2.3200000000000002E-2</v>
      </c>
      <c r="H1133" s="842"/>
      <c r="J1133" s="864"/>
    </row>
    <row r="1134" spans="3:10" x14ac:dyDescent="0.25">
      <c r="C1134" s="610"/>
      <c r="E1134" s="844" t="s">
        <v>672</v>
      </c>
      <c r="F1134" s="845" t="s">
        <v>3</v>
      </c>
      <c r="G1134" s="779">
        <f>G1133*2</f>
        <v>4.6400000000000004E-2</v>
      </c>
      <c r="H1134" s="842"/>
      <c r="J1134" s="864"/>
    </row>
    <row r="1135" spans="3:10" x14ac:dyDescent="0.25">
      <c r="C1135" s="610"/>
      <c r="E1135" s="610" t="s">
        <v>10020</v>
      </c>
      <c r="G1135" s="777"/>
      <c r="H1135" s="842"/>
      <c r="J1135" s="864"/>
    </row>
    <row r="1136" spans="3:10" ht="17.25" x14ac:dyDescent="0.25">
      <c r="C1136" s="610"/>
      <c r="E1136" s="746" t="s">
        <v>10021</v>
      </c>
      <c r="F1136" s="836" t="s">
        <v>677</v>
      </c>
      <c r="G1136" s="777">
        <f>(0.045*3.14+0.005)*0.17*1.15</f>
        <v>2.8601650000000003E-2</v>
      </c>
      <c r="H1136" s="842"/>
      <c r="J1136" s="864"/>
    </row>
    <row r="1137" spans="3:10" x14ac:dyDescent="0.25">
      <c r="C1137" s="610"/>
      <c r="D1137" s="610" t="s">
        <v>10022</v>
      </c>
      <c r="F1137" s="746"/>
      <c r="G1137" s="777"/>
      <c r="H1137" s="842"/>
      <c r="J1137" s="864"/>
    </row>
    <row r="1138" spans="3:10" x14ac:dyDescent="0.25">
      <c r="C1138" s="610"/>
      <c r="D1138" s="843" t="s">
        <v>39</v>
      </c>
      <c r="E1138" s="844"/>
      <c r="F1138" s="845" t="s">
        <v>3</v>
      </c>
      <c r="G1138" s="852">
        <f>0.04*3.14*0.08*1.2</f>
        <v>1.2057600000000002E-2</v>
      </c>
      <c r="H1138" s="842"/>
      <c r="J1138" s="864"/>
    </row>
    <row r="1139" spans="3:10" ht="17.25" x14ac:dyDescent="0.25">
      <c r="C1139" s="610"/>
      <c r="D1139" s="843" t="s">
        <v>1055</v>
      </c>
      <c r="E1139" s="844"/>
      <c r="F1139" s="845" t="s">
        <v>596</v>
      </c>
      <c r="G1139" s="779">
        <f>1.1*G1138+0.003</f>
        <v>1.6263360000000004E-2</v>
      </c>
      <c r="H1139" s="842"/>
      <c r="J1139" s="864"/>
    </row>
    <row r="1140" spans="3:10" x14ac:dyDescent="0.25">
      <c r="C1140" s="610"/>
      <c r="E1140" s="610" t="s">
        <v>10023</v>
      </c>
      <c r="G1140" s="777"/>
      <c r="H1140" s="842"/>
      <c r="J1140" s="864"/>
    </row>
    <row r="1141" spans="3:10" x14ac:dyDescent="0.25">
      <c r="C1141" s="610"/>
      <c r="E1141" s="746" t="s">
        <v>10160</v>
      </c>
      <c r="F1141" s="836" t="s">
        <v>3</v>
      </c>
      <c r="G1141" s="777">
        <f>0.035*0.035*1*8</f>
        <v>9.8000000000000014E-3</v>
      </c>
      <c r="H1141" s="842"/>
      <c r="J1141" s="864"/>
    </row>
    <row r="1142" spans="3:10" x14ac:dyDescent="0.25">
      <c r="C1142" s="610"/>
      <c r="D1142" s="610" t="s">
        <v>10024</v>
      </c>
      <c r="G1142" s="777"/>
      <c r="H1142" s="842"/>
      <c r="J1142" s="864"/>
    </row>
    <row r="1143" spans="3:10" x14ac:dyDescent="0.25">
      <c r="C1143" s="610"/>
      <c r="D1143" s="746" t="s">
        <v>3001</v>
      </c>
      <c r="F1143" s="836" t="s">
        <v>3</v>
      </c>
      <c r="G1143" s="777">
        <v>2E-3</v>
      </c>
      <c r="H1143" s="842"/>
      <c r="J1143" s="864"/>
    </row>
    <row r="1144" spans="3:10" x14ac:dyDescent="0.25">
      <c r="C1144" s="610"/>
      <c r="E1144" s="610" t="s">
        <v>10025</v>
      </c>
      <c r="G1144" s="777"/>
      <c r="H1144" s="842"/>
      <c r="J1144" s="864"/>
    </row>
    <row r="1145" spans="3:10" x14ac:dyDescent="0.25">
      <c r="C1145" s="610"/>
      <c r="E1145" s="844" t="s">
        <v>671</v>
      </c>
      <c r="F1145" s="845" t="s">
        <v>3</v>
      </c>
      <c r="G1145" s="779">
        <f>0.015*3.15*0.05</f>
        <v>2.3625E-3</v>
      </c>
      <c r="H1145" s="842"/>
      <c r="J1145" s="864"/>
    </row>
    <row r="1146" spans="3:10" x14ac:dyDescent="0.25">
      <c r="C1146" s="610"/>
      <c r="E1146" s="844" t="s">
        <v>672</v>
      </c>
      <c r="F1146" s="845" t="s">
        <v>3</v>
      </c>
      <c r="G1146" s="779">
        <f>G1145*2</f>
        <v>4.725E-3</v>
      </c>
      <c r="H1146" s="842"/>
      <c r="J1146" s="864"/>
    </row>
    <row r="1147" spans="3:10" x14ac:dyDescent="0.25">
      <c r="C1147" s="610"/>
      <c r="E1147" s="787" t="s">
        <v>10026</v>
      </c>
      <c r="G1147" s="777"/>
      <c r="H1147" s="842"/>
      <c r="J1147" s="864"/>
    </row>
    <row r="1148" spans="3:10" x14ac:dyDescent="0.25">
      <c r="C1148" s="610"/>
      <c r="E1148" s="865" t="s">
        <v>10041</v>
      </c>
      <c r="F1148" s="836" t="s">
        <v>3</v>
      </c>
      <c r="G1148" s="777">
        <f>0.015*3.14*0.03*0.75*8*1.12</f>
        <v>9.4953599999999996E-3</v>
      </c>
      <c r="H1148" s="842"/>
      <c r="J1148" s="864"/>
    </row>
    <row r="1149" spans="3:10" x14ac:dyDescent="0.25">
      <c r="C1149" s="610"/>
      <c r="E1149" s="787" t="s">
        <v>10027</v>
      </c>
      <c r="G1149" s="777"/>
      <c r="H1149" s="842"/>
      <c r="J1149" s="864"/>
    </row>
    <row r="1150" spans="3:10" x14ac:dyDescent="0.25">
      <c r="C1150" s="610"/>
      <c r="E1150" s="865" t="s">
        <v>10041</v>
      </c>
      <c r="F1150" s="836" t="s">
        <v>3</v>
      </c>
      <c r="G1150" s="777">
        <f>0.02*0.02*0.75*8*1.12</f>
        <v>2.6880000000000007E-3</v>
      </c>
      <c r="H1150" s="842"/>
      <c r="J1150" s="864"/>
    </row>
    <row r="1151" spans="3:10" x14ac:dyDescent="0.25">
      <c r="C1151" s="610"/>
      <c r="D1151" s="610" t="s">
        <v>10028</v>
      </c>
      <c r="G1151" s="777"/>
      <c r="H1151" s="842"/>
      <c r="J1151" s="864"/>
    </row>
    <row r="1152" spans="3:10" x14ac:dyDescent="0.25">
      <c r="C1152" s="610"/>
      <c r="D1152" s="746" t="s">
        <v>10038</v>
      </c>
      <c r="F1152" s="836" t="s">
        <v>3</v>
      </c>
      <c r="G1152" s="782">
        <f>1.75*0.385*2*8*1.12242</f>
        <v>12.099687600000001</v>
      </c>
      <c r="H1152" s="842"/>
      <c r="J1152" s="864"/>
    </row>
    <row r="1153" spans="3:10" x14ac:dyDescent="0.25">
      <c r="C1153" s="610"/>
      <c r="D1153" s="843" t="s">
        <v>39</v>
      </c>
      <c r="E1153" s="844"/>
      <c r="F1153" s="845" t="s">
        <v>3</v>
      </c>
      <c r="G1153" s="777">
        <f>0.8*0.08*1.1</f>
        <v>7.0400000000000004E-2</v>
      </c>
      <c r="H1153" s="842"/>
      <c r="J1153" s="864"/>
    </row>
    <row r="1154" spans="3:10" ht="17.25" x14ac:dyDescent="0.25">
      <c r="C1154" s="610"/>
      <c r="D1154" s="843" t="s">
        <v>1055</v>
      </c>
      <c r="E1154" s="844"/>
      <c r="F1154" s="845" t="s">
        <v>596</v>
      </c>
      <c r="G1154" s="779">
        <f>1.5*G1153</f>
        <v>0.1056</v>
      </c>
      <c r="H1154" s="842"/>
      <c r="J1154" s="864"/>
    </row>
    <row r="1155" spans="3:10" x14ac:dyDescent="0.25">
      <c r="C1155" s="610"/>
      <c r="D1155" s="610" t="s">
        <v>10029</v>
      </c>
      <c r="G1155" s="777"/>
      <c r="H1155" s="842"/>
      <c r="J1155" s="864"/>
    </row>
    <row r="1156" spans="3:10" x14ac:dyDescent="0.25">
      <c r="C1156" s="610"/>
      <c r="D1156" s="746" t="s">
        <v>10038</v>
      </c>
      <c r="F1156" s="836" t="s">
        <v>3</v>
      </c>
      <c r="G1156" s="777">
        <f>0.39*0.41*2*8*1.1335</f>
        <v>2.8999463999999997</v>
      </c>
      <c r="H1156" s="842"/>
      <c r="J1156" s="864"/>
    </row>
    <row r="1157" spans="3:10" x14ac:dyDescent="0.25">
      <c r="C1157" s="610"/>
      <c r="D1157" s="610" t="s">
        <v>10030</v>
      </c>
      <c r="G1157" s="777"/>
      <c r="H1157" s="842"/>
      <c r="J1157" s="864"/>
    </row>
    <row r="1158" spans="3:10" x14ac:dyDescent="0.25">
      <c r="C1158" s="610"/>
      <c r="D1158" s="746" t="s">
        <v>10038</v>
      </c>
      <c r="F1158" s="836" t="s">
        <v>3</v>
      </c>
      <c r="G1158" s="777">
        <f>0.52*0.39*2*8*1.125</f>
        <v>3.6504000000000003</v>
      </c>
      <c r="H1158" s="842"/>
      <c r="J1158" s="864"/>
    </row>
    <row r="1159" spans="3:10" x14ac:dyDescent="0.25">
      <c r="C1159" s="610"/>
      <c r="D1159" s="610" t="s">
        <v>10031</v>
      </c>
      <c r="G1159" s="777"/>
      <c r="H1159" s="842"/>
      <c r="J1159" s="864"/>
    </row>
    <row r="1160" spans="3:10" x14ac:dyDescent="0.25">
      <c r="C1160" s="610"/>
      <c r="D1160" s="746" t="s">
        <v>10038</v>
      </c>
      <c r="F1160" s="836" t="s">
        <v>3</v>
      </c>
      <c r="G1160" s="777">
        <f>0.52*0.39*2*8*1.125</f>
        <v>3.6504000000000003</v>
      </c>
      <c r="H1160" s="842"/>
      <c r="J1160" s="864"/>
    </row>
    <row r="1161" spans="3:10" x14ac:dyDescent="0.25">
      <c r="C1161" s="610"/>
      <c r="D1161" s="610" t="s">
        <v>10032</v>
      </c>
      <c r="G1161" s="777"/>
      <c r="H1161" s="842"/>
      <c r="J1161" s="864"/>
    </row>
    <row r="1162" spans="3:10" x14ac:dyDescent="0.25">
      <c r="C1162" s="610"/>
      <c r="D1162" s="746" t="s">
        <v>10039</v>
      </c>
      <c r="F1162" s="836" t="s">
        <v>3</v>
      </c>
      <c r="G1162" s="777">
        <v>7.4999999999999997E-2</v>
      </c>
      <c r="H1162" s="842"/>
      <c r="I1162" s="780" t="s">
        <v>10040</v>
      </c>
      <c r="J1162" s="864"/>
    </row>
    <row r="1163" spans="3:10" x14ac:dyDescent="0.25">
      <c r="C1163" s="610"/>
      <c r="D1163" s="610" t="s">
        <v>10033</v>
      </c>
      <c r="G1163" s="777"/>
      <c r="H1163" s="842"/>
      <c r="J1163" s="864"/>
    </row>
    <row r="1164" spans="3:10" x14ac:dyDescent="0.25">
      <c r="C1164" s="610"/>
      <c r="D1164" s="746" t="s">
        <v>9621</v>
      </c>
      <c r="F1164" s="836" t="s">
        <v>3</v>
      </c>
      <c r="G1164" s="777">
        <f>0.055*0.055*3*8*1.105</f>
        <v>8.0223000000000003E-2</v>
      </c>
      <c r="H1164" s="842"/>
      <c r="J1164" s="864"/>
    </row>
    <row r="1165" spans="3:10" x14ac:dyDescent="0.25">
      <c r="C1165" s="610"/>
      <c r="D1165" s="610" t="s">
        <v>10034</v>
      </c>
      <c r="G1165" s="777"/>
      <c r="H1165" s="842"/>
      <c r="J1165" s="864"/>
    </row>
    <row r="1166" spans="3:10" x14ac:dyDescent="0.25">
      <c r="C1166" s="610"/>
      <c r="D1166" s="746" t="s">
        <v>9621</v>
      </c>
      <c r="F1166" s="836" t="s">
        <v>3</v>
      </c>
      <c r="G1166" s="777">
        <f>0.08*0.04*3*8*1.12</f>
        <v>8.6016000000000023E-2</v>
      </c>
      <c r="H1166" s="842"/>
      <c r="J1166" s="864"/>
    </row>
    <row r="1167" spans="3:10" x14ac:dyDescent="0.25">
      <c r="C1167" s="610"/>
      <c r="G1167" s="777"/>
      <c r="H1167" s="842"/>
      <c r="J1167" s="864"/>
    </row>
    <row r="1168" spans="3:10" x14ac:dyDescent="0.25">
      <c r="C1168" s="781" t="s">
        <v>10035</v>
      </c>
      <c r="D1168" s="866"/>
      <c r="G1168" s="777"/>
      <c r="H1168" s="842"/>
      <c r="J1168" s="864"/>
    </row>
    <row r="1169" spans="1:12" x14ac:dyDescent="0.25">
      <c r="C1169" s="866" t="s">
        <v>10037</v>
      </c>
      <c r="D1169" s="866"/>
      <c r="F1169" s="836" t="s">
        <v>3</v>
      </c>
      <c r="G1169" s="777">
        <f>0.15*0.17*1*8.5*1.155</f>
        <v>0.25034625000000005</v>
      </c>
      <c r="H1169" s="842"/>
      <c r="J1169" s="864"/>
    </row>
    <row r="1170" spans="1:12" x14ac:dyDescent="0.25">
      <c r="C1170" s="866"/>
      <c r="D1170" s="866"/>
      <c r="G1170" s="777"/>
      <c r="H1170" s="842"/>
      <c r="J1170" s="864"/>
    </row>
    <row r="1171" spans="1:12" s="780" customFormat="1" x14ac:dyDescent="0.25">
      <c r="A1171" s="746"/>
      <c r="B1171" s="746"/>
      <c r="C1171" s="784" t="s">
        <v>10036</v>
      </c>
      <c r="D1171" s="867"/>
      <c r="F1171" s="853"/>
      <c r="G1171" s="785"/>
      <c r="H1171" s="851"/>
      <c r="J1171" s="864"/>
      <c r="L1171" s="824"/>
    </row>
    <row r="1172" spans="1:12" x14ac:dyDescent="0.25">
      <c r="C1172" s="861" t="s">
        <v>5649</v>
      </c>
      <c r="F1172" s="859" t="s">
        <v>3</v>
      </c>
      <c r="G1172" s="860">
        <f>0.05*0.05*1*8.5*1.03</f>
        <v>2.1887500000000004E-2</v>
      </c>
      <c r="H1172" s="842"/>
      <c r="J1172" s="864"/>
    </row>
    <row r="1173" spans="1:12" x14ac:dyDescent="0.25">
      <c r="C1173" s="861" t="s">
        <v>671</v>
      </c>
      <c r="F1173" s="859" t="s">
        <v>3</v>
      </c>
      <c r="G1173" s="860">
        <f>0.002</f>
        <v>2E-3</v>
      </c>
      <c r="H1173" s="842"/>
      <c r="J1173" s="864"/>
    </row>
    <row r="1174" spans="1:12" x14ac:dyDescent="0.25">
      <c r="C1174" s="861" t="s">
        <v>672</v>
      </c>
      <c r="F1174" s="859" t="s">
        <v>3</v>
      </c>
      <c r="G1174" s="860">
        <f>G1173*2</f>
        <v>4.0000000000000001E-3</v>
      </c>
      <c r="H1174" s="842"/>
      <c r="J1174" s="864"/>
    </row>
    <row r="1175" spans="1:12" x14ac:dyDescent="0.25">
      <c r="A1175" s="738"/>
      <c r="B1175" s="738"/>
      <c r="C1175" s="745"/>
      <c r="D1175" s="738"/>
      <c r="E1175" s="738"/>
      <c r="F1175" s="846"/>
      <c r="G1175" s="778"/>
      <c r="H1175" s="847"/>
      <c r="J1175" s="864"/>
    </row>
    <row r="1176" spans="1:12" x14ac:dyDescent="0.25">
      <c r="C1176" s="610"/>
      <c r="G1176" s="777"/>
      <c r="H1176" s="848" t="s">
        <v>10371</v>
      </c>
      <c r="J1176" s="864"/>
    </row>
    <row r="1177" spans="1:12" x14ac:dyDescent="0.25">
      <c r="C1177" s="610"/>
      <c r="G1177" s="777" t="s">
        <v>9555</v>
      </c>
      <c r="H1177" s="842"/>
      <c r="J1177" s="864"/>
    </row>
    <row r="1178" spans="1:12" ht="18.75" x14ac:dyDescent="0.3">
      <c r="C1178" s="610"/>
      <c r="E1178" s="740" t="s">
        <v>9872</v>
      </c>
      <c r="H1178" s="842"/>
      <c r="J1178" s="864"/>
    </row>
    <row r="1179" spans="1:12" x14ac:dyDescent="0.25">
      <c r="C1179" s="610"/>
      <c r="H1179" s="842"/>
      <c r="J1179" s="864"/>
    </row>
    <row r="1180" spans="1:12" x14ac:dyDescent="0.25">
      <c r="C1180" s="610"/>
      <c r="H1180" s="842"/>
    </row>
    <row r="1181" spans="1:12" x14ac:dyDescent="0.25">
      <c r="C1181" s="610" t="s">
        <v>9944</v>
      </c>
      <c r="G1181" s="810" t="s">
        <v>10370</v>
      </c>
      <c r="H1181" s="842"/>
    </row>
    <row r="1182" spans="1:12" x14ac:dyDescent="0.25">
      <c r="C1182" s="610"/>
      <c r="D1182" s="610" t="s">
        <v>10362</v>
      </c>
      <c r="G1182" s="809"/>
      <c r="H1182" s="842"/>
    </row>
    <row r="1183" spans="1:12" x14ac:dyDescent="0.25">
      <c r="C1183" s="610"/>
      <c r="D1183" s="843" t="s">
        <v>39</v>
      </c>
      <c r="E1183" s="844"/>
      <c r="F1183" s="845" t="s">
        <v>3</v>
      </c>
      <c r="G1183" s="852">
        <v>0.2</v>
      </c>
      <c r="H1183" s="842"/>
    </row>
    <row r="1184" spans="1:12" ht="17.25" x14ac:dyDescent="0.25">
      <c r="C1184" s="610"/>
      <c r="D1184" s="843" t="s">
        <v>1055</v>
      </c>
      <c r="E1184" s="844"/>
      <c r="F1184" s="845" t="s">
        <v>596</v>
      </c>
      <c r="G1184" s="779">
        <f>1.1*G1183</f>
        <v>0.22000000000000003</v>
      </c>
      <c r="H1184" s="842"/>
    </row>
    <row r="1185" spans="3:8" x14ac:dyDescent="0.25">
      <c r="C1185" s="610"/>
      <c r="D1185" s="746" t="s">
        <v>8</v>
      </c>
      <c r="F1185" s="836" t="s">
        <v>3</v>
      </c>
      <c r="G1185" s="782">
        <f>G1187*0.65</f>
        <v>0.21450000000000002</v>
      </c>
      <c r="H1185" s="842"/>
    </row>
    <row r="1186" spans="3:8" x14ac:dyDescent="0.25">
      <c r="C1186" s="610"/>
      <c r="D1186" s="746" t="s">
        <v>12</v>
      </c>
      <c r="F1186" s="836" t="s">
        <v>3</v>
      </c>
      <c r="G1186" s="782">
        <f>0.3*G1185+0.001</f>
        <v>6.5350000000000005E-2</v>
      </c>
      <c r="H1186" s="842"/>
    </row>
    <row r="1187" spans="3:8" x14ac:dyDescent="0.25">
      <c r="C1187" s="610"/>
      <c r="D1187" s="746" t="s">
        <v>72</v>
      </c>
      <c r="F1187" s="836" t="s">
        <v>3</v>
      </c>
      <c r="G1187" s="782">
        <v>0.33</v>
      </c>
      <c r="H1187" s="842"/>
    </row>
    <row r="1188" spans="3:8" x14ac:dyDescent="0.25">
      <c r="C1188" s="610"/>
      <c r="D1188" s="746" t="s">
        <v>11</v>
      </c>
      <c r="F1188" s="836" t="s">
        <v>3</v>
      </c>
      <c r="G1188" s="782">
        <f>0.3*G1187+0.001</f>
        <v>0.1</v>
      </c>
      <c r="H1188" s="842"/>
    </row>
    <row r="1189" spans="3:8" x14ac:dyDescent="0.25">
      <c r="C1189" s="610"/>
      <c r="D1189" s="746" t="s">
        <v>6576</v>
      </c>
      <c r="F1189" s="836" t="s">
        <v>3</v>
      </c>
      <c r="G1189" s="782">
        <v>0.25</v>
      </c>
      <c r="H1189" s="842"/>
    </row>
    <row r="1190" spans="3:8" x14ac:dyDescent="0.25">
      <c r="C1190" s="610"/>
      <c r="D1190" s="610" t="s">
        <v>10363</v>
      </c>
      <c r="H1190" s="842"/>
    </row>
    <row r="1191" spans="3:8" x14ac:dyDescent="0.25">
      <c r="C1191" s="610"/>
      <c r="D1191" s="746" t="s">
        <v>9847</v>
      </c>
      <c r="F1191" s="836" t="s">
        <v>3</v>
      </c>
      <c r="G1191" s="782">
        <f>0.35*0.03*3*8*1.12+0.003</f>
        <v>0.28524000000000005</v>
      </c>
      <c r="H1191" s="842"/>
    </row>
    <row r="1192" spans="3:8" x14ac:dyDescent="0.25">
      <c r="C1192" s="610"/>
      <c r="D1192" s="746" t="s">
        <v>8</v>
      </c>
      <c r="F1192" s="836" t="s">
        <v>3</v>
      </c>
      <c r="G1192" s="782">
        <f>G1194*0.65</f>
        <v>9.8279999999999999E-3</v>
      </c>
      <c r="H1192" s="842"/>
    </row>
    <row r="1193" spans="3:8" x14ac:dyDescent="0.25">
      <c r="C1193" s="610"/>
      <c r="D1193" s="746" t="s">
        <v>12</v>
      </c>
      <c r="F1193" s="836" t="s">
        <v>3</v>
      </c>
      <c r="G1193" s="782">
        <f>0.3*G1192</f>
        <v>2.9483999999999999E-3</v>
      </c>
      <c r="H1193" s="842"/>
    </row>
    <row r="1194" spans="3:8" x14ac:dyDescent="0.25">
      <c r="C1194" s="610"/>
      <c r="D1194" s="746" t="s">
        <v>72</v>
      </c>
      <c r="F1194" s="836" t="s">
        <v>3</v>
      </c>
      <c r="G1194" s="782">
        <f>0.02*0.315*2*1.2</f>
        <v>1.512E-2</v>
      </c>
      <c r="H1194" s="842"/>
    </row>
    <row r="1195" spans="3:8" x14ac:dyDescent="0.25">
      <c r="C1195" s="610"/>
      <c r="D1195" s="746" t="s">
        <v>11</v>
      </c>
      <c r="F1195" s="836" t="s">
        <v>3</v>
      </c>
      <c r="G1195" s="782">
        <f>0.3*G1194</f>
        <v>4.5360000000000001E-3</v>
      </c>
      <c r="H1195" s="842"/>
    </row>
    <row r="1196" spans="3:8" x14ac:dyDescent="0.25">
      <c r="C1196" s="610"/>
      <c r="D1196" s="610" t="s">
        <v>10364</v>
      </c>
      <c r="H1196" s="842"/>
    </row>
    <row r="1197" spans="3:8" x14ac:dyDescent="0.25">
      <c r="C1197" s="610"/>
      <c r="D1197" s="746" t="s">
        <v>9847</v>
      </c>
      <c r="F1197" s="836" t="s">
        <v>3</v>
      </c>
      <c r="G1197" s="782">
        <f>0.63*0.03*3*8*1.12+0.002</f>
        <v>0.51003200000000004</v>
      </c>
      <c r="H1197" s="842"/>
    </row>
    <row r="1198" spans="3:8" x14ac:dyDescent="0.25">
      <c r="C1198" s="610"/>
      <c r="D1198" s="746" t="s">
        <v>8</v>
      </c>
      <c r="F1198" s="836" t="s">
        <v>3</v>
      </c>
      <c r="G1198" s="782">
        <f>G1200*0.65</f>
        <v>1.9656E-2</v>
      </c>
      <c r="H1198" s="842"/>
    </row>
    <row r="1199" spans="3:8" x14ac:dyDescent="0.25">
      <c r="C1199" s="610"/>
      <c r="D1199" s="746" t="s">
        <v>12</v>
      </c>
      <c r="F1199" s="836" t="s">
        <v>3</v>
      </c>
      <c r="G1199" s="782">
        <f>0.3*G1198</f>
        <v>5.8967999999999998E-3</v>
      </c>
      <c r="H1199" s="842"/>
    </row>
    <row r="1200" spans="3:8" x14ac:dyDescent="0.25">
      <c r="C1200" s="610"/>
      <c r="D1200" s="746" t="s">
        <v>72</v>
      </c>
      <c r="F1200" s="836" t="s">
        <v>3</v>
      </c>
      <c r="G1200" s="782">
        <f>0.02*0.63*2*1.2</f>
        <v>3.024E-2</v>
      </c>
      <c r="H1200" s="842"/>
    </row>
    <row r="1201" spans="1:8" x14ac:dyDescent="0.25">
      <c r="C1201" s="610"/>
      <c r="D1201" s="746" t="s">
        <v>11</v>
      </c>
      <c r="F1201" s="836" t="s">
        <v>3</v>
      </c>
      <c r="G1201" s="782">
        <f>0.3*G1200</f>
        <v>9.0720000000000002E-3</v>
      </c>
      <c r="H1201" s="842"/>
    </row>
    <row r="1202" spans="1:8" x14ac:dyDescent="0.25">
      <c r="C1202" s="610"/>
      <c r="D1202" s="610" t="s">
        <v>10365</v>
      </c>
      <c r="H1202" s="842"/>
    </row>
    <row r="1203" spans="1:8" x14ac:dyDescent="0.25">
      <c r="D1203" s="746" t="s">
        <v>9847</v>
      </c>
      <c r="F1203" s="836" t="s">
        <v>3</v>
      </c>
      <c r="G1203" s="782">
        <f>0.24*0.03*3*8*1.12+0.006</f>
        <v>0.19953600000000005</v>
      </c>
      <c r="H1203" s="842"/>
    </row>
    <row r="1204" spans="1:8" x14ac:dyDescent="0.25">
      <c r="D1204" s="746" t="s">
        <v>8</v>
      </c>
      <c r="F1204" s="836" t="s">
        <v>3</v>
      </c>
      <c r="G1204" s="782">
        <f>G1206*0.65</f>
        <v>7.4879999999999999E-3</v>
      </c>
      <c r="H1204" s="842"/>
    </row>
    <row r="1205" spans="1:8" x14ac:dyDescent="0.25">
      <c r="D1205" s="746" t="s">
        <v>12</v>
      </c>
      <c r="F1205" s="836" t="s">
        <v>3</v>
      </c>
      <c r="G1205" s="782">
        <f>0.3*G1204</f>
        <v>2.2464E-3</v>
      </c>
      <c r="H1205" s="842"/>
    </row>
    <row r="1206" spans="1:8" x14ac:dyDescent="0.25">
      <c r="D1206" s="746" t="s">
        <v>72</v>
      </c>
      <c r="F1206" s="836" t="s">
        <v>3</v>
      </c>
      <c r="G1206" s="782">
        <f>0.02*0.24*2*1.2</f>
        <v>1.1519999999999999E-2</v>
      </c>
      <c r="H1206" s="842"/>
    </row>
    <row r="1207" spans="1:8" x14ac:dyDescent="0.25">
      <c r="C1207" s="610"/>
      <c r="D1207" s="746" t="s">
        <v>11</v>
      </c>
      <c r="F1207" s="836" t="s">
        <v>3</v>
      </c>
      <c r="G1207" s="782">
        <f>0.3*G1206</f>
        <v>3.4559999999999994E-3</v>
      </c>
      <c r="H1207" s="842"/>
    </row>
    <row r="1208" spans="1:8" x14ac:dyDescent="0.25">
      <c r="C1208" s="610"/>
      <c r="H1208" s="842"/>
    </row>
    <row r="1209" spans="1:8" x14ac:dyDescent="0.25">
      <c r="C1209" s="610"/>
      <c r="D1209" s="610" t="s">
        <v>10366</v>
      </c>
      <c r="H1209" s="842"/>
    </row>
    <row r="1210" spans="1:8" x14ac:dyDescent="0.25">
      <c r="C1210" s="610"/>
      <c r="D1210" s="746" t="s">
        <v>6446</v>
      </c>
      <c r="F1210" s="836" t="s">
        <v>3</v>
      </c>
      <c r="G1210" s="782">
        <f>1.04*0.53*2*8*1.1339</f>
        <v>10.00009088</v>
      </c>
      <c r="H1210" s="842"/>
    </row>
    <row r="1211" spans="1:8" x14ac:dyDescent="0.25">
      <c r="C1211" s="610"/>
      <c r="H1211" s="842"/>
    </row>
    <row r="1212" spans="1:8" x14ac:dyDescent="0.25">
      <c r="C1212" s="610"/>
      <c r="D1212" s="610" t="s">
        <v>10367</v>
      </c>
      <c r="H1212" s="842"/>
    </row>
    <row r="1213" spans="1:8" x14ac:dyDescent="0.25">
      <c r="C1213" s="610"/>
      <c r="D1213" s="746" t="s">
        <v>6446</v>
      </c>
      <c r="F1213" s="836" t="s">
        <v>3</v>
      </c>
      <c r="G1213" s="782">
        <f>1.04*0.53*2*8*1.1339</f>
        <v>10.00009088</v>
      </c>
      <c r="H1213" s="842"/>
    </row>
    <row r="1214" spans="1:8" x14ac:dyDescent="0.25">
      <c r="C1214" s="610"/>
      <c r="H1214" s="842"/>
    </row>
    <row r="1215" spans="1:8" x14ac:dyDescent="0.25">
      <c r="C1215" s="610"/>
      <c r="D1215" s="610" t="s">
        <v>10368</v>
      </c>
      <c r="H1215" s="842"/>
    </row>
    <row r="1216" spans="1:8" x14ac:dyDescent="0.25">
      <c r="A1216" s="738"/>
      <c r="B1216" s="738"/>
      <c r="C1216" s="745"/>
      <c r="D1216" s="738" t="s">
        <v>10369</v>
      </c>
      <c r="E1216" s="738"/>
      <c r="F1216" s="846" t="s">
        <v>3</v>
      </c>
      <c r="G1216" s="778">
        <f>0.07*0.48*2*8*1.12-0.002</f>
        <v>0.60011200000000009</v>
      </c>
      <c r="H1216" s="847"/>
    </row>
    <row r="1217" spans="1:12" x14ac:dyDescent="0.25">
      <c r="C1217" s="610"/>
      <c r="H1217" s="848" t="s">
        <v>10381</v>
      </c>
    </row>
    <row r="1218" spans="1:12" x14ac:dyDescent="0.25">
      <c r="A1218" s="774"/>
      <c r="B1218" s="774"/>
      <c r="C1218" s="773"/>
      <c r="D1218" s="774"/>
      <c r="E1218" s="774"/>
      <c r="F1218" s="868"/>
      <c r="G1218" s="869"/>
      <c r="H1218" s="842"/>
    </row>
    <row r="1219" spans="1:12" ht="18.75" x14ac:dyDescent="0.3">
      <c r="A1219" s="774"/>
      <c r="B1219" s="774"/>
      <c r="C1219" s="773"/>
      <c r="D1219" s="774"/>
      <c r="E1219" s="870" t="s">
        <v>10052</v>
      </c>
      <c r="F1219" s="868"/>
      <c r="G1219" s="871"/>
      <c r="H1219" s="842"/>
      <c r="J1219" s="872"/>
      <c r="K1219" s="746" t="s">
        <v>10156</v>
      </c>
    </row>
    <row r="1220" spans="1:12" x14ac:dyDescent="0.25">
      <c r="A1220" s="774"/>
      <c r="B1220" s="774"/>
      <c r="C1220" s="814"/>
      <c r="D1220" s="813"/>
      <c r="E1220" s="813"/>
      <c r="F1220" s="873"/>
      <c r="G1220" s="871"/>
      <c r="H1220" s="842"/>
      <c r="J1220" s="864"/>
    </row>
    <row r="1221" spans="1:12" x14ac:dyDescent="0.25">
      <c r="A1221" s="774"/>
      <c r="B1221" s="774"/>
      <c r="C1221" s="814"/>
      <c r="D1221" s="813"/>
      <c r="E1221" s="813"/>
      <c r="F1221" s="873"/>
      <c r="G1221" s="871"/>
      <c r="H1221" s="842"/>
      <c r="J1221" s="864"/>
    </row>
    <row r="1222" spans="1:12" x14ac:dyDescent="0.25">
      <c r="A1222" s="774"/>
      <c r="B1222" s="774">
        <v>15</v>
      </c>
      <c r="C1222" s="814" t="s">
        <v>10053</v>
      </c>
      <c r="D1222" s="813"/>
      <c r="E1222" s="813"/>
      <c r="F1222" s="873"/>
      <c r="G1222" s="871"/>
      <c r="H1222" s="842"/>
      <c r="J1222" s="864"/>
    </row>
    <row r="1223" spans="1:12" x14ac:dyDescent="0.25">
      <c r="A1223" s="774"/>
      <c r="B1223" s="774"/>
      <c r="C1223" s="813" t="s">
        <v>114</v>
      </c>
      <c r="D1223" s="813"/>
      <c r="E1223" s="813"/>
      <c r="F1223" s="873" t="s">
        <v>3</v>
      </c>
      <c r="G1223" s="871">
        <f>G1225*0.65</f>
        <v>1.6087499999999998E-2</v>
      </c>
      <c r="H1223" s="842"/>
      <c r="J1223" s="864"/>
    </row>
    <row r="1224" spans="1:12" x14ac:dyDescent="0.25">
      <c r="A1224" s="774"/>
      <c r="B1224" s="774"/>
      <c r="C1224" s="813" t="s">
        <v>164</v>
      </c>
      <c r="D1224" s="813"/>
      <c r="E1224" s="813"/>
      <c r="F1224" s="873" t="s">
        <v>3</v>
      </c>
      <c r="G1224" s="871">
        <f>0.3*G1223</f>
        <v>4.8262499999999989E-3</v>
      </c>
      <c r="H1224" s="842"/>
      <c r="J1224" s="864"/>
    </row>
    <row r="1225" spans="1:12" x14ac:dyDescent="0.25">
      <c r="A1225" s="774"/>
      <c r="B1225" s="774"/>
      <c r="C1225" s="813" t="s">
        <v>442</v>
      </c>
      <c r="D1225" s="813"/>
      <c r="E1225" s="813"/>
      <c r="F1225" s="873" t="s">
        <v>3</v>
      </c>
      <c r="G1225" s="871">
        <f>J1228*0.011*2*1.25</f>
        <v>2.4749999999999998E-2</v>
      </c>
      <c r="H1225" s="842"/>
      <c r="J1225" s="864"/>
    </row>
    <row r="1226" spans="1:12" x14ac:dyDescent="0.25">
      <c r="A1226" s="774"/>
      <c r="B1226" s="774"/>
      <c r="C1226" s="813" t="s">
        <v>12</v>
      </c>
      <c r="D1226" s="813"/>
      <c r="E1226" s="813"/>
      <c r="F1226" s="873" t="s">
        <v>3</v>
      </c>
      <c r="G1226" s="871">
        <f>0.3*G1225</f>
        <v>7.4249999999999993E-3</v>
      </c>
      <c r="H1226" s="842"/>
      <c r="J1226" s="864"/>
    </row>
    <row r="1227" spans="1:12" x14ac:dyDescent="0.25">
      <c r="A1227" s="774"/>
      <c r="B1227" s="774"/>
      <c r="C1227" s="813"/>
      <c r="D1227" s="814" t="s">
        <v>10054</v>
      </c>
      <c r="E1227" s="813"/>
      <c r="F1227" s="873"/>
      <c r="G1227" s="871"/>
      <c r="H1227" s="842"/>
      <c r="J1227" s="864"/>
    </row>
    <row r="1228" spans="1:12" x14ac:dyDescent="0.25">
      <c r="A1228" s="774"/>
      <c r="B1228" s="774"/>
      <c r="C1228" s="813"/>
      <c r="D1228" s="813" t="s">
        <v>9693</v>
      </c>
      <c r="E1228" s="813"/>
      <c r="F1228" s="873" t="s">
        <v>3</v>
      </c>
      <c r="G1228" s="871">
        <f>0.321*L1228</f>
        <v>0.30815999999999999</v>
      </c>
      <c r="H1228" s="842"/>
      <c r="I1228" s="874" t="s">
        <v>10567</v>
      </c>
      <c r="J1228" s="864">
        <v>0.9</v>
      </c>
      <c r="K1228" s="874" t="s">
        <v>10150</v>
      </c>
      <c r="L1228" s="825">
        <v>0.96</v>
      </c>
    </row>
    <row r="1229" spans="1:12" x14ac:dyDescent="0.25">
      <c r="A1229" s="774"/>
      <c r="B1229" s="774"/>
      <c r="C1229" s="813"/>
      <c r="D1229" s="813"/>
      <c r="E1229" s="813"/>
      <c r="F1229" s="873"/>
      <c r="G1229" s="871"/>
      <c r="H1229" s="842"/>
      <c r="J1229" s="864"/>
    </row>
    <row r="1230" spans="1:12" x14ac:dyDescent="0.25">
      <c r="A1230" s="774"/>
      <c r="B1230" s="774"/>
      <c r="C1230" s="814" t="s">
        <v>10055</v>
      </c>
      <c r="D1230" s="813"/>
      <c r="E1230" s="813"/>
      <c r="F1230" s="873" t="s">
        <v>10380</v>
      </c>
      <c r="G1230" s="871"/>
      <c r="H1230" s="842"/>
      <c r="J1230" s="864"/>
    </row>
    <row r="1231" spans="1:12" x14ac:dyDescent="0.25">
      <c r="A1231" s="774"/>
      <c r="B1231" s="774"/>
      <c r="C1231" s="263" t="s">
        <v>10058</v>
      </c>
      <c r="D1231" s="263"/>
      <c r="E1231" s="813"/>
      <c r="F1231" s="875" t="s">
        <v>3</v>
      </c>
      <c r="G1231" s="876">
        <f>(0.025*3.14+0.015*3.14)*0.08*1.1</f>
        <v>1.1052800000000003E-2</v>
      </c>
      <c r="H1231" s="842"/>
      <c r="J1231" s="864"/>
    </row>
    <row r="1232" spans="1:12" ht="17.25" x14ac:dyDescent="0.25">
      <c r="A1232" s="774"/>
      <c r="B1232" s="774"/>
      <c r="C1232" s="263" t="s">
        <v>121</v>
      </c>
      <c r="D1232" s="263"/>
      <c r="E1232" s="813"/>
      <c r="F1232" s="875" t="s">
        <v>10568</v>
      </c>
      <c r="G1232" s="876">
        <f>G1231*1.1</f>
        <v>1.2158080000000005E-2</v>
      </c>
      <c r="H1232" s="842"/>
      <c r="J1232" s="864"/>
    </row>
    <row r="1233" spans="1:14" x14ac:dyDescent="0.25">
      <c r="A1233" s="774"/>
      <c r="B1233" s="774"/>
      <c r="C1233" s="813" t="s">
        <v>114</v>
      </c>
      <c r="D1233" s="813"/>
      <c r="E1233" s="813"/>
      <c r="F1233" s="873" t="s">
        <v>3</v>
      </c>
      <c r="G1233" s="871">
        <f>G1235*0.65</f>
        <v>1.5787200000000001E-2</v>
      </c>
      <c r="H1233" s="842"/>
      <c r="J1233" s="864"/>
    </row>
    <row r="1234" spans="1:14" x14ac:dyDescent="0.25">
      <c r="A1234" s="774"/>
      <c r="B1234" s="774"/>
      <c r="C1234" s="813" t="s">
        <v>164</v>
      </c>
      <c r="D1234" s="813"/>
      <c r="E1234" s="813"/>
      <c r="F1234" s="873" t="s">
        <v>3</v>
      </c>
      <c r="G1234" s="871">
        <f>0.3*G1233</f>
        <v>4.7361600000000005E-3</v>
      </c>
      <c r="H1234" s="842"/>
      <c r="J1234" s="864"/>
    </row>
    <row r="1235" spans="1:14" x14ac:dyDescent="0.25">
      <c r="A1235" s="774"/>
      <c r="B1235" s="774"/>
      <c r="C1235" s="813" t="s">
        <v>442</v>
      </c>
      <c r="D1235" s="813"/>
      <c r="E1235" s="813"/>
      <c r="F1235" s="873" t="s">
        <v>3</v>
      </c>
      <c r="G1235" s="871">
        <f>J1238*0.011*2*1.2</f>
        <v>2.4288000000000001E-2</v>
      </c>
      <c r="H1235" s="842"/>
      <c r="J1235" s="864"/>
      <c r="K1235" s="780"/>
      <c r="L1235" s="824"/>
    </row>
    <row r="1236" spans="1:14" x14ac:dyDescent="0.25">
      <c r="A1236" s="774"/>
      <c r="B1236" s="774"/>
      <c r="C1236" s="813" t="s">
        <v>12</v>
      </c>
      <c r="D1236" s="813"/>
      <c r="E1236" s="813"/>
      <c r="F1236" s="873" t="s">
        <v>3</v>
      </c>
      <c r="G1236" s="871">
        <f>0.3*G1235</f>
        <v>7.2864000000000002E-3</v>
      </c>
      <c r="H1236" s="842"/>
      <c r="J1236" s="864"/>
      <c r="K1236" s="780"/>
      <c r="L1236" s="824"/>
    </row>
    <row r="1237" spans="1:14" x14ac:dyDescent="0.25">
      <c r="A1237" s="774"/>
      <c r="B1237" s="774"/>
      <c r="C1237" s="813"/>
      <c r="D1237" s="814" t="s">
        <v>10056</v>
      </c>
      <c r="E1237" s="813"/>
      <c r="F1237" s="873"/>
      <c r="G1237" s="871"/>
      <c r="H1237" s="842"/>
      <c r="J1237" s="864"/>
      <c r="K1237" s="780"/>
      <c r="L1237" s="824"/>
    </row>
    <row r="1238" spans="1:14" x14ac:dyDescent="0.25">
      <c r="A1238" s="774"/>
      <c r="B1238" s="774"/>
      <c r="C1238" s="813"/>
      <c r="D1238" s="813" t="s">
        <v>10057</v>
      </c>
      <c r="E1238" s="813"/>
      <c r="F1238" s="873" t="s">
        <v>3</v>
      </c>
      <c r="G1238" s="871">
        <f>0.592*L1238</f>
        <v>0.59199999999999997</v>
      </c>
      <c r="H1238" s="842"/>
      <c r="I1238" s="874" t="s">
        <v>10567</v>
      </c>
      <c r="J1238" s="864">
        <v>0.92</v>
      </c>
      <c r="K1238" s="874" t="s">
        <v>10150</v>
      </c>
      <c r="L1238" s="824">
        <v>1</v>
      </c>
      <c r="N1238" s="746" t="s">
        <v>10372</v>
      </c>
    </row>
    <row r="1239" spans="1:14" x14ac:dyDescent="0.25">
      <c r="A1239" s="774"/>
      <c r="B1239" s="774"/>
      <c r="C1239" s="814"/>
      <c r="D1239" s="813"/>
      <c r="E1239" s="813"/>
      <c r="F1239" s="873"/>
      <c r="G1239" s="871"/>
      <c r="H1239" s="842"/>
      <c r="J1239" s="864">
        <v>0.85</v>
      </c>
      <c r="K1239" s="824"/>
      <c r="L1239" s="824">
        <v>0.95</v>
      </c>
      <c r="N1239" s="746" t="s">
        <v>10379</v>
      </c>
    </row>
    <row r="1240" spans="1:14" x14ac:dyDescent="0.25">
      <c r="A1240" s="774"/>
      <c r="B1240" s="774">
        <v>17</v>
      </c>
      <c r="C1240" s="814" t="s">
        <v>10059</v>
      </c>
      <c r="D1240" s="813"/>
      <c r="E1240" s="813"/>
      <c r="F1240" s="873"/>
      <c r="G1240" s="871"/>
      <c r="H1240" s="842"/>
      <c r="K1240" s="780"/>
      <c r="L1240" s="824"/>
    </row>
    <row r="1241" spans="1:14" x14ac:dyDescent="0.25">
      <c r="A1241" s="774"/>
      <c r="B1241" s="774"/>
      <c r="C1241" s="813" t="s">
        <v>114</v>
      </c>
      <c r="D1241" s="813"/>
      <c r="E1241" s="813"/>
      <c r="F1241" s="873" t="s">
        <v>3</v>
      </c>
      <c r="G1241" s="871">
        <f>G1243*0.65</f>
        <v>1.4071199999999999E-2</v>
      </c>
      <c r="H1241" s="842"/>
      <c r="J1241" s="864"/>
    </row>
    <row r="1242" spans="1:14" x14ac:dyDescent="0.25">
      <c r="A1242" s="774"/>
      <c r="B1242" s="774"/>
      <c r="C1242" s="813" t="s">
        <v>164</v>
      </c>
      <c r="D1242" s="813"/>
      <c r="E1242" s="813"/>
      <c r="F1242" s="873" t="s">
        <v>3</v>
      </c>
      <c r="G1242" s="871">
        <f>0.3*G1241</f>
        <v>4.2213599999999995E-3</v>
      </c>
      <c r="H1242" s="842"/>
      <c r="J1242" s="864"/>
    </row>
    <row r="1243" spans="1:14" x14ac:dyDescent="0.25">
      <c r="A1243" s="774"/>
      <c r="B1243" s="774"/>
      <c r="C1243" s="813" t="s">
        <v>442</v>
      </c>
      <c r="D1243" s="813"/>
      <c r="E1243" s="813"/>
      <c r="F1243" s="873" t="s">
        <v>3</v>
      </c>
      <c r="G1243" s="871">
        <f>J1246*0.011*2*1.2</f>
        <v>2.1647999999999997E-2</v>
      </c>
      <c r="H1243" s="842"/>
      <c r="J1243" s="864"/>
    </row>
    <row r="1244" spans="1:14" x14ac:dyDescent="0.25">
      <c r="A1244" s="774"/>
      <c r="B1244" s="774"/>
      <c r="C1244" s="813" t="s">
        <v>12</v>
      </c>
      <c r="D1244" s="813"/>
      <c r="E1244" s="813"/>
      <c r="F1244" s="873" t="s">
        <v>3</v>
      </c>
      <c r="G1244" s="871">
        <f>0.3*G1243</f>
        <v>6.4943999999999991E-3</v>
      </c>
      <c r="H1244" s="842"/>
      <c r="J1244" s="864"/>
    </row>
    <row r="1245" spans="1:14" x14ac:dyDescent="0.25">
      <c r="A1245" s="774"/>
      <c r="B1245" s="774"/>
      <c r="C1245" s="813"/>
      <c r="D1245" s="814" t="s">
        <v>10060</v>
      </c>
      <c r="E1245" s="813"/>
      <c r="F1245" s="873"/>
      <c r="G1245" s="871"/>
      <c r="H1245" s="842"/>
      <c r="J1245" s="864"/>
    </row>
    <row r="1246" spans="1:14" x14ac:dyDescent="0.25">
      <c r="A1246" s="774"/>
      <c r="B1246" s="774"/>
      <c r="C1246" s="813"/>
      <c r="D1246" s="813" t="s">
        <v>9693</v>
      </c>
      <c r="E1246" s="813"/>
      <c r="F1246" s="873" t="s">
        <v>3</v>
      </c>
      <c r="G1246" s="871">
        <f>0.321*L1246</f>
        <v>0.28889999999999999</v>
      </c>
      <c r="H1246" s="842"/>
      <c r="I1246" s="874" t="s">
        <v>10567</v>
      </c>
      <c r="J1246" s="864">
        <v>0.82</v>
      </c>
      <c r="K1246" s="874" t="s">
        <v>10150</v>
      </c>
      <c r="L1246" s="825">
        <v>0.9</v>
      </c>
    </row>
    <row r="1247" spans="1:14" x14ac:dyDescent="0.25">
      <c r="A1247" s="774"/>
      <c r="B1247" s="774"/>
      <c r="C1247" s="814"/>
      <c r="D1247" s="813"/>
      <c r="E1247" s="813"/>
      <c r="F1247" s="873"/>
      <c r="G1247" s="871"/>
      <c r="H1247" s="842"/>
      <c r="J1247" s="864"/>
    </row>
    <row r="1248" spans="1:14" x14ac:dyDescent="0.25">
      <c r="A1248" s="774"/>
      <c r="B1248" s="774">
        <v>18</v>
      </c>
      <c r="C1248" s="814" t="s">
        <v>10061</v>
      </c>
      <c r="D1248" s="813"/>
      <c r="E1248" s="813"/>
      <c r="F1248" s="873" t="s">
        <v>10380</v>
      </c>
      <c r="G1248" s="871"/>
      <c r="H1248" s="842"/>
      <c r="J1248" s="864"/>
    </row>
    <row r="1249" spans="1:14" x14ac:dyDescent="0.25">
      <c r="A1249" s="774"/>
      <c r="B1249" s="774"/>
      <c r="C1249" s="263" t="s">
        <v>10058</v>
      </c>
      <c r="D1249" s="263"/>
      <c r="E1249" s="813"/>
      <c r="F1249" s="875" t="s">
        <v>3</v>
      </c>
      <c r="G1249" s="876">
        <f>(0.014*3.14)*0.08*1.2</f>
        <v>4.2201600000000006E-3</v>
      </c>
      <c r="H1249" s="842"/>
      <c r="J1249" s="864"/>
    </row>
    <row r="1250" spans="1:14" ht="17.25" x14ac:dyDescent="0.25">
      <c r="A1250" s="774"/>
      <c r="B1250" s="774"/>
      <c r="C1250" s="263" t="s">
        <v>121</v>
      </c>
      <c r="D1250" s="263"/>
      <c r="E1250" s="813"/>
      <c r="F1250" s="875" t="s">
        <v>10568</v>
      </c>
      <c r="G1250" s="876">
        <f>G1249*1.1</f>
        <v>4.6421760000000013E-3</v>
      </c>
      <c r="H1250" s="842"/>
      <c r="J1250" s="864"/>
    </row>
    <row r="1251" spans="1:14" x14ac:dyDescent="0.25">
      <c r="A1251" s="774"/>
      <c r="B1251" s="774"/>
      <c r="C1251" s="813" t="s">
        <v>114</v>
      </c>
      <c r="D1251" s="813"/>
      <c r="E1251" s="813"/>
      <c r="F1251" s="873" t="s">
        <v>3</v>
      </c>
      <c r="G1251" s="871">
        <f>G1253*0.7</f>
        <v>3.1415999999999993E-2</v>
      </c>
      <c r="H1251" s="842"/>
      <c r="J1251" s="864"/>
    </row>
    <row r="1252" spans="1:14" x14ac:dyDescent="0.25">
      <c r="A1252" s="774"/>
      <c r="B1252" s="774"/>
      <c r="C1252" s="813" t="s">
        <v>164</v>
      </c>
      <c r="D1252" s="813"/>
      <c r="E1252" s="813"/>
      <c r="F1252" s="873" t="s">
        <v>3</v>
      </c>
      <c r="G1252" s="871">
        <f>0.3*G1251</f>
        <v>9.4247999999999971E-3</v>
      </c>
      <c r="H1252" s="842"/>
      <c r="J1252" s="864"/>
    </row>
    <row r="1253" spans="1:14" x14ac:dyDescent="0.25">
      <c r="A1253" s="774"/>
      <c r="B1253" s="774"/>
      <c r="C1253" s="813" t="s">
        <v>442</v>
      </c>
      <c r="D1253" s="813"/>
      <c r="E1253" s="813"/>
      <c r="F1253" s="873" t="s">
        <v>3</v>
      </c>
      <c r="G1253" s="871">
        <f>1.7*0.011*2*1.2</f>
        <v>4.4879999999999996E-2</v>
      </c>
      <c r="H1253" s="842"/>
      <c r="J1253" s="864"/>
    </row>
    <row r="1254" spans="1:14" x14ac:dyDescent="0.25">
      <c r="A1254" s="774"/>
      <c r="B1254" s="774"/>
      <c r="C1254" s="813" t="s">
        <v>12</v>
      </c>
      <c r="D1254" s="813"/>
      <c r="E1254" s="813"/>
      <c r="F1254" s="873" t="s">
        <v>3</v>
      </c>
      <c r="G1254" s="871">
        <f>0.3*G1253</f>
        <v>1.3463999999999999E-2</v>
      </c>
      <c r="H1254" s="842"/>
      <c r="J1254" s="864"/>
    </row>
    <row r="1255" spans="1:14" x14ac:dyDescent="0.25">
      <c r="A1255" s="774"/>
      <c r="B1255" s="774"/>
      <c r="C1255" s="814"/>
      <c r="D1255" s="814" t="s">
        <v>10062</v>
      </c>
      <c r="E1255" s="813"/>
      <c r="F1255" s="873"/>
      <c r="G1255" s="871"/>
      <c r="H1255" s="842"/>
    </row>
    <row r="1256" spans="1:14" x14ac:dyDescent="0.25">
      <c r="A1256" s="774"/>
      <c r="B1256" s="774"/>
      <c r="C1256" s="814"/>
      <c r="D1256" s="813" t="s">
        <v>9693</v>
      </c>
      <c r="E1256" s="813"/>
      <c r="F1256" s="873" t="s">
        <v>3</v>
      </c>
      <c r="G1256" s="871">
        <f>0.321*L1256+0.002</f>
        <v>0.86870000000000003</v>
      </c>
      <c r="H1256" s="842"/>
      <c r="I1256" s="874" t="s">
        <v>10567</v>
      </c>
      <c r="J1256" s="864">
        <f>1.63+0.95</f>
        <v>2.58</v>
      </c>
      <c r="K1256" s="874" t="s">
        <v>10150</v>
      </c>
      <c r="L1256" s="825">
        <v>2.7</v>
      </c>
      <c r="N1256" s="746" t="s">
        <v>10372</v>
      </c>
    </row>
    <row r="1257" spans="1:14" x14ac:dyDescent="0.25">
      <c r="A1257" s="774"/>
      <c r="B1257" s="774"/>
      <c r="C1257" s="814"/>
      <c r="D1257" s="813"/>
      <c r="E1257" s="813"/>
      <c r="F1257" s="873"/>
      <c r="G1257" s="871"/>
      <c r="H1257" s="842"/>
      <c r="J1257" s="864">
        <v>1.67</v>
      </c>
      <c r="K1257" s="874"/>
      <c r="L1257" s="825">
        <v>1.8</v>
      </c>
      <c r="N1257" s="746" t="s">
        <v>10379</v>
      </c>
    </row>
    <row r="1258" spans="1:14" x14ac:dyDescent="0.25">
      <c r="A1258" s="774"/>
      <c r="B1258" s="774">
        <v>19</v>
      </c>
      <c r="C1258" s="814" t="s">
        <v>10063</v>
      </c>
      <c r="D1258" s="813"/>
      <c r="E1258" s="813"/>
      <c r="F1258" s="873" t="s">
        <v>10380</v>
      </c>
      <c r="G1258" s="871"/>
      <c r="H1258" s="842"/>
    </row>
    <row r="1259" spans="1:14" x14ac:dyDescent="0.25">
      <c r="A1259" s="774"/>
      <c r="B1259" s="774"/>
      <c r="C1259" s="263" t="s">
        <v>10058</v>
      </c>
      <c r="D1259" s="263"/>
      <c r="E1259" s="813"/>
      <c r="F1259" s="875" t="s">
        <v>3</v>
      </c>
      <c r="G1259" s="876">
        <f>(0.014*3.14*2)*0.08*1.2</f>
        <v>8.4403200000000012E-3</v>
      </c>
      <c r="H1259" s="842"/>
      <c r="J1259" s="864"/>
    </row>
    <row r="1260" spans="1:14" ht="17.25" x14ac:dyDescent="0.25">
      <c r="A1260" s="774"/>
      <c r="B1260" s="774"/>
      <c r="C1260" s="263" t="s">
        <v>121</v>
      </c>
      <c r="D1260" s="263"/>
      <c r="E1260" s="813"/>
      <c r="F1260" s="875" t="s">
        <v>10568</v>
      </c>
      <c r="G1260" s="876">
        <f>G1259*1.1</f>
        <v>9.2843520000000027E-3</v>
      </c>
      <c r="H1260" s="842"/>
      <c r="J1260" s="864"/>
      <c r="L1260" s="792"/>
    </row>
    <row r="1261" spans="1:14" x14ac:dyDescent="0.25">
      <c r="A1261" s="774"/>
      <c r="B1261" s="774"/>
      <c r="C1261" s="813" t="s">
        <v>114</v>
      </c>
      <c r="D1261" s="813"/>
      <c r="E1261" s="813"/>
      <c r="F1261" s="873" t="s">
        <v>3</v>
      </c>
      <c r="G1261" s="871">
        <f>G1263*0.7</f>
        <v>3.1415999999999993E-2</v>
      </c>
      <c r="H1261" s="842"/>
      <c r="J1261" s="864"/>
    </row>
    <row r="1262" spans="1:14" x14ac:dyDescent="0.25">
      <c r="A1262" s="774"/>
      <c r="B1262" s="774"/>
      <c r="C1262" s="813" t="s">
        <v>164</v>
      </c>
      <c r="D1262" s="813"/>
      <c r="E1262" s="813"/>
      <c r="F1262" s="873" t="s">
        <v>3</v>
      </c>
      <c r="G1262" s="871">
        <f>0.3*G1261</f>
        <v>9.4247999999999971E-3</v>
      </c>
      <c r="H1262" s="842"/>
      <c r="J1262" s="864"/>
    </row>
    <row r="1263" spans="1:14" x14ac:dyDescent="0.25">
      <c r="A1263" s="774"/>
      <c r="B1263" s="774"/>
      <c r="C1263" s="813" t="s">
        <v>442</v>
      </c>
      <c r="D1263" s="813"/>
      <c r="E1263" s="813"/>
      <c r="F1263" s="873" t="s">
        <v>3</v>
      </c>
      <c r="G1263" s="871">
        <f>1.7*0.011*2*1.2</f>
        <v>4.4879999999999996E-2</v>
      </c>
      <c r="H1263" s="842"/>
      <c r="J1263" s="864"/>
    </row>
    <row r="1264" spans="1:14" x14ac:dyDescent="0.25">
      <c r="A1264" s="774"/>
      <c r="B1264" s="774"/>
      <c r="C1264" s="813" t="s">
        <v>12</v>
      </c>
      <c r="D1264" s="813"/>
      <c r="E1264" s="813"/>
      <c r="F1264" s="873" t="s">
        <v>3</v>
      </c>
      <c r="G1264" s="871">
        <f>0.3*G1263</f>
        <v>1.3463999999999999E-2</v>
      </c>
      <c r="H1264" s="842"/>
      <c r="J1264" s="864"/>
    </row>
    <row r="1265" spans="1:14" x14ac:dyDescent="0.25">
      <c r="A1265" s="774"/>
      <c r="B1265" s="774"/>
      <c r="C1265" s="814"/>
      <c r="D1265" s="814" t="s">
        <v>10064</v>
      </c>
      <c r="E1265" s="813"/>
      <c r="F1265" s="873"/>
      <c r="G1265" s="871"/>
      <c r="H1265" s="842"/>
      <c r="J1265" s="864"/>
    </row>
    <row r="1266" spans="1:14" x14ac:dyDescent="0.25">
      <c r="A1266" s="774"/>
      <c r="B1266" s="774"/>
      <c r="C1266" s="814"/>
      <c r="D1266" s="813" t="s">
        <v>9693</v>
      </c>
      <c r="E1266" s="813"/>
      <c r="F1266" s="873" t="s">
        <v>3</v>
      </c>
      <c r="G1266" s="871">
        <f>0.321*L1266+0.002</f>
        <v>0.96500000000000008</v>
      </c>
      <c r="H1266" s="842"/>
      <c r="I1266" s="874" t="s">
        <v>10567</v>
      </c>
      <c r="J1266" s="864">
        <f>1.04+1.8</f>
        <v>2.84</v>
      </c>
      <c r="K1266" s="874" t="s">
        <v>10150</v>
      </c>
      <c r="L1266" s="824">
        <f>3</f>
        <v>3</v>
      </c>
      <c r="M1266" s="780"/>
      <c r="N1266" s="746" t="s">
        <v>10372</v>
      </c>
    </row>
    <row r="1267" spans="1:14" x14ac:dyDescent="0.25">
      <c r="A1267" s="774"/>
      <c r="B1267" s="774"/>
      <c r="C1267" s="814"/>
      <c r="D1267" s="813"/>
      <c r="E1267" s="813"/>
      <c r="F1267" s="873"/>
      <c r="G1267" s="871"/>
      <c r="H1267" s="842"/>
      <c r="J1267" s="864">
        <v>1.67</v>
      </c>
      <c r="K1267" s="874"/>
      <c r="L1267" s="824">
        <v>1.8</v>
      </c>
      <c r="M1267" s="780"/>
      <c r="N1267" s="746" t="s">
        <v>10379</v>
      </c>
    </row>
    <row r="1268" spans="1:14" x14ac:dyDescent="0.25">
      <c r="A1268" s="774"/>
      <c r="B1268" s="774">
        <v>21</v>
      </c>
      <c r="C1268" s="814" t="s">
        <v>10065</v>
      </c>
      <c r="D1268" s="813"/>
      <c r="E1268" s="813"/>
      <c r="F1268" s="873"/>
      <c r="G1268" s="871"/>
      <c r="H1268" s="842"/>
    </row>
    <row r="1269" spans="1:14" x14ac:dyDescent="0.25">
      <c r="A1269" s="774"/>
      <c r="B1269" s="774"/>
      <c r="C1269" s="263" t="s">
        <v>10058</v>
      </c>
      <c r="D1269" s="263"/>
      <c r="E1269" s="813"/>
      <c r="F1269" s="875" t="s">
        <v>3</v>
      </c>
      <c r="G1269" s="876">
        <f>(0.014*3.14*2)*0.08*1.1</f>
        <v>7.7369600000000019E-3</v>
      </c>
      <c r="H1269" s="842"/>
      <c r="J1269" s="864"/>
    </row>
    <row r="1270" spans="1:14" ht="17.25" x14ac:dyDescent="0.25">
      <c r="A1270" s="774"/>
      <c r="B1270" s="774"/>
      <c r="C1270" s="263" t="s">
        <v>121</v>
      </c>
      <c r="D1270" s="263"/>
      <c r="E1270" s="813"/>
      <c r="F1270" s="875" t="s">
        <v>10568</v>
      </c>
      <c r="G1270" s="876">
        <f>G1269*1.1</f>
        <v>8.5106560000000036E-3</v>
      </c>
      <c r="H1270" s="842"/>
      <c r="J1270" s="864"/>
    </row>
    <row r="1271" spans="1:14" x14ac:dyDescent="0.25">
      <c r="A1271" s="774"/>
      <c r="B1271" s="774"/>
      <c r="C1271" s="813" t="s">
        <v>114</v>
      </c>
      <c r="D1271" s="813"/>
      <c r="E1271" s="813"/>
      <c r="F1271" s="873" t="s">
        <v>3</v>
      </c>
      <c r="G1271" s="871">
        <f>G1273*0.7</f>
        <v>2.8643999999999996E-2</v>
      </c>
      <c r="H1271" s="842"/>
      <c r="J1271" s="864"/>
    </row>
    <row r="1272" spans="1:14" x14ac:dyDescent="0.25">
      <c r="A1272" s="774"/>
      <c r="B1272" s="774"/>
      <c r="C1272" s="813" t="s">
        <v>164</v>
      </c>
      <c r="D1272" s="813"/>
      <c r="E1272" s="813"/>
      <c r="F1272" s="873" t="s">
        <v>3</v>
      </c>
      <c r="G1272" s="871">
        <f>0.3*G1271</f>
        <v>8.5931999999999988E-3</v>
      </c>
      <c r="H1272" s="842"/>
      <c r="J1272" s="864"/>
    </row>
    <row r="1273" spans="1:14" x14ac:dyDescent="0.25">
      <c r="A1273" s="774"/>
      <c r="B1273" s="774"/>
      <c r="C1273" s="813" t="s">
        <v>442</v>
      </c>
      <c r="D1273" s="813"/>
      <c r="E1273" s="813"/>
      <c r="F1273" s="873" t="s">
        <v>3</v>
      </c>
      <c r="G1273" s="871">
        <f>(J1276+J1278)*0.011*2*1.2</f>
        <v>4.0919999999999998E-2</v>
      </c>
      <c r="H1273" s="842"/>
      <c r="J1273" s="864"/>
    </row>
    <row r="1274" spans="1:14" x14ac:dyDescent="0.25">
      <c r="A1274" s="774"/>
      <c r="B1274" s="774"/>
      <c r="C1274" s="813" t="s">
        <v>12</v>
      </c>
      <c r="D1274" s="813"/>
      <c r="E1274" s="813"/>
      <c r="F1274" s="873" t="s">
        <v>3</v>
      </c>
      <c r="G1274" s="871">
        <f>0.3*G1273</f>
        <v>1.2275999999999999E-2</v>
      </c>
      <c r="H1274" s="842"/>
      <c r="J1274" s="864"/>
    </row>
    <row r="1275" spans="1:14" x14ac:dyDescent="0.25">
      <c r="A1275" s="774"/>
      <c r="B1275" s="774"/>
      <c r="C1275" s="814"/>
      <c r="D1275" s="814" t="s">
        <v>10066</v>
      </c>
      <c r="E1275" s="813"/>
      <c r="F1275" s="873"/>
      <c r="G1275" s="871"/>
      <c r="H1275" s="842"/>
    </row>
    <row r="1276" spans="1:14" x14ac:dyDescent="0.25">
      <c r="A1276" s="774"/>
      <c r="B1276" s="774"/>
      <c r="C1276" s="814"/>
      <c r="D1276" s="813" t="s">
        <v>6587</v>
      </c>
      <c r="E1276" s="813"/>
      <c r="F1276" s="873" t="s">
        <v>3</v>
      </c>
      <c r="G1276" s="871">
        <f>0.271*L1276</f>
        <v>1.2195000000000001E-2</v>
      </c>
      <c r="H1276" s="842"/>
      <c r="I1276" s="874" t="s">
        <v>10567</v>
      </c>
      <c r="J1276" s="864">
        <v>0.04</v>
      </c>
      <c r="K1276" s="874" t="s">
        <v>10150</v>
      </c>
      <c r="L1276" s="825">
        <v>4.4999999999999998E-2</v>
      </c>
    </row>
    <row r="1277" spans="1:14" x14ac:dyDescent="0.25">
      <c r="A1277" s="774"/>
      <c r="B1277" s="774"/>
      <c r="C1277" s="814"/>
      <c r="D1277" s="814" t="s">
        <v>10067</v>
      </c>
      <c r="E1277" s="813"/>
      <c r="F1277" s="873"/>
      <c r="G1277" s="871"/>
      <c r="H1277" s="842"/>
      <c r="J1277" s="864"/>
    </row>
    <row r="1278" spans="1:14" x14ac:dyDescent="0.25">
      <c r="A1278" s="774"/>
      <c r="B1278" s="774"/>
      <c r="C1278" s="814"/>
      <c r="D1278" s="813" t="s">
        <v>6587</v>
      </c>
      <c r="E1278" s="813"/>
      <c r="F1278" s="873" t="s">
        <v>3</v>
      </c>
      <c r="G1278" s="871">
        <f>0.271*L1278</f>
        <v>0.43360000000000004</v>
      </c>
      <c r="H1278" s="842"/>
      <c r="I1278" s="874" t="s">
        <v>10567</v>
      </c>
      <c r="J1278" s="864">
        <v>1.51</v>
      </c>
      <c r="K1278" s="874" t="s">
        <v>10150</v>
      </c>
      <c r="L1278" s="825">
        <v>1.6</v>
      </c>
    </row>
    <row r="1279" spans="1:14" x14ac:dyDescent="0.25">
      <c r="A1279" s="774"/>
      <c r="B1279" s="774"/>
      <c r="C1279" s="814"/>
      <c r="D1279" s="813"/>
      <c r="E1279" s="813"/>
      <c r="F1279" s="873"/>
      <c r="G1279" s="871"/>
      <c r="H1279" s="842"/>
    </row>
    <row r="1280" spans="1:14" x14ac:dyDescent="0.25">
      <c r="A1280" s="774"/>
      <c r="B1280" s="774">
        <v>22</v>
      </c>
      <c r="C1280" s="814" t="s">
        <v>10068</v>
      </c>
      <c r="D1280" s="813"/>
      <c r="E1280" s="813"/>
      <c r="F1280" s="873"/>
      <c r="G1280" s="871"/>
      <c r="H1280" s="842"/>
      <c r="J1280" s="864"/>
    </row>
    <row r="1281" spans="1:13" x14ac:dyDescent="0.25">
      <c r="A1281" s="774"/>
      <c r="B1281" s="774"/>
      <c r="C1281" s="263" t="s">
        <v>10058</v>
      </c>
      <c r="D1281" s="263"/>
      <c r="E1281" s="813"/>
      <c r="F1281" s="875" t="s">
        <v>3</v>
      </c>
      <c r="G1281" s="876">
        <f>(0.014*3.14)*0.08*1.2</f>
        <v>4.2201600000000006E-3</v>
      </c>
      <c r="H1281" s="842"/>
      <c r="J1281" s="864"/>
    </row>
    <row r="1282" spans="1:13" ht="17.25" x14ac:dyDescent="0.25">
      <c r="A1282" s="774"/>
      <c r="B1282" s="774"/>
      <c r="C1282" s="263" t="s">
        <v>121</v>
      </c>
      <c r="D1282" s="263"/>
      <c r="E1282" s="813"/>
      <c r="F1282" s="875" t="s">
        <v>10568</v>
      </c>
      <c r="G1282" s="876">
        <f>G1281*1.1</f>
        <v>4.6421760000000013E-3</v>
      </c>
      <c r="H1282" s="842"/>
      <c r="J1282" s="864"/>
    </row>
    <row r="1283" spans="1:13" x14ac:dyDescent="0.25">
      <c r="A1283" s="774"/>
      <c r="B1283" s="774"/>
      <c r="C1283" s="813" t="s">
        <v>114</v>
      </c>
      <c r="D1283" s="813"/>
      <c r="E1283" s="813"/>
      <c r="F1283" s="873" t="s">
        <v>3</v>
      </c>
      <c r="G1283" s="871">
        <f>G1285*0.7</f>
        <v>1.4414399999999996E-2</v>
      </c>
      <c r="H1283" s="842"/>
      <c r="J1283" s="864"/>
    </row>
    <row r="1284" spans="1:13" x14ac:dyDescent="0.25">
      <c r="A1284" s="774"/>
      <c r="B1284" s="774"/>
      <c r="C1284" s="813" t="s">
        <v>164</v>
      </c>
      <c r="D1284" s="813"/>
      <c r="E1284" s="813"/>
      <c r="F1284" s="873" t="s">
        <v>3</v>
      </c>
      <c r="G1284" s="871">
        <f>0.3*G1283</f>
        <v>4.3243199999999987E-3</v>
      </c>
      <c r="H1284" s="842"/>
      <c r="J1284" s="864"/>
    </row>
    <row r="1285" spans="1:13" x14ac:dyDescent="0.25">
      <c r="A1285" s="774"/>
      <c r="B1285" s="774"/>
      <c r="C1285" s="813" t="s">
        <v>442</v>
      </c>
      <c r="D1285" s="813"/>
      <c r="E1285" s="813"/>
      <c r="F1285" s="873" t="s">
        <v>3</v>
      </c>
      <c r="G1285" s="871">
        <f>J1288*0.011*2*1.2</f>
        <v>2.0591999999999996E-2</v>
      </c>
      <c r="H1285" s="842"/>
      <c r="J1285" s="864"/>
    </row>
    <row r="1286" spans="1:13" x14ac:dyDescent="0.25">
      <c r="A1286" s="774"/>
      <c r="B1286" s="774"/>
      <c r="C1286" s="813" t="s">
        <v>12</v>
      </c>
      <c r="D1286" s="813"/>
      <c r="E1286" s="813"/>
      <c r="F1286" s="873" t="s">
        <v>3</v>
      </c>
      <c r="G1286" s="871">
        <f>0.3*G1285</f>
        <v>6.1775999999999984E-3</v>
      </c>
      <c r="H1286" s="842"/>
      <c r="J1286" s="864"/>
    </row>
    <row r="1287" spans="1:13" x14ac:dyDescent="0.25">
      <c r="A1287" s="774"/>
      <c r="B1287" s="774"/>
      <c r="C1287" s="814"/>
      <c r="D1287" s="814" t="s">
        <v>10069</v>
      </c>
      <c r="E1287" s="813"/>
      <c r="F1287" s="873"/>
      <c r="G1287" s="871"/>
      <c r="H1287" s="842"/>
      <c r="J1287" s="864"/>
    </row>
    <row r="1288" spans="1:13" x14ac:dyDescent="0.25">
      <c r="A1288" s="774"/>
      <c r="B1288" s="774"/>
      <c r="C1288" s="814"/>
      <c r="D1288" s="813" t="s">
        <v>9693</v>
      </c>
      <c r="E1288" s="813"/>
      <c r="F1288" s="873" t="s">
        <v>3</v>
      </c>
      <c r="G1288" s="871">
        <f>0.321*L1288</f>
        <v>0.26963999999999999</v>
      </c>
      <c r="H1288" s="842"/>
      <c r="I1288" s="874" t="s">
        <v>10567</v>
      </c>
      <c r="J1288" s="864">
        <v>0.78</v>
      </c>
      <c r="K1288" s="874" t="s">
        <v>10150</v>
      </c>
      <c r="L1288" s="825">
        <v>0.84</v>
      </c>
    </row>
    <row r="1289" spans="1:13" x14ac:dyDescent="0.25">
      <c r="A1289" s="774"/>
      <c r="B1289" s="774"/>
      <c r="C1289" s="814"/>
      <c r="D1289" s="813"/>
      <c r="E1289" s="813"/>
      <c r="F1289" s="873"/>
      <c r="G1289" s="871"/>
      <c r="H1289" s="842"/>
      <c r="J1289" s="864"/>
    </row>
    <row r="1290" spans="1:13" x14ac:dyDescent="0.25">
      <c r="A1290" s="774"/>
      <c r="B1290" s="774">
        <v>25</v>
      </c>
      <c r="C1290" s="814" t="s">
        <v>10070</v>
      </c>
      <c r="D1290" s="813"/>
      <c r="E1290" s="813"/>
      <c r="F1290" s="873"/>
      <c r="G1290" s="871"/>
      <c r="H1290" s="842"/>
      <c r="J1290" s="864"/>
    </row>
    <row r="1291" spans="1:13" x14ac:dyDescent="0.25">
      <c r="A1291" s="774"/>
      <c r="B1291" s="774"/>
      <c r="C1291" s="813" t="s">
        <v>114</v>
      </c>
      <c r="D1291" s="813"/>
      <c r="E1291" s="813"/>
      <c r="F1291" s="873" t="s">
        <v>3</v>
      </c>
      <c r="G1291" s="871">
        <f>G1293*0.7</f>
        <v>1.2935999999999996E-2</v>
      </c>
      <c r="H1291" s="842"/>
      <c r="J1291" s="864"/>
    </row>
    <row r="1292" spans="1:13" x14ac:dyDescent="0.25">
      <c r="A1292" s="774"/>
      <c r="B1292" s="774"/>
      <c r="C1292" s="813" t="s">
        <v>164</v>
      </c>
      <c r="D1292" s="813"/>
      <c r="E1292" s="813"/>
      <c r="F1292" s="873" t="s">
        <v>3</v>
      </c>
      <c r="G1292" s="871">
        <f>0.3*G1291</f>
        <v>3.8807999999999985E-3</v>
      </c>
      <c r="H1292" s="842"/>
      <c r="J1292" s="864"/>
    </row>
    <row r="1293" spans="1:13" x14ac:dyDescent="0.25">
      <c r="A1293" s="774"/>
      <c r="B1293" s="774"/>
      <c r="C1293" s="813" t="s">
        <v>442</v>
      </c>
      <c r="D1293" s="813"/>
      <c r="E1293" s="813"/>
      <c r="F1293" s="873" t="s">
        <v>3</v>
      </c>
      <c r="G1293" s="871">
        <f>J1296*0.011*2*1.2</f>
        <v>1.8479999999999996E-2</v>
      </c>
      <c r="H1293" s="842"/>
      <c r="J1293" s="864"/>
    </row>
    <row r="1294" spans="1:13" x14ac:dyDescent="0.25">
      <c r="A1294" s="774"/>
      <c r="B1294" s="774"/>
      <c r="C1294" s="813" t="s">
        <v>12</v>
      </c>
      <c r="D1294" s="813"/>
      <c r="E1294" s="813"/>
      <c r="F1294" s="873" t="s">
        <v>3</v>
      </c>
      <c r="G1294" s="871">
        <f>0.3*G1293</f>
        <v>5.5439999999999986E-3</v>
      </c>
      <c r="H1294" s="842"/>
      <c r="J1294" s="864"/>
    </row>
    <row r="1295" spans="1:13" x14ac:dyDescent="0.25">
      <c r="A1295" s="774"/>
      <c r="B1295" s="774"/>
      <c r="C1295" s="814"/>
      <c r="D1295" s="814" t="s">
        <v>10074</v>
      </c>
      <c r="E1295" s="813"/>
      <c r="F1295" s="873"/>
      <c r="G1295" s="871"/>
      <c r="H1295" s="842"/>
      <c r="J1295" s="864"/>
    </row>
    <row r="1296" spans="1:13" x14ac:dyDescent="0.25">
      <c r="A1296" s="774"/>
      <c r="B1296" s="774"/>
      <c r="C1296" s="814"/>
      <c r="D1296" s="813" t="s">
        <v>9693</v>
      </c>
      <c r="E1296" s="813"/>
      <c r="F1296" s="873" t="s">
        <v>3</v>
      </c>
      <c r="G1296" s="871">
        <f>0.321*L1296</f>
        <v>0.25037999999999999</v>
      </c>
      <c r="H1296" s="842"/>
      <c r="I1296" s="874" t="s">
        <v>10567</v>
      </c>
      <c r="J1296" s="864">
        <v>0.7</v>
      </c>
      <c r="K1296" s="874" t="s">
        <v>10150</v>
      </c>
      <c r="L1296" s="825">
        <v>0.78</v>
      </c>
      <c r="M1296" s="811"/>
    </row>
    <row r="1297" spans="1:12" x14ac:dyDescent="0.25">
      <c r="A1297" s="774"/>
      <c r="B1297" s="774"/>
      <c r="C1297" s="814"/>
      <c r="D1297" s="813"/>
      <c r="E1297" s="813"/>
      <c r="F1297" s="873"/>
      <c r="G1297" s="871"/>
      <c r="H1297" s="842"/>
      <c r="J1297" s="864"/>
    </row>
    <row r="1298" spans="1:12" x14ac:dyDescent="0.25">
      <c r="A1298" s="774"/>
      <c r="B1298" s="774">
        <v>26</v>
      </c>
      <c r="C1298" s="814" t="s">
        <v>10071</v>
      </c>
      <c r="D1298" s="813"/>
      <c r="E1298" s="813"/>
      <c r="F1298" s="873"/>
      <c r="G1298" s="871"/>
      <c r="H1298" s="842"/>
      <c r="J1298" s="864"/>
    </row>
    <row r="1299" spans="1:12" x14ac:dyDescent="0.25">
      <c r="A1299" s="774"/>
      <c r="B1299" s="774"/>
      <c r="C1299" s="813" t="s">
        <v>114</v>
      </c>
      <c r="D1299" s="813"/>
      <c r="E1299" s="813"/>
      <c r="F1299" s="873" t="s">
        <v>3</v>
      </c>
      <c r="G1299" s="871">
        <f>G1301*0.7</f>
        <v>1.2935999999999996E-2</v>
      </c>
      <c r="H1299" s="842"/>
      <c r="J1299" s="864"/>
    </row>
    <row r="1300" spans="1:12" x14ac:dyDescent="0.25">
      <c r="A1300" s="774"/>
      <c r="B1300" s="774"/>
      <c r="C1300" s="813" t="s">
        <v>164</v>
      </c>
      <c r="D1300" s="813"/>
      <c r="E1300" s="813"/>
      <c r="F1300" s="873" t="s">
        <v>3</v>
      </c>
      <c r="G1300" s="871">
        <f>0.3*G1299</f>
        <v>3.8807999999999985E-3</v>
      </c>
      <c r="H1300" s="842"/>
      <c r="J1300" s="864"/>
    </row>
    <row r="1301" spans="1:12" x14ac:dyDescent="0.25">
      <c r="A1301" s="774"/>
      <c r="B1301" s="774"/>
      <c r="C1301" s="813" t="s">
        <v>442</v>
      </c>
      <c r="D1301" s="813"/>
      <c r="E1301" s="813"/>
      <c r="F1301" s="873" t="s">
        <v>3</v>
      </c>
      <c r="G1301" s="871">
        <f>J1304*0.011*2*1.2</f>
        <v>1.8479999999999996E-2</v>
      </c>
      <c r="H1301" s="842"/>
      <c r="J1301" s="864"/>
    </row>
    <row r="1302" spans="1:12" x14ac:dyDescent="0.25">
      <c r="A1302" s="774"/>
      <c r="B1302" s="774"/>
      <c r="C1302" s="813" t="s">
        <v>12</v>
      </c>
      <c r="D1302" s="813"/>
      <c r="E1302" s="813"/>
      <c r="F1302" s="873" t="s">
        <v>3</v>
      </c>
      <c r="G1302" s="871">
        <f>0.3*G1301</f>
        <v>5.5439999999999986E-3</v>
      </c>
      <c r="H1302" s="842"/>
      <c r="J1302" s="864"/>
    </row>
    <row r="1303" spans="1:12" x14ac:dyDescent="0.25">
      <c r="A1303" s="774"/>
      <c r="B1303" s="774"/>
      <c r="C1303" s="814"/>
      <c r="D1303" s="814" t="s">
        <v>10072</v>
      </c>
      <c r="E1303" s="813"/>
      <c r="F1303" s="873"/>
      <c r="G1303" s="871"/>
      <c r="H1303" s="842"/>
      <c r="J1303" s="864"/>
    </row>
    <row r="1304" spans="1:12" x14ac:dyDescent="0.25">
      <c r="A1304" s="774"/>
      <c r="B1304" s="774"/>
      <c r="C1304" s="814"/>
      <c r="D1304" s="813" t="s">
        <v>9693</v>
      </c>
      <c r="E1304" s="813"/>
      <c r="F1304" s="873" t="s">
        <v>3</v>
      </c>
      <c r="G1304" s="871">
        <f>0.321*L1304</f>
        <v>0.25037999999999999</v>
      </c>
      <c r="H1304" s="842"/>
      <c r="I1304" s="874" t="s">
        <v>10567</v>
      </c>
      <c r="J1304" s="864">
        <v>0.7</v>
      </c>
      <c r="K1304" s="874" t="s">
        <v>10150</v>
      </c>
      <c r="L1304" s="825">
        <v>0.78</v>
      </c>
    </row>
    <row r="1305" spans="1:12" x14ac:dyDescent="0.25">
      <c r="A1305" s="774"/>
      <c r="B1305" s="774"/>
      <c r="C1305" s="814"/>
      <c r="D1305" s="813"/>
      <c r="E1305" s="813"/>
      <c r="F1305" s="873"/>
      <c r="G1305" s="871"/>
      <c r="H1305" s="842"/>
      <c r="J1305" s="864"/>
    </row>
    <row r="1306" spans="1:12" x14ac:dyDescent="0.25">
      <c r="A1306" s="774"/>
      <c r="B1306" s="774">
        <v>28</v>
      </c>
      <c r="C1306" s="814" t="s">
        <v>10073</v>
      </c>
      <c r="D1306" s="813"/>
      <c r="E1306" s="813"/>
      <c r="F1306" s="873"/>
      <c r="G1306" s="871"/>
      <c r="H1306" s="842"/>
      <c r="J1306" s="864"/>
    </row>
    <row r="1307" spans="1:12" x14ac:dyDescent="0.25">
      <c r="A1307" s="774"/>
      <c r="B1307" s="774"/>
      <c r="C1307" s="263" t="s">
        <v>10058</v>
      </c>
      <c r="D1307" s="263"/>
      <c r="E1307" s="813"/>
      <c r="F1307" s="875" t="s">
        <v>3</v>
      </c>
      <c r="G1307" s="876">
        <f>(0.012*3.14)*0.08*1.3</f>
        <v>3.9187200000000005E-3</v>
      </c>
      <c r="H1307" s="842"/>
      <c r="J1307" s="864"/>
    </row>
    <row r="1308" spans="1:12" ht="17.25" x14ac:dyDescent="0.25">
      <c r="A1308" s="774"/>
      <c r="B1308" s="774"/>
      <c r="C1308" s="263" t="s">
        <v>121</v>
      </c>
      <c r="D1308" s="263"/>
      <c r="E1308" s="813"/>
      <c r="F1308" s="875" t="s">
        <v>10568</v>
      </c>
      <c r="G1308" s="876">
        <f>G1307*1.1</f>
        <v>4.3105920000000011E-3</v>
      </c>
      <c r="H1308" s="842"/>
      <c r="J1308" s="864"/>
    </row>
    <row r="1309" spans="1:12" x14ac:dyDescent="0.25">
      <c r="A1309" s="774"/>
      <c r="B1309" s="774"/>
      <c r="C1309" s="813" t="s">
        <v>114</v>
      </c>
      <c r="D1309" s="813"/>
      <c r="E1309" s="813"/>
      <c r="F1309" s="873" t="s">
        <v>3</v>
      </c>
      <c r="G1309" s="871">
        <f>G1311*0.7</f>
        <v>1.4599199999999998E-2</v>
      </c>
      <c r="H1309" s="842"/>
      <c r="J1309" s="864"/>
    </row>
    <row r="1310" spans="1:12" x14ac:dyDescent="0.25">
      <c r="A1310" s="774"/>
      <c r="B1310" s="774"/>
      <c r="C1310" s="813" t="s">
        <v>164</v>
      </c>
      <c r="D1310" s="813"/>
      <c r="E1310" s="813"/>
      <c r="F1310" s="873" t="s">
        <v>3</v>
      </c>
      <c r="G1310" s="871">
        <f>0.3*G1309</f>
        <v>4.379759999999999E-3</v>
      </c>
      <c r="H1310" s="842"/>
      <c r="J1310" s="864"/>
    </row>
    <row r="1311" spans="1:12" x14ac:dyDescent="0.25">
      <c r="A1311" s="774"/>
      <c r="B1311" s="774"/>
      <c r="C1311" s="813" t="s">
        <v>442</v>
      </c>
      <c r="D1311" s="813"/>
      <c r="E1311" s="813"/>
      <c r="F1311" s="873" t="s">
        <v>3</v>
      </c>
      <c r="G1311" s="871">
        <f>J1314*0.011*2*1.2</f>
        <v>2.0856E-2</v>
      </c>
      <c r="H1311" s="842"/>
      <c r="J1311" s="864"/>
    </row>
    <row r="1312" spans="1:12" x14ac:dyDescent="0.25">
      <c r="A1312" s="774"/>
      <c r="B1312" s="774"/>
      <c r="C1312" s="813" t="s">
        <v>12</v>
      </c>
      <c r="D1312" s="813"/>
      <c r="E1312" s="813"/>
      <c r="F1312" s="873" t="s">
        <v>3</v>
      </c>
      <c r="G1312" s="871">
        <f>0.3*G1311</f>
        <v>6.2567999999999999E-3</v>
      </c>
      <c r="H1312" s="842"/>
      <c r="J1312" s="864"/>
    </row>
    <row r="1313" spans="1:12" x14ac:dyDescent="0.25">
      <c r="A1313" s="774"/>
      <c r="B1313" s="774"/>
      <c r="C1313" s="814"/>
      <c r="D1313" s="814" t="s">
        <v>10075</v>
      </c>
      <c r="E1313" s="813"/>
      <c r="F1313" s="873"/>
      <c r="G1313" s="871"/>
      <c r="H1313" s="842"/>
      <c r="J1313" s="864"/>
    </row>
    <row r="1314" spans="1:12" x14ac:dyDescent="0.25">
      <c r="A1314" s="774"/>
      <c r="B1314" s="774"/>
      <c r="C1314" s="814"/>
      <c r="D1314" s="813" t="s">
        <v>6587</v>
      </c>
      <c r="E1314" s="813"/>
      <c r="F1314" s="873" t="s">
        <v>3</v>
      </c>
      <c r="G1314" s="871">
        <f>0.271*L1314</f>
        <v>0.23306000000000002</v>
      </c>
      <c r="H1314" s="842"/>
      <c r="I1314" s="874" t="s">
        <v>10567</v>
      </c>
      <c r="J1314" s="864">
        <v>0.79</v>
      </c>
      <c r="K1314" s="874" t="s">
        <v>10150</v>
      </c>
      <c r="L1314" s="825">
        <v>0.86</v>
      </c>
    </row>
    <row r="1315" spans="1:12" x14ac:dyDescent="0.25">
      <c r="A1315" s="774"/>
      <c r="B1315" s="774"/>
      <c r="C1315" s="814"/>
      <c r="D1315" s="813"/>
      <c r="E1315" s="813"/>
      <c r="F1315" s="873"/>
      <c r="G1315" s="871"/>
      <c r="H1315" s="842"/>
      <c r="J1315" s="864"/>
    </row>
    <row r="1316" spans="1:12" x14ac:dyDescent="0.25">
      <c r="A1316" s="774"/>
      <c r="B1316" s="774">
        <v>29</v>
      </c>
      <c r="C1316" s="814" t="s">
        <v>10076</v>
      </c>
      <c r="D1316" s="813"/>
      <c r="E1316" s="813"/>
      <c r="F1316" s="873"/>
      <c r="G1316" s="871"/>
      <c r="H1316" s="842"/>
      <c r="J1316" s="864"/>
    </row>
    <row r="1317" spans="1:12" x14ac:dyDescent="0.25">
      <c r="A1317" s="774"/>
      <c r="B1317" s="774"/>
      <c r="C1317" s="263" t="s">
        <v>10058</v>
      </c>
      <c r="D1317" s="263"/>
      <c r="E1317" s="813"/>
      <c r="F1317" s="875" t="s">
        <v>3</v>
      </c>
      <c r="G1317" s="876">
        <f>(0.012*3.14)*0.08*1.3</f>
        <v>3.9187200000000005E-3</v>
      </c>
      <c r="H1317" s="842"/>
      <c r="J1317" s="864"/>
    </row>
    <row r="1318" spans="1:12" ht="17.25" x14ac:dyDescent="0.25">
      <c r="A1318" s="774"/>
      <c r="B1318" s="774"/>
      <c r="C1318" s="263" t="s">
        <v>121</v>
      </c>
      <c r="D1318" s="263"/>
      <c r="E1318" s="813"/>
      <c r="F1318" s="875" t="s">
        <v>10568</v>
      </c>
      <c r="G1318" s="876">
        <f>G1317*1.1</f>
        <v>4.3105920000000011E-3</v>
      </c>
      <c r="H1318" s="842"/>
      <c r="J1318" s="864"/>
    </row>
    <row r="1319" spans="1:12" x14ac:dyDescent="0.25">
      <c r="A1319" s="774"/>
      <c r="B1319" s="774"/>
      <c r="C1319" s="813" t="s">
        <v>114</v>
      </c>
      <c r="D1319" s="813"/>
      <c r="E1319" s="813"/>
      <c r="F1319" s="873" t="s">
        <v>3</v>
      </c>
      <c r="G1319" s="871">
        <f>G1321*0.7</f>
        <v>1.4044799999999998E-2</v>
      </c>
      <c r="H1319" s="842"/>
      <c r="J1319" s="864"/>
    </row>
    <row r="1320" spans="1:12" x14ac:dyDescent="0.25">
      <c r="A1320" s="774"/>
      <c r="B1320" s="774"/>
      <c r="C1320" s="813" t="s">
        <v>164</v>
      </c>
      <c r="D1320" s="813"/>
      <c r="E1320" s="813"/>
      <c r="F1320" s="873" t="s">
        <v>3</v>
      </c>
      <c r="G1320" s="871">
        <f>0.3*G1319</f>
        <v>4.2134399999999989E-3</v>
      </c>
      <c r="H1320" s="842"/>
      <c r="J1320" s="864"/>
    </row>
    <row r="1321" spans="1:12" x14ac:dyDescent="0.25">
      <c r="A1321" s="774"/>
      <c r="B1321" s="774"/>
      <c r="C1321" s="813" t="s">
        <v>442</v>
      </c>
      <c r="D1321" s="813"/>
      <c r="E1321" s="813"/>
      <c r="F1321" s="873" t="s">
        <v>3</v>
      </c>
      <c r="G1321" s="871">
        <f>J1324*0.011*2*1.2</f>
        <v>2.0063999999999999E-2</v>
      </c>
      <c r="H1321" s="842"/>
      <c r="J1321" s="864"/>
    </row>
    <row r="1322" spans="1:12" x14ac:dyDescent="0.25">
      <c r="A1322" s="774"/>
      <c r="B1322" s="774"/>
      <c r="C1322" s="813" t="s">
        <v>12</v>
      </c>
      <c r="D1322" s="813"/>
      <c r="E1322" s="813"/>
      <c r="F1322" s="873" t="s">
        <v>3</v>
      </c>
      <c r="G1322" s="871">
        <f>0.3*G1321</f>
        <v>6.0191999999999997E-3</v>
      </c>
      <c r="H1322" s="842"/>
      <c r="J1322" s="864"/>
    </row>
    <row r="1323" spans="1:12" x14ac:dyDescent="0.25">
      <c r="A1323" s="774"/>
      <c r="B1323" s="774"/>
      <c r="C1323" s="814"/>
      <c r="D1323" s="814" t="s">
        <v>10077</v>
      </c>
      <c r="E1323" s="813"/>
      <c r="F1323" s="873"/>
      <c r="G1323" s="871"/>
      <c r="H1323" s="842"/>
      <c r="J1323" s="864"/>
    </row>
    <row r="1324" spans="1:12" x14ac:dyDescent="0.25">
      <c r="A1324" s="774"/>
      <c r="B1324" s="774"/>
      <c r="C1324" s="814"/>
      <c r="D1324" s="813" t="s">
        <v>6587</v>
      </c>
      <c r="E1324" s="813"/>
      <c r="F1324" s="873" t="s">
        <v>3</v>
      </c>
      <c r="G1324" s="871">
        <f>0.271*L1324</f>
        <v>0.23306000000000002</v>
      </c>
      <c r="H1324" s="842"/>
      <c r="I1324" s="874" t="s">
        <v>10567</v>
      </c>
      <c r="J1324" s="864">
        <v>0.76</v>
      </c>
      <c r="K1324" s="874" t="s">
        <v>10150</v>
      </c>
      <c r="L1324" s="825">
        <v>0.86</v>
      </c>
    </row>
    <row r="1325" spans="1:12" x14ac:dyDescent="0.25">
      <c r="A1325" s="774"/>
      <c r="B1325" s="774"/>
      <c r="C1325" s="814"/>
      <c r="D1325" s="813"/>
      <c r="E1325" s="813"/>
      <c r="F1325" s="873"/>
      <c r="G1325" s="871"/>
      <c r="H1325" s="842"/>
      <c r="J1325" s="864"/>
    </row>
    <row r="1326" spans="1:12" x14ac:dyDescent="0.25">
      <c r="A1326" s="774"/>
      <c r="B1326" s="774">
        <v>31</v>
      </c>
      <c r="C1326" s="814" t="s">
        <v>10078</v>
      </c>
      <c r="D1326" s="813"/>
      <c r="E1326" s="813"/>
      <c r="F1326" s="873"/>
      <c r="G1326" s="871"/>
      <c r="H1326" s="842"/>
      <c r="J1326" s="864"/>
    </row>
    <row r="1327" spans="1:12" x14ac:dyDescent="0.25">
      <c r="A1327" s="774"/>
      <c r="B1327" s="774"/>
      <c r="C1327" s="813" t="s">
        <v>114</v>
      </c>
      <c r="D1327" s="813"/>
      <c r="E1327" s="813"/>
      <c r="F1327" s="873" t="s">
        <v>3</v>
      </c>
      <c r="G1327" s="871">
        <f>G1329*0.7</f>
        <v>3.3448800000000001E-2</v>
      </c>
      <c r="H1327" s="842"/>
      <c r="J1327" s="864"/>
    </row>
    <row r="1328" spans="1:12" x14ac:dyDescent="0.25">
      <c r="A1328" s="774"/>
      <c r="B1328" s="774"/>
      <c r="C1328" s="813" t="s">
        <v>164</v>
      </c>
      <c r="D1328" s="813"/>
      <c r="E1328" s="813"/>
      <c r="F1328" s="873" t="s">
        <v>3</v>
      </c>
      <c r="G1328" s="871">
        <f>0.3*G1327</f>
        <v>1.0034639999999999E-2</v>
      </c>
      <c r="H1328" s="842"/>
      <c r="J1328" s="864"/>
    </row>
    <row r="1329" spans="1:12" x14ac:dyDescent="0.25">
      <c r="A1329" s="774"/>
      <c r="B1329" s="774"/>
      <c r="C1329" s="813" t="s">
        <v>442</v>
      </c>
      <c r="D1329" s="813"/>
      <c r="E1329" s="813"/>
      <c r="F1329" s="873" t="s">
        <v>3</v>
      </c>
      <c r="G1329" s="871">
        <f>J1332*0.011*2*1.2</f>
        <v>4.7784E-2</v>
      </c>
      <c r="H1329" s="842"/>
      <c r="J1329" s="864"/>
    </row>
    <row r="1330" spans="1:12" x14ac:dyDescent="0.25">
      <c r="A1330" s="774"/>
      <c r="B1330" s="774"/>
      <c r="C1330" s="813" t="s">
        <v>12</v>
      </c>
      <c r="D1330" s="813"/>
      <c r="E1330" s="813"/>
      <c r="F1330" s="873" t="s">
        <v>3</v>
      </c>
      <c r="G1330" s="871">
        <f>0.3*G1329</f>
        <v>1.4335199999999999E-2</v>
      </c>
      <c r="H1330" s="842"/>
      <c r="J1330" s="864"/>
    </row>
    <row r="1331" spans="1:12" x14ac:dyDescent="0.25">
      <c r="A1331" s="774"/>
      <c r="B1331" s="774"/>
      <c r="C1331" s="814"/>
      <c r="D1331" s="814" t="s">
        <v>10079</v>
      </c>
      <c r="E1331" s="813"/>
      <c r="F1331" s="873"/>
      <c r="G1331" s="871"/>
      <c r="H1331" s="842"/>
      <c r="J1331" s="864"/>
    </row>
    <row r="1332" spans="1:12" x14ac:dyDescent="0.25">
      <c r="A1332" s="774"/>
      <c r="B1332" s="774"/>
      <c r="C1332" s="814"/>
      <c r="D1332" s="813" t="s">
        <v>6587</v>
      </c>
      <c r="E1332" s="813"/>
      <c r="F1332" s="873" t="s">
        <v>3</v>
      </c>
      <c r="G1332" s="871">
        <f>0.271*L1332</f>
        <v>0.51490000000000002</v>
      </c>
      <c r="H1332" s="842"/>
      <c r="I1332" s="874" t="s">
        <v>10567</v>
      </c>
      <c r="J1332" s="864">
        <v>1.81</v>
      </c>
      <c r="K1332" s="874" t="s">
        <v>10150</v>
      </c>
      <c r="L1332" s="825">
        <v>1.9</v>
      </c>
    </row>
    <row r="1333" spans="1:12" x14ac:dyDescent="0.25">
      <c r="A1333" s="774"/>
      <c r="B1333" s="774"/>
      <c r="C1333" s="814"/>
      <c r="D1333" s="813"/>
      <c r="E1333" s="813"/>
      <c r="F1333" s="873"/>
      <c r="G1333" s="871"/>
      <c r="H1333" s="842"/>
      <c r="J1333" s="864"/>
    </row>
    <row r="1334" spans="1:12" x14ac:dyDescent="0.25">
      <c r="A1334" s="774"/>
      <c r="B1334" s="774">
        <v>32</v>
      </c>
      <c r="C1334" s="814" t="s">
        <v>10080</v>
      </c>
      <c r="D1334" s="813"/>
      <c r="E1334" s="813"/>
      <c r="F1334" s="873"/>
      <c r="G1334" s="871"/>
      <c r="H1334" s="842"/>
      <c r="J1334" s="864"/>
    </row>
    <row r="1335" spans="1:12" x14ac:dyDescent="0.25">
      <c r="A1335" s="774"/>
      <c r="B1335" s="774"/>
      <c r="C1335" s="813" t="s">
        <v>114</v>
      </c>
      <c r="D1335" s="813"/>
      <c r="E1335" s="813"/>
      <c r="F1335" s="873" t="s">
        <v>3</v>
      </c>
      <c r="G1335" s="871">
        <f>G1337*0.7</f>
        <v>3.1415999999999993E-2</v>
      </c>
      <c r="H1335" s="842"/>
      <c r="J1335" s="864"/>
    </row>
    <row r="1336" spans="1:12" x14ac:dyDescent="0.25">
      <c r="A1336" s="774"/>
      <c r="B1336" s="774"/>
      <c r="C1336" s="813" t="s">
        <v>164</v>
      </c>
      <c r="D1336" s="813"/>
      <c r="E1336" s="813"/>
      <c r="F1336" s="873" t="s">
        <v>3</v>
      </c>
      <c r="G1336" s="871">
        <f>0.3*G1335</f>
        <v>9.4247999999999971E-3</v>
      </c>
      <c r="H1336" s="842"/>
      <c r="J1336" s="864"/>
    </row>
    <row r="1337" spans="1:12" x14ac:dyDescent="0.25">
      <c r="A1337" s="774"/>
      <c r="B1337" s="774"/>
      <c r="C1337" s="813" t="s">
        <v>442</v>
      </c>
      <c r="D1337" s="813"/>
      <c r="E1337" s="813"/>
      <c r="F1337" s="873" t="s">
        <v>3</v>
      </c>
      <c r="G1337" s="871">
        <f>J1340*0.011*2*1.2</f>
        <v>4.4879999999999996E-2</v>
      </c>
      <c r="H1337" s="842"/>
      <c r="J1337" s="864"/>
    </row>
    <row r="1338" spans="1:12" x14ac:dyDescent="0.25">
      <c r="A1338" s="774"/>
      <c r="B1338" s="774"/>
      <c r="C1338" s="813" t="s">
        <v>12</v>
      </c>
      <c r="D1338" s="813"/>
      <c r="E1338" s="813"/>
      <c r="F1338" s="873" t="s">
        <v>3</v>
      </c>
      <c r="G1338" s="871">
        <f>0.3*G1337</f>
        <v>1.3463999999999999E-2</v>
      </c>
      <c r="H1338" s="842"/>
      <c r="J1338" s="864"/>
    </row>
    <row r="1339" spans="1:12" x14ac:dyDescent="0.25">
      <c r="A1339" s="774"/>
      <c r="B1339" s="774"/>
      <c r="C1339" s="814"/>
      <c r="D1339" s="814" t="s">
        <v>10081</v>
      </c>
      <c r="E1339" s="813"/>
      <c r="F1339" s="873"/>
      <c r="G1339" s="871"/>
      <c r="H1339" s="842"/>
      <c r="J1339" s="864"/>
    </row>
    <row r="1340" spans="1:12" x14ac:dyDescent="0.25">
      <c r="A1340" s="774"/>
      <c r="B1340" s="774"/>
      <c r="C1340" s="814"/>
      <c r="D1340" s="813" t="s">
        <v>6587</v>
      </c>
      <c r="E1340" s="813"/>
      <c r="F1340" s="873" t="s">
        <v>3</v>
      </c>
      <c r="G1340" s="871">
        <f>0.271*L1340</f>
        <v>0.49322000000000005</v>
      </c>
      <c r="H1340" s="842"/>
      <c r="I1340" s="874" t="s">
        <v>10567</v>
      </c>
      <c r="J1340" s="864">
        <v>1.7</v>
      </c>
      <c r="K1340" s="874" t="s">
        <v>10150</v>
      </c>
      <c r="L1340" s="825">
        <v>1.82</v>
      </c>
    </row>
    <row r="1341" spans="1:12" x14ac:dyDescent="0.25">
      <c r="A1341" s="774"/>
      <c r="B1341" s="774"/>
      <c r="C1341" s="814"/>
      <c r="D1341" s="813"/>
      <c r="E1341" s="813"/>
      <c r="F1341" s="873"/>
      <c r="G1341" s="871"/>
      <c r="H1341" s="842"/>
      <c r="J1341" s="864"/>
    </row>
    <row r="1342" spans="1:12" x14ac:dyDescent="0.25">
      <c r="A1342" s="774"/>
      <c r="B1342" s="774">
        <v>33</v>
      </c>
      <c r="C1342" s="814" t="s">
        <v>10082</v>
      </c>
      <c r="D1342" s="813"/>
      <c r="E1342" s="813"/>
      <c r="F1342" s="873" t="s">
        <v>10380</v>
      </c>
      <c r="G1342" s="871"/>
      <c r="H1342" s="842"/>
      <c r="J1342" s="864"/>
    </row>
    <row r="1343" spans="1:12" x14ac:dyDescent="0.25">
      <c r="A1343" s="774"/>
      <c r="B1343" s="774"/>
      <c r="C1343" s="813" t="s">
        <v>114</v>
      </c>
      <c r="D1343" s="813"/>
      <c r="E1343" s="813"/>
      <c r="F1343" s="873" t="s">
        <v>3</v>
      </c>
      <c r="G1343" s="871">
        <f>G1345*0.7</f>
        <v>3.25248E-2</v>
      </c>
      <c r="H1343" s="842"/>
      <c r="J1343" s="864"/>
      <c r="K1343" s="780"/>
      <c r="L1343" s="824"/>
    </row>
    <row r="1344" spans="1:12" x14ac:dyDescent="0.25">
      <c r="A1344" s="774"/>
      <c r="B1344" s="774"/>
      <c r="C1344" s="813" t="s">
        <v>164</v>
      </c>
      <c r="D1344" s="813"/>
      <c r="E1344" s="813"/>
      <c r="F1344" s="873" t="s">
        <v>3</v>
      </c>
      <c r="G1344" s="871">
        <f>0.3*G1343</f>
        <v>9.7574399999999992E-3</v>
      </c>
      <c r="H1344" s="842"/>
      <c r="J1344" s="864"/>
      <c r="K1344" s="780"/>
      <c r="L1344" s="824"/>
    </row>
    <row r="1345" spans="1:14" x14ac:dyDescent="0.25">
      <c r="A1345" s="774"/>
      <c r="B1345" s="774"/>
      <c r="C1345" s="813" t="s">
        <v>442</v>
      </c>
      <c r="D1345" s="813"/>
      <c r="E1345" s="813"/>
      <c r="F1345" s="873" t="s">
        <v>3</v>
      </c>
      <c r="G1345" s="871">
        <f>J1348*0.011*2*1.2</f>
        <v>4.6463999999999998E-2</v>
      </c>
      <c r="H1345" s="842"/>
      <c r="J1345" s="864"/>
      <c r="K1345" s="780"/>
      <c r="L1345" s="824"/>
    </row>
    <row r="1346" spans="1:14" x14ac:dyDescent="0.25">
      <c r="A1346" s="774"/>
      <c r="B1346" s="774"/>
      <c r="C1346" s="813" t="s">
        <v>12</v>
      </c>
      <c r="D1346" s="813"/>
      <c r="E1346" s="813"/>
      <c r="F1346" s="873" t="s">
        <v>3</v>
      </c>
      <c r="G1346" s="871">
        <f>0.3*G1345</f>
        <v>1.3939199999999999E-2</v>
      </c>
      <c r="H1346" s="842"/>
      <c r="J1346" s="864"/>
      <c r="K1346" s="780"/>
      <c r="L1346" s="824"/>
    </row>
    <row r="1347" spans="1:14" x14ac:dyDescent="0.25">
      <c r="A1347" s="774"/>
      <c r="B1347" s="774"/>
      <c r="C1347" s="814"/>
      <c r="D1347" s="814" t="s">
        <v>10083</v>
      </c>
      <c r="E1347" s="813"/>
      <c r="F1347" s="873"/>
      <c r="G1347" s="871"/>
      <c r="H1347" s="842"/>
      <c r="J1347" s="864"/>
      <c r="K1347" s="780"/>
      <c r="L1347" s="824"/>
    </row>
    <row r="1348" spans="1:14" x14ac:dyDescent="0.25">
      <c r="A1348" s="774"/>
      <c r="B1348" s="774"/>
      <c r="C1348" s="814"/>
      <c r="D1348" s="813" t="s">
        <v>6587</v>
      </c>
      <c r="E1348" s="813"/>
      <c r="F1348" s="873" t="s">
        <v>3</v>
      </c>
      <c r="G1348" s="871">
        <f>0.271*L1348+0.001</f>
        <v>0.50235000000000007</v>
      </c>
      <c r="H1348" s="842"/>
      <c r="I1348" s="874" t="s">
        <v>10567</v>
      </c>
      <c r="J1348" s="864">
        <v>1.76</v>
      </c>
      <c r="K1348" s="874" t="s">
        <v>10150</v>
      </c>
      <c r="L1348" s="824">
        <v>1.85</v>
      </c>
      <c r="N1348" s="746" t="s">
        <v>10372</v>
      </c>
    </row>
    <row r="1349" spans="1:14" x14ac:dyDescent="0.25">
      <c r="A1349" s="774"/>
      <c r="B1349" s="774"/>
      <c r="C1349" s="814"/>
      <c r="D1349" s="813"/>
      <c r="E1349" s="813"/>
      <c r="F1349" s="873"/>
      <c r="G1349" s="871"/>
      <c r="H1349" s="842"/>
      <c r="J1349" s="864">
        <v>1.23</v>
      </c>
      <c r="K1349" s="874" t="s">
        <v>10150</v>
      </c>
      <c r="L1349" s="824">
        <v>1.4</v>
      </c>
      <c r="N1349" s="746" t="s">
        <v>10379</v>
      </c>
    </row>
    <row r="1350" spans="1:14" x14ac:dyDescent="0.25">
      <c r="A1350" s="774"/>
      <c r="B1350" s="774">
        <v>34</v>
      </c>
      <c r="C1350" s="814" t="s">
        <v>10084</v>
      </c>
      <c r="D1350" s="813"/>
      <c r="E1350" s="813"/>
      <c r="F1350" s="873" t="s">
        <v>10380</v>
      </c>
      <c r="G1350" s="871"/>
      <c r="H1350" s="842"/>
      <c r="J1350" s="864"/>
      <c r="K1350" s="780"/>
      <c r="L1350" s="824"/>
    </row>
    <row r="1351" spans="1:14" x14ac:dyDescent="0.25">
      <c r="A1351" s="774"/>
      <c r="B1351" s="774"/>
      <c r="C1351" s="813" t="s">
        <v>114</v>
      </c>
      <c r="D1351" s="813"/>
      <c r="E1351" s="813"/>
      <c r="F1351" s="873" t="s">
        <v>3</v>
      </c>
      <c r="G1351" s="871">
        <f>G1353*0.7</f>
        <v>3.5111999999999997E-2</v>
      </c>
      <c r="H1351" s="842"/>
      <c r="K1351" s="780"/>
      <c r="L1351" s="824"/>
    </row>
    <row r="1352" spans="1:14" x14ac:dyDescent="0.25">
      <c r="A1352" s="774"/>
      <c r="B1352" s="774"/>
      <c r="C1352" s="813" t="s">
        <v>164</v>
      </c>
      <c r="D1352" s="813"/>
      <c r="E1352" s="813"/>
      <c r="F1352" s="873" t="s">
        <v>3</v>
      </c>
      <c r="G1352" s="871">
        <f>0.3*G1351</f>
        <v>1.0533599999999999E-2</v>
      </c>
      <c r="H1352" s="842"/>
      <c r="J1352" s="864"/>
      <c r="K1352" s="780"/>
      <c r="L1352" s="824"/>
    </row>
    <row r="1353" spans="1:14" x14ac:dyDescent="0.25">
      <c r="A1353" s="774"/>
      <c r="B1353" s="774"/>
      <c r="C1353" s="813" t="s">
        <v>442</v>
      </c>
      <c r="D1353" s="813"/>
      <c r="E1353" s="813"/>
      <c r="F1353" s="873" t="s">
        <v>3</v>
      </c>
      <c r="G1353" s="871">
        <f>J1356*0.011*2*1.2</f>
        <v>5.0159999999999996E-2</v>
      </c>
      <c r="H1353" s="842"/>
      <c r="J1353" s="864"/>
      <c r="K1353" s="780"/>
      <c r="L1353" s="824"/>
    </row>
    <row r="1354" spans="1:14" x14ac:dyDescent="0.25">
      <c r="A1354" s="774"/>
      <c r="B1354" s="774"/>
      <c r="C1354" s="813" t="s">
        <v>12</v>
      </c>
      <c r="D1354" s="813"/>
      <c r="E1354" s="813"/>
      <c r="F1354" s="873" t="s">
        <v>3</v>
      </c>
      <c r="G1354" s="871">
        <f>0.3*G1353</f>
        <v>1.5047999999999999E-2</v>
      </c>
      <c r="H1354" s="842"/>
      <c r="J1354" s="864"/>
      <c r="K1354" s="780"/>
      <c r="L1354" s="824"/>
    </row>
    <row r="1355" spans="1:14" x14ac:dyDescent="0.25">
      <c r="A1355" s="774"/>
      <c r="B1355" s="774"/>
      <c r="C1355" s="814"/>
      <c r="D1355" s="814" t="s">
        <v>10085</v>
      </c>
      <c r="E1355" s="813"/>
      <c r="F1355" s="873"/>
      <c r="G1355" s="871"/>
      <c r="H1355" s="842"/>
      <c r="J1355" s="864"/>
      <c r="K1355" s="780"/>
      <c r="L1355" s="824"/>
    </row>
    <row r="1356" spans="1:14" x14ac:dyDescent="0.25">
      <c r="A1356" s="774"/>
      <c r="B1356" s="774"/>
      <c r="C1356" s="814"/>
      <c r="D1356" s="813" t="s">
        <v>6587</v>
      </c>
      <c r="E1356" s="813"/>
      <c r="F1356" s="873" t="s">
        <v>3</v>
      </c>
      <c r="G1356" s="871">
        <f>0.271*L1356+0.001</f>
        <v>0.54300000000000004</v>
      </c>
      <c r="H1356" s="842"/>
      <c r="I1356" s="874" t="s">
        <v>10567</v>
      </c>
      <c r="J1356" s="864">
        <v>1.9</v>
      </c>
      <c r="K1356" s="874" t="s">
        <v>10150</v>
      </c>
      <c r="L1356" s="824">
        <v>2</v>
      </c>
      <c r="N1356" s="746" t="s">
        <v>10372</v>
      </c>
    </row>
    <row r="1357" spans="1:14" x14ac:dyDescent="0.25">
      <c r="A1357" s="774"/>
      <c r="B1357" s="774"/>
      <c r="C1357" s="814"/>
      <c r="D1357" s="813"/>
      <c r="E1357" s="813"/>
      <c r="F1357" s="873"/>
      <c r="G1357" s="871"/>
      <c r="H1357" s="842"/>
      <c r="J1357" s="864">
        <v>1.22</v>
      </c>
      <c r="K1357" s="874"/>
      <c r="L1357" s="824">
        <v>1.4</v>
      </c>
      <c r="N1357" s="746" t="s">
        <v>10379</v>
      </c>
    </row>
    <row r="1358" spans="1:14" x14ac:dyDescent="0.25">
      <c r="A1358" s="774"/>
      <c r="B1358" s="774">
        <v>35</v>
      </c>
      <c r="C1358" s="814" t="s">
        <v>10086</v>
      </c>
      <c r="D1358" s="813"/>
      <c r="E1358" s="813"/>
      <c r="F1358" s="873"/>
      <c r="G1358" s="871"/>
      <c r="H1358" s="842"/>
      <c r="J1358" s="780" t="s">
        <v>10373</v>
      </c>
    </row>
    <row r="1359" spans="1:14" x14ac:dyDescent="0.25">
      <c r="A1359" s="774"/>
      <c r="B1359" s="774"/>
      <c r="C1359" s="813" t="s">
        <v>114</v>
      </c>
      <c r="D1359" s="813"/>
      <c r="E1359" s="813"/>
      <c r="F1359" s="873" t="s">
        <v>3</v>
      </c>
      <c r="G1359" s="871">
        <f>G1361*0.7</f>
        <v>5.3037599999999997E-2</v>
      </c>
      <c r="H1359" s="842"/>
      <c r="J1359" s="864"/>
    </row>
    <row r="1360" spans="1:14" x14ac:dyDescent="0.25">
      <c r="A1360" s="774"/>
      <c r="B1360" s="774"/>
      <c r="C1360" s="813" t="s">
        <v>164</v>
      </c>
      <c r="D1360" s="813"/>
      <c r="E1360" s="813"/>
      <c r="F1360" s="873" t="s">
        <v>3</v>
      </c>
      <c r="G1360" s="871">
        <f>0.3*G1359</f>
        <v>1.591128E-2</v>
      </c>
      <c r="H1360" s="842"/>
      <c r="J1360" s="864"/>
    </row>
    <row r="1361" spans="1:12" x14ac:dyDescent="0.25">
      <c r="A1361" s="774"/>
      <c r="B1361" s="774"/>
      <c r="C1361" s="813" t="s">
        <v>442</v>
      </c>
      <c r="D1361" s="813"/>
      <c r="E1361" s="813"/>
      <c r="F1361" s="873" t="s">
        <v>3</v>
      </c>
      <c r="G1361" s="871">
        <f>J1364*0.011*2*1.2</f>
        <v>7.5768000000000002E-2</v>
      </c>
      <c r="H1361" s="842"/>
      <c r="J1361" s="864"/>
    </row>
    <row r="1362" spans="1:12" x14ac:dyDescent="0.25">
      <c r="A1362" s="774"/>
      <c r="B1362" s="774"/>
      <c r="C1362" s="813" t="s">
        <v>12</v>
      </c>
      <c r="D1362" s="813"/>
      <c r="E1362" s="813"/>
      <c r="F1362" s="873" t="s">
        <v>3</v>
      </c>
      <c r="G1362" s="871">
        <f>0.3*G1361</f>
        <v>2.2730400000000001E-2</v>
      </c>
      <c r="H1362" s="842"/>
      <c r="J1362" s="864"/>
    </row>
    <row r="1363" spans="1:12" x14ac:dyDescent="0.25">
      <c r="A1363" s="774"/>
      <c r="B1363" s="774"/>
      <c r="C1363" s="814"/>
      <c r="D1363" s="814" t="s">
        <v>10087</v>
      </c>
      <c r="E1363" s="813"/>
      <c r="F1363" s="873"/>
      <c r="G1363" s="871"/>
      <c r="H1363" s="842"/>
      <c r="J1363" s="864"/>
    </row>
    <row r="1364" spans="1:12" x14ac:dyDescent="0.25">
      <c r="A1364" s="774"/>
      <c r="B1364" s="774"/>
      <c r="C1364" s="814"/>
      <c r="D1364" s="813" t="s">
        <v>6587</v>
      </c>
      <c r="E1364" s="813"/>
      <c r="F1364" s="873" t="s">
        <v>3</v>
      </c>
      <c r="G1364" s="871">
        <f>0.271*L1364</f>
        <v>0.81300000000000006</v>
      </c>
      <c r="H1364" s="842"/>
      <c r="I1364" s="874" t="s">
        <v>10567</v>
      </c>
      <c r="J1364" s="864">
        <f>1.57+1.3</f>
        <v>2.87</v>
      </c>
      <c r="K1364" s="874" t="s">
        <v>10150</v>
      </c>
      <c r="L1364" s="825">
        <v>3</v>
      </c>
    </row>
    <row r="1365" spans="1:12" x14ac:dyDescent="0.25">
      <c r="A1365" s="774"/>
      <c r="B1365" s="774"/>
      <c r="C1365" s="814"/>
      <c r="D1365" s="813"/>
      <c r="E1365" s="813"/>
      <c r="F1365" s="873"/>
      <c r="G1365" s="871"/>
      <c r="H1365" s="842"/>
      <c r="J1365" s="864"/>
    </row>
    <row r="1366" spans="1:12" x14ac:dyDescent="0.25">
      <c r="A1366" s="774"/>
      <c r="B1366" s="774">
        <v>36</v>
      </c>
      <c r="C1366" s="814" t="s">
        <v>10088</v>
      </c>
      <c r="D1366" s="813"/>
      <c r="E1366" s="813"/>
      <c r="F1366" s="873"/>
      <c r="G1366" s="871"/>
      <c r="H1366" s="842"/>
      <c r="J1366" s="780" t="s">
        <v>10373</v>
      </c>
    </row>
    <row r="1367" spans="1:12" x14ac:dyDescent="0.25">
      <c r="A1367" s="774"/>
      <c r="B1367" s="774"/>
      <c r="C1367" s="813" t="s">
        <v>114</v>
      </c>
      <c r="D1367" s="813"/>
      <c r="E1367" s="813"/>
      <c r="F1367" s="873" t="s">
        <v>3</v>
      </c>
      <c r="G1367" s="871">
        <f>G1369*0.7</f>
        <v>5.0635199999999998E-2</v>
      </c>
      <c r="H1367" s="842"/>
      <c r="J1367" s="864"/>
    </row>
    <row r="1368" spans="1:12" x14ac:dyDescent="0.25">
      <c r="A1368" s="774"/>
      <c r="B1368" s="774"/>
      <c r="C1368" s="813" t="s">
        <v>164</v>
      </c>
      <c r="D1368" s="813"/>
      <c r="E1368" s="813"/>
      <c r="F1368" s="873" t="s">
        <v>3</v>
      </c>
      <c r="G1368" s="871">
        <f>0.3*G1367</f>
        <v>1.5190559999999999E-2</v>
      </c>
      <c r="H1368" s="842"/>
      <c r="J1368" s="864"/>
    </row>
    <row r="1369" spans="1:12" x14ac:dyDescent="0.25">
      <c r="A1369" s="774"/>
      <c r="B1369" s="774"/>
      <c r="C1369" s="813" t="s">
        <v>442</v>
      </c>
      <c r="D1369" s="813"/>
      <c r="E1369" s="813"/>
      <c r="F1369" s="873" t="s">
        <v>3</v>
      </c>
      <c r="G1369" s="871">
        <f>J1372*0.011*2*1.2</f>
        <v>7.2335999999999998E-2</v>
      </c>
      <c r="H1369" s="842"/>
      <c r="J1369" s="864"/>
    </row>
    <row r="1370" spans="1:12" x14ac:dyDescent="0.25">
      <c r="A1370" s="774"/>
      <c r="B1370" s="774"/>
      <c r="C1370" s="813" t="s">
        <v>12</v>
      </c>
      <c r="D1370" s="813"/>
      <c r="E1370" s="813"/>
      <c r="F1370" s="873" t="s">
        <v>3</v>
      </c>
      <c r="G1370" s="871">
        <f>0.3*G1369</f>
        <v>2.1700799999999999E-2</v>
      </c>
      <c r="H1370" s="842"/>
      <c r="J1370" s="864"/>
    </row>
    <row r="1371" spans="1:12" x14ac:dyDescent="0.25">
      <c r="A1371" s="774"/>
      <c r="B1371" s="774"/>
      <c r="C1371" s="814"/>
      <c r="D1371" s="814" t="s">
        <v>10089</v>
      </c>
      <c r="E1371" s="813"/>
      <c r="F1371" s="873"/>
      <c r="G1371" s="871"/>
      <c r="H1371" s="842"/>
      <c r="J1371" s="864"/>
    </row>
    <row r="1372" spans="1:12" x14ac:dyDescent="0.25">
      <c r="A1372" s="774"/>
      <c r="B1372" s="774"/>
      <c r="C1372" s="814"/>
      <c r="D1372" s="813" t="s">
        <v>6587</v>
      </c>
      <c r="E1372" s="813"/>
      <c r="F1372" s="873" t="s">
        <v>3</v>
      </c>
      <c r="G1372" s="871">
        <f>0.271*L1372</f>
        <v>0.78590000000000004</v>
      </c>
      <c r="H1372" s="842"/>
      <c r="I1372" s="874" t="s">
        <v>10567</v>
      </c>
      <c r="J1372" s="864">
        <f>1.36+1.38</f>
        <v>2.74</v>
      </c>
      <c r="K1372" s="874" t="s">
        <v>10150</v>
      </c>
      <c r="L1372" s="825">
        <v>2.9</v>
      </c>
    </row>
    <row r="1373" spans="1:12" x14ac:dyDescent="0.25">
      <c r="A1373" s="774"/>
      <c r="B1373" s="774"/>
      <c r="C1373" s="814"/>
      <c r="D1373" s="813"/>
      <c r="E1373" s="813"/>
      <c r="F1373" s="873"/>
      <c r="G1373" s="871"/>
      <c r="H1373" s="842"/>
      <c r="J1373" s="864"/>
    </row>
    <row r="1374" spans="1:12" x14ac:dyDescent="0.25">
      <c r="A1374" s="774"/>
      <c r="B1374" s="774">
        <v>37</v>
      </c>
      <c r="C1374" s="814" t="s">
        <v>10090</v>
      </c>
      <c r="D1374" s="813"/>
      <c r="E1374" s="813"/>
      <c r="F1374" s="873"/>
      <c r="G1374" s="871"/>
      <c r="H1374" s="842"/>
      <c r="J1374" s="864"/>
    </row>
    <row r="1375" spans="1:12" x14ac:dyDescent="0.25">
      <c r="A1375" s="774"/>
      <c r="B1375" s="774"/>
      <c r="C1375" s="813" t="s">
        <v>114</v>
      </c>
      <c r="D1375" s="813"/>
      <c r="E1375" s="813"/>
      <c r="F1375" s="873" t="s">
        <v>3</v>
      </c>
      <c r="G1375" s="871">
        <f>G1377*0.7</f>
        <v>2.5132799999999997E-2</v>
      </c>
      <c r="H1375" s="842"/>
      <c r="J1375" s="864"/>
    </row>
    <row r="1376" spans="1:12" x14ac:dyDescent="0.25">
      <c r="A1376" s="774"/>
      <c r="B1376" s="774"/>
      <c r="C1376" s="813" t="s">
        <v>164</v>
      </c>
      <c r="D1376" s="813"/>
      <c r="E1376" s="813"/>
      <c r="F1376" s="873" t="s">
        <v>3</v>
      </c>
      <c r="G1376" s="871">
        <f>0.3*G1375</f>
        <v>7.539839999999999E-3</v>
      </c>
      <c r="H1376" s="842"/>
      <c r="J1376" s="864"/>
    </row>
    <row r="1377" spans="1:12" x14ac:dyDescent="0.25">
      <c r="A1377" s="774"/>
      <c r="B1377" s="774"/>
      <c r="C1377" s="813" t="s">
        <v>442</v>
      </c>
      <c r="D1377" s="813"/>
      <c r="E1377" s="813"/>
      <c r="F1377" s="873" t="s">
        <v>3</v>
      </c>
      <c r="G1377" s="871">
        <f>J1380*0.011*2*1.2</f>
        <v>3.5903999999999998E-2</v>
      </c>
      <c r="H1377" s="842"/>
      <c r="J1377" s="864"/>
    </row>
    <row r="1378" spans="1:12" x14ac:dyDescent="0.25">
      <c r="A1378" s="774"/>
      <c r="B1378" s="774"/>
      <c r="C1378" s="813" t="s">
        <v>12</v>
      </c>
      <c r="D1378" s="813"/>
      <c r="E1378" s="813"/>
      <c r="F1378" s="873" t="s">
        <v>3</v>
      </c>
      <c r="G1378" s="871">
        <f>0.3*G1377</f>
        <v>1.07712E-2</v>
      </c>
      <c r="H1378" s="842"/>
      <c r="J1378" s="864"/>
    </row>
    <row r="1379" spans="1:12" x14ac:dyDescent="0.25">
      <c r="A1379" s="774"/>
      <c r="B1379" s="774"/>
      <c r="C1379" s="814"/>
      <c r="D1379" s="814" t="s">
        <v>10091</v>
      </c>
      <c r="E1379" s="813"/>
      <c r="F1379" s="873"/>
      <c r="G1379" s="871"/>
      <c r="H1379" s="842"/>
      <c r="J1379" s="864"/>
    </row>
    <row r="1380" spans="1:12" x14ac:dyDescent="0.25">
      <c r="A1380" s="774"/>
      <c r="B1380" s="774"/>
      <c r="C1380" s="814"/>
      <c r="D1380" s="813" t="s">
        <v>6587</v>
      </c>
      <c r="E1380" s="813"/>
      <c r="F1380" s="873" t="s">
        <v>3</v>
      </c>
      <c r="G1380" s="871">
        <f>0.271*L1380</f>
        <v>0.39295000000000002</v>
      </c>
      <c r="H1380" s="842"/>
      <c r="I1380" s="874" t="s">
        <v>10567</v>
      </c>
      <c r="J1380" s="864">
        <v>1.36</v>
      </c>
      <c r="K1380" s="874" t="s">
        <v>10150</v>
      </c>
      <c r="L1380" s="825">
        <v>1.45</v>
      </c>
    </row>
    <row r="1381" spans="1:12" x14ac:dyDescent="0.25">
      <c r="A1381" s="774"/>
      <c r="B1381" s="774"/>
      <c r="C1381" s="814"/>
      <c r="D1381" s="813"/>
      <c r="E1381" s="813"/>
      <c r="F1381" s="873"/>
      <c r="G1381" s="871"/>
      <c r="H1381" s="842"/>
      <c r="J1381" s="864"/>
    </row>
    <row r="1382" spans="1:12" x14ac:dyDescent="0.25">
      <c r="A1382" s="774"/>
      <c r="B1382" s="774">
        <v>38</v>
      </c>
      <c r="C1382" s="814" t="s">
        <v>10092</v>
      </c>
      <c r="D1382" s="813"/>
      <c r="E1382" s="813"/>
      <c r="F1382" s="873"/>
      <c r="G1382" s="871"/>
      <c r="H1382" s="842"/>
      <c r="J1382" s="864"/>
    </row>
    <row r="1383" spans="1:12" x14ac:dyDescent="0.25">
      <c r="A1383" s="774"/>
      <c r="B1383" s="774"/>
      <c r="C1383" s="813" t="s">
        <v>114</v>
      </c>
      <c r="D1383" s="813"/>
      <c r="E1383" s="813"/>
      <c r="F1383" s="873" t="s">
        <v>3</v>
      </c>
      <c r="G1383" s="871">
        <f>G1385*0.7</f>
        <v>2.5132799999999997E-2</v>
      </c>
      <c r="H1383" s="842"/>
      <c r="J1383" s="864"/>
    </row>
    <row r="1384" spans="1:12" x14ac:dyDescent="0.25">
      <c r="A1384" s="774"/>
      <c r="B1384" s="774"/>
      <c r="C1384" s="813" t="s">
        <v>164</v>
      </c>
      <c r="D1384" s="813"/>
      <c r="E1384" s="813"/>
      <c r="F1384" s="873" t="s">
        <v>3</v>
      </c>
      <c r="G1384" s="871">
        <f>0.3*G1383</f>
        <v>7.539839999999999E-3</v>
      </c>
      <c r="H1384" s="842"/>
      <c r="J1384" s="864"/>
    </row>
    <row r="1385" spans="1:12" x14ac:dyDescent="0.25">
      <c r="A1385" s="774"/>
      <c r="B1385" s="774"/>
      <c r="C1385" s="813" t="s">
        <v>442</v>
      </c>
      <c r="D1385" s="813"/>
      <c r="E1385" s="813"/>
      <c r="F1385" s="873" t="s">
        <v>3</v>
      </c>
      <c r="G1385" s="871">
        <f>J1388*0.011*2*1.2</f>
        <v>3.5903999999999998E-2</v>
      </c>
      <c r="H1385" s="842"/>
      <c r="J1385" s="864"/>
    </row>
    <row r="1386" spans="1:12" x14ac:dyDescent="0.25">
      <c r="A1386" s="774"/>
      <c r="B1386" s="774"/>
      <c r="C1386" s="813" t="s">
        <v>12</v>
      </c>
      <c r="D1386" s="813"/>
      <c r="E1386" s="813"/>
      <c r="F1386" s="873" t="s">
        <v>3</v>
      </c>
      <c r="G1386" s="871">
        <f>0.3*G1385</f>
        <v>1.07712E-2</v>
      </c>
      <c r="H1386" s="842"/>
      <c r="J1386" s="864"/>
    </row>
    <row r="1387" spans="1:12" x14ac:dyDescent="0.25">
      <c r="A1387" s="774"/>
      <c r="B1387" s="774"/>
      <c r="C1387" s="814"/>
      <c r="D1387" s="814" t="s">
        <v>10093</v>
      </c>
      <c r="E1387" s="813"/>
      <c r="F1387" s="873"/>
      <c r="G1387" s="871"/>
      <c r="H1387" s="842"/>
      <c r="J1387" s="864"/>
    </row>
    <row r="1388" spans="1:12" x14ac:dyDescent="0.25">
      <c r="A1388" s="774"/>
      <c r="B1388" s="774"/>
      <c r="C1388" s="814"/>
      <c r="D1388" s="813" t="s">
        <v>6587</v>
      </c>
      <c r="E1388" s="813"/>
      <c r="F1388" s="873" t="s">
        <v>3</v>
      </c>
      <c r="G1388" s="871">
        <f>0.271*L1388</f>
        <v>0.39295000000000002</v>
      </c>
      <c r="H1388" s="842"/>
      <c r="I1388" s="874" t="s">
        <v>10567</v>
      </c>
      <c r="J1388" s="864">
        <v>1.36</v>
      </c>
      <c r="K1388" s="874" t="s">
        <v>10150</v>
      </c>
      <c r="L1388" s="825">
        <v>1.45</v>
      </c>
    </row>
    <row r="1389" spans="1:12" x14ac:dyDescent="0.25">
      <c r="A1389" s="774"/>
      <c r="B1389" s="774"/>
      <c r="C1389" s="814"/>
      <c r="D1389" s="813"/>
      <c r="E1389" s="813"/>
      <c r="F1389" s="873"/>
      <c r="G1389" s="871"/>
      <c r="H1389" s="842"/>
      <c r="J1389" s="864"/>
    </row>
    <row r="1390" spans="1:12" x14ac:dyDescent="0.25">
      <c r="A1390" s="774"/>
      <c r="B1390" s="774">
        <v>39</v>
      </c>
      <c r="C1390" s="814" t="s">
        <v>10094</v>
      </c>
      <c r="D1390" s="813"/>
      <c r="E1390" s="813"/>
      <c r="F1390" s="873"/>
      <c r="G1390" s="871"/>
      <c r="H1390" s="842"/>
      <c r="J1390" s="864"/>
    </row>
    <row r="1391" spans="1:12" x14ac:dyDescent="0.25">
      <c r="A1391" s="774"/>
      <c r="B1391" s="774"/>
      <c r="C1391" s="813" t="s">
        <v>114</v>
      </c>
      <c r="D1391" s="813"/>
      <c r="E1391" s="813"/>
      <c r="F1391" s="873" t="s">
        <v>3</v>
      </c>
      <c r="G1391" s="871">
        <f>G1393*0.7</f>
        <v>1.1642399999999997E-2</v>
      </c>
      <c r="H1391" s="842"/>
      <c r="J1391" s="864"/>
    </row>
    <row r="1392" spans="1:12" x14ac:dyDescent="0.25">
      <c r="A1392" s="774"/>
      <c r="B1392" s="774"/>
      <c r="C1392" s="813" t="s">
        <v>164</v>
      </c>
      <c r="D1392" s="813"/>
      <c r="E1392" s="813"/>
      <c r="F1392" s="873" t="s">
        <v>3</v>
      </c>
      <c r="G1392" s="871">
        <f>0.3*G1391</f>
        <v>3.4927199999999991E-3</v>
      </c>
      <c r="H1392" s="842"/>
      <c r="J1392" s="864"/>
    </row>
    <row r="1393" spans="1:13" x14ac:dyDescent="0.25">
      <c r="A1393" s="774"/>
      <c r="B1393" s="774"/>
      <c r="C1393" s="813" t="s">
        <v>442</v>
      </c>
      <c r="D1393" s="813"/>
      <c r="E1393" s="813"/>
      <c r="F1393" s="873" t="s">
        <v>3</v>
      </c>
      <c r="G1393" s="871">
        <f>J1396*0.011*2*1.2</f>
        <v>1.6631999999999997E-2</v>
      </c>
      <c r="H1393" s="842"/>
      <c r="J1393" s="864"/>
    </row>
    <row r="1394" spans="1:13" x14ac:dyDescent="0.25">
      <c r="A1394" s="774"/>
      <c r="B1394" s="774"/>
      <c r="C1394" s="813" t="s">
        <v>12</v>
      </c>
      <c r="D1394" s="813"/>
      <c r="E1394" s="813"/>
      <c r="F1394" s="873" t="s">
        <v>3</v>
      </c>
      <c r="G1394" s="871">
        <f>0.3*G1393</f>
        <v>4.9895999999999994E-3</v>
      </c>
      <c r="H1394" s="842"/>
      <c r="J1394" s="864"/>
    </row>
    <row r="1395" spans="1:13" x14ac:dyDescent="0.25">
      <c r="A1395" s="774"/>
      <c r="B1395" s="774"/>
      <c r="C1395" s="814"/>
      <c r="D1395" s="814" t="s">
        <v>10095</v>
      </c>
      <c r="E1395" s="813"/>
      <c r="F1395" s="873"/>
      <c r="G1395" s="871"/>
      <c r="H1395" s="842"/>
      <c r="J1395" s="864"/>
    </row>
    <row r="1396" spans="1:13" x14ac:dyDescent="0.25">
      <c r="A1396" s="774"/>
      <c r="B1396" s="774"/>
      <c r="C1396" s="814"/>
      <c r="D1396" s="813" t="s">
        <v>6587</v>
      </c>
      <c r="E1396" s="813"/>
      <c r="F1396" s="873" t="s">
        <v>3</v>
      </c>
      <c r="G1396" s="871">
        <f>0.271*L1396</f>
        <v>0.18157000000000004</v>
      </c>
      <c r="H1396" s="842"/>
      <c r="I1396" s="874" t="s">
        <v>10567</v>
      </c>
      <c r="J1396" s="864">
        <v>0.63</v>
      </c>
      <c r="K1396" s="874" t="s">
        <v>10150</v>
      </c>
      <c r="L1396" s="825">
        <v>0.67</v>
      </c>
      <c r="M1396" s="811" t="s">
        <v>10377</v>
      </c>
    </row>
    <row r="1397" spans="1:13" x14ac:dyDescent="0.25">
      <c r="A1397" s="774"/>
      <c r="B1397" s="774"/>
      <c r="C1397" s="814"/>
      <c r="D1397" s="813"/>
      <c r="E1397" s="813"/>
      <c r="F1397" s="873"/>
      <c r="G1397" s="871"/>
      <c r="H1397" s="842"/>
      <c r="J1397" s="864"/>
    </row>
    <row r="1398" spans="1:13" x14ac:dyDescent="0.25">
      <c r="A1398" s="774"/>
      <c r="B1398" s="774">
        <v>44</v>
      </c>
      <c r="C1398" s="814" t="s">
        <v>10096</v>
      </c>
      <c r="D1398" s="813"/>
      <c r="E1398" s="813"/>
      <c r="F1398" s="873"/>
      <c r="G1398" s="871"/>
      <c r="H1398" s="842"/>
      <c r="J1398" s="864"/>
    </row>
    <row r="1399" spans="1:13" x14ac:dyDescent="0.25">
      <c r="A1399" s="774"/>
      <c r="B1399" s="774"/>
      <c r="C1399" s="263" t="s">
        <v>10058</v>
      </c>
      <c r="D1399" s="263"/>
      <c r="E1399" s="813"/>
      <c r="F1399" s="875" t="s">
        <v>3</v>
      </c>
      <c r="G1399" s="876">
        <f>(0.012*3.14)*0.08*1.3</f>
        <v>3.9187200000000005E-3</v>
      </c>
      <c r="H1399" s="842"/>
      <c r="J1399" s="864"/>
    </row>
    <row r="1400" spans="1:13" ht="17.25" x14ac:dyDescent="0.25">
      <c r="A1400" s="774"/>
      <c r="B1400" s="774"/>
      <c r="C1400" s="263" t="s">
        <v>121</v>
      </c>
      <c r="D1400" s="263"/>
      <c r="E1400" s="813"/>
      <c r="F1400" s="875" t="s">
        <v>10568</v>
      </c>
      <c r="G1400" s="876">
        <f>G1399*1.1</f>
        <v>4.3105920000000011E-3</v>
      </c>
      <c r="H1400" s="842"/>
      <c r="J1400" s="864"/>
    </row>
    <row r="1401" spans="1:13" x14ac:dyDescent="0.25">
      <c r="A1401" s="774"/>
      <c r="B1401" s="774"/>
      <c r="C1401" s="813" t="s">
        <v>114</v>
      </c>
      <c r="D1401" s="813"/>
      <c r="E1401" s="813"/>
      <c r="F1401" s="873" t="s">
        <v>3</v>
      </c>
      <c r="G1401" s="871">
        <f>G1403*0.7</f>
        <v>1.8479999999999996E-2</v>
      </c>
      <c r="H1401" s="842"/>
      <c r="J1401" s="864"/>
    </row>
    <row r="1402" spans="1:13" x14ac:dyDescent="0.25">
      <c r="A1402" s="774"/>
      <c r="B1402" s="774"/>
      <c r="C1402" s="813" t="s">
        <v>164</v>
      </c>
      <c r="D1402" s="813"/>
      <c r="E1402" s="813"/>
      <c r="F1402" s="873" t="s">
        <v>3</v>
      </c>
      <c r="G1402" s="869">
        <f>G1401*0.3</f>
        <v>5.5439999999999986E-3</v>
      </c>
      <c r="H1402" s="842"/>
      <c r="J1402" s="864"/>
    </row>
    <row r="1403" spans="1:13" x14ac:dyDescent="0.25">
      <c r="A1403" s="774"/>
      <c r="B1403" s="774"/>
      <c r="C1403" s="813" t="s">
        <v>442</v>
      </c>
      <c r="D1403" s="813"/>
      <c r="E1403" s="813"/>
      <c r="F1403" s="873" t="s">
        <v>3</v>
      </c>
      <c r="G1403" s="871">
        <f>J1406*0.011*2*1.2</f>
        <v>2.6399999999999996E-2</v>
      </c>
      <c r="H1403" s="842"/>
      <c r="J1403" s="864"/>
    </row>
    <row r="1404" spans="1:13" x14ac:dyDescent="0.25">
      <c r="A1404" s="774"/>
      <c r="B1404" s="774"/>
      <c r="C1404" s="813" t="s">
        <v>12</v>
      </c>
      <c r="D1404" s="813"/>
      <c r="E1404" s="813"/>
      <c r="F1404" s="873" t="s">
        <v>3</v>
      </c>
      <c r="G1404" s="871">
        <f>0.3*G1403</f>
        <v>7.9199999999999982E-3</v>
      </c>
      <c r="H1404" s="842"/>
      <c r="J1404" s="864"/>
    </row>
    <row r="1405" spans="1:13" x14ac:dyDescent="0.25">
      <c r="A1405" s="774"/>
      <c r="B1405" s="774"/>
      <c r="C1405" s="814"/>
      <c r="D1405" s="814" t="s">
        <v>10097</v>
      </c>
      <c r="E1405" s="813"/>
      <c r="F1405" s="873"/>
      <c r="G1405" s="871"/>
      <c r="H1405" s="842"/>
      <c r="J1405" s="864"/>
    </row>
    <row r="1406" spans="1:13" x14ac:dyDescent="0.25">
      <c r="A1406" s="774"/>
      <c r="B1406" s="774"/>
      <c r="C1406" s="814"/>
      <c r="D1406" s="813" t="s">
        <v>6587</v>
      </c>
      <c r="E1406" s="813"/>
      <c r="F1406" s="873" t="s">
        <v>3</v>
      </c>
      <c r="G1406" s="871">
        <f>0.271*L1406</f>
        <v>0.28997000000000006</v>
      </c>
      <c r="H1406" s="842"/>
      <c r="I1406" s="874" t="s">
        <v>10567</v>
      </c>
      <c r="J1406" s="864">
        <v>1</v>
      </c>
      <c r="K1406" s="874" t="s">
        <v>10150</v>
      </c>
      <c r="L1406" s="825">
        <v>1.07</v>
      </c>
      <c r="M1406" s="811" t="s">
        <v>10376</v>
      </c>
    </row>
    <row r="1407" spans="1:13" x14ac:dyDescent="0.25">
      <c r="A1407" s="774"/>
      <c r="B1407" s="774"/>
      <c r="C1407" s="814"/>
      <c r="D1407" s="813"/>
      <c r="E1407" s="813"/>
      <c r="F1407" s="873"/>
      <c r="G1407" s="871"/>
      <c r="H1407" s="842"/>
      <c r="J1407" s="864"/>
    </row>
    <row r="1408" spans="1:13" x14ac:dyDescent="0.25">
      <c r="A1408" s="774"/>
      <c r="B1408" s="774">
        <v>45</v>
      </c>
      <c r="C1408" s="814" t="s">
        <v>10098</v>
      </c>
      <c r="D1408" s="813"/>
      <c r="E1408" s="813"/>
      <c r="F1408" s="873"/>
      <c r="G1408" s="871"/>
      <c r="H1408" s="842"/>
      <c r="J1408" s="864"/>
    </row>
    <row r="1409" spans="1:12" x14ac:dyDescent="0.25">
      <c r="A1409" s="774"/>
      <c r="B1409" s="774"/>
      <c r="C1409" s="263" t="s">
        <v>10058</v>
      </c>
      <c r="D1409" s="263"/>
      <c r="E1409" s="813"/>
      <c r="F1409" s="875" t="s">
        <v>3</v>
      </c>
      <c r="G1409" s="876">
        <f>(0.012*3.14)*0.08*1.3</f>
        <v>3.9187200000000005E-3</v>
      </c>
      <c r="H1409" s="842"/>
      <c r="J1409" s="864"/>
    </row>
    <row r="1410" spans="1:12" ht="17.25" x14ac:dyDescent="0.25">
      <c r="A1410" s="774"/>
      <c r="B1410" s="774"/>
      <c r="C1410" s="263" t="s">
        <v>121</v>
      </c>
      <c r="D1410" s="263"/>
      <c r="E1410" s="813"/>
      <c r="F1410" s="875" t="s">
        <v>10568</v>
      </c>
      <c r="G1410" s="876">
        <f>G1409*1.1</f>
        <v>4.3105920000000011E-3</v>
      </c>
      <c r="H1410" s="842"/>
      <c r="J1410" s="864"/>
    </row>
    <row r="1411" spans="1:12" x14ac:dyDescent="0.25">
      <c r="A1411" s="774"/>
      <c r="B1411" s="774"/>
      <c r="C1411" s="813" t="s">
        <v>114</v>
      </c>
      <c r="D1411" s="813"/>
      <c r="E1411" s="813"/>
      <c r="F1411" s="873" t="s">
        <v>3</v>
      </c>
      <c r="G1411" s="871">
        <f>G1413*0.7</f>
        <v>2.9937599999999995E-2</v>
      </c>
      <c r="H1411" s="842"/>
      <c r="J1411" s="864"/>
    </row>
    <row r="1412" spans="1:12" x14ac:dyDescent="0.25">
      <c r="A1412" s="774"/>
      <c r="B1412" s="774"/>
      <c r="C1412" s="813" t="s">
        <v>164</v>
      </c>
      <c r="D1412" s="813"/>
      <c r="E1412" s="813"/>
      <c r="F1412" s="873" t="s">
        <v>3</v>
      </c>
      <c r="G1412" s="871">
        <f>0.3*G1411</f>
        <v>8.9812799999999977E-3</v>
      </c>
      <c r="H1412" s="842"/>
      <c r="J1412" s="864"/>
    </row>
    <row r="1413" spans="1:12" x14ac:dyDescent="0.25">
      <c r="A1413" s="774"/>
      <c r="B1413" s="774"/>
      <c r="C1413" s="813" t="s">
        <v>442</v>
      </c>
      <c r="D1413" s="813"/>
      <c r="E1413" s="813"/>
      <c r="F1413" s="873" t="s">
        <v>3</v>
      </c>
      <c r="G1413" s="871">
        <f>J1416*0.011*2*1.2</f>
        <v>4.2767999999999994E-2</v>
      </c>
      <c r="H1413" s="842"/>
      <c r="J1413" s="864"/>
    </row>
    <row r="1414" spans="1:12" x14ac:dyDescent="0.25">
      <c r="A1414" s="774"/>
      <c r="B1414" s="774"/>
      <c r="C1414" s="813" t="s">
        <v>12</v>
      </c>
      <c r="D1414" s="813"/>
      <c r="E1414" s="813"/>
      <c r="F1414" s="873" t="s">
        <v>3</v>
      </c>
      <c r="G1414" s="871">
        <f>0.3*G1413</f>
        <v>1.2830399999999997E-2</v>
      </c>
      <c r="H1414" s="842"/>
      <c r="J1414" s="864"/>
    </row>
    <row r="1415" spans="1:12" x14ac:dyDescent="0.25">
      <c r="A1415" s="774"/>
      <c r="B1415" s="774"/>
      <c r="C1415" s="814"/>
      <c r="D1415" s="814" t="s">
        <v>10099</v>
      </c>
      <c r="E1415" s="813"/>
      <c r="F1415" s="873"/>
      <c r="G1415" s="871"/>
      <c r="H1415" s="842"/>
      <c r="J1415" s="864"/>
    </row>
    <row r="1416" spans="1:12" x14ac:dyDescent="0.25">
      <c r="A1416" s="774"/>
      <c r="B1416" s="774"/>
      <c r="C1416" s="814"/>
      <c r="D1416" s="813" t="s">
        <v>6587</v>
      </c>
      <c r="E1416" s="813"/>
      <c r="F1416" s="873" t="s">
        <v>3</v>
      </c>
      <c r="G1416" s="871">
        <f>0.271*L1416</f>
        <v>0.46612000000000003</v>
      </c>
      <c r="H1416" s="842"/>
      <c r="I1416" s="874" t="s">
        <v>10567</v>
      </c>
      <c r="J1416" s="864">
        <v>1.62</v>
      </c>
      <c r="K1416" s="874" t="s">
        <v>10150</v>
      </c>
      <c r="L1416" s="825">
        <v>1.72</v>
      </c>
    </row>
    <row r="1417" spans="1:12" x14ac:dyDescent="0.25">
      <c r="A1417" s="774"/>
      <c r="B1417" s="774"/>
      <c r="C1417" s="814"/>
      <c r="D1417" s="813"/>
      <c r="E1417" s="813"/>
      <c r="F1417" s="873"/>
      <c r="G1417" s="871"/>
      <c r="H1417" s="842"/>
      <c r="J1417" s="864"/>
    </row>
    <row r="1418" spans="1:12" x14ac:dyDescent="0.25">
      <c r="A1418" s="774"/>
      <c r="B1418" s="774">
        <v>46</v>
      </c>
      <c r="C1418" s="814" t="s">
        <v>10100</v>
      </c>
      <c r="D1418" s="813"/>
      <c r="E1418" s="813"/>
      <c r="F1418" s="873"/>
      <c r="G1418" s="871"/>
      <c r="H1418" s="842"/>
      <c r="J1418" s="864"/>
    </row>
    <row r="1419" spans="1:12" x14ac:dyDescent="0.25">
      <c r="A1419" s="774"/>
      <c r="B1419" s="774"/>
      <c r="C1419" s="813" t="s">
        <v>114</v>
      </c>
      <c r="D1419" s="813"/>
      <c r="E1419" s="813"/>
      <c r="F1419" s="873" t="s">
        <v>3</v>
      </c>
      <c r="G1419" s="871">
        <f>G1421*0.7</f>
        <v>1.4783999999999999E-2</v>
      </c>
      <c r="H1419" s="842"/>
      <c r="J1419" s="864"/>
    </row>
    <row r="1420" spans="1:12" x14ac:dyDescent="0.25">
      <c r="A1420" s="774"/>
      <c r="B1420" s="774"/>
      <c r="C1420" s="813" t="s">
        <v>164</v>
      </c>
      <c r="D1420" s="813"/>
      <c r="E1420" s="813"/>
      <c r="F1420" s="873" t="s">
        <v>3</v>
      </c>
      <c r="G1420" s="871">
        <f>0.3*G1419</f>
        <v>4.4351999999999994E-3</v>
      </c>
      <c r="H1420" s="842"/>
      <c r="J1420" s="864"/>
    </row>
    <row r="1421" spans="1:12" x14ac:dyDescent="0.25">
      <c r="A1421" s="774"/>
      <c r="B1421" s="774"/>
      <c r="C1421" s="813" t="s">
        <v>442</v>
      </c>
      <c r="D1421" s="813"/>
      <c r="E1421" s="813"/>
      <c r="F1421" s="873" t="s">
        <v>3</v>
      </c>
      <c r="G1421" s="871">
        <f>J1424*0.011*2*1.2</f>
        <v>2.112E-2</v>
      </c>
      <c r="H1421" s="842"/>
      <c r="J1421" s="864"/>
    </row>
    <row r="1422" spans="1:12" x14ac:dyDescent="0.25">
      <c r="A1422" s="774"/>
      <c r="B1422" s="774"/>
      <c r="C1422" s="813" t="s">
        <v>12</v>
      </c>
      <c r="D1422" s="813"/>
      <c r="E1422" s="813"/>
      <c r="F1422" s="873" t="s">
        <v>3</v>
      </c>
      <c r="G1422" s="871">
        <f>0.3*G1421</f>
        <v>6.3359999999999996E-3</v>
      </c>
      <c r="H1422" s="842"/>
      <c r="J1422" s="864"/>
    </row>
    <row r="1423" spans="1:12" x14ac:dyDescent="0.25">
      <c r="A1423" s="774"/>
      <c r="B1423" s="774"/>
      <c r="C1423" s="814"/>
      <c r="D1423" s="814" t="s">
        <v>10101</v>
      </c>
      <c r="E1423" s="813"/>
      <c r="F1423" s="873"/>
      <c r="G1423" s="871"/>
      <c r="H1423" s="842"/>
      <c r="J1423" s="864"/>
    </row>
    <row r="1424" spans="1:12" x14ac:dyDescent="0.25">
      <c r="A1424" s="774"/>
      <c r="B1424" s="774"/>
      <c r="C1424" s="814"/>
      <c r="D1424" s="813" t="s">
        <v>6587</v>
      </c>
      <c r="E1424" s="813"/>
      <c r="F1424" s="873" t="s">
        <v>3</v>
      </c>
      <c r="G1424" s="871">
        <f>0.271*L1424</f>
        <v>0.22764000000000001</v>
      </c>
      <c r="H1424" s="842"/>
      <c r="I1424" s="874" t="s">
        <v>10567</v>
      </c>
      <c r="J1424" s="864">
        <v>0.8</v>
      </c>
      <c r="K1424" s="874" t="s">
        <v>10150</v>
      </c>
      <c r="L1424" s="825">
        <v>0.84</v>
      </c>
    </row>
    <row r="1425" spans="1:12" x14ac:dyDescent="0.25">
      <c r="A1425" s="774"/>
      <c r="B1425" s="774"/>
      <c r="C1425" s="814"/>
      <c r="D1425" s="813"/>
      <c r="E1425" s="813"/>
      <c r="F1425" s="873"/>
      <c r="G1425" s="871"/>
      <c r="H1425" s="842"/>
      <c r="J1425" s="864"/>
    </row>
    <row r="1426" spans="1:12" x14ac:dyDescent="0.25">
      <c r="A1426" s="774"/>
      <c r="B1426" s="774">
        <v>47</v>
      </c>
      <c r="C1426" s="814" t="s">
        <v>10102</v>
      </c>
      <c r="D1426" s="813"/>
      <c r="E1426" s="813"/>
      <c r="F1426" s="873"/>
      <c r="G1426" s="871"/>
      <c r="H1426" s="842"/>
      <c r="J1426" s="864"/>
    </row>
    <row r="1427" spans="1:12" x14ac:dyDescent="0.25">
      <c r="A1427" s="774"/>
      <c r="B1427" s="774"/>
      <c r="C1427" s="813" t="s">
        <v>114</v>
      </c>
      <c r="D1427" s="813"/>
      <c r="E1427" s="813"/>
      <c r="F1427" s="873" t="s">
        <v>3</v>
      </c>
      <c r="G1427" s="871">
        <f>G1429*0.7</f>
        <v>1.3305599999999999E-2</v>
      </c>
      <c r="H1427" s="842"/>
      <c r="J1427" s="864"/>
    </row>
    <row r="1428" spans="1:12" x14ac:dyDescent="0.25">
      <c r="A1428" s="774"/>
      <c r="B1428" s="774"/>
      <c r="C1428" s="813" t="s">
        <v>164</v>
      </c>
      <c r="D1428" s="813"/>
      <c r="E1428" s="813"/>
      <c r="F1428" s="873" t="s">
        <v>3</v>
      </c>
      <c r="G1428" s="871">
        <f>0.3*G1427</f>
        <v>3.9916799999999992E-3</v>
      </c>
      <c r="H1428" s="842"/>
      <c r="J1428" s="864"/>
    </row>
    <row r="1429" spans="1:12" x14ac:dyDescent="0.25">
      <c r="A1429" s="774"/>
      <c r="B1429" s="774"/>
      <c r="C1429" s="813" t="s">
        <v>442</v>
      </c>
      <c r="D1429" s="813"/>
      <c r="E1429" s="813"/>
      <c r="F1429" s="873" t="s">
        <v>3</v>
      </c>
      <c r="G1429" s="871">
        <f>J1432*0.011*2*1.2</f>
        <v>1.9008000000000001E-2</v>
      </c>
      <c r="H1429" s="842"/>
      <c r="J1429" s="864"/>
    </row>
    <row r="1430" spans="1:12" x14ac:dyDescent="0.25">
      <c r="A1430" s="774"/>
      <c r="B1430" s="774"/>
      <c r="C1430" s="813" t="s">
        <v>12</v>
      </c>
      <c r="D1430" s="813"/>
      <c r="E1430" s="813"/>
      <c r="F1430" s="873" t="s">
        <v>3</v>
      </c>
      <c r="G1430" s="871">
        <f>0.3*G1429</f>
        <v>5.7023999999999998E-3</v>
      </c>
      <c r="H1430" s="842"/>
      <c r="J1430" s="864"/>
    </row>
    <row r="1431" spans="1:12" x14ac:dyDescent="0.25">
      <c r="A1431" s="774"/>
      <c r="B1431" s="774"/>
      <c r="C1431" s="814"/>
      <c r="D1431" s="814" t="s">
        <v>10103</v>
      </c>
      <c r="E1431" s="813"/>
      <c r="F1431" s="873"/>
      <c r="G1431" s="871"/>
      <c r="H1431" s="842"/>
      <c r="J1431" s="864"/>
    </row>
    <row r="1432" spans="1:12" x14ac:dyDescent="0.25">
      <c r="A1432" s="774"/>
      <c r="B1432" s="774"/>
      <c r="C1432" s="814"/>
      <c r="D1432" s="813" t="s">
        <v>6587</v>
      </c>
      <c r="E1432" s="813"/>
      <c r="F1432" s="873" t="s">
        <v>3</v>
      </c>
      <c r="G1432" s="871">
        <f>0.271*L1432</f>
        <v>0.20325000000000001</v>
      </c>
      <c r="H1432" s="842"/>
      <c r="I1432" s="874" t="s">
        <v>10567</v>
      </c>
      <c r="J1432" s="864">
        <v>0.72</v>
      </c>
      <c r="K1432" s="874" t="s">
        <v>10150</v>
      </c>
      <c r="L1432" s="825">
        <v>0.75</v>
      </c>
    </row>
    <row r="1433" spans="1:12" x14ac:dyDescent="0.25">
      <c r="A1433" s="774"/>
      <c r="B1433" s="774"/>
      <c r="C1433" s="814"/>
      <c r="D1433" s="813"/>
      <c r="E1433" s="813"/>
      <c r="F1433" s="873"/>
      <c r="G1433" s="871"/>
      <c r="H1433" s="842"/>
      <c r="J1433" s="864"/>
    </row>
    <row r="1434" spans="1:12" x14ac:dyDescent="0.25">
      <c r="A1434" s="774"/>
      <c r="B1434" s="774">
        <v>48</v>
      </c>
      <c r="C1434" s="814" t="s">
        <v>10104</v>
      </c>
      <c r="D1434" s="813"/>
      <c r="E1434" s="813"/>
      <c r="F1434" s="873"/>
      <c r="G1434" s="871"/>
      <c r="H1434" s="842"/>
      <c r="J1434" s="864"/>
    </row>
    <row r="1435" spans="1:12" x14ac:dyDescent="0.25">
      <c r="A1435" s="774"/>
      <c r="B1435" s="774"/>
      <c r="C1435" s="813" t="s">
        <v>114</v>
      </c>
      <c r="D1435" s="813"/>
      <c r="E1435" s="813"/>
      <c r="F1435" s="873" t="s">
        <v>3</v>
      </c>
      <c r="G1435" s="871">
        <f>G1437*0.7</f>
        <v>2.3284799999999994E-2</v>
      </c>
      <c r="H1435" s="842"/>
      <c r="J1435" s="864"/>
    </row>
    <row r="1436" spans="1:12" x14ac:dyDescent="0.25">
      <c r="A1436" s="774"/>
      <c r="B1436" s="774"/>
      <c r="C1436" s="813" t="s">
        <v>164</v>
      </c>
      <c r="D1436" s="813"/>
      <c r="E1436" s="813"/>
      <c r="F1436" s="873" t="s">
        <v>3</v>
      </c>
      <c r="G1436" s="871">
        <f>0.3*G1435</f>
        <v>6.9854399999999981E-3</v>
      </c>
      <c r="H1436" s="842"/>
      <c r="J1436" s="864"/>
    </row>
    <row r="1437" spans="1:12" x14ac:dyDescent="0.25">
      <c r="A1437" s="774"/>
      <c r="B1437" s="774"/>
      <c r="C1437" s="813" t="s">
        <v>442</v>
      </c>
      <c r="D1437" s="813"/>
      <c r="E1437" s="813"/>
      <c r="F1437" s="873" t="s">
        <v>3</v>
      </c>
      <c r="G1437" s="871">
        <f>J1440*0.011*2*1.2</f>
        <v>3.3263999999999995E-2</v>
      </c>
      <c r="H1437" s="842"/>
      <c r="J1437" s="864"/>
    </row>
    <row r="1438" spans="1:12" x14ac:dyDescent="0.25">
      <c r="A1438" s="774"/>
      <c r="B1438" s="774"/>
      <c r="C1438" s="813" t="s">
        <v>12</v>
      </c>
      <c r="D1438" s="813"/>
      <c r="E1438" s="813"/>
      <c r="F1438" s="873" t="s">
        <v>3</v>
      </c>
      <c r="G1438" s="871">
        <f>0.3*G1437</f>
        <v>9.9791999999999988E-3</v>
      </c>
      <c r="H1438" s="842"/>
      <c r="J1438" s="864"/>
    </row>
    <row r="1439" spans="1:12" x14ac:dyDescent="0.25">
      <c r="A1439" s="774"/>
      <c r="B1439" s="774"/>
      <c r="C1439" s="814"/>
      <c r="D1439" s="814" t="s">
        <v>10105</v>
      </c>
      <c r="E1439" s="813"/>
      <c r="F1439" s="873"/>
      <c r="G1439" s="871"/>
      <c r="H1439" s="842"/>
      <c r="J1439" s="864"/>
    </row>
    <row r="1440" spans="1:12" x14ac:dyDescent="0.25">
      <c r="A1440" s="774"/>
      <c r="B1440" s="774"/>
      <c r="C1440" s="814"/>
      <c r="D1440" s="813" t="s">
        <v>6587</v>
      </c>
      <c r="E1440" s="813"/>
      <c r="F1440" s="873" t="s">
        <v>3</v>
      </c>
      <c r="G1440" s="871">
        <f>0.271*L1440</f>
        <v>0.36585000000000006</v>
      </c>
      <c r="H1440" s="842"/>
      <c r="I1440" s="874" t="s">
        <v>10567</v>
      </c>
      <c r="J1440" s="864">
        <v>1.26</v>
      </c>
      <c r="K1440" s="874" t="s">
        <v>10150</v>
      </c>
      <c r="L1440" s="825">
        <v>1.35</v>
      </c>
    </row>
    <row r="1441" spans="1:12" x14ac:dyDescent="0.25">
      <c r="A1441" s="774"/>
      <c r="B1441" s="774"/>
      <c r="C1441" s="814"/>
      <c r="D1441" s="813"/>
      <c r="E1441" s="813"/>
      <c r="F1441" s="873"/>
      <c r="G1441" s="871"/>
      <c r="H1441" s="842"/>
      <c r="J1441" s="864"/>
    </row>
    <row r="1442" spans="1:12" x14ac:dyDescent="0.25">
      <c r="A1442" s="774"/>
      <c r="B1442" s="774">
        <v>49</v>
      </c>
      <c r="C1442" s="814" t="s">
        <v>10106</v>
      </c>
      <c r="D1442" s="813"/>
      <c r="E1442" s="813"/>
      <c r="F1442" s="873"/>
      <c r="G1442" s="871"/>
      <c r="H1442" s="842"/>
      <c r="J1442" s="864"/>
    </row>
    <row r="1443" spans="1:12" x14ac:dyDescent="0.25">
      <c r="A1443" s="774"/>
      <c r="B1443" s="774"/>
      <c r="C1443" s="813" t="s">
        <v>114</v>
      </c>
      <c r="D1443" s="813"/>
      <c r="E1443" s="813"/>
      <c r="F1443" s="873" t="s">
        <v>3</v>
      </c>
      <c r="G1443" s="871">
        <f>G1445*0.7</f>
        <v>1.8479999999999996E-2</v>
      </c>
      <c r="H1443" s="842"/>
      <c r="J1443" s="864"/>
    </row>
    <row r="1444" spans="1:12" x14ac:dyDescent="0.25">
      <c r="A1444" s="774"/>
      <c r="B1444" s="774"/>
      <c r="C1444" s="813" t="s">
        <v>164</v>
      </c>
      <c r="D1444" s="813"/>
      <c r="E1444" s="813"/>
      <c r="F1444" s="873" t="s">
        <v>3</v>
      </c>
      <c r="G1444" s="871">
        <f>0.3*G1443</f>
        <v>5.5439999999999986E-3</v>
      </c>
      <c r="H1444" s="842"/>
      <c r="J1444" s="864"/>
    </row>
    <row r="1445" spans="1:12" x14ac:dyDescent="0.25">
      <c r="A1445" s="774"/>
      <c r="B1445" s="774"/>
      <c r="C1445" s="813" t="s">
        <v>442</v>
      </c>
      <c r="D1445" s="813"/>
      <c r="E1445" s="813"/>
      <c r="F1445" s="873" t="s">
        <v>3</v>
      </c>
      <c r="G1445" s="871">
        <f>J1448*0.011*2*1.2</f>
        <v>2.6399999999999996E-2</v>
      </c>
      <c r="H1445" s="842"/>
      <c r="J1445" s="864"/>
    </row>
    <row r="1446" spans="1:12" x14ac:dyDescent="0.25">
      <c r="A1446" s="774"/>
      <c r="B1446" s="774"/>
      <c r="C1446" s="813" t="s">
        <v>12</v>
      </c>
      <c r="D1446" s="813"/>
      <c r="E1446" s="813"/>
      <c r="F1446" s="873" t="s">
        <v>3</v>
      </c>
      <c r="G1446" s="871">
        <f>0.3*G1445</f>
        <v>7.9199999999999982E-3</v>
      </c>
      <c r="H1446" s="842"/>
      <c r="J1446" s="864"/>
    </row>
    <row r="1447" spans="1:12" x14ac:dyDescent="0.25">
      <c r="A1447" s="774"/>
      <c r="B1447" s="774"/>
      <c r="C1447" s="814"/>
      <c r="D1447" s="814" t="s">
        <v>10107</v>
      </c>
      <c r="E1447" s="813"/>
      <c r="F1447" s="873"/>
      <c r="G1447" s="871"/>
      <c r="H1447" s="842"/>
      <c r="J1447" s="864"/>
    </row>
    <row r="1448" spans="1:12" x14ac:dyDescent="0.25">
      <c r="A1448" s="774"/>
      <c r="B1448" s="774"/>
      <c r="C1448" s="814"/>
      <c r="D1448" s="813" t="s">
        <v>6587</v>
      </c>
      <c r="E1448" s="813"/>
      <c r="F1448" s="873" t="s">
        <v>3</v>
      </c>
      <c r="G1448" s="871">
        <f>0.271*L1448</f>
        <v>0.28455000000000003</v>
      </c>
      <c r="H1448" s="842"/>
      <c r="I1448" s="874" t="s">
        <v>10567</v>
      </c>
      <c r="J1448" s="864">
        <v>1</v>
      </c>
      <c r="K1448" s="874" t="s">
        <v>10150</v>
      </c>
      <c r="L1448" s="825">
        <v>1.05</v>
      </c>
    </row>
    <row r="1449" spans="1:12" x14ac:dyDescent="0.25">
      <c r="A1449" s="774"/>
      <c r="B1449" s="774"/>
      <c r="C1449" s="814"/>
      <c r="D1449" s="813"/>
      <c r="E1449" s="813"/>
      <c r="F1449" s="873"/>
      <c r="G1449" s="871"/>
      <c r="H1449" s="842"/>
      <c r="J1449" s="864"/>
    </row>
    <row r="1450" spans="1:12" x14ac:dyDescent="0.25">
      <c r="A1450" s="774"/>
      <c r="B1450" s="774">
        <v>51</v>
      </c>
      <c r="C1450" s="814" t="s">
        <v>10108</v>
      </c>
      <c r="D1450" s="813"/>
      <c r="E1450" s="813"/>
      <c r="F1450" s="873"/>
      <c r="G1450" s="871"/>
      <c r="H1450" s="842"/>
      <c r="J1450" s="864"/>
    </row>
    <row r="1451" spans="1:12" x14ac:dyDescent="0.25">
      <c r="A1451" s="774"/>
      <c r="B1451" s="774"/>
      <c r="C1451" s="813" t="s">
        <v>114</v>
      </c>
      <c r="D1451" s="813"/>
      <c r="E1451" s="813"/>
      <c r="F1451" s="873" t="s">
        <v>3</v>
      </c>
      <c r="G1451" s="871">
        <f>G1453*0.7</f>
        <v>2.6795999999999993E-2</v>
      </c>
      <c r="H1451" s="842"/>
      <c r="J1451" s="864"/>
    </row>
    <row r="1452" spans="1:12" x14ac:dyDescent="0.25">
      <c r="A1452" s="774"/>
      <c r="B1452" s="774"/>
      <c r="C1452" s="813" t="s">
        <v>164</v>
      </c>
      <c r="D1452" s="813"/>
      <c r="E1452" s="813"/>
      <c r="F1452" s="873" t="s">
        <v>3</v>
      </c>
      <c r="G1452" s="871">
        <f>0.3*G1451</f>
        <v>8.038799999999997E-3</v>
      </c>
      <c r="H1452" s="842"/>
      <c r="J1452" s="864"/>
    </row>
    <row r="1453" spans="1:12" x14ac:dyDescent="0.25">
      <c r="A1453" s="774"/>
      <c r="B1453" s="774"/>
      <c r="C1453" s="813" t="s">
        <v>442</v>
      </c>
      <c r="D1453" s="813"/>
      <c r="E1453" s="813"/>
      <c r="F1453" s="873" t="s">
        <v>3</v>
      </c>
      <c r="G1453" s="871">
        <f>J1456*0.011*2*1.2</f>
        <v>3.8279999999999995E-2</v>
      </c>
      <c r="H1453" s="842"/>
      <c r="J1453" s="864"/>
    </row>
    <row r="1454" spans="1:12" x14ac:dyDescent="0.25">
      <c r="A1454" s="774"/>
      <c r="B1454" s="774"/>
      <c r="C1454" s="813" t="s">
        <v>12</v>
      </c>
      <c r="D1454" s="813"/>
      <c r="E1454" s="813"/>
      <c r="F1454" s="873" t="s">
        <v>3</v>
      </c>
      <c r="G1454" s="871">
        <f>0.3*G1453</f>
        <v>1.1483999999999998E-2</v>
      </c>
      <c r="H1454" s="842"/>
      <c r="J1454" s="864"/>
    </row>
    <row r="1455" spans="1:12" x14ac:dyDescent="0.25">
      <c r="A1455" s="774"/>
      <c r="B1455" s="774"/>
      <c r="C1455" s="814"/>
      <c r="D1455" s="814" t="s">
        <v>10109</v>
      </c>
      <c r="E1455" s="813"/>
      <c r="F1455" s="873"/>
      <c r="G1455" s="871"/>
      <c r="H1455" s="842"/>
      <c r="J1455" s="864"/>
    </row>
    <row r="1456" spans="1:12" x14ac:dyDescent="0.25">
      <c r="A1456" s="774"/>
      <c r="B1456" s="774"/>
      <c r="C1456" s="814"/>
      <c r="D1456" s="813" t="s">
        <v>6587</v>
      </c>
      <c r="E1456" s="813"/>
      <c r="F1456" s="873" t="s">
        <v>3</v>
      </c>
      <c r="G1456" s="871">
        <f>0.271*L1456</f>
        <v>0.42005000000000003</v>
      </c>
      <c r="H1456" s="842"/>
      <c r="I1456" s="874" t="s">
        <v>10567</v>
      </c>
      <c r="J1456" s="864">
        <v>1.45</v>
      </c>
      <c r="K1456" s="874" t="s">
        <v>10150</v>
      </c>
      <c r="L1456" s="825">
        <v>1.55</v>
      </c>
    </row>
    <row r="1457" spans="1:12" x14ac:dyDescent="0.25">
      <c r="A1457" s="774"/>
      <c r="B1457" s="774"/>
      <c r="C1457" s="814"/>
      <c r="D1457" s="813"/>
      <c r="E1457" s="813"/>
      <c r="F1457" s="873"/>
      <c r="G1457" s="871"/>
      <c r="H1457" s="842"/>
      <c r="J1457" s="864"/>
    </row>
    <row r="1458" spans="1:12" x14ac:dyDescent="0.25">
      <c r="A1458" s="774"/>
      <c r="B1458" s="774">
        <v>52</v>
      </c>
      <c r="C1458" s="814" t="s">
        <v>10110</v>
      </c>
      <c r="D1458" s="813"/>
      <c r="E1458" s="813"/>
      <c r="F1458" s="873"/>
      <c r="G1458" s="871"/>
      <c r="H1458" s="842"/>
      <c r="J1458" s="864"/>
    </row>
    <row r="1459" spans="1:12" x14ac:dyDescent="0.25">
      <c r="A1459" s="774"/>
      <c r="B1459" s="774"/>
      <c r="C1459" s="813" t="s">
        <v>114</v>
      </c>
      <c r="D1459" s="813"/>
      <c r="E1459" s="813"/>
      <c r="F1459" s="873" t="s">
        <v>3</v>
      </c>
      <c r="G1459" s="871">
        <f>G1461*0.7</f>
        <v>2.4578399999999997E-2</v>
      </c>
      <c r="H1459" s="842"/>
      <c r="J1459" s="864"/>
    </row>
    <row r="1460" spans="1:12" x14ac:dyDescent="0.25">
      <c r="A1460" s="774"/>
      <c r="B1460" s="774"/>
      <c r="C1460" s="813" t="s">
        <v>164</v>
      </c>
      <c r="D1460" s="813"/>
      <c r="E1460" s="813"/>
      <c r="F1460" s="873" t="s">
        <v>3</v>
      </c>
      <c r="G1460" s="871">
        <f>0.3*G1459</f>
        <v>7.3735199999999989E-3</v>
      </c>
      <c r="H1460" s="842"/>
      <c r="J1460" s="864"/>
    </row>
    <row r="1461" spans="1:12" x14ac:dyDescent="0.25">
      <c r="A1461" s="774"/>
      <c r="B1461" s="774"/>
      <c r="C1461" s="813" t="s">
        <v>442</v>
      </c>
      <c r="D1461" s="813"/>
      <c r="E1461" s="813"/>
      <c r="F1461" s="873" t="s">
        <v>3</v>
      </c>
      <c r="G1461" s="871">
        <f>J1464*0.011*2*1.2</f>
        <v>3.5111999999999997E-2</v>
      </c>
      <c r="H1461" s="842"/>
      <c r="J1461" s="864"/>
    </row>
    <row r="1462" spans="1:12" x14ac:dyDescent="0.25">
      <c r="A1462" s="774"/>
      <c r="B1462" s="774"/>
      <c r="C1462" s="813" t="s">
        <v>12</v>
      </c>
      <c r="D1462" s="813"/>
      <c r="E1462" s="813"/>
      <c r="F1462" s="873" t="s">
        <v>3</v>
      </c>
      <c r="G1462" s="871">
        <f>0.3*G1461</f>
        <v>1.0533599999999999E-2</v>
      </c>
      <c r="H1462" s="842"/>
      <c r="J1462" s="864"/>
    </row>
    <row r="1463" spans="1:12" x14ac:dyDescent="0.25">
      <c r="A1463" s="774"/>
      <c r="B1463" s="774"/>
      <c r="C1463" s="814"/>
      <c r="D1463" s="814" t="s">
        <v>10111</v>
      </c>
      <c r="E1463" s="813"/>
      <c r="F1463" s="873"/>
      <c r="G1463" s="871"/>
      <c r="H1463" s="842"/>
      <c r="J1463" s="864"/>
    </row>
    <row r="1464" spans="1:12" x14ac:dyDescent="0.25">
      <c r="A1464" s="774"/>
      <c r="B1464" s="774"/>
      <c r="C1464" s="814"/>
      <c r="D1464" s="813" t="s">
        <v>6587</v>
      </c>
      <c r="E1464" s="813"/>
      <c r="F1464" s="873" t="s">
        <v>3</v>
      </c>
      <c r="G1464" s="871">
        <f>0.271*L1464</f>
        <v>0.38752999999999999</v>
      </c>
      <c r="H1464" s="842"/>
      <c r="I1464" s="874" t="s">
        <v>10567</v>
      </c>
      <c r="J1464" s="864">
        <v>1.33</v>
      </c>
      <c r="K1464" s="874" t="s">
        <v>10150</v>
      </c>
      <c r="L1464" s="825">
        <v>1.43</v>
      </c>
    </row>
    <row r="1465" spans="1:12" x14ac:dyDescent="0.25">
      <c r="A1465" s="774"/>
      <c r="B1465" s="774"/>
      <c r="C1465" s="814"/>
      <c r="D1465" s="813"/>
      <c r="E1465" s="813"/>
      <c r="F1465" s="873"/>
      <c r="G1465" s="871"/>
      <c r="H1465" s="842"/>
      <c r="J1465" s="864"/>
    </row>
    <row r="1466" spans="1:12" x14ac:dyDescent="0.25">
      <c r="A1466" s="774"/>
      <c r="B1466" s="774">
        <v>53</v>
      </c>
      <c r="C1466" s="814" t="s">
        <v>10112</v>
      </c>
      <c r="D1466" s="813"/>
      <c r="E1466" s="813"/>
      <c r="F1466" s="873"/>
      <c r="G1466" s="871"/>
      <c r="H1466" s="842"/>
      <c r="J1466" s="864"/>
    </row>
    <row r="1467" spans="1:12" x14ac:dyDescent="0.25">
      <c r="A1467" s="774"/>
      <c r="B1467" s="774"/>
      <c r="C1467" s="813" t="s">
        <v>114</v>
      </c>
      <c r="D1467" s="813"/>
      <c r="E1467" s="813"/>
      <c r="F1467" s="873" t="s">
        <v>3</v>
      </c>
      <c r="G1467" s="871">
        <f>G1469*0.7</f>
        <v>5.3591999999999989E-3</v>
      </c>
      <c r="H1467" s="842"/>
      <c r="J1467" s="864"/>
    </row>
    <row r="1468" spans="1:12" x14ac:dyDescent="0.25">
      <c r="A1468" s="774"/>
      <c r="B1468" s="774"/>
      <c r="C1468" s="813" t="s">
        <v>164</v>
      </c>
      <c r="D1468" s="813"/>
      <c r="E1468" s="813"/>
      <c r="F1468" s="873" t="s">
        <v>3</v>
      </c>
      <c r="G1468" s="871">
        <f>0.3*G1467</f>
        <v>1.6077599999999995E-3</v>
      </c>
      <c r="H1468" s="842"/>
      <c r="J1468" s="864"/>
    </row>
    <row r="1469" spans="1:12" x14ac:dyDescent="0.25">
      <c r="A1469" s="774"/>
      <c r="B1469" s="774"/>
      <c r="C1469" s="813" t="s">
        <v>442</v>
      </c>
      <c r="D1469" s="813"/>
      <c r="E1469" s="813"/>
      <c r="F1469" s="873" t="s">
        <v>3</v>
      </c>
      <c r="G1469" s="871">
        <f>J1472*0.011*2*1.2</f>
        <v>7.6559999999999987E-3</v>
      </c>
      <c r="H1469" s="842"/>
      <c r="J1469" s="864"/>
    </row>
    <row r="1470" spans="1:12" x14ac:dyDescent="0.25">
      <c r="A1470" s="774"/>
      <c r="B1470" s="774"/>
      <c r="C1470" s="813" t="s">
        <v>12</v>
      </c>
      <c r="D1470" s="813"/>
      <c r="E1470" s="813"/>
      <c r="F1470" s="873" t="s">
        <v>3</v>
      </c>
      <c r="G1470" s="871">
        <f>0.3*G1469</f>
        <v>2.2967999999999994E-3</v>
      </c>
      <c r="H1470" s="842"/>
      <c r="J1470" s="864"/>
    </row>
    <row r="1471" spans="1:12" x14ac:dyDescent="0.25">
      <c r="A1471" s="774"/>
      <c r="B1471" s="774"/>
      <c r="C1471" s="814"/>
      <c r="D1471" s="814" t="s">
        <v>10113</v>
      </c>
      <c r="E1471" s="813"/>
      <c r="F1471" s="873"/>
      <c r="G1471" s="871"/>
      <c r="H1471" s="842"/>
      <c r="J1471" s="864"/>
    </row>
    <row r="1472" spans="1:12" x14ac:dyDescent="0.25">
      <c r="A1472" s="774"/>
      <c r="B1472" s="774"/>
      <c r="C1472" s="814"/>
      <c r="D1472" s="813" t="s">
        <v>9693</v>
      </c>
      <c r="E1472" s="813"/>
      <c r="F1472" s="873" t="s">
        <v>3</v>
      </c>
      <c r="G1472" s="871">
        <f>0.321*L1472</f>
        <v>0.10593000000000001</v>
      </c>
      <c r="H1472" s="842"/>
      <c r="I1472" s="874" t="s">
        <v>10567</v>
      </c>
      <c r="J1472" s="864">
        <v>0.28999999999999998</v>
      </c>
      <c r="K1472" s="874" t="s">
        <v>10150</v>
      </c>
      <c r="L1472" s="825">
        <v>0.33</v>
      </c>
    </row>
    <row r="1473" spans="1:12" x14ac:dyDescent="0.25">
      <c r="A1473" s="774"/>
      <c r="B1473" s="774"/>
      <c r="C1473" s="814"/>
      <c r="D1473" s="813"/>
      <c r="E1473" s="813"/>
      <c r="F1473" s="873"/>
      <c r="G1473" s="871"/>
      <c r="H1473" s="842"/>
      <c r="J1473" s="864"/>
    </row>
    <row r="1474" spans="1:12" x14ac:dyDescent="0.25">
      <c r="A1474" s="774"/>
      <c r="B1474" s="774">
        <v>56</v>
      </c>
      <c r="C1474" s="814" t="s">
        <v>10114</v>
      </c>
      <c r="D1474" s="813"/>
      <c r="E1474" s="813"/>
      <c r="F1474" s="873"/>
      <c r="G1474" s="871"/>
      <c r="H1474" s="842"/>
      <c r="I1474" s="780" t="s">
        <v>10373</v>
      </c>
      <c r="J1474" s="864"/>
    </row>
    <row r="1475" spans="1:12" x14ac:dyDescent="0.25">
      <c r="A1475" s="774"/>
      <c r="B1475" s="774"/>
      <c r="C1475" s="813" t="s">
        <v>114</v>
      </c>
      <c r="D1475" s="813"/>
      <c r="E1475" s="813"/>
      <c r="F1475" s="873" t="s">
        <v>3</v>
      </c>
      <c r="G1475" s="871">
        <f>G1477*0.7</f>
        <v>3.3171599999999996E-2</v>
      </c>
      <c r="H1475" s="842"/>
      <c r="J1475" s="864"/>
    </row>
    <row r="1476" spans="1:12" x14ac:dyDescent="0.25">
      <c r="A1476" s="774"/>
      <c r="B1476" s="774"/>
      <c r="C1476" s="813" t="s">
        <v>164</v>
      </c>
      <c r="D1476" s="813"/>
      <c r="E1476" s="813"/>
      <c r="F1476" s="873" t="s">
        <v>3</v>
      </c>
      <c r="G1476" s="871">
        <f>0.3*G1475</f>
        <v>9.9514799999999987E-3</v>
      </c>
      <c r="H1476" s="842"/>
      <c r="J1476" s="864"/>
    </row>
    <row r="1477" spans="1:12" x14ac:dyDescent="0.25">
      <c r="A1477" s="774"/>
      <c r="B1477" s="774"/>
      <c r="C1477" s="813" t="s">
        <v>442</v>
      </c>
      <c r="D1477" s="813"/>
      <c r="E1477" s="813"/>
      <c r="F1477" s="873" t="s">
        <v>3</v>
      </c>
      <c r="G1477" s="871">
        <f>J1480*0.011*2*1.2</f>
        <v>4.7387999999999993E-2</v>
      </c>
      <c r="H1477" s="842"/>
      <c r="J1477" s="864"/>
    </row>
    <row r="1478" spans="1:12" x14ac:dyDescent="0.25">
      <c r="A1478" s="774"/>
      <c r="B1478" s="774"/>
      <c r="C1478" s="813" t="s">
        <v>12</v>
      </c>
      <c r="D1478" s="813"/>
      <c r="E1478" s="813"/>
      <c r="F1478" s="873" t="s">
        <v>3</v>
      </c>
      <c r="G1478" s="871">
        <f>0.3*G1477</f>
        <v>1.4216399999999997E-2</v>
      </c>
      <c r="H1478" s="842"/>
      <c r="J1478" s="864"/>
    </row>
    <row r="1479" spans="1:12" x14ac:dyDescent="0.25">
      <c r="A1479" s="774"/>
      <c r="B1479" s="774"/>
      <c r="C1479" s="814"/>
      <c r="D1479" s="814" t="s">
        <v>10115</v>
      </c>
      <c r="E1479" s="813"/>
      <c r="F1479" s="873"/>
      <c r="G1479" s="871"/>
      <c r="H1479" s="842"/>
      <c r="J1479" s="864"/>
    </row>
    <row r="1480" spans="1:12" x14ac:dyDescent="0.25">
      <c r="A1480" s="774"/>
      <c r="B1480" s="774"/>
      <c r="C1480" s="814"/>
      <c r="D1480" s="813" t="s">
        <v>6587</v>
      </c>
      <c r="E1480" s="813"/>
      <c r="F1480" s="873" t="s">
        <v>3</v>
      </c>
      <c r="G1480" s="871">
        <f>0.271*L1480</f>
        <v>0.52032</v>
      </c>
      <c r="H1480" s="842"/>
      <c r="I1480" s="874" t="s">
        <v>10567</v>
      </c>
      <c r="J1480" s="864">
        <f>0.885+0.91</f>
        <v>1.7949999999999999</v>
      </c>
      <c r="K1480" s="874" t="s">
        <v>10150</v>
      </c>
      <c r="L1480" s="825">
        <v>1.92</v>
      </c>
    </row>
    <row r="1481" spans="1:12" x14ac:dyDescent="0.25">
      <c r="A1481" s="774"/>
      <c r="B1481" s="774"/>
      <c r="C1481" s="814"/>
      <c r="D1481" s="813"/>
      <c r="E1481" s="813"/>
      <c r="F1481" s="873"/>
      <c r="G1481" s="871"/>
      <c r="H1481" s="842"/>
      <c r="J1481" s="864"/>
    </row>
    <row r="1482" spans="1:12" x14ac:dyDescent="0.25">
      <c r="A1482" s="774"/>
      <c r="B1482" s="774" t="s">
        <v>1565</v>
      </c>
      <c r="C1482" s="814" t="s">
        <v>10116</v>
      </c>
      <c r="D1482" s="813"/>
      <c r="E1482" s="813"/>
      <c r="F1482" s="873"/>
      <c r="G1482" s="871"/>
      <c r="H1482" s="842"/>
      <c r="J1482" s="864"/>
    </row>
    <row r="1483" spans="1:12" x14ac:dyDescent="0.25">
      <c r="A1483" s="774"/>
      <c r="B1483" s="774"/>
      <c r="C1483" s="263" t="s">
        <v>10058</v>
      </c>
      <c r="D1483" s="263"/>
      <c r="E1483" s="813"/>
      <c r="F1483" s="875" t="s">
        <v>3</v>
      </c>
      <c r="G1483" s="876">
        <f>(0.025*3.14)*0.08*1.3</f>
        <v>8.1640000000000011E-3</v>
      </c>
      <c r="H1483" s="842"/>
      <c r="J1483" s="864"/>
    </row>
    <row r="1484" spans="1:12" ht="17.25" x14ac:dyDescent="0.25">
      <c r="A1484" s="774"/>
      <c r="B1484" s="774"/>
      <c r="C1484" s="263" t="s">
        <v>121</v>
      </c>
      <c r="D1484" s="263"/>
      <c r="E1484" s="813"/>
      <c r="F1484" s="875" t="s">
        <v>10568</v>
      </c>
      <c r="G1484" s="876">
        <f>G1483*1.1</f>
        <v>8.9804000000000012E-3</v>
      </c>
      <c r="H1484" s="842"/>
      <c r="J1484" s="864"/>
    </row>
    <row r="1485" spans="1:12" x14ac:dyDescent="0.25">
      <c r="A1485" s="774"/>
      <c r="B1485" s="774"/>
      <c r="C1485" s="813" t="s">
        <v>114</v>
      </c>
      <c r="D1485" s="813"/>
      <c r="E1485" s="813"/>
      <c r="F1485" s="873" t="s">
        <v>3</v>
      </c>
      <c r="G1485" s="871">
        <f>G1487*0.7</f>
        <v>1.0499999999999999E-2</v>
      </c>
      <c r="H1485" s="842"/>
      <c r="J1485" s="864"/>
    </row>
    <row r="1486" spans="1:12" x14ac:dyDescent="0.25">
      <c r="A1486" s="774"/>
      <c r="B1486" s="774"/>
      <c r="C1486" s="813" t="s">
        <v>164</v>
      </c>
      <c r="D1486" s="813"/>
      <c r="E1486" s="813"/>
      <c r="F1486" s="873" t="s">
        <v>3</v>
      </c>
      <c r="G1486" s="871">
        <f>0.3*G1485</f>
        <v>3.1499999999999996E-3</v>
      </c>
      <c r="H1486" s="842"/>
      <c r="J1486" s="864"/>
    </row>
    <row r="1487" spans="1:12" x14ac:dyDescent="0.25">
      <c r="A1487" s="774"/>
      <c r="B1487" s="774"/>
      <c r="C1487" s="813" t="s">
        <v>442</v>
      </c>
      <c r="D1487" s="813"/>
      <c r="E1487" s="813"/>
      <c r="F1487" s="873" t="s">
        <v>3</v>
      </c>
      <c r="G1487" s="871">
        <f>0.3*0.02*2*1.25</f>
        <v>1.4999999999999999E-2</v>
      </c>
      <c r="H1487" s="842"/>
      <c r="J1487" s="864"/>
    </row>
    <row r="1488" spans="1:12" x14ac:dyDescent="0.25">
      <c r="A1488" s="774"/>
      <c r="B1488" s="774"/>
      <c r="C1488" s="813" t="s">
        <v>12</v>
      </c>
      <c r="D1488" s="813"/>
      <c r="E1488" s="813"/>
      <c r="F1488" s="873" t="s">
        <v>3</v>
      </c>
      <c r="G1488" s="871">
        <f>0.3*G1487</f>
        <v>4.4999999999999997E-3</v>
      </c>
      <c r="H1488" s="842"/>
      <c r="J1488" s="864"/>
    </row>
    <row r="1489" spans="1:12" x14ac:dyDescent="0.25">
      <c r="A1489" s="774"/>
      <c r="B1489" s="774"/>
      <c r="C1489" s="814"/>
      <c r="D1489" s="814" t="s">
        <v>10119</v>
      </c>
      <c r="E1489" s="813"/>
      <c r="F1489" s="873"/>
      <c r="G1489" s="871"/>
      <c r="H1489" s="842"/>
    </row>
    <row r="1490" spans="1:12" x14ac:dyDescent="0.25">
      <c r="A1490" s="774"/>
      <c r="B1490" s="774"/>
      <c r="C1490" s="814"/>
      <c r="D1490" s="813" t="s">
        <v>10057</v>
      </c>
      <c r="E1490" s="813"/>
      <c r="F1490" s="873" t="s">
        <v>3</v>
      </c>
      <c r="G1490" s="871">
        <f>0.592*0.364</f>
        <v>0.21548799999999999</v>
      </c>
      <c r="H1490" s="842"/>
      <c r="I1490" s="874" t="s">
        <v>10567</v>
      </c>
      <c r="J1490" s="864">
        <v>0.3</v>
      </c>
      <c r="K1490" s="874" t="s">
        <v>10150</v>
      </c>
      <c r="L1490" s="825">
        <v>0.36499999999999999</v>
      </c>
    </row>
    <row r="1491" spans="1:12" x14ac:dyDescent="0.25">
      <c r="A1491" s="774"/>
      <c r="B1491" s="774"/>
      <c r="C1491" s="814"/>
      <c r="D1491" s="813"/>
      <c r="E1491" s="813"/>
      <c r="F1491" s="873"/>
      <c r="G1491" s="871"/>
      <c r="H1491" s="842"/>
      <c r="J1491" s="864"/>
    </row>
    <row r="1492" spans="1:12" x14ac:dyDescent="0.25">
      <c r="A1492" s="774"/>
      <c r="B1492" s="774">
        <v>58</v>
      </c>
      <c r="C1492" s="814" t="s">
        <v>10117</v>
      </c>
      <c r="D1492" s="813"/>
      <c r="E1492" s="813"/>
      <c r="F1492" s="873"/>
      <c r="G1492" s="871"/>
      <c r="H1492" s="842"/>
      <c r="J1492" s="864"/>
    </row>
    <row r="1493" spans="1:12" x14ac:dyDescent="0.25">
      <c r="A1493" s="774"/>
      <c r="B1493" s="774"/>
      <c r="C1493" s="813" t="s">
        <v>114</v>
      </c>
      <c r="D1493" s="813"/>
      <c r="E1493" s="813"/>
      <c r="F1493" s="873" t="s">
        <v>3</v>
      </c>
      <c r="G1493" s="871">
        <f>G1495*0.7</f>
        <v>3.3263999999999998E-3</v>
      </c>
      <c r="H1493" s="842"/>
      <c r="J1493" s="864"/>
    </row>
    <row r="1494" spans="1:12" x14ac:dyDescent="0.25">
      <c r="A1494" s="774"/>
      <c r="B1494" s="774"/>
      <c r="C1494" s="813" t="s">
        <v>164</v>
      </c>
      <c r="D1494" s="813"/>
      <c r="E1494" s="813"/>
      <c r="F1494" s="873" t="s">
        <v>3</v>
      </c>
      <c r="G1494" s="871">
        <f>0.3*G1493</f>
        <v>9.979199999999998E-4</v>
      </c>
      <c r="H1494" s="842"/>
      <c r="J1494" s="864"/>
    </row>
    <row r="1495" spans="1:12" x14ac:dyDescent="0.25">
      <c r="A1495" s="774"/>
      <c r="B1495" s="774"/>
      <c r="C1495" s="813" t="s">
        <v>442</v>
      </c>
      <c r="D1495" s="813"/>
      <c r="E1495" s="813"/>
      <c r="F1495" s="873" t="s">
        <v>3</v>
      </c>
      <c r="G1495" s="871">
        <f>J1498*0.011*2*1.2</f>
        <v>4.7520000000000001E-3</v>
      </c>
      <c r="H1495" s="842"/>
      <c r="J1495" s="864"/>
    </row>
    <row r="1496" spans="1:12" x14ac:dyDescent="0.25">
      <c r="A1496" s="774"/>
      <c r="B1496" s="774"/>
      <c r="C1496" s="813" t="s">
        <v>12</v>
      </c>
      <c r="D1496" s="813"/>
      <c r="E1496" s="813"/>
      <c r="F1496" s="873" t="s">
        <v>3</v>
      </c>
      <c r="G1496" s="871">
        <f>0.3*G1495</f>
        <v>1.4256E-3</v>
      </c>
      <c r="H1496" s="842"/>
      <c r="J1496" s="864"/>
    </row>
    <row r="1497" spans="1:12" x14ac:dyDescent="0.25">
      <c r="A1497" s="774"/>
      <c r="B1497" s="774"/>
      <c r="C1497" s="814"/>
      <c r="D1497" s="814" t="s">
        <v>10118</v>
      </c>
      <c r="E1497" s="813"/>
      <c r="F1497" s="873"/>
      <c r="G1497" s="871"/>
      <c r="H1497" s="842"/>
      <c r="J1497" s="864"/>
    </row>
    <row r="1498" spans="1:12" x14ac:dyDescent="0.25">
      <c r="A1498" s="774"/>
      <c r="B1498" s="774"/>
      <c r="C1498" s="814"/>
      <c r="D1498" s="813" t="s">
        <v>6587</v>
      </c>
      <c r="E1498" s="813"/>
      <c r="F1498" s="873" t="s">
        <v>3</v>
      </c>
      <c r="G1498" s="871">
        <f>0.271*L1498</f>
        <v>5.9620000000000006E-2</v>
      </c>
      <c r="H1498" s="842"/>
      <c r="I1498" s="874" t="s">
        <v>10567</v>
      </c>
      <c r="J1498" s="864">
        <v>0.18</v>
      </c>
      <c r="K1498" s="874" t="s">
        <v>10150</v>
      </c>
      <c r="L1498" s="825">
        <v>0.22</v>
      </c>
    </row>
    <row r="1499" spans="1:12" x14ac:dyDescent="0.25">
      <c r="A1499" s="774"/>
      <c r="B1499" s="774"/>
      <c r="C1499" s="814"/>
      <c r="D1499" s="813"/>
      <c r="E1499" s="813"/>
      <c r="F1499" s="873"/>
      <c r="G1499" s="871"/>
      <c r="H1499" s="842"/>
      <c r="J1499" s="864"/>
    </row>
    <row r="1500" spans="1:12" x14ac:dyDescent="0.25">
      <c r="A1500" s="774"/>
      <c r="B1500" s="774">
        <v>59</v>
      </c>
      <c r="C1500" s="814" t="s">
        <v>10120</v>
      </c>
      <c r="D1500" s="813"/>
      <c r="E1500" s="813"/>
      <c r="F1500" s="873"/>
      <c r="G1500" s="871"/>
      <c r="H1500" s="842"/>
      <c r="J1500" s="864"/>
    </row>
    <row r="1501" spans="1:12" x14ac:dyDescent="0.25">
      <c r="A1501" s="774"/>
      <c r="B1501" s="774"/>
      <c r="C1501" s="813" t="s">
        <v>114</v>
      </c>
      <c r="D1501" s="813"/>
      <c r="E1501" s="813"/>
      <c r="F1501" s="873" t="s">
        <v>3</v>
      </c>
      <c r="G1501" s="871">
        <f>G1503*0.7</f>
        <v>4.9895999999999994E-3</v>
      </c>
      <c r="H1501" s="842"/>
      <c r="J1501" s="864"/>
    </row>
    <row r="1502" spans="1:12" x14ac:dyDescent="0.25">
      <c r="A1502" s="774"/>
      <c r="B1502" s="774"/>
      <c r="C1502" s="813" t="s">
        <v>164</v>
      </c>
      <c r="D1502" s="813"/>
      <c r="E1502" s="813"/>
      <c r="F1502" s="873" t="s">
        <v>3</v>
      </c>
      <c r="G1502" s="871">
        <f>0.3*G1501</f>
        <v>1.4968799999999997E-3</v>
      </c>
      <c r="H1502" s="842"/>
      <c r="J1502" s="864"/>
    </row>
    <row r="1503" spans="1:12" x14ac:dyDescent="0.25">
      <c r="A1503" s="774"/>
      <c r="B1503" s="774"/>
      <c r="C1503" s="813" t="s">
        <v>442</v>
      </c>
      <c r="D1503" s="813"/>
      <c r="E1503" s="813"/>
      <c r="F1503" s="873" t="s">
        <v>3</v>
      </c>
      <c r="G1503" s="871">
        <f>J1506*0.011*2*1.2</f>
        <v>7.1279999999999998E-3</v>
      </c>
      <c r="H1503" s="842"/>
      <c r="J1503" s="864"/>
    </row>
    <row r="1504" spans="1:12" x14ac:dyDescent="0.25">
      <c r="A1504" s="774"/>
      <c r="B1504" s="774"/>
      <c r="C1504" s="813" t="s">
        <v>12</v>
      </c>
      <c r="D1504" s="813"/>
      <c r="E1504" s="813"/>
      <c r="F1504" s="873" t="s">
        <v>3</v>
      </c>
      <c r="G1504" s="871">
        <f>0.3*G1503</f>
        <v>2.1383999999999999E-3</v>
      </c>
      <c r="H1504" s="842"/>
      <c r="J1504" s="864"/>
    </row>
    <row r="1505" spans="1:12" x14ac:dyDescent="0.25">
      <c r="A1505" s="774"/>
      <c r="B1505" s="774"/>
      <c r="C1505" s="814"/>
      <c r="D1505" s="814" t="s">
        <v>10121</v>
      </c>
      <c r="E1505" s="813"/>
      <c r="F1505" s="873"/>
      <c r="G1505" s="871"/>
      <c r="H1505" s="842"/>
      <c r="J1505" s="864"/>
    </row>
    <row r="1506" spans="1:12" x14ac:dyDescent="0.25">
      <c r="A1506" s="774"/>
      <c r="B1506" s="774"/>
      <c r="C1506" s="814"/>
      <c r="D1506" s="813" t="s">
        <v>9693</v>
      </c>
      <c r="E1506" s="813"/>
      <c r="F1506" s="873" t="s">
        <v>3</v>
      </c>
      <c r="G1506" s="871">
        <f>0.321*L1506</f>
        <v>9.6299999999999997E-2</v>
      </c>
      <c r="H1506" s="842"/>
      <c r="I1506" s="874" t="s">
        <v>10567</v>
      </c>
      <c r="J1506" s="864">
        <v>0.27</v>
      </c>
      <c r="K1506" s="874" t="s">
        <v>10150</v>
      </c>
      <c r="L1506" s="825">
        <v>0.3</v>
      </c>
    </row>
    <row r="1507" spans="1:12" x14ac:dyDescent="0.25">
      <c r="A1507" s="774"/>
      <c r="B1507" s="774"/>
      <c r="C1507" s="814"/>
      <c r="D1507" s="813"/>
      <c r="E1507" s="813"/>
      <c r="F1507" s="873"/>
      <c r="G1507" s="871"/>
      <c r="H1507" s="842"/>
      <c r="J1507" s="864"/>
    </row>
    <row r="1508" spans="1:12" x14ac:dyDescent="0.25">
      <c r="A1508" s="774"/>
      <c r="B1508" s="774">
        <v>61</v>
      </c>
      <c r="C1508" s="814" t="s">
        <v>10122</v>
      </c>
      <c r="D1508" s="813"/>
      <c r="E1508" s="813"/>
      <c r="F1508" s="873"/>
      <c r="G1508" s="871"/>
      <c r="H1508" s="842"/>
      <c r="J1508" s="864"/>
    </row>
    <row r="1509" spans="1:12" x14ac:dyDescent="0.25">
      <c r="A1509" s="774"/>
      <c r="B1509" s="774"/>
      <c r="C1509" s="813" t="s">
        <v>114</v>
      </c>
      <c r="D1509" s="813"/>
      <c r="E1509" s="813"/>
      <c r="F1509" s="873" t="s">
        <v>3</v>
      </c>
      <c r="G1509" s="871">
        <f>G1511*0.7</f>
        <v>3.5111999999999995E-3</v>
      </c>
      <c r="H1509" s="842"/>
      <c r="J1509" s="864"/>
    </row>
    <row r="1510" spans="1:12" x14ac:dyDescent="0.25">
      <c r="A1510" s="774"/>
      <c r="B1510" s="774"/>
      <c r="C1510" s="813" t="s">
        <v>164</v>
      </c>
      <c r="D1510" s="813"/>
      <c r="E1510" s="813"/>
      <c r="F1510" s="873" t="s">
        <v>3</v>
      </c>
      <c r="G1510" s="871">
        <f>0.3*G1509</f>
        <v>1.0533599999999997E-3</v>
      </c>
      <c r="H1510" s="842"/>
      <c r="J1510" s="864"/>
    </row>
    <row r="1511" spans="1:12" x14ac:dyDescent="0.25">
      <c r="A1511" s="774"/>
      <c r="B1511" s="774"/>
      <c r="C1511" s="813" t="s">
        <v>442</v>
      </c>
      <c r="D1511" s="813"/>
      <c r="E1511" s="813"/>
      <c r="F1511" s="873" t="s">
        <v>3</v>
      </c>
      <c r="G1511" s="871">
        <f>J1514*0.011*2*1.2</f>
        <v>5.0159999999999996E-3</v>
      </c>
      <c r="H1511" s="842"/>
      <c r="J1511" s="864"/>
    </row>
    <row r="1512" spans="1:12" x14ac:dyDescent="0.25">
      <c r="A1512" s="774"/>
      <c r="B1512" s="774"/>
      <c r="C1512" s="813" t="s">
        <v>12</v>
      </c>
      <c r="D1512" s="813"/>
      <c r="E1512" s="813"/>
      <c r="F1512" s="873" t="s">
        <v>3</v>
      </c>
      <c r="G1512" s="871">
        <f>0.3*G1511</f>
        <v>1.5047999999999999E-3</v>
      </c>
      <c r="H1512" s="842"/>
      <c r="J1512" s="864"/>
    </row>
    <row r="1513" spans="1:12" x14ac:dyDescent="0.25">
      <c r="A1513" s="774"/>
      <c r="B1513" s="774"/>
      <c r="C1513" s="814"/>
      <c r="D1513" s="814" t="s">
        <v>10123</v>
      </c>
      <c r="E1513" s="813"/>
      <c r="F1513" s="873"/>
      <c r="G1513" s="871"/>
      <c r="H1513" s="842"/>
      <c r="J1513" s="864"/>
    </row>
    <row r="1514" spans="1:12" x14ac:dyDescent="0.25">
      <c r="A1514" s="774"/>
      <c r="B1514" s="774"/>
      <c r="C1514" s="814"/>
      <c r="D1514" s="813" t="s">
        <v>6587</v>
      </c>
      <c r="E1514" s="813"/>
      <c r="F1514" s="873" t="s">
        <v>3</v>
      </c>
      <c r="G1514" s="871">
        <f>0.271*L1514</f>
        <v>6.7750000000000005E-2</v>
      </c>
      <c r="H1514" s="842"/>
      <c r="I1514" s="874" t="s">
        <v>10567</v>
      </c>
      <c r="J1514" s="864">
        <v>0.19</v>
      </c>
      <c r="K1514" s="874" t="s">
        <v>10150</v>
      </c>
      <c r="L1514" s="825">
        <v>0.25</v>
      </c>
    </row>
    <row r="1515" spans="1:12" x14ac:dyDescent="0.25">
      <c r="A1515" s="774"/>
      <c r="B1515" s="774"/>
      <c r="C1515" s="814"/>
      <c r="D1515" s="813"/>
      <c r="E1515" s="813"/>
      <c r="F1515" s="873"/>
      <c r="G1515" s="871"/>
      <c r="H1515" s="842"/>
      <c r="J1515" s="864"/>
    </row>
    <row r="1516" spans="1:12" x14ac:dyDescent="0.25">
      <c r="A1516" s="774"/>
      <c r="B1516" s="774" t="s">
        <v>1565</v>
      </c>
      <c r="C1516" s="814" t="s">
        <v>10124</v>
      </c>
      <c r="D1516" s="813"/>
      <c r="E1516" s="813"/>
      <c r="F1516" s="873"/>
      <c r="G1516" s="871"/>
      <c r="H1516" s="842"/>
      <c r="J1516" s="864"/>
    </row>
    <row r="1517" spans="1:12" x14ac:dyDescent="0.25">
      <c r="A1517" s="774"/>
      <c r="B1517" s="774"/>
      <c r="C1517" s="263" t="s">
        <v>10058</v>
      </c>
      <c r="D1517" s="263"/>
      <c r="E1517" s="813"/>
      <c r="F1517" s="875" t="s">
        <v>3</v>
      </c>
      <c r="G1517" s="876">
        <f>(0.014*3.14)*0.08*1.3</f>
        <v>4.5718400000000006E-3</v>
      </c>
      <c r="H1517" s="842"/>
      <c r="J1517" s="864"/>
    </row>
    <row r="1518" spans="1:12" ht="17.25" x14ac:dyDescent="0.25">
      <c r="A1518" s="774"/>
      <c r="B1518" s="774"/>
      <c r="C1518" s="263" t="s">
        <v>121</v>
      </c>
      <c r="D1518" s="263"/>
      <c r="E1518" s="813"/>
      <c r="F1518" s="875" t="s">
        <v>10568</v>
      </c>
      <c r="G1518" s="876">
        <f>G1517*1.1</f>
        <v>5.0290240000000009E-3</v>
      </c>
      <c r="H1518" s="842"/>
      <c r="J1518" s="864"/>
    </row>
    <row r="1519" spans="1:12" x14ac:dyDescent="0.25">
      <c r="A1519" s="774"/>
      <c r="B1519" s="774"/>
      <c r="C1519" s="813" t="s">
        <v>114</v>
      </c>
      <c r="D1519" s="813"/>
      <c r="E1519" s="813"/>
      <c r="F1519" s="873" t="s">
        <v>3</v>
      </c>
      <c r="G1519" s="871">
        <f>G1521*0.7</f>
        <v>2.6250000000000002E-3</v>
      </c>
      <c r="H1519" s="842"/>
      <c r="J1519" s="864"/>
    </row>
    <row r="1520" spans="1:12" x14ac:dyDescent="0.25">
      <c r="A1520" s="774"/>
      <c r="B1520" s="774"/>
      <c r="C1520" s="813" t="s">
        <v>164</v>
      </c>
      <c r="D1520" s="813"/>
      <c r="E1520" s="813"/>
      <c r="F1520" s="873" t="s">
        <v>3</v>
      </c>
      <c r="G1520" s="871">
        <f>0.3*G1519</f>
        <v>7.8750000000000001E-4</v>
      </c>
      <c r="H1520" s="842"/>
      <c r="J1520" s="864"/>
    </row>
    <row r="1521" spans="1:12" x14ac:dyDescent="0.25">
      <c r="A1521" s="774"/>
      <c r="B1521" s="774"/>
      <c r="C1521" s="813" t="s">
        <v>442</v>
      </c>
      <c r="D1521" s="813"/>
      <c r="E1521" s="813"/>
      <c r="F1521" s="873" t="s">
        <v>3</v>
      </c>
      <c r="G1521" s="871">
        <f>0.1*0.1*0.15*2*1.25</f>
        <v>3.7500000000000007E-3</v>
      </c>
      <c r="H1521" s="842"/>
      <c r="J1521" s="864"/>
    </row>
    <row r="1522" spans="1:12" x14ac:dyDescent="0.25">
      <c r="A1522" s="774"/>
      <c r="B1522" s="774"/>
      <c r="C1522" s="813" t="s">
        <v>12</v>
      </c>
      <c r="D1522" s="813"/>
      <c r="E1522" s="813"/>
      <c r="F1522" s="873" t="s">
        <v>3</v>
      </c>
      <c r="G1522" s="871">
        <f>0.3*G1521</f>
        <v>1.1250000000000001E-3</v>
      </c>
      <c r="H1522" s="842"/>
      <c r="J1522" s="864"/>
    </row>
    <row r="1523" spans="1:12" x14ac:dyDescent="0.25">
      <c r="A1523" s="774"/>
      <c r="B1523" s="774"/>
      <c r="C1523" s="814"/>
      <c r="D1523" s="814" t="s">
        <v>10125</v>
      </c>
      <c r="E1523" s="813"/>
      <c r="F1523" s="873"/>
      <c r="G1523" s="871"/>
      <c r="H1523" s="842"/>
      <c r="J1523" s="864"/>
    </row>
    <row r="1524" spans="1:12" x14ac:dyDescent="0.25">
      <c r="A1524" s="774"/>
      <c r="B1524" s="774"/>
      <c r="C1524" s="814"/>
      <c r="D1524" s="813" t="s">
        <v>9693</v>
      </c>
      <c r="E1524" s="813"/>
      <c r="F1524" s="873" t="s">
        <v>3</v>
      </c>
      <c r="G1524" s="871">
        <f>0.321*L1524</f>
        <v>1.6050000000000002E-2</v>
      </c>
      <c r="H1524" s="842"/>
      <c r="I1524" s="874" t="s">
        <v>10567</v>
      </c>
      <c r="J1524" s="864">
        <v>0.04</v>
      </c>
      <c r="K1524" s="874" t="s">
        <v>10150</v>
      </c>
      <c r="L1524" s="825">
        <v>0.05</v>
      </c>
    </row>
    <row r="1525" spans="1:12" x14ac:dyDescent="0.25">
      <c r="A1525" s="774"/>
      <c r="B1525" s="774"/>
      <c r="C1525" s="814"/>
      <c r="D1525" s="813"/>
      <c r="E1525" s="813"/>
      <c r="F1525" s="873"/>
      <c r="G1525" s="871"/>
      <c r="H1525" s="842"/>
    </row>
    <row r="1526" spans="1:12" x14ac:dyDescent="0.25">
      <c r="A1526" s="774"/>
      <c r="B1526" s="774" t="s">
        <v>1565</v>
      </c>
      <c r="C1526" s="814" t="s">
        <v>10129</v>
      </c>
      <c r="D1526" s="813"/>
      <c r="E1526" s="813"/>
      <c r="F1526" s="873"/>
      <c r="G1526" s="871"/>
      <c r="H1526" s="842"/>
      <c r="J1526" s="864"/>
    </row>
    <row r="1527" spans="1:12" x14ac:dyDescent="0.25">
      <c r="A1527" s="774"/>
      <c r="B1527" s="774"/>
      <c r="C1527" s="263" t="s">
        <v>39</v>
      </c>
      <c r="D1527" s="263"/>
      <c r="E1527" s="813"/>
      <c r="F1527" s="875" t="s">
        <v>3</v>
      </c>
      <c r="G1527" s="876">
        <f>(0.04*3.14)*0.08*1.2</f>
        <v>1.2057600000000002E-2</v>
      </c>
      <c r="H1527" s="842"/>
      <c r="J1527" s="864"/>
    </row>
    <row r="1528" spans="1:12" ht="17.25" x14ac:dyDescent="0.25">
      <c r="A1528" s="774"/>
      <c r="B1528" s="774"/>
      <c r="C1528" s="263" t="s">
        <v>1055</v>
      </c>
      <c r="D1528" s="263"/>
      <c r="E1528" s="813"/>
      <c r="F1528" s="875" t="s">
        <v>10568</v>
      </c>
      <c r="G1528" s="876">
        <f>1.1*G1527+0.003</f>
        <v>1.6263360000000004E-2</v>
      </c>
      <c r="H1528" s="842"/>
      <c r="J1528" s="864"/>
    </row>
    <row r="1529" spans="1:12" x14ac:dyDescent="0.25">
      <c r="A1529" s="774"/>
      <c r="B1529" s="774"/>
      <c r="C1529" s="814"/>
      <c r="D1529" s="813"/>
      <c r="E1529" s="813"/>
      <c r="F1529" s="873"/>
      <c r="G1529" s="871"/>
      <c r="H1529" s="842"/>
      <c r="J1529" s="864"/>
    </row>
    <row r="1530" spans="1:12" x14ac:dyDescent="0.25">
      <c r="A1530" s="774"/>
      <c r="B1530" s="774">
        <v>71</v>
      </c>
      <c r="C1530" s="814" t="s">
        <v>10130</v>
      </c>
      <c r="D1530" s="813"/>
      <c r="E1530" s="813"/>
      <c r="F1530" s="873"/>
      <c r="G1530" s="871"/>
      <c r="H1530" s="842"/>
      <c r="J1530" s="864"/>
    </row>
    <row r="1531" spans="1:12" x14ac:dyDescent="0.25">
      <c r="A1531" s="774"/>
      <c r="B1531" s="774"/>
      <c r="C1531" s="813" t="s">
        <v>114</v>
      </c>
      <c r="D1531" s="813"/>
      <c r="E1531" s="813"/>
      <c r="F1531" s="873" t="s">
        <v>3</v>
      </c>
      <c r="G1531" s="871">
        <f>G1533*0.7</f>
        <v>1.1087999999999997E-2</v>
      </c>
      <c r="H1531" s="842"/>
      <c r="J1531" s="864"/>
    </row>
    <row r="1532" spans="1:12" x14ac:dyDescent="0.25">
      <c r="A1532" s="774"/>
      <c r="B1532" s="774"/>
      <c r="C1532" s="813" t="s">
        <v>164</v>
      </c>
      <c r="D1532" s="813"/>
      <c r="E1532" s="813"/>
      <c r="F1532" s="873" t="s">
        <v>3</v>
      </c>
      <c r="G1532" s="871">
        <f>0.3*G1531</f>
        <v>3.3263999999999989E-3</v>
      </c>
      <c r="H1532" s="842"/>
      <c r="J1532" s="864"/>
    </row>
    <row r="1533" spans="1:12" x14ac:dyDescent="0.25">
      <c r="A1533" s="774"/>
      <c r="B1533" s="774"/>
      <c r="C1533" s="813" t="s">
        <v>442</v>
      </c>
      <c r="D1533" s="813"/>
      <c r="E1533" s="813"/>
      <c r="F1533" s="873" t="s">
        <v>3</v>
      </c>
      <c r="G1533" s="871">
        <f>J1536*0.011*2*1.2</f>
        <v>1.5839999999999996E-2</v>
      </c>
      <c r="H1533" s="842"/>
      <c r="J1533" s="864"/>
    </row>
    <row r="1534" spans="1:12" x14ac:dyDescent="0.25">
      <c r="A1534" s="774"/>
      <c r="B1534" s="774"/>
      <c r="C1534" s="813" t="s">
        <v>12</v>
      </c>
      <c r="D1534" s="813"/>
      <c r="E1534" s="813"/>
      <c r="F1534" s="873" t="s">
        <v>3</v>
      </c>
      <c r="G1534" s="871">
        <f>0.3*G1533</f>
        <v>4.7519999999999984E-3</v>
      </c>
      <c r="H1534" s="842"/>
      <c r="J1534" s="864"/>
    </row>
    <row r="1535" spans="1:12" x14ac:dyDescent="0.25">
      <c r="A1535" s="774"/>
      <c r="B1535" s="774"/>
      <c r="C1535" s="814"/>
      <c r="D1535" s="814" t="s">
        <v>10131</v>
      </c>
      <c r="E1535" s="813"/>
      <c r="F1535" s="873"/>
      <c r="G1535" s="871"/>
      <c r="H1535" s="842"/>
      <c r="J1535" s="864"/>
    </row>
    <row r="1536" spans="1:12" x14ac:dyDescent="0.25">
      <c r="A1536" s="774"/>
      <c r="B1536" s="774"/>
      <c r="C1536" s="814"/>
      <c r="D1536" s="813" t="s">
        <v>6587</v>
      </c>
      <c r="E1536" s="813"/>
      <c r="F1536" s="873" t="s">
        <v>3</v>
      </c>
      <c r="G1536" s="871">
        <f>0.271*L1536</f>
        <v>0.18970000000000001</v>
      </c>
      <c r="H1536" s="842"/>
      <c r="I1536" s="874" t="s">
        <v>10567</v>
      </c>
      <c r="J1536" s="864">
        <v>0.6</v>
      </c>
      <c r="K1536" s="874" t="s">
        <v>10150</v>
      </c>
      <c r="L1536" s="825">
        <v>0.7</v>
      </c>
    </row>
    <row r="1537" spans="1:13" x14ac:dyDescent="0.25">
      <c r="A1537" s="774"/>
      <c r="B1537" s="774"/>
      <c r="C1537" s="814"/>
      <c r="D1537" s="813"/>
      <c r="E1537" s="813"/>
      <c r="F1537" s="873"/>
      <c r="G1537" s="871"/>
      <c r="H1537" s="842"/>
      <c r="J1537" s="864"/>
    </row>
    <row r="1538" spans="1:13" x14ac:dyDescent="0.25">
      <c r="A1538" s="774"/>
      <c r="B1538" s="774">
        <v>72</v>
      </c>
      <c r="C1538" s="814" t="s">
        <v>10132</v>
      </c>
      <c r="D1538" s="813"/>
      <c r="E1538" s="813"/>
      <c r="F1538" s="873"/>
      <c r="G1538" s="871"/>
      <c r="H1538" s="842"/>
      <c r="J1538" s="864"/>
    </row>
    <row r="1539" spans="1:13" x14ac:dyDescent="0.25">
      <c r="A1539" s="774"/>
      <c r="B1539" s="774"/>
      <c r="C1539" s="813" t="s">
        <v>114</v>
      </c>
      <c r="D1539" s="813"/>
      <c r="E1539" s="813"/>
      <c r="F1539" s="873" t="s">
        <v>3</v>
      </c>
      <c r="G1539" s="871">
        <f>G1541*0.7</f>
        <v>1.1087999999999997E-2</v>
      </c>
      <c r="H1539" s="842"/>
      <c r="J1539" s="864"/>
    </row>
    <row r="1540" spans="1:13" x14ac:dyDescent="0.25">
      <c r="A1540" s="774"/>
      <c r="B1540" s="774"/>
      <c r="C1540" s="813" t="s">
        <v>164</v>
      </c>
      <c r="D1540" s="813"/>
      <c r="E1540" s="813"/>
      <c r="F1540" s="873" t="s">
        <v>3</v>
      </c>
      <c r="G1540" s="871">
        <f>0.3*G1539</f>
        <v>3.3263999999999989E-3</v>
      </c>
      <c r="H1540" s="842"/>
      <c r="J1540" s="864"/>
    </row>
    <row r="1541" spans="1:13" x14ac:dyDescent="0.25">
      <c r="A1541" s="774"/>
      <c r="B1541" s="774"/>
      <c r="C1541" s="813" t="s">
        <v>442</v>
      </c>
      <c r="D1541" s="813"/>
      <c r="E1541" s="813"/>
      <c r="F1541" s="873" t="s">
        <v>3</v>
      </c>
      <c r="G1541" s="871">
        <f>J1544*0.011*2*1.2</f>
        <v>1.5839999999999996E-2</v>
      </c>
      <c r="H1541" s="842"/>
      <c r="J1541" s="864"/>
    </row>
    <row r="1542" spans="1:13" x14ac:dyDescent="0.25">
      <c r="A1542" s="774"/>
      <c r="B1542" s="774"/>
      <c r="C1542" s="813" t="s">
        <v>12</v>
      </c>
      <c r="D1542" s="813"/>
      <c r="E1542" s="813"/>
      <c r="F1542" s="873" t="s">
        <v>3</v>
      </c>
      <c r="G1542" s="871">
        <f>0.3*G1541</f>
        <v>4.7519999999999984E-3</v>
      </c>
      <c r="H1542" s="842"/>
      <c r="J1542" s="864"/>
    </row>
    <row r="1543" spans="1:13" x14ac:dyDescent="0.25">
      <c r="A1543" s="774"/>
      <c r="B1543" s="774"/>
      <c r="C1543" s="814"/>
      <c r="D1543" s="814" t="s">
        <v>10133</v>
      </c>
      <c r="E1543" s="813"/>
      <c r="F1543" s="873"/>
      <c r="G1543" s="871"/>
      <c r="H1543" s="842"/>
      <c r="J1543" s="864"/>
    </row>
    <row r="1544" spans="1:13" x14ac:dyDescent="0.25">
      <c r="A1544" s="774"/>
      <c r="B1544" s="774"/>
      <c r="C1544" s="814"/>
      <c r="D1544" s="813" t="s">
        <v>6587</v>
      </c>
      <c r="E1544" s="813"/>
      <c r="F1544" s="873" t="s">
        <v>3</v>
      </c>
      <c r="G1544" s="871">
        <f>0.271*L1544</f>
        <v>0.18970000000000001</v>
      </c>
      <c r="H1544" s="842"/>
      <c r="I1544" s="874" t="s">
        <v>10567</v>
      </c>
      <c r="J1544" s="864">
        <v>0.6</v>
      </c>
      <c r="K1544" s="874" t="s">
        <v>10150</v>
      </c>
      <c r="L1544" s="825">
        <v>0.7</v>
      </c>
    </row>
    <row r="1545" spans="1:13" x14ac:dyDescent="0.25">
      <c r="A1545" s="774"/>
      <c r="B1545" s="774"/>
      <c r="C1545" s="814"/>
      <c r="D1545" s="813"/>
      <c r="E1545" s="813"/>
      <c r="F1545" s="873"/>
      <c r="G1545" s="871"/>
      <c r="H1545" s="842"/>
      <c r="J1545" s="864"/>
    </row>
    <row r="1546" spans="1:13" x14ac:dyDescent="0.25">
      <c r="A1546" s="774"/>
      <c r="B1546" s="774">
        <v>73</v>
      </c>
      <c r="C1546" s="814" t="s">
        <v>10134</v>
      </c>
      <c r="D1546" s="813"/>
      <c r="E1546" s="813"/>
      <c r="F1546" s="873"/>
      <c r="G1546" s="871"/>
      <c r="H1546" s="842"/>
      <c r="J1546" s="864"/>
    </row>
    <row r="1547" spans="1:13" x14ac:dyDescent="0.25">
      <c r="A1547" s="774"/>
      <c r="B1547" s="774"/>
      <c r="C1547" s="813" t="s">
        <v>114</v>
      </c>
      <c r="D1547" s="813"/>
      <c r="E1547" s="813"/>
      <c r="F1547" s="873" t="s">
        <v>3</v>
      </c>
      <c r="G1547" s="871">
        <f>G1549*0.7</f>
        <v>9.2399999999999982E-3</v>
      </c>
      <c r="H1547" s="842"/>
      <c r="J1547" s="864"/>
    </row>
    <row r="1548" spans="1:13" x14ac:dyDescent="0.25">
      <c r="A1548" s="774"/>
      <c r="B1548" s="774"/>
      <c r="C1548" s="813" t="s">
        <v>164</v>
      </c>
      <c r="D1548" s="813"/>
      <c r="E1548" s="813"/>
      <c r="F1548" s="873" t="s">
        <v>3</v>
      </c>
      <c r="G1548" s="871">
        <f>0.3*G1547</f>
        <v>2.7719999999999993E-3</v>
      </c>
      <c r="H1548" s="842"/>
      <c r="J1548" s="864"/>
    </row>
    <row r="1549" spans="1:13" x14ac:dyDescent="0.25">
      <c r="A1549" s="774"/>
      <c r="B1549" s="774"/>
      <c r="C1549" s="813" t="s">
        <v>442</v>
      </c>
      <c r="D1549" s="813"/>
      <c r="E1549" s="813"/>
      <c r="F1549" s="873" t="s">
        <v>3</v>
      </c>
      <c r="G1549" s="871">
        <f>J1552*0.011*2*1.2</f>
        <v>1.3199999999999998E-2</v>
      </c>
      <c r="H1549" s="842"/>
      <c r="J1549" s="864"/>
    </row>
    <row r="1550" spans="1:13" x14ac:dyDescent="0.25">
      <c r="A1550" s="774"/>
      <c r="B1550" s="774"/>
      <c r="C1550" s="813" t="s">
        <v>12</v>
      </c>
      <c r="D1550" s="813"/>
      <c r="E1550" s="813"/>
      <c r="F1550" s="873" t="s">
        <v>3</v>
      </c>
      <c r="G1550" s="871">
        <f>0.3*G1549</f>
        <v>3.9599999999999991E-3</v>
      </c>
      <c r="H1550" s="842"/>
      <c r="J1550" s="864"/>
    </row>
    <row r="1551" spans="1:13" x14ac:dyDescent="0.25">
      <c r="A1551" s="774"/>
      <c r="B1551" s="774"/>
      <c r="C1551" s="814"/>
      <c r="D1551" s="814" t="s">
        <v>10135</v>
      </c>
      <c r="E1551" s="813"/>
      <c r="F1551" s="873"/>
      <c r="G1551" s="871"/>
      <c r="H1551" s="842"/>
      <c r="J1551" s="864"/>
    </row>
    <row r="1552" spans="1:13" x14ac:dyDescent="0.25">
      <c r="A1552" s="774"/>
      <c r="B1552" s="774"/>
      <c r="C1552" s="814"/>
      <c r="D1552" s="813" t="s">
        <v>9695</v>
      </c>
      <c r="E1552" s="813"/>
      <c r="F1552" s="873" t="s">
        <v>3</v>
      </c>
      <c r="G1552" s="871">
        <f>0.173*L1552</f>
        <v>9.5149999999999998E-2</v>
      </c>
      <c r="H1552" s="842"/>
      <c r="I1552" s="874" t="s">
        <v>10567</v>
      </c>
      <c r="J1552" s="864">
        <v>0.5</v>
      </c>
      <c r="K1552" s="874" t="s">
        <v>10150</v>
      </c>
      <c r="L1552" s="825">
        <v>0.55000000000000004</v>
      </c>
      <c r="M1552" s="811" t="s">
        <v>10375</v>
      </c>
    </row>
    <row r="1553" spans="1:13" x14ac:dyDescent="0.25">
      <c r="A1553" s="774"/>
      <c r="B1553" s="774"/>
      <c r="C1553" s="814"/>
      <c r="D1553" s="813"/>
      <c r="E1553" s="813"/>
      <c r="F1553" s="873"/>
      <c r="G1553" s="871"/>
      <c r="H1553" s="842"/>
      <c r="J1553" s="864"/>
    </row>
    <row r="1554" spans="1:13" x14ac:dyDescent="0.25">
      <c r="A1554" s="774"/>
      <c r="B1554" s="774">
        <v>74</v>
      </c>
      <c r="C1554" s="814" t="s">
        <v>10136</v>
      </c>
      <c r="D1554" s="813"/>
      <c r="E1554" s="813"/>
      <c r="F1554" s="873"/>
      <c r="G1554" s="871"/>
      <c r="H1554" s="842"/>
      <c r="J1554" s="864"/>
    </row>
    <row r="1555" spans="1:13" x14ac:dyDescent="0.25">
      <c r="A1555" s="774"/>
      <c r="B1555" s="774"/>
      <c r="C1555" s="813" t="s">
        <v>114</v>
      </c>
      <c r="D1555" s="813"/>
      <c r="E1555" s="813"/>
      <c r="F1555" s="873" t="s">
        <v>3</v>
      </c>
      <c r="G1555" s="871">
        <f>G1557*0.7</f>
        <v>1.6169999999999997E-2</v>
      </c>
      <c r="H1555" s="842"/>
      <c r="J1555" s="864"/>
    </row>
    <row r="1556" spans="1:13" x14ac:dyDescent="0.25">
      <c r="A1556" s="774"/>
      <c r="B1556" s="774"/>
      <c r="C1556" s="813" t="s">
        <v>164</v>
      </c>
      <c r="D1556" s="813"/>
      <c r="E1556" s="813"/>
      <c r="F1556" s="873" t="s">
        <v>3</v>
      </c>
      <c r="G1556" s="871">
        <f>0.3*G1555</f>
        <v>4.8509999999999985E-3</v>
      </c>
      <c r="H1556" s="842"/>
      <c r="J1556" s="864"/>
    </row>
    <row r="1557" spans="1:13" x14ac:dyDescent="0.25">
      <c r="A1557" s="774"/>
      <c r="B1557" s="774"/>
      <c r="C1557" s="813" t="s">
        <v>442</v>
      </c>
      <c r="D1557" s="813"/>
      <c r="E1557" s="813"/>
      <c r="F1557" s="873" t="s">
        <v>3</v>
      </c>
      <c r="G1557" s="871">
        <f>J1560*0.011*2*1.2</f>
        <v>2.3099999999999999E-2</v>
      </c>
      <c r="H1557" s="842"/>
      <c r="J1557" s="864"/>
    </row>
    <row r="1558" spans="1:13" x14ac:dyDescent="0.25">
      <c r="A1558" s="774"/>
      <c r="B1558" s="774"/>
      <c r="C1558" s="813" t="s">
        <v>12</v>
      </c>
      <c r="D1558" s="813"/>
      <c r="E1558" s="813"/>
      <c r="F1558" s="873" t="s">
        <v>3</v>
      </c>
      <c r="G1558" s="871">
        <f>0.3*G1557</f>
        <v>6.9299999999999995E-3</v>
      </c>
      <c r="H1558" s="842"/>
      <c r="J1558" s="864"/>
    </row>
    <row r="1559" spans="1:13" x14ac:dyDescent="0.25">
      <c r="A1559" s="774"/>
      <c r="B1559" s="774"/>
      <c r="C1559" s="814"/>
      <c r="D1559" s="814" t="s">
        <v>10137</v>
      </c>
      <c r="E1559" s="813"/>
      <c r="F1559" s="873"/>
      <c r="G1559" s="871"/>
      <c r="H1559" s="842"/>
      <c r="J1559" s="864"/>
    </row>
    <row r="1560" spans="1:13" x14ac:dyDescent="0.25">
      <c r="A1560" s="774"/>
      <c r="B1560" s="774"/>
      <c r="C1560" s="814"/>
      <c r="D1560" s="813" t="s">
        <v>9695</v>
      </c>
      <c r="E1560" s="813"/>
      <c r="F1560" s="873" t="s">
        <v>3</v>
      </c>
      <c r="G1560" s="871">
        <f>0.173*L1560</f>
        <v>0.16434999999999997</v>
      </c>
      <c r="H1560" s="842"/>
      <c r="I1560" s="874" t="s">
        <v>10567</v>
      </c>
      <c r="J1560" s="864">
        <v>0.875</v>
      </c>
      <c r="K1560" s="874" t="s">
        <v>10150</v>
      </c>
      <c r="L1560" s="825">
        <v>0.95</v>
      </c>
      <c r="M1560" s="811" t="s">
        <v>10374</v>
      </c>
    </row>
    <row r="1561" spans="1:13" x14ac:dyDescent="0.25">
      <c r="A1561" s="774"/>
      <c r="B1561" s="774"/>
      <c r="C1561" s="814"/>
      <c r="D1561" s="813"/>
      <c r="E1561" s="813"/>
      <c r="F1561" s="873"/>
      <c r="G1561" s="871"/>
      <c r="H1561" s="842"/>
      <c r="J1561" s="864"/>
    </row>
    <row r="1562" spans="1:13" x14ac:dyDescent="0.25">
      <c r="A1562" s="774"/>
      <c r="B1562" s="774">
        <v>79</v>
      </c>
      <c r="C1562" s="814" t="s">
        <v>10138</v>
      </c>
      <c r="D1562" s="813"/>
      <c r="E1562" s="813"/>
      <c r="F1562" s="873"/>
      <c r="G1562" s="871"/>
      <c r="H1562" s="842"/>
      <c r="I1562" s="780" t="s">
        <v>10373</v>
      </c>
      <c r="J1562" s="864"/>
    </row>
    <row r="1563" spans="1:13" x14ac:dyDescent="0.25">
      <c r="A1563" s="774"/>
      <c r="B1563" s="774"/>
      <c r="C1563" s="813" t="s">
        <v>114</v>
      </c>
      <c r="D1563" s="813"/>
      <c r="E1563" s="813"/>
      <c r="F1563" s="873" t="s">
        <v>3</v>
      </c>
      <c r="G1563" s="871">
        <f>G1565*0.7</f>
        <v>2.9752799999999992E-2</v>
      </c>
      <c r="H1563" s="842"/>
      <c r="J1563" s="864"/>
    </row>
    <row r="1564" spans="1:13" x14ac:dyDescent="0.25">
      <c r="A1564" s="774"/>
      <c r="B1564" s="774"/>
      <c r="C1564" s="813" t="s">
        <v>164</v>
      </c>
      <c r="D1564" s="813"/>
      <c r="E1564" s="813"/>
      <c r="F1564" s="873" t="s">
        <v>3</v>
      </c>
      <c r="G1564" s="871">
        <f>0.3*G1563</f>
        <v>8.9258399999999974E-3</v>
      </c>
      <c r="H1564" s="842"/>
      <c r="J1564" s="864"/>
    </row>
    <row r="1565" spans="1:13" x14ac:dyDescent="0.25">
      <c r="A1565" s="774"/>
      <c r="B1565" s="774"/>
      <c r="C1565" s="813" t="s">
        <v>442</v>
      </c>
      <c r="D1565" s="813"/>
      <c r="E1565" s="813"/>
      <c r="F1565" s="873" t="s">
        <v>3</v>
      </c>
      <c r="G1565" s="871">
        <f>J1568*0.011*2*1.2</f>
        <v>4.2503999999999993E-2</v>
      </c>
      <c r="H1565" s="842"/>
      <c r="J1565" s="864"/>
    </row>
    <row r="1566" spans="1:13" x14ac:dyDescent="0.25">
      <c r="A1566" s="774"/>
      <c r="B1566" s="774"/>
      <c r="C1566" s="813" t="s">
        <v>12</v>
      </c>
      <c r="D1566" s="813"/>
      <c r="E1566" s="813"/>
      <c r="F1566" s="873" t="s">
        <v>3</v>
      </c>
      <c r="G1566" s="871">
        <f>0.3*G1565</f>
        <v>1.2751199999999997E-2</v>
      </c>
      <c r="H1566" s="842"/>
      <c r="J1566" s="864"/>
    </row>
    <row r="1567" spans="1:13" x14ac:dyDescent="0.25">
      <c r="A1567" s="774"/>
      <c r="B1567" s="774"/>
      <c r="C1567" s="814"/>
      <c r="D1567" s="814" t="s">
        <v>10139</v>
      </c>
      <c r="E1567" s="813"/>
      <c r="F1567" s="873"/>
      <c r="G1567" s="871"/>
      <c r="H1567" s="842"/>
      <c r="J1567" s="864"/>
    </row>
    <row r="1568" spans="1:13" x14ac:dyDescent="0.25">
      <c r="A1568" s="774"/>
      <c r="B1568" s="774"/>
      <c r="C1568" s="814"/>
      <c r="D1568" s="813" t="s">
        <v>9695</v>
      </c>
      <c r="E1568" s="813"/>
      <c r="F1568" s="873" t="s">
        <v>3</v>
      </c>
      <c r="G1568" s="871">
        <f>0.173*L1568</f>
        <v>0.29582999999999998</v>
      </c>
      <c r="H1568" s="842"/>
      <c r="I1568" s="874" t="s">
        <v>10567</v>
      </c>
      <c r="J1568" s="864">
        <f>0.91+0.7</f>
        <v>1.6099999999999999</v>
      </c>
      <c r="K1568" s="874" t="s">
        <v>10150</v>
      </c>
      <c r="L1568" s="825">
        <v>1.71</v>
      </c>
    </row>
    <row r="1569" spans="1:12" x14ac:dyDescent="0.25">
      <c r="A1569" s="774"/>
      <c r="B1569" s="774"/>
      <c r="C1569" s="814"/>
      <c r="D1569" s="813"/>
      <c r="E1569" s="813"/>
      <c r="F1569" s="873"/>
      <c r="G1569" s="871"/>
      <c r="H1569" s="842"/>
      <c r="J1569" s="864"/>
    </row>
    <row r="1570" spans="1:12" x14ac:dyDescent="0.25">
      <c r="A1570" s="774"/>
      <c r="B1570" s="774">
        <v>81</v>
      </c>
      <c r="C1570" s="814" t="s">
        <v>10140</v>
      </c>
      <c r="D1570" s="813"/>
      <c r="E1570" s="813"/>
      <c r="F1570" s="873"/>
      <c r="G1570" s="871"/>
      <c r="H1570" s="842"/>
      <c r="J1570" s="864"/>
    </row>
    <row r="1571" spans="1:12" x14ac:dyDescent="0.25">
      <c r="A1571" s="774"/>
      <c r="B1571" s="774"/>
      <c r="C1571" s="813" t="s">
        <v>114</v>
      </c>
      <c r="D1571" s="813"/>
      <c r="E1571" s="813"/>
      <c r="F1571" s="873" t="s">
        <v>3</v>
      </c>
      <c r="G1571" s="871">
        <f>G1573*0.7</f>
        <v>1.1272799999999999E-2</v>
      </c>
      <c r="H1571" s="842"/>
      <c r="J1571" s="864"/>
    </row>
    <row r="1572" spans="1:12" x14ac:dyDescent="0.25">
      <c r="A1572" s="774"/>
      <c r="B1572" s="774"/>
      <c r="C1572" s="813" t="s">
        <v>164</v>
      </c>
      <c r="D1572" s="813"/>
      <c r="E1572" s="813"/>
      <c r="F1572" s="873" t="s">
        <v>3</v>
      </c>
      <c r="G1572" s="871">
        <f>0.3*G1571</f>
        <v>3.3818399999999997E-3</v>
      </c>
      <c r="H1572" s="842"/>
      <c r="J1572" s="864"/>
    </row>
    <row r="1573" spans="1:12" x14ac:dyDescent="0.25">
      <c r="A1573" s="774"/>
      <c r="B1573" s="774"/>
      <c r="C1573" s="813" t="s">
        <v>442</v>
      </c>
      <c r="D1573" s="813"/>
      <c r="E1573" s="813"/>
      <c r="F1573" s="873" t="s">
        <v>3</v>
      </c>
      <c r="G1573" s="871">
        <f>J1576*0.011*2*1.2</f>
        <v>1.6104E-2</v>
      </c>
      <c r="H1573" s="842"/>
      <c r="J1573" s="864"/>
    </row>
    <row r="1574" spans="1:12" x14ac:dyDescent="0.25">
      <c r="A1574" s="774"/>
      <c r="B1574" s="774"/>
      <c r="C1574" s="813" t="s">
        <v>12</v>
      </c>
      <c r="D1574" s="813"/>
      <c r="E1574" s="813"/>
      <c r="F1574" s="873" t="s">
        <v>3</v>
      </c>
      <c r="G1574" s="871">
        <f>0.3*G1573</f>
        <v>4.8311999999999999E-3</v>
      </c>
      <c r="H1574" s="842"/>
      <c r="J1574" s="864"/>
    </row>
    <row r="1575" spans="1:12" x14ac:dyDescent="0.25">
      <c r="A1575" s="774"/>
      <c r="B1575" s="774"/>
      <c r="C1575" s="814"/>
      <c r="D1575" s="814" t="s">
        <v>10141</v>
      </c>
      <c r="E1575" s="813"/>
      <c r="F1575" s="873"/>
      <c r="G1575" s="871"/>
      <c r="H1575" s="842"/>
      <c r="J1575" s="864"/>
    </row>
    <row r="1576" spans="1:12" x14ac:dyDescent="0.25">
      <c r="A1576" s="774"/>
      <c r="B1576" s="774"/>
      <c r="C1576" s="814"/>
      <c r="D1576" s="813" t="s">
        <v>9695</v>
      </c>
      <c r="E1576" s="813"/>
      <c r="F1576" s="873" t="s">
        <v>3</v>
      </c>
      <c r="G1576" s="871">
        <f>0.173*L1576</f>
        <v>0.11763999999999999</v>
      </c>
      <c r="H1576" s="842"/>
      <c r="I1576" s="874" t="s">
        <v>10567</v>
      </c>
      <c r="J1576" s="864">
        <v>0.61</v>
      </c>
      <c r="K1576" s="874" t="s">
        <v>10150</v>
      </c>
      <c r="L1576" s="825">
        <v>0.68</v>
      </c>
    </row>
    <row r="1577" spans="1:12" x14ac:dyDescent="0.25">
      <c r="A1577" s="774"/>
      <c r="B1577" s="774"/>
      <c r="C1577" s="814"/>
      <c r="D1577" s="813"/>
      <c r="E1577" s="813"/>
      <c r="F1577" s="873"/>
      <c r="G1577" s="871"/>
      <c r="H1577" s="842"/>
      <c r="J1577" s="864"/>
    </row>
    <row r="1578" spans="1:12" x14ac:dyDescent="0.25">
      <c r="A1578" s="774"/>
      <c r="B1578" s="774" t="s">
        <v>1565</v>
      </c>
      <c r="C1578" s="814" t="s">
        <v>10142</v>
      </c>
      <c r="D1578" s="813"/>
      <c r="E1578" s="813"/>
      <c r="F1578" s="873"/>
      <c r="G1578" s="871"/>
      <c r="H1578" s="842"/>
      <c r="J1578" s="864"/>
    </row>
    <row r="1579" spans="1:12" x14ac:dyDescent="0.25">
      <c r="A1579" s="774"/>
      <c r="B1579" s="774"/>
      <c r="C1579" s="813" t="s">
        <v>114</v>
      </c>
      <c r="D1579" s="813"/>
      <c r="E1579" s="813"/>
      <c r="F1579" s="873" t="s">
        <v>3</v>
      </c>
      <c r="G1579" s="871">
        <f>G1581*0.7</f>
        <v>9.6095999999999994E-3</v>
      </c>
      <c r="H1579" s="842"/>
      <c r="J1579" s="864"/>
    </row>
    <row r="1580" spans="1:12" x14ac:dyDescent="0.25">
      <c r="A1580" s="774"/>
      <c r="B1580" s="774"/>
      <c r="C1580" s="813" t="s">
        <v>164</v>
      </c>
      <c r="D1580" s="813"/>
      <c r="E1580" s="813"/>
      <c r="F1580" s="873" t="s">
        <v>3</v>
      </c>
      <c r="G1580" s="871">
        <f>0.3*G1579</f>
        <v>2.8828799999999996E-3</v>
      </c>
      <c r="H1580" s="842"/>
      <c r="J1580" s="864"/>
    </row>
    <row r="1581" spans="1:12" x14ac:dyDescent="0.25">
      <c r="A1581" s="774"/>
      <c r="B1581" s="774"/>
      <c r="C1581" s="813" t="s">
        <v>442</v>
      </c>
      <c r="D1581" s="813"/>
      <c r="E1581" s="813"/>
      <c r="F1581" s="873" t="s">
        <v>3</v>
      </c>
      <c r="G1581" s="871">
        <f>J1584*0.011*2*1.2</f>
        <v>1.3728000000000001E-2</v>
      </c>
      <c r="H1581" s="842"/>
      <c r="J1581" s="864"/>
    </row>
    <row r="1582" spans="1:12" x14ac:dyDescent="0.25">
      <c r="A1582" s="774"/>
      <c r="B1582" s="774"/>
      <c r="C1582" s="813" t="s">
        <v>12</v>
      </c>
      <c r="D1582" s="813"/>
      <c r="E1582" s="813"/>
      <c r="F1582" s="873" t="s">
        <v>3</v>
      </c>
      <c r="G1582" s="871">
        <f>0.3*G1581</f>
        <v>4.1184000000000004E-3</v>
      </c>
      <c r="H1582" s="842"/>
      <c r="J1582" s="864"/>
    </row>
    <row r="1583" spans="1:12" x14ac:dyDescent="0.25">
      <c r="A1583" s="774"/>
      <c r="B1583" s="774"/>
      <c r="C1583" s="814"/>
      <c r="D1583" s="814" t="s">
        <v>10143</v>
      </c>
      <c r="E1583" s="813"/>
      <c r="F1583" s="873"/>
      <c r="G1583" s="871"/>
      <c r="H1583" s="842"/>
      <c r="J1583" s="864"/>
      <c r="K1583" s="780"/>
      <c r="L1583" s="824"/>
    </row>
    <row r="1584" spans="1:12" x14ac:dyDescent="0.25">
      <c r="A1584" s="774"/>
      <c r="B1584" s="774"/>
      <c r="C1584" s="814"/>
      <c r="D1584" s="813" t="s">
        <v>9695</v>
      </c>
      <c r="E1584" s="813"/>
      <c r="F1584" s="873" t="s">
        <v>3</v>
      </c>
      <c r="G1584" s="871">
        <f>0.173*L1584</f>
        <v>0.10379999999999999</v>
      </c>
      <c r="H1584" s="842"/>
      <c r="I1584" s="874" t="s">
        <v>10567</v>
      </c>
      <c r="J1584" s="864">
        <v>0.52</v>
      </c>
      <c r="K1584" s="874" t="s">
        <v>10150</v>
      </c>
      <c r="L1584" s="824">
        <v>0.6</v>
      </c>
    </row>
    <row r="1585" spans="1:12" x14ac:dyDescent="0.25">
      <c r="A1585" s="774"/>
      <c r="B1585" s="774"/>
      <c r="C1585" s="814"/>
      <c r="D1585" s="813"/>
      <c r="E1585" s="813"/>
      <c r="F1585" s="873"/>
      <c r="G1585" s="871"/>
      <c r="H1585" s="842"/>
      <c r="J1585" s="864"/>
      <c r="K1585" s="780"/>
      <c r="L1585" s="824"/>
    </row>
    <row r="1586" spans="1:12" x14ac:dyDescent="0.25">
      <c r="A1586" s="774"/>
      <c r="B1586" s="774">
        <v>83</v>
      </c>
      <c r="C1586" s="814" t="s">
        <v>10144</v>
      </c>
      <c r="D1586" s="813"/>
      <c r="E1586" s="813"/>
      <c r="F1586" s="873"/>
      <c r="G1586" s="871"/>
      <c r="H1586" s="842"/>
      <c r="J1586" s="864"/>
      <c r="K1586" s="780"/>
      <c r="L1586" s="824"/>
    </row>
    <row r="1587" spans="1:12" x14ac:dyDescent="0.25">
      <c r="A1587" s="774"/>
      <c r="B1587" s="774"/>
      <c r="C1587" s="263" t="s">
        <v>10058</v>
      </c>
      <c r="D1587" s="263"/>
      <c r="E1587" s="813"/>
      <c r="F1587" s="875" t="s">
        <v>3</v>
      </c>
      <c r="G1587" s="876">
        <f>(0.008*3.14)*0.08*1.3</f>
        <v>2.6124799999999999E-3</v>
      </c>
      <c r="H1587" s="842"/>
      <c r="J1587" s="864"/>
      <c r="K1587" s="780"/>
      <c r="L1587" s="824"/>
    </row>
    <row r="1588" spans="1:12" ht="17.25" x14ac:dyDescent="0.25">
      <c r="A1588" s="774"/>
      <c r="B1588" s="774"/>
      <c r="C1588" s="263" t="s">
        <v>121</v>
      </c>
      <c r="D1588" s="263"/>
      <c r="E1588" s="813"/>
      <c r="F1588" s="875" t="s">
        <v>10568</v>
      </c>
      <c r="G1588" s="876">
        <f>G1587*1.1</f>
        <v>2.8737280000000003E-3</v>
      </c>
      <c r="H1588" s="842"/>
      <c r="J1588" s="864"/>
      <c r="K1588" s="780"/>
      <c r="L1588" s="824"/>
    </row>
    <row r="1589" spans="1:12" x14ac:dyDescent="0.25">
      <c r="A1589" s="774"/>
      <c r="B1589" s="774"/>
      <c r="C1589" s="813" t="s">
        <v>114</v>
      </c>
      <c r="D1589" s="813"/>
      <c r="E1589" s="813"/>
      <c r="F1589" s="873" t="s">
        <v>3</v>
      </c>
      <c r="G1589" s="871">
        <f>G1591*0.7</f>
        <v>9.9791999999999988E-3</v>
      </c>
      <c r="H1589" s="842"/>
      <c r="J1589" s="864"/>
      <c r="K1589" s="780"/>
      <c r="L1589" s="824"/>
    </row>
    <row r="1590" spans="1:12" x14ac:dyDescent="0.25">
      <c r="A1590" s="774"/>
      <c r="B1590" s="774"/>
      <c r="C1590" s="813" t="s">
        <v>164</v>
      </c>
      <c r="D1590" s="813"/>
      <c r="E1590" s="813"/>
      <c r="F1590" s="873" t="s">
        <v>3</v>
      </c>
      <c r="G1590" s="871">
        <f>0.3*G1589</f>
        <v>2.9937599999999994E-3</v>
      </c>
      <c r="H1590" s="842"/>
      <c r="J1590" s="864"/>
      <c r="K1590" s="780"/>
      <c r="L1590" s="824"/>
    </row>
    <row r="1591" spans="1:12" x14ac:dyDescent="0.25">
      <c r="A1591" s="774"/>
      <c r="B1591" s="774"/>
      <c r="C1591" s="813" t="s">
        <v>442</v>
      </c>
      <c r="D1591" s="813"/>
      <c r="E1591" s="813"/>
      <c r="F1591" s="873" t="s">
        <v>3</v>
      </c>
      <c r="G1591" s="871">
        <f>J1594*0.011*2*1.2</f>
        <v>1.4256E-2</v>
      </c>
      <c r="H1591" s="842"/>
      <c r="J1591" s="864"/>
      <c r="K1591" s="780"/>
      <c r="L1591" s="824"/>
    </row>
    <row r="1592" spans="1:12" x14ac:dyDescent="0.25">
      <c r="A1592" s="774"/>
      <c r="B1592" s="774"/>
      <c r="C1592" s="813" t="s">
        <v>12</v>
      </c>
      <c r="D1592" s="813"/>
      <c r="E1592" s="813"/>
      <c r="F1592" s="873" t="s">
        <v>3</v>
      </c>
      <c r="G1592" s="871">
        <f>0.3*G1591</f>
        <v>4.2767999999999999E-3</v>
      </c>
      <c r="H1592" s="842"/>
      <c r="J1592" s="864"/>
      <c r="K1592" s="780"/>
      <c r="L1592" s="824"/>
    </row>
    <row r="1593" spans="1:12" x14ac:dyDescent="0.25">
      <c r="A1593" s="774"/>
      <c r="B1593" s="774"/>
      <c r="C1593" s="814"/>
      <c r="D1593" s="814" t="s">
        <v>10145</v>
      </c>
      <c r="E1593" s="813"/>
      <c r="F1593" s="873"/>
      <c r="G1593" s="871"/>
      <c r="H1593" s="842"/>
      <c r="J1593" s="864"/>
      <c r="K1593" s="780"/>
      <c r="L1593" s="824"/>
    </row>
    <row r="1594" spans="1:12" x14ac:dyDescent="0.25">
      <c r="A1594" s="774"/>
      <c r="B1594" s="774"/>
      <c r="C1594" s="814"/>
      <c r="D1594" s="813" t="s">
        <v>9695</v>
      </c>
      <c r="E1594" s="813"/>
      <c r="F1594" s="873" t="s">
        <v>3</v>
      </c>
      <c r="G1594" s="871">
        <f>0.173*L1594</f>
        <v>0.10033999999999998</v>
      </c>
      <c r="H1594" s="842"/>
      <c r="I1594" s="874" t="s">
        <v>10567</v>
      </c>
      <c r="J1594" s="864">
        <v>0.54</v>
      </c>
      <c r="K1594" s="874" t="s">
        <v>10150</v>
      </c>
      <c r="L1594" s="824">
        <v>0.57999999999999996</v>
      </c>
    </row>
    <row r="1595" spans="1:12" x14ac:dyDescent="0.25">
      <c r="A1595" s="774"/>
      <c r="B1595" s="774"/>
      <c r="C1595" s="814"/>
      <c r="D1595" s="813"/>
      <c r="E1595" s="813"/>
      <c r="F1595" s="873"/>
      <c r="G1595" s="871"/>
      <c r="H1595" s="842"/>
      <c r="J1595" s="864"/>
      <c r="K1595" s="780"/>
      <c r="L1595" s="824"/>
    </row>
    <row r="1596" spans="1:12" x14ac:dyDescent="0.25">
      <c r="A1596" s="774"/>
      <c r="B1596" s="774" t="s">
        <v>1565</v>
      </c>
      <c r="C1596" s="814" t="s">
        <v>10147</v>
      </c>
      <c r="D1596" s="813"/>
      <c r="E1596" s="813"/>
      <c r="F1596" s="873"/>
      <c r="G1596" s="871"/>
      <c r="H1596" s="842"/>
      <c r="J1596" s="864"/>
      <c r="K1596" s="780"/>
      <c r="L1596" s="824"/>
    </row>
    <row r="1597" spans="1:12" x14ac:dyDescent="0.25">
      <c r="A1597" s="774"/>
      <c r="B1597" s="774"/>
      <c r="C1597" s="813" t="s">
        <v>114</v>
      </c>
      <c r="D1597" s="813"/>
      <c r="E1597" s="813"/>
      <c r="F1597" s="873" t="s">
        <v>3</v>
      </c>
      <c r="G1597" s="871">
        <f>G1599*0.7</f>
        <v>2.0019999999999999E-3</v>
      </c>
      <c r="H1597" s="842"/>
      <c r="J1597" s="864"/>
      <c r="K1597" s="780"/>
      <c r="L1597" s="824"/>
    </row>
    <row r="1598" spans="1:12" x14ac:dyDescent="0.25">
      <c r="A1598" s="774"/>
      <c r="B1598" s="774"/>
      <c r="C1598" s="813" t="s">
        <v>164</v>
      </c>
      <c r="D1598" s="813"/>
      <c r="E1598" s="813"/>
      <c r="F1598" s="873" t="s">
        <v>3</v>
      </c>
      <c r="G1598" s="871">
        <f>0.3*G1597</f>
        <v>6.0059999999999996E-4</v>
      </c>
      <c r="H1598" s="842"/>
      <c r="J1598" s="864"/>
      <c r="K1598" s="780"/>
      <c r="L1598" s="824"/>
    </row>
    <row r="1599" spans="1:12" x14ac:dyDescent="0.25">
      <c r="A1599" s="774"/>
      <c r="B1599" s="774"/>
      <c r="C1599" s="813" t="s">
        <v>442</v>
      </c>
      <c r="D1599" s="813"/>
      <c r="E1599" s="813"/>
      <c r="F1599" s="873" t="s">
        <v>3</v>
      </c>
      <c r="G1599" s="871">
        <f>0.1*0.011*2*1.3</f>
        <v>2.8600000000000001E-3</v>
      </c>
      <c r="H1599" s="842"/>
      <c r="J1599" s="864"/>
      <c r="K1599" s="780"/>
      <c r="L1599" s="824"/>
    </row>
    <row r="1600" spans="1:12" x14ac:dyDescent="0.25">
      <c r="A1600" s="774"/>
      <c r="B1600" s="774"/>
      <c r="C1600" s="813" t="s">
        <v>12</v>
      </c>
      <c r="D1600" s="813"/>
      <c r="E1600" s="813"/>
      <c r="F1600" s="873" t="s">
        <v>3</v>
      </c>
      <c r="G1600" s="871">
        <f>0.3*G1599</f>
        <v>8.5800000000000004E-4</v>
      </c>
      <c r="H1600" s="842"/>
      <c r="J1600" s="864"/>
      <c r="K1600" s="780"/>
      <c r="L1600" s="824"/>
    </row>
    <row r="1601" spans="1:13" x14ac:dyDescent="0.25">
      <c r="A1601" s="774"/>
      <c r="B1601" s="774"/>
      <c r="C1601" s="814"/>
      <c r="D1601" s="814" t="s">
        <v>10148</v>
      </c>
      <c r="E1601" s="813"/>
      <c r="F1601" s="873"/>
      <c r="G1601" s="871"/>
      <c r="H1601" s="842"/>
      <c r="K1601" s="780"/>
      <c r="L1601" s="824"/>
    </row>
    <row r="1602" spans="1:13" x14ac:dyDescent="0.25">
      <c r="A1602" s="774"/>
      <c r="B1602" s="774"/>
      <c r="C1602" s="814"/>
      <c r="D1602" s="813" t="s">
        <v>9695</v>
      </c>
      <c r="E1602" s="813"/>
      <c r="F1602" s="873" t="s">
        <v>3</v>
      </c>
      <c r="G1602" s="871">
        <f>0.173*0.12</f>
        <v>2.0759999999999997E-2</v>
      </c>
      <c r="H1602" s="842"/>
      <c r="I1602" s="874" t="s">
        <v>10567</v>
      </c>
      <c r="J1602" s="864">
        <v>0.1</v>
      </c>
      <c r="K1602" s="874" t="s">
        <v>10150</v>
      </c>
      <c r="L1602" s="824">
        <v>0.2</v>
      </c>
    </row>
    <row r="1603" spans="1:13" x14ac:dyDescent="0.25">
      <c r="A1603" s="774"/>
      <c r="B1603" s="774"/>
      <c r="C1603" s="814"/>
      <c r="D1603" s="813"/>
      <c r="E1603" s="813"/>
      <c r="F1603" s="873"/>
      <c r="G1603" s="871"/>
      <c r="H1603" s="842"/>
      <c r="J1603" s="864"/>
      <c r="K1603" s="780"/>
      <c r="L1603" s="824"/>
    </row>
    <row r="1604" spans="1:13" x14ac:dyDescent="0.25">
      <c r="A1604" s="774"/>
      <c r="B1604" s="774">
        <v>109</v>
      </c>
      <c r="C1604" s="814" t="s">
        <v>10146</v>
      </c>
      <c r="D1604" s="813"/>
      <c r="E1604" s="813"/>
      <c r="F1604" s="873" t="s">
        <v>10380</v>
      </c>
      <c r="G1604" s="871"/>
      <c r="H1604" s="842"/>
      <c r="I1604" s="780" t="s">
        <v>10378</v>
      </c>
      <c r="K1604" s="780"/>
      <c r="L1604" s="824"/>
    </row>
    <row r="1605" spans="1:13" x14ac:dyDescent="0.25">
      <c r="A1605" s="774"/>
      <c r="B1605" s="774"/>
      <c r="C1605" s="813" t="s">
        <v>10155</v>
      </c>
      <c r="D1605" s="813"/>
      <c r="E1605" s="813"/>
      <c r="F1605" s="873" t="s">
        <v>3</v>
      </c>
      <c r="G1605" s="871">
        <f>0.271*L1605</f>
        <v>0.35230000000000006</v>
      </c>
      <c r="H1605" s="842"/>
      <c r="I1605" s="874" t="s">
        <v>10567</v>
      </c>
      <c r="J1605" s="864">
        <f>0.54+0.65</f>
        <v>1.19</v>
      </c>
      <c r="K1605" s="874" t="s">
        <v>10150</v>
      </c>
      <c r="L1605" s="824">
        <v>1.3</v>
      </c>
      <c r="M1605" s="746" t="s">
        <v>10372</v>
      </c>
    </row>
    <row r="1606" spans="1:13" x14ac:dyDescent="0.25">
      <c r="A1606" s="774"/>
      <c r="B1606" s="774"/>
      <c r="C1606" s="813" t="s">
        <v>114</v>
      </c>
      <c r="D1606" s="813"/>
      <c r="E1606" s="813"/>
      <c r="F1606" s="873" t="s">
        <v>3</v>
      </c>
      <c r="G1606" s="871">
        <f>G1608*0.7</f>
        <v>2.3823799999999999E-2</v>
      </c>
      <c r="H1606" s="842"/>
      <c r="J1606" s="864">
        <v>0.53</v>
      </c>
      <c r="K1606" s="874"/>
      <c r="L1606" s="824">
        <v>0.6</v>
      </c>
      <c r="M1606" s="746" t="s">
        <v>10379</v>
      </c>
    </row>
    <row r="1607" spans="1:13" x14ac:dyDescent="0.25">
      <c r="A1607" s="774"/>
      <c r="B1607" s="774"/>
      <c r="C1607" s="813" t="s">
        <v>164</v>
      </c>
      <c r="D1607" s="813"/>
      <c r="E1607" s="813"/>
      <c r="F1607" s="873" t="s">
        <v>3</v>
      </c>
      <c r="G1607" s="871">
        <f>0.3*G1606</f>
        <v>7.1471399999999997E-3</v>
      </c>
      <c r="H1607" s="842"/>
      <c r="J1607" s="864"/>
      <c r="K1607" s="780"/>
      <c r="L1607" s="824"/>
    </row>
    <row r="1608" spans="1:13" x14ac:dyDescent="0.25">
      <c r="A1608" s="774"/>
      <c r="B1608" s="774"/>
      <c r="C1608" s="813" t="s">
        <v>442</v>
      </c>
      <c r="D1608" s="813"/>
      <c r="E1608" s="813"/>
      <c r="F1608" s="873" t="s">
        <v>3</v>
      </c>
      <c r="G1608" s="871">
        <f>J1605*0.011*2*1.3</f>
        <v>3.4034000000000002E-2</v>
      </c>
      <c r="H1608" s="842"/>
      <c r="J1608" s="864"/>
      <c r="K1608" s="780"/>
      <c r="L1608" s="824"/>
    </row>
    <row r="1609" spans="1:13" x14ac:dyDescent="0.25">
      <c r="A1609" s="774"/>
      <c r="B1609" s="774"/>
      <c r="C1609" s="813" t="s">
        <v>12</v>
      </c>
      <c r="D1609" s="813"/>
      <c r="E1609" s="813"/>
      <c r="F1609" s="873" t="s">
        <v>3</v>
      </c>
      <c r="G1609" s="871">
        <f>0.3*G1608</f>
        <v>1.0210200000000001E-2</v>
      </c>
      <c r="H1609" s="842"/>
      <c r="J1609" s="864"/>
      <c r="K1609" s="780"/>
      <c r="L1609" s="824"/>
    </row>
    <row r="1610" spans="1:13" x14ac:dyDescent="0.25">
      <c r="A1610" s="774"/>
      <c r="B1610" s="774"/>
      <c r="C1610" s="813"/>
      <c r="D1610" s="813"/>
      <c r="E1610" s="813"/>
      <c r="F1610" s="873"/>
      <c r="G1610" s="871"/>
      <c r="H1610" s="842"/>
      <c r="J1610" s="864"/>
      <c r="K1610" s="780"/>
      <c r="L1610" s="824"/>
    </row>
    <row r="1611" spans="1:13" x14ac:dyDescent="0.25">
      <c r="A1611" s="774"/>
      <c r="B1611" s="774"/>
      <c r="C1611" s="773" t="s">
        <v>10126</v>
      </c>
      <c r="D1611" s="774"/>
      <c r="E1611" s="774"/>
      <c r="F1611" s="868"/>
      <c r="G1611" s="877"/>
      <c r="H1611" s="842"/>
      <c r="J1611" s="864"/>
      <c r="K1611" s="780"/>
      <c r="L1611" s="824"/>
    </row>
    <row r="1612" spans="1:13" x14ac:dyDescent="0.25">
      <c r="A1612" s="774"/>
      <c r="B1612" s="774"/>
      <c r="C1612" s="263" t="s">
        <v>10058</v>
      </c>
      <c r="D1612" s="263"/>
      <c r="E1612" s="813"/>
      <c r="F1612" s="875" t="s">
        <v>3</v>
      </c>
      <c r="G1612" s="876">
        <f>(0.012*3.14*4)*0.08*1.3</f>
        <v>1.5674880000000002E-2</v>
      </c>
      <c r="H1612" s="842"/>
      <c r="J1612" s="864"/>
      <c r="K1612" s="780"/>
      <c r="L1612" s="824"/>
    </row>
    <row r="1613" spans="1:13" ht="17.25" x14ac:dyDescent="0.25">
      <c r="A1613" s="774"/>
      <c r="B1613" s="774"/>
      <c r="C1613" s="263" t="s">
        <v>121</v>
      </c>
      <c r="D1613" s="263"/>
      <c r="E1613" s="813"/>
      <c r="F1613" s="875" t="s">
        <v>10568</v>
      </c>
      <c r="G1613" s="876">
        <f>G1612*1.1</f>
        <v>1.7242368000000004E-2</v>
      </c>
      <c r="H1613" s="842"/>
      <c r="J1613" s="864"/>
      <c r="K1613" s="780"/>
      <c r="L1613" s="824"/>
    </row>
    <row r="1614" spans="1:13" x14ac:dyDescent="0.25">
      <c r="A1614" s="774"/>
      <c r="B1614" s="774"/>
      <c r="C1614" s="773"/>
      <c r="D1614" s="773" t="s">
        <v>10127</v>
      </c>
      <c r="E1614" s="774"/>
      <c r="F1614" s="868"/>
      <c r="G1614" s="871"/>
      <c r="H1614" s="842"/>
      <c r="K1614" s="780"/>
      <c r="L1614" s="824"/>
    </row>
    <row r="1615" spans="1:13" x14ac:dyDescent="0.25">
      <c r="A1615" s="774"/>
      <c r="B1615" s="774"/>
      <c r="C1615" s="773"/>
      <c r="D1615" s="774" t="s">
        <v>6587</v>
      </c>
      <c r="E1615" s="774"/>
      <c r="F1615" s="868" t="s">
        <v>3</v>
      </c>
      <c r="G1615" s="871">
        <f>0.271*0.045</f>
        <v>1.2195000000000001E-2</v>
      </c>
      <c r="H1615" s="842"/>
      <c r="I1615" s="874" t="s">
        <v>10567</v>
      </c>
      <c r="J1615" s="864">
        <v>3.5000000000000003E-2</v>
      </c>
      <c r="K1615" s="874" t="s">
        <v>10150</v>
      </c>
      <c r="L1615" s="824">
        <v>4.4999999999999998E-2</v>
      </c>
    </row>
    <row r="1616" spans="1:13" x14ac:dyDescent="0.25">
      <c r="A1616" s="774"/>
      <c r="B1616" s="774"/>
      <c r="C1616" s="773"/>
      <c r="D1616" s="773" t="s">
        <v>10128</v>
      </c>
      <c r="E1616" s="774"/>
      <c r="F1616" s="868"/>
      <c r="G1616" s="871"/>
      <c r="H1616" s="842"/>
      <c r="J1616" s="864"/>
      <c r="K1616" s="780"/>
      <c r="L1616" s="824"/>
    </row>
    <row r="1617" spans="1:12" x14ac:dyDescent="0.25">
      <c r="A1617" s="774"/>
      <c r="B1617" s="774"/>
      <c r="C1617" s="773"/>
      <c r="D1617" s="774" t="s">
        <v>6587</v>
      </c>
      <c r="E1617" s="774"/>
      <c r="F1617" s="868" t="s">
        <v>3</v>
      </c>
      <c r="G1617" s="871">
        <f>0.271*0.04</f>
        <v>1.0840000000000001E-2</v>
      </c>
      <c r="H1617" s="842"/>
      <c r="I1617" s="874" t="s">
        <v>10567</v>
      </c>
      <c r="J1617" s="864">
        <v>0.03</v>
      </c>
      <c r="K1617" s="874" t="s">
        <v>10150</v>
      </c>
      <c r="L1617" s="824">
        <v>0.04</v>
      </c>
    </row>
    <row r="1618" spans="1:12" x14ac:dyDescent="0.25">
      <c r="A1618" s="774"/>
      <c r="B1618" s="774"/>
      <c r="C1618" s="773"/>
      <c r="D1618" s="774"/>
      <c r="E1618" s="774"/>
      <c r="F1618" s="868"/>
      <c r="G1618" s="871"/>
      <c r="H1618" s="842"/>
      <c r="J1618" s="864"/>
      <c r="K1618" s="780"/>
      <c r="L1618" s="824"/>
    </row>
    <row r="1619" spans="1:12" x14ac:dyDescent="0.25">
      <c r="A1619" s="774"/>
      <c r="B1619" s="774"/>
      <c r="C1619" s="773" t="s">
        <v>10151</v>
      </c>
      <c r="D1619" s="774"/>
      <c r="E1619" s="774"/>
      <c r="F1619" s="868"/>
      <c r="G1619" s="871"/>
      <c r="H1619" s="842"/>
      <c r="J1619" s="864"/>
      <c r="K1619" s="780"/>
      <c r="L1619" s="824"/>
    </row>
    <row r="1620" spans="1:12" x14ac:dyDescent="0.25">
      <c r="A1620" s="774"/>
      <c r="B1620" s="774"/>
      <c r="C1620" s="774" t="s">
        <v>9749</v>
      </c>
      <c r="D1620" s="774"/>
      <c r="E1620" s="774"/>
      <c r="F1620" s="868" t="s">
        <v>3</v>
      </c>
      <c r="G1620" s="871">
        <f>0.305*0.145*2*8*1.12+0.007</f>
        <v>0.799512</v>
      </c>
      <c r="H1620" s="842"/>
      <c r="J1620" s="864"/>
      <c r="K1620" s="780"/>
      <c r="L1620" s="824"/>
    </row>
    <row r="1621" spans="1:12" x14ac:dyDescent="0.25">
      <c r="A1621" s="774"/>
      <c r="B1621" s="774"/>
      <c r="C1621" s="263" t="s">
        <v>39</v>
      </c>
      <c r="D1621" s="398"/>
      <c r="E1621" s="774"/>
      <c r="F1621" s="878" t="s">
        <v>3</v>
      </c>
      <c r="G1621" s="876">
        <f>0.15*0.08*1.15</f>
        <v>1.38E-2</v>
      </c>
      <c r="H1621" s="842"/>
      <c r="J1621" s="864"/>
      <c r="K1621" s="780"/>
      <c r="L1621" s="824"/>
    </row>
    <row r="1622" spans="1:12" ht="17.25" x14ac:dyDescent="0.25">
      <c r="A1622" s="774"/>
      <c r="B1622" s="774"/>
      <c r="C1622" s="263" t="s">
        <v>1055</v>
      </c>
      <c r="D1622" s="398"/>
      <c r="E1622" s="774"/>
      <c r="F1622" s="878" t="s">
        <v>10568</v>
      </c>
      <c r="G1622" s="876">
        <f>1.1*G1621</f>
        <v>1.5180000000000001E-2</v>
      </c>
      <c r="H1622" s="842"/>
      <c r="J1622" s="864"/>
      <c r="K1622" s="780"/>
      <c r="L1622" s="824"/>
    </row>
    <row r="1623" spans="1:12" x14ac:dyDescent="0.25">
      <c r="A1623" s="774"/>
      <c r="B1623" s="774"/>
      <c r="C1623" s="774" t="s">
        <v>8</v>
      </c>
      <c r="D1623" s="774"/>
      <c r="E1623" s="774"/>
      <c r="F1623" s="868" t="s">
        <v>3</v>
      </c>
      <c r="G1623" s="871">
        <f>G1625*0.65</f>
        <v>2.0182499999999999E-2</v>
      </c>
      <c r="H1623" s="842"/>
      <c r="J1623" s="864"/>
      <c r="K1623" s="780"/>
      <c r="L1623" s="824"/>
    </row>
    <row r="1624" spans="1:12" x14ac:dyDescent="0.25">
      <c r="A1624" s="774"/>
      <c r="B1624" s="774"/>
      <c r="C1624" s="774" t="s">
        <v>12</v>
      </c>
      <c r="D1624" s="774"/>
      <c r="E1624" s="774"/>
      <c r="F1624" s="868" t="s">
        <v>3</v>
      </c>
      <c r="G1624" s="871">
        <f>0.3*G1623</f>
        <v>6.0547499999999994E-3</v>
      </c>
      <c r="H1624" s="842"/>
      <c r="J1624" s="864"/>
      <c r="K1624" s="780"/>
      <c r="L1624" s="824"/>
    </row>
    <row r="1625" spans="1:12" x14ac:dyDescent="0.25">
      <c r="A1625" s="774"/>
      <c r="B1625" s="774"/>
      <c r="C1625" s="774" t="s">
        <v>72</v>
      </c>
      <c r="D1625" s="774"/>
      <c r="E1625" s="774"/>
      <c r="F1625" s="868" t="s">
        <v>3</v>
      </c>
      <c r="G1625" s="871">
        <f>0.3*0.15*2*0.15*2*1.15</f>
        <v>3.1049999999999998E-2</v>
      </c>
      <c r="H1625" s="842"/>
      <c r="J1625" s="864"/>
      <c r="K1625" s="780"/>
      <c r="L1625" s="824"/>
    </row>
    <row r="1626" spans="1:12" x14ac:dyDescent="0.25">
      <c r="A1626" s="774"/>
      <c r="B1626" s="774"/>
      <c r="C1626" s="774" t="s">
        <v>11</v>
      </c>
      <c r="D1626" s="774"/>
      <c r="E1626" s="774"/>
      <c r="F1626" s="868" t="s">
        <v>3</v>
      </c>
      <c r="G1626" s="871">
        <f>0.3*G1625</f>
        <v>9.3149999999999986E-3</v>
      </c>
      <c r="H1626" s="842"/>
      <c r="J1626" s="864"/>
      <c r="K1626" s="780"/>
      <c r="L1626" s="824"/>
    </row>
    <row r="1627" spans="1:12" x14ac:dyDescent="0.25">
      <c r="A1627" s="774"/>
      <c r="B1627" s="774"/>
      <c r="C1627" s="774" t="s">
        <v>6576</v>
      </c>
      <c r="D1627" s="774"/>
      <c r="E1627" s="774"/>
      <c r="F1627" s="868" t="s">
        <v>3</v>
      </c>
      <c r="G1627" s="871">
        <v>0.02</v>
      </c>
      <c r="H1627" s="842"/>
      <c r="J1627" s="864"/>
      <c r="K1627" s="780"/>
      <c r="L1627" s="824"/>
    </row>
    <row r="1628" spans="1:12" x14ac:dyDescent="0.25">
      <c r="A1628" s="774"/>
      <c r="B1628" s="774"/>
      <c r="C1628" s="773"/>
      <c r="D1628" s="774"/>
      <c r="E1628" s="774"/>
      <c r="F1628" s="868"/>
      <c r="G1628" s="871"/>
      <c r="H1628" s="842"/>
      <c r="J1628" s="864"/>
      <c r="K1628" s="780"/>
      <c r="L1628" s="824"/>
    </row>
    <row r="1629" spans="1:12" x14ac:dyDescent="0.25">
      <c r="A1629" s="774"/>
      <c r="B1629" s="774"/>
      <c r="C1629" s="773" t="s">
        <v>10152</v>
      </c>
      <c r="D1629" s="774"/>
      <c r="E1629" s="774"/>
      <c r="F1629" s="868"/>
      <c r="G1629" s="871"/>
      <c r="H1629" s="842"/>
      <c r="J1629" s="864"/>
      <c r="K1629" s="780"/>
      <c r="L1629" s="824"/>
    </row>
    <row r="1630" spans="1:12" x14ac:dyDescent="0.25">
      <c r="A1630" s="774"/>
      <c r="B1630" s="774"/>
      <c r="C1630" s="774" t="s">
        <v>9749</v>
      </c>
      <c r="D1630" s="774"/>
      <c r="E1630" s="774"/>
      <c r="F1630" s="868" t="s">
        <v>3</v>
      </c>
      <c r="G1630" s="871">
        <f>0.68*0.145*2*8*1.12+0.003</f>
        <v>1.7699120000000002</v>
      </c>
      <c r="H1630" s="842"/>
      <c r="J1630" s="864"/>
      <c r="K1630" s="780"/>
      <c r="L1630" s="824"/>
    </row>
    <row r="1631" spans="1:12" x14ac:dyDescent="0.25">
      <c r="A1631" s="774"/>
      <c r="B1631" s="774"/>
      <c r="C1631" s="263" t="s">
        <v>39</v>
      </c>
      <c r="D1631" s="398"/>
      <c r="E1631" s="774"/>
      <c r="F1631" s="878" t="s">
        <v>3</v>
      </c>
      <c r="G1631" s="876">
        <f>0.15*0.08*1.15</f>
        <v>1.38E-2</v>
      </c>
      <c r="H1631" s="842"/>
      <c r="J1631" s="864"/>
      <c r="K1631" s="780"/>
      <c r="L1631" s="824"/>
    </row>
    <row r="1632" spans="1:12" ht="17.25" x14ac:dyDescent="0.25">
      <c r="A1632" s="774"/>
      <c r="B1632" s="774"/>
      <c r="C1632" s="263" t="s">
        <v>1055</v>
      </c>
      <c r="D1632" s="398"/>
      <c r="E1632" s="774"/>
      <c r="F1632" s="878" t="s">
        <v>10568</v>
      </c>
      <c r="G1632" s="876">
        <f>1.1*G1631</f>
        <v>1.5180000000000001E-2</v>
      </c>
      <c r="H1632" s="842"/>
      <c r="J1632" s="864"/>
      <c r="K1632" s="780"/>
      <c r="L1632" s="824"/>
    </row>
    <row r="1633" spans="1:12" x14ac:dyDescent="0.25">
      <c r="A1633" s="774"/>
      <c r="B1633" s="774"/>
      <c r="C1633" s="774" t="s">
        <v>8</v>
      </c>
      <c r="D1633" s="774"/>
      <c r="E1633" s="774"/>
      <c r="F1633" s="868" t="s">
        <v>3</v>
      </c>
      <c r="G1633" s="871">
        <f>G1635*0.65</f>
        <v>4.7092500000000002E-2</v>
      </c>
      <c r="H1633" s="842"/>
      <c r="J1633" s="864"/>
      <c r="K1633" s="780"/>
      <c r="L1633" s="824"/>
    </row>
    <row r="1634" spans="1:12" x14ac:dyDescent="0.25">
      <c r="A1634" s="774"/>
      <c r="B1634" s="774"/>
      <c r="C1634" s="774" t="s">
        <v>12</v>
      </c>
      <c r="D1634" s="774"/>
      <c r="E1634" s="774"/>
      <c r="F1634" s="868" t="s">
        <v>3</v>
      </c>
      <c r="G1634" s="871">
        <f>0.3*G1633</f>
        <v>1.412775E-2</v>
      </c>
      <c r="H1634" s="842"/>
      <c r="J1634" s="864"/>
      <c r="K1634" s="780"/>
      <c r="L1634" s="824"/>
    </row>
    <row r="1635" spans="1:12" x14ac:dyDescent="0.25">
      <c r="A1635" s="774"/>
      <c r="B1635" s="774"/>
      <c r="C1635" s="774" t="s">
        <v>72</v>
      </c>
      <c r="D1635" s="774"/>
      <c r="E1635" s="774"/>
      <c r="F1635" s="868" t="s">
        <v>3</v>
      </c>
      <c r="G1635" s="871">
        <f>0.7*0.15*2*0.15*2*1.15</f>
        <v>7.2450000000000001E-2</v>
      </c>
      <c r="H1635" s="842"/>
      <c r="J1635" s="864"/>
      <c r="K1635" s="780"/>
      <c r="L1635" s="824"/>
    </row>
    <row r="1636" spans="1:12" x14ac:dyDescent="0.25">
      <c r="A1636" s="774"/>
      <c r="B1636" s="774"/>
      <c r="C1636" s="774" t="s">
        <v>11</v>
      </c>
      <c r="D1636" s="774"/>
      <c r="E1636" s="774"/>
      <c r="F1636" s="868" t="s">
        <v>3</v>
      </c>
      <c r="G1636" s="871">
        <f>0.3*G1635</f>
        <v>2.1735000000000001E-2</v>
      </c>
      <c r="H1636" s="842"/>
      <c r="J1636" s="864"/>
      <c r="K1636" s="780"/>
      <c r="L1636" s="824"/>
    </row>
    <row r="1637" spans="1:12" x14ac:dyDescent="0.25">
      <c r="A1637" s="774"/>
      <c r="B1637" s="774"/>
      <c r="C1637" s="774" t="s">
        <v>6576</v>
      </c>
      <c r="D1637" s="774"/>
      <c r="E1637" s="774"/>
      <c r="F1637" s="868" t="s">
        <v>3</v>
      </c>
      <c r="G1637" s="871">
        <v>0.05</v>
      </c>
      <c r="H1637" s="842"/>
      <c r="J1637" s="864"/>
      <c r="K1637" s="780"/>
      <c r="L1637" s="824"/>
    </row>
    <row r="1638" spans="1:12" x14ac:dyDescent="0.25">
      <c r="A1638" s="774"/>
      <c r="B1638" s="774"/>
      <c r="C1638" s="773"/>
      <c r="D1638" s="774"/>
      <c r="E1638" s="774"/>
      <c r="F1638" s="868"/>
      <c r="G1638" s="871"/>
      <c r="H1638" s="842"/>
      <c r="J1638" s="864"/>
      <c r="K1638" s="780"/>
      <c r="L1638" s="824"/>
    </row>
    <row r="1639" spans="1:12" x14ac:dyDescent="0.25">
      <c r="A1639" s="774"/>
      <c r="B1639" s="774"/>
      <c r="C1639" s="773" t="s">
        <v>10153</v>
      </c>
      <c r="D1639" s="774"/>
      <c r="E1639" s="774"/>
      <c r="F1639" s="868"/>
      <c r="G1639" s="871"/>
      <c r="H1639" s="842"/>
      <c r="J1639" s="864"/>
      <c r="K1639" s="780"/>
      <c r="L1639" s="824"/>
    </row>
    <row r="1640" spans="1:12" x14ac:dyDescent="0.25">
      <c r="A1640" s="774"/>
      <c r="B1640" s="774"/>
      <c r="C1640" s="774" t="s">
        <v>9749</v>
      </c>
      <c r="D1640" s="774"/>
      <c r="E1640" s="774"/>
      <c r="F1640" s="868" t="s">
        <v>3</v>
      </c>
      <c r="G1640" s="871">
        <f>0.615*0.18*2*8*1.12+0.006</f>
        <v>1.989744</v>
      </c>
      <c r="H1640" s="842"/>
      <c r="J1640" s="864"/>
      <c r="K1640" s="780"/>
      <c r="L1640" s="824"/>
    </row>
    <row r="1641" spans="1:12" x14ac:dyDescent="0.25">
      <c r="A1641" s="774"/>
      <c r="B1641" s="774"/>
      <c r="C1641" s="263" t="s">
        <v>39</v>
      </c>
      <c r="D1641" s="398"/>
      <c r="E1641" s="774"/>
      <c r="F1641" s="878" t="s">
        <v>3</v>
      </c>
      <c r="G1641" s="876">
        <f>0.35*0.08*1.15</f>
        <v>3.2199999999999993E-2</v>
      </c>
      <c r="H1641" s="842"/>
      <c r="J1641" s="864"/>
      <c r="K1641" s="780"/>
      <c r="L1641" s="824"/>
    </row>
    <row r="1642" spans="1:12" ht="17.25" x14ac:dyDescent="0.25">
      <c r="A1642" s="774"/>
      <c r="B1642" s="774"/>
      <c r="C1642" s="263" t="s">
        <v>1055</v>
      </c>
      <c r="D1642" s="398"/>
      <c r="E1642" s="774"/>
      <c r="F1642" s="878" t="s">
        <v>10568</v>
      </c>
      <c r="G1642" s="876">
        <f>1.1*G1641</f>
        <v>3.5419999999999993E-2</v>
      </c>
      <c r="H1642" s="842"/>
      <c r="J1642" s="864"/>
      <c r="K1642" s="780"/>
      <c r="L1642" s="824"/>
    </row>
    <row r="1643" spans="1:12" x14ac:dyDescent="0.25">
      <c r="A1643" s="774"/>
      <c r="B1643" s="774"/>
      <c r="C1643" s="774" t="s">
        <v>8</v>
      </c>
      <c r="D1643" s="774"/>
      <c r="E1643" s="774"/>
      <c r="F1643" s="868" t="s">
        <v>3</v>
      </c>
      <c r="G1643" s="871">
        <f>G1645*0.65</f>
        <v>4.9648949999999997E-2</v>
      </c>
      <c r="H1643" s="842"/>
      <c r="J1643" s="864"/>
      <c r="K1643" s="780"/>
      <c r="L1643" s="824"/>
    </row>
    <row r="1644" spans="1:12" x14ac:dyDescent="0.25">
      <c r="A1644" s="774"/>
      <c r="B1644" s="774"/>
      <c r="C1644" s="774" t="s">
        <v>12</v>
      </c>
      <c r="D1644" s="774"/>
      <c r="E1644" s="774"/>
      <c r="F1644" s="868" t="s">
        <v>3</v>
      </c>
      <c r="G1644" s="871">
        <f>0.3*G1643</f>
        <v>1.4894684999999998E-2</v>
      </c>
      <c r="H1644" s="842"/>
      <c r="J1644" s="864"/>
      <c r="K1644" s="780"/>
      <c r="L1644" s="824"/>
    </row>
    <row r="1645" spans="1:12" x14ac:dyDescent="0.25">
      <c r="A1645" s="774"/>
      <c r="B1645" s="774"/>
      <c r="C1645" s="774" t="s">
        <v>72</v>
      </c>
      <c r="D1645" s="774"/>
      <c r="E1645" s="774"/>
      <c r="F1645" s="868" t="s">
        <v>3</v>
      </c>
      <c r="G1645" s="871">
        <f>0.615*0.18*2*0.15*2*1.15</f>
        <v>7.6382999999999993E-2</v>
      </c>
      <c r="H1645" s="842"/>
      <c r="J1645" s="864"/>
      <c r="K1645" s="780"/>
      <c r="L1645" s="824"/>
    </row>
    <row r="1646" spans="1:12" x14ac:dyDescent="0.25">
      <c r="A1646" s="774"/>
      <c r="B1646" s="774"/>
      <c r="C1646" s="774" t="s">
        <v>11</v>
      </c>
      <c r="D1646" s="774"/>
      <c r="E1646" s="774"/>
      <c r="F1646" s="868" t="s">
        <v>3</v>
      </c>
      <c r="G1646" s="871">
        <f>0.3*G1645</f>
        <v>2.2914899999999998E-2</v>
      </c>
      <c r="H1646" s="842"/>
      <c r="J1646" s="864"/>
      <c r="K1646" s="780"/>
      <c r="L1646" s="824"/>
    </row>
    <row r="1647" spans="1:12" x14ac:dyDescent="0.25">
      <c r="A1647" s="774"/>
      <c r="B1647" s="774"/>
      <c r="C1647" s="774" t="s">
        <v>6576</v>
      </c>
      <c r="D1647" s="774"/>
      <c r="E1647" s="774"/>
      <c r="F1647" s="868" t="s">
        <v>3</v>
      </c>
      <c r="G1647" s="871">
        <v>0.05</v>
      </c>
      <c r="H1647" s="842"/>
      <c r="J1647" s="864"/>
      <c r="K1647" s="780"/>
      <c r="L1647" s="824"/>
    </row>
    <row r="1648" spans="1:12" x14ac:dyDescent="0.25">
      <c r="A1648" s="774"/>
      <c r="B1648" s="774"/>
      <c r="C1648" s="773"/>
      <c r="D1648" s="774"/>
      <c r="E1648" s="774"/>
      <c r="F1648" s="868" t="s">
        <v>3</v>
      </c>
      <c r="G1648" s="871"/>
      <c r="H1648" s="842"/>
      <c r="J1648" s="864"/>
      <c r="K1648" s="780"/>
      <c r="L1648" s="824"/>
    </row>
    <row r="1649" spans="1:12" x14ac:dyDescent="0.25">
      <c r="A1649" s="774"/>
      <c r="B1649" s="774"/>
      <c r="C1649" s="773" t="s">
        <v>10154</v>
      </c>
      <c r="D1649" s="774"/>
      <c r="E1649" s="774"/>
      <c r="F1649" s="868"/>
      <c r="G1649" s="877"/>
      <c r="H1649" s="842"/>
      <c r="J1649" s="864"/>
      <c r="K1649" s="780"/>
      <c r="L1649" s="824"/>
    </row>
    <row r="1650" spans="1:12" x14ac:dyDescent="0.25">
      <c r="A1650" s="774"/>
      <c r="B1650" s="774"/>
      <c r="C1650" s="774" t="s">
        <v>9749</v>
      </c>
      <c r="D1650" s="774"/>
      <c r="E1650" s="774"/>
      <c r="F1650" s="868" t="s">
        <v>3</v>
      </c>
      <c r="G1650" s="871"/>
      <c r="H1650" s="842"/>
      <c r="J1650" s="864"/>
      <c r="K1650" s="780"/>
      <c r="L1650" s="824"/>
    </row>
    <row r="1651" spans="1:12" x14ac:dyDescent="0.25">
      <c r="A1651" s="774"/>
      <c r="B1651" s="774"/>
      <c r="C1651" s="263" t="s">
        <v>39</v>
      </c>
      <c r="D1651" s="398"/>
      <c r="E1651" s="774"/>
      <c r="F1651" s="878" t="s">
        <v>3</v>
      </c>
      <c r="G1651" s="876"/>
      <c r="H1651" s="842"/>
      <c r="J1651" s="864"/>
      <c r="K1651" s="780"/>
      <c r="L1651" s="824"/>
    </row>
    <row r="1652" spans="1:12" ht="17.25" x14ac:dyDescent="0.25">
      <c r="A1652" s="774"/>
      <c r="B1652" s="774"/>
      <c r="C1652" s="263" t="s">
        <v>1055</v>
      </c>
      <c r="D1652" s="398"/>
      <c r="E1652" s="774"/>
      <c r="F1652" s="878" t="s">
        <v>10568</v>
      </c>
      <c r="G1652" s="876"/>
      <c r="H1652" s="842"/>
      <c r="J1652" s="864"/>
      <c r="K1652" s="780"/>
      <c r="L1652" s="824"/>
    </row>
    <row r="1653" spans="1:12" x14ac:dyDescent="0.25">
      <c r="A1653" s="774"/>
      <c r="B1653" s="774"/>
      <c r="C1653" s="774" t="s">
        <v>8</v>
      </c>
      <c r="D1653" s="774"/>
      <c r="E1653" s="774"/>
      <c r="F1653" s="868" t="s">
        <v>3</v>
      </c>
      <c r="G1653" s="871"/>
      <c r="H1653" s="842"/>
      <c r="J1653" s="864"/>
      <c r="K1653" s="780"/>
      <c r="L1653" s="824"/>
    </row>
    <row r="1654" spans="1:12" x14ac:dyDescent="0.25">
      <c r="A1654" s="774"/>
      <c r="B1654" s="774"/>
      <c r="C1654" s="774" t="s">
        <v>12</v>
      </c>
      <c r="D1654" s="774"/>
      <c r="E1654" s="774"/>
      <c r="F1654" s="868" t="s">
        <v>3</v>
      </c>
      <c r="G1654" s="871"/>
      <c r="H1654" s="842"/>
      <c r="J1654" s="864"/>
      <c r="K1654" s="780"/>
      <c r="L1654" s="824"/>
    </row>
    <row r="1655" spans="1:12" x14ac:dyDescent="0.25">
      <c r="A1655" s="774"/>
      <c r="B1655" s="774"/>
      <c r="C1655" s="774" t="s">
        <v>72</v>
      </c>
      <c r="D1655" s="774"/>
      <c r="E1655" s="774"/>
      <c r="F1655" s="868" t="s">
        <v>3</v>
      </c>
      <c r="G1655" s="871"/>
      <c r="H1655" s="842"/>
      <c r="J1655" s="864"/>
      <c r="K1655" s="780"/>
      <c r="L1655" s="824"/>
    </row>
    <row r="1656" spans="1:12" x14ac:dyDescent="0.25">
      <c r="A1656" s="774"/>
      <c r="B1656" s="774"/>
      <c r="C1656" s="774" t="s">
        <v>11</v>
      </c>
      <c r="D1656" s="774"/>
      <c r="E1656" s="774"/>
      <c r="F1656" s="868" t="s">
        <v>3</v>
      </c>
      <c r="G1656" s="871"/>
      <c r="H1656" s="842"/>
      <c r="J1656" s="864"/>
      <c r="K1656" s="780"/>
      <c r="L1656" s="824"/>
    </row>
    <row r="1657" spans="1:12" x14ac:dyDescent="0.25">
      <c r="A1657" s="879"/>
      <c r="B1657" s="879"/>
      <c r="C1657" s="879" t="s">
        <v>6576</v>
      </c>
      <c r="D1657" s="879"/>
      <c r="E1657" s="879"/>
      <c r="F1657" s="880" t="s">
        <v>3</v>
      </c>
      <c r="G1657" s="881"/>
      <c r="H1657" s="847"/>
      <c r="J1657" s="864"/>
      <c r="K1657" s="780"/>
      <c r="L1657" s="824"/>
    </row>
    <row r="1658" spans="1:12" s="843" customFormat="1" x14ac:dyDescent="0.25">
      <c r="A1658" s="882"/>
      <c r="B1658" s="844"/>
      <c r="F1658" s="855"/>
      <c r="G1658" s="852"/>
      <c r="H1658" s="848" t="s">
        <v>10416</v>
      </c>
      <c r="I1658" s="883"/>
      <c r="J1658" s="882"/>
      <c r="K1658" s="884"/>
    </row>
    <row r="1659" spans="1:12" s="843" customFormat="1" ht="18.75" x14ac:dyDescent="0.3">
      <c r="A1659" s="882"/>
      <c r="B1659" s="844"/>
      <c r="E1659" s="740" t="s">
        <v>10439</v>
      </c>
      <c r="F1659" s="855"/>
      <c r="G1659" s="852"/>
      <c r="H1659" s="885"/>
      <c r="I1659" s="883"/>
      <c r="J1659" s="882"/>
      <c r="K1659" s="884"/>
    </row>
    <row r="1660" spans="1:12" s="843" customFormat="1" x14ac:dyDescent="0.25">
      <c r="A1660" s="882"/>
      <c r="B1660" s="844"/>
      <c r="F1660" s="855"/>
      <c r="G1660" s="852"/>
      <c r="H1660" s="885"/>
      <c r="I1660" s="883"/>
      <c r="J1660" s="882"/>
      <c r="K1660" s="884"/>
    </row>
    <row r="1661" spans="1:12" s="843" customFormat="1" x14ac:dyDescent="0.25">
      <c r="A1661" s="882"/>
      <c r="B1661" s="844"/>
      <c r="C1661" s="78" t="s">
        <v>10433</v>
      </c>
      <c r="F1661" s="855"/>
      <c r="G1661" s="852"/>
      <c r="H1661" s="885"/>
      <c r="I1661" s="883"/>
      <c r="J1661" s="882"/>
      <c r="K1661" s="884"/>
    </row>
    <row r="1662" spans="1:12" s="843" customFormat="1" x14ac:dyDescent="0.25">
      <c r="A1662" s="882"/>
      <c r="B1662" s="844"/>
      <c r="C1662" s="843" t="s">
        <v>9845</v>
      </c>
      <c r="F1662" s="855" t="s">
        <v>3</v>
      </c>
      <c r="G1662" s="852">
        <f>0.11*0.03*1.5*8*1.12</f>
        <v>4.4352000000000003E-2</v>
      </c>
      <c r="H1662" s="885"/>
      <c r="I1662" s="883"/>
      <c r="J1662" s="882"/>
      <c r="K1662" s="884"/>
    </row>
    <row r="1663" spans="1:12" s="843" customFormat="1" x14ac:dyDescent="0.25">
      <c r="A1663" s="882"/>
      <c r="B1663" s="844"/>
      <c r="F1663" s="855"/>
      <c r="G1663" s="852"/>
      <c r="H1663" s="885"/>
      <c r="I1663" s="883"/>
      <c r="J1663" s="882"/>
      <c r="K1663" s="884"/>
    </row>
    <row r="1664" spans="1:12" s="843" customFormat="1" x14ac:dyDescent="0.25">
      <c r="A1664" s="882"/>
      <c r="B1664" s="844"/>
      <c r="C1664" s="78" t="s">
        <v>10434</v>
      </c>
      <c r="F1664" s="855"/>
      <c r="G1664" s="852"/>
      <c r="H1664" s="885"/>
      <c r="I1664" s="883"/>
      <c r="J1664" s="882"/>
      <c r="K1664" s="884"/>
    </row>
    <row r="1665" spans="1:11" s="843" customFormat="1" x14ac:dyDescent="0.25">
      <c r="A1665" s="882"/>
      <c r="B1665" s="844"/>
      <c r="C1665" s="843" t="s">
        <v>9772</v>
      </c>
      <c r="F1665" s="855" t="s">
        <v>3</v>
      </c>
      <c r="G1665" s="852">
        <f>0.07*0.05*2*8*1.07</f>
        <v>5.9920000000000015E-2</v>
      </c>
      <c r="H1665" s="885"/>
      <c r="I1665" s="883"/>
      <c r="J1665" s="882"/>
      <c r="K1665" s="884"/>
    </row>
    <row r="1666" spans="1:11" s="843" customFormat="1" x14ac:dyDescent="0.25">
      <c r="A1666" s="882"/>
      <c r="B1666" s="844"/>
      <c r="F1666" s="855"/>
      <c r="G1666" s="852"/>
      <c r="H1666" s="885"/>
      <c r="I1666" s="883"/>
      <c r="J1666" s="882"/>
      <c r="K1666" s="884"/>
    </row>
    <row r="1667" spans="1:11" s="843" customFormat="1" x14ac:dyDescent="0.25">
      <c r="A1667" s="882"/>
      <c r="B1667" s="844"/>
      <c r="C1667" s="78" t="s">
        <v>991</v>
      </c>
      <c r="F1667" s="855"/>
      <c r="G1667" s="852"/>
      <c r="H1667" s="885"/>
      <c r="I1667" s="883"/>
      <c r="J1667" s="882"/>
      <c r="K1667" s="884"/>
    </row>
    <row r="1668" spans="1:11" s="843" customFormat="1" x14ac:dyDescent="0.25">
      <c r="A1668" s="882"/>
      <c r="B1668" s="844"/>
      <c r="C1668" s="843" t="s">
        <v>10435</v>
      </c>
      <c r="F1668" s="855" t="s">
        <v>3</v>
      </c>
      <c r="G1668" s="852">
        <f>0.22*0.22*4*8+0.001</f>
        <v>1.5497999999999998</v>
      </c>
      <c r="H1668" s="885"/>
      <c r="I1668" s="883"/>
      <c r="J1668" s="882"/>
      <c r="K1668" s="884"/>
    </row>
    <row r="1669" spans="1:11" s="843" customFormat="1" x14ac:dyDescent="0.25">
      <c r="A1669" s="882"/>
      <c r="B1669" s="844"/>
      <c r="E1669" s="843" t="s">
        <v>2840</v>
      </c>
      <c r="F1669" s="855"/>
      <c r="G1669" s="852"/>
      <c r="H1669" s="885"/>
      <c r="I1669" s="883"/>
      <c r="J1669" s="882"/>
      <c r="K1669" s="884"/>
    </row>
    <row r="1670" spans="1:11" s="843" customFormat="1" x14ac:dyDescent="0.25">
      <c r="A1670" s="882"/>
      <c r="B1670" s="844"/>
      <c r="C1670" s="843" t="s">
        <v>10436</v>
      </c>
      <c r="F1670" s="855" t="s">
        <v>3</v>
      </c>
      <c r="G1670" s="852">
        <f>0.22*0.22*4*8+0.001</f>
        <v>1.5497999999999998</v>
      </c>
      <c r="H1670" s="885"/>
      <c r="I1670" s="883"/>
      <c r="J1670" s="882"/>
      <c r="K1670" s="884"/>
    </row>
    <row r="1671" spans="1:11" s="843" customFormat="1" x14ac:dyDescent="0.25">
      <c r="A1671" s="882"/>
      <c r="B1671" s="844"/>
      <c r="F1671" s="855"/>
      <c r="G1671" s="852"/>
      <c r="H1671" s="885"/>
      <c r="I1671" s="883"/>
      <c r="J1671" s="882"/>
      <c r="K1671" s="884"/>
    </row>
    <row r="1672" spans="1:11" s="843" customFormat="1" x14ac:dyDescent="0.25">
      <c r="A1672" s="882"/>
      <c r="B1672" s="844"/>
      <c r="C1672" s="78" t="s">
        <v>10437</v>
      </c>
      <c r="F1672" s="855"/>
      <c r="G1672" s="852"/>
      <c r="H1672" s="885"/>
      <c r="I1672" s="883"/>
      <c r="J1672" s="882"/>
      <c r="K1672" s="884"/>
    </row>
    <row r="1673" spans="1:11" s="843" customFormat="1" x14ac:dyDescent="0.25">
      <c r="A1673" s="882"/>
      <c r="B1673" s="844"/>
      <c r="C1673" s="843" t="s">
        <v>9772</v>
      </c>
      <c r="F1673" s="855" t="s">
        <v>3</v>
      </c>
      <c r="G1673" s="852">
        <f>0.175*0.045*2*8*1.12</f>
        <v>0.14112000000000002</v>
      </c>
      <c r="H1673" s="885"/>
      <c r="I1673" s="883"/>
      <c r="J1673" s="882"/>
      <c r="K1673" s="884"/>
    </row>
    <row r="1674" spans="1:11" s="843" customFormat="1" x14ac:dyDescent="0.25">
      <c r="A1674" s="882"/>
      <c r="B1674" s="844"/>
      <c r="F1674" s="855"/>
      <c r="G1674" s="852"/>
      <c r="H1674" s="885"/>
      <c r="I1674" s="883"/>
      <c r="J1674" s="882"/>
      <c r="K1674" s="884"/>
    </row>
    <row r="1675" spans="1:11" s="843" customFormat="1" x14ac:dyDescent="0.25">
      <c r="A1675" s="882"/>
      <c r="B1675" s="844"/>
      <c r="C1675" s="78" t="s">
        <v>10438</v>
      </c>
      <c r="F1675" s="855"/>
      <c r="G1675" s="852"/>
      <c r="H1675" s="885"/>
      <c r="I1675" s="883"/>
      <c r="J1675" s="882"/>
      <c r="K1675" s="884"/>
    </row>
    <row r="1676" spans="1:11" s="843" customFormat="1" x14ac:dyDescent="0.25">
      <c r="A1676" s="882"/>
      <c r="B1676" s="844"/>
      <c r="C1676" s="843" t="s">
        <v>9772</v>
      </c>
      <c r="F1676" s="855" t="s">
        <v>3</v>
      </c>
      <c r="G1676" s="852">
        <f>0.195*0.05*2*8*1.1</f>
        <v>0.17160000000000003</v>
      </c>
      <c r="H1676" s="885"/>
      <c r="I1676" s="883"/>
      <c r="J1676" s="882"/>
      <c r="K1676" s="884"/>
    </row>
    <row r="1677" spans="1:11" s="843" customFormat="1" x14ac:dyDescent="0.25">
      <c r="A1677" s="886"/>
      <c r="B1677" s="887"/>
      <c r="C1677" s="888"/>
      <c r="D1677" s="888"/>
      <c r="E1677" s="888"/>
      <c r="F1677" s="889"/>
      <c r="G1677" s="890"/>
      <c r="H1677" s="891"/>
      <c r="I1677" s="883"/>
      <c r="J1677" s="882"/>
      <c r="K1677" s="884"/>
    </row>
    <row r="1678" spans="1:11" s="843" customFormat="1" x14ac:dyDescent="0.25">
      <c r="A1678" s="882"/>
      <c r="B1678" s="844"/>
      <c r="F1678" s="855"/>
      <c r="G1678" s="852"/>
      <c r="H1678" s="848" t="s">
        <v>10465</v>
      </c>
      <c r="I1678" s="883"/>
      <c r="J1678" s="882"/>
      <c r="K1678" s="884"/>
    </row>
    <row r="1679" spans="1:11" s="843" customFormat="1" x14ac:dyDescent="0.25">
      <c r="A1679" s="882"/>
      <c r="B1679" s="844"/>
      <c r="C1679" s="3" t="s">
        <v>10462</v>
      </c>
      <c r="D1679" s="858"/>
      <c r="E1679" s="858"/>
      <c r="F1679" s="859"/>
      <c r="G1679" s="860"/>
      <c r="H1679" s="885"/>
      <c r="I1679" s="883" t="s">
        <v>10466</v>
      </c>
      <c r="J1679" s="882"/>
      <c r="K1679" s="884"/>
    </row>
    <row r="1680" spans="1:11" s="843" customFormat="1" x14ac:dyDescent="0.25">
      <c r="A1680" s="882"/>
      <c r="B1680" s="844"/>
      <c r="C1680" s="858" t="s">
        <v>10463</v>
      </c>
      <c r="D1680" s="858"/>
      <c r="E1680" s="858"/>
      <c r="F1680" s="859" t="s">
        <v>207</v>
      </c>
      <c r="G1680" s="860">
        <f>1.85*0.5135</f>
        <v>0.94997500000000001</v>
      </c>
      <c r="H1680" s="885"/>
      <c r="I1680" s="883"/>
      <c r="J1680" s="882"/>
      <c r="K1680" s="884"/>
    </row>
    <row r="1681" spans="1:12" s="843" customFormat="1" x14ac:dyDescent="0.25">
      <c r="A1681" s="882"/>
      <c r="B1681" s="844"/>
      <c r="C1681" s="610"/>
      <c r="D1681" s="746"/>
      <c r="E1681" s="746" t="s">
        <v>2840</v>
      </c>
      <c r="F1681" s="836"/>
      <c r="G1681" s="777"/>
      <c r="H1681" s="885"/>
      <c r="I1681" s="883"/>
      <c r="J1681" s="882"/>
      <c r="K1681" s="884"/>
    </row>
    <row r="1682" spans="1:12" s="843" customFormat="1" x14ac:dyDescent="0.25">
      <c r="A1682" s="882"/>
      <c r="B1682" s="844"/>
      <c r="C1682" s="746" t="s">
        <v>10464</v>
      </c>
      <c r="D1682" s="746"/>
      <c r="E1682" s="746"/>
      <c r="F1682" s="859" t="s">
        <v>207</v>
      </c>
      <c r="G1682" s="860">
        <f>1.85*0.5135</f>
        <v>0.94997500000000001</v>
      </c>
      <c r="H1682" s="885"/>
      <c r="I1682" s="883"/>
      <c r="J1682" s="882"/>
      <c r="K1682" s="884"/>
    </row>
    <row r="1683" spans="1:12" s="843" customFormat="1" x14ac:dyDescent="0.25">
      <c r="A1683" s="886"/>
      <c r="B1683" s="887"/>
      <c r="C1683" s="738"/>
      <c r="D1683" s="738"/>
      <c r="E1683" s="738"/>
      <c r="F1683" s="892"/>
      <c r="G1683" s="893"/>
      <c r="H1683" s="891"/>
      <c r="I1683" s="883"/>
      <c r="J1683" s="882"/>
      <c r="K1683" s="884"/>
    </row>
    <row r="1684" spans="1:12" s="843" customFormat="1" x14ac:dyDescent="0.25">
      <c r="A1684" s="882"/>
      <c r="B1684" s="844"/>
      <c r="C1684" s="619"/>
      <c r="D1684" s="619"/>
      <c r="E1684" s="619"/>
      <c r="F1684" s="845"/>
      <c r="G1684" s="779"/>
      <c r="H1684" s="848" t="s">
        <v>10513</v>
      </c>
      <c r="I1684" s="883"/>
      <c r="J1684" s="882"/>
      <c r="K1684" s="884"/>
    </row>
    <row r="1685" spans="1:12" s="843" customFormat="1" ht="18.75" x14ac:dyDescent="0.3">
      <c r="A1685" s="882"/>
      <c r="B1685" s="844"/>
      <c r="C1685" s="619"/>
      <c r="D1685" s="619"/>
      <c r="E1685" s="740" t="s">
        <v>10516</v>
      </c>
      <c r="F1685" s="845"/>
      <c r="G1685" s="779"/>
      <c r="H1685" s="885"/>
      <c r="I1685" s="883"/>
      <c r="J1685" s="882"/>
      <c r="K1685" s="884"/>
    </row>
    <row r="1686" spans="1:12" s="843" customFormat="1" x14ac:dyDescent="0.25">
      <c r="A1686" s="882"/>
      <c r="B1686" s="844"/>
      <c r="C1686" s="619"/>
      <c r="D1686" s="619"/>
      <c r="E1686" s="619"/>
      <c r="F1686" s="845"/>
      <c r="G1686" s="779"/>
      <c r="H1686" s="885"/>
      <c r="I1686" s="883"/>
      <c r="J1686" s="882"/>
      <c r="K1686" s="884"/>
    </row>
    <row r="1687" spans="1:12" s="843" customFormat="1" x14ac:dyDescent="0.25">
      <c r="A1687" s="882"/>
      <c r="B1687" s="844"/>
      <c r="C1687" s="615" t="s">
        <v>10514</v>
      </c>
      <c r="D1687" s="619"/>
      <c r="E1687" s="619"/>
      <c r="F1687" s="845"/>
      <c r="G1687" s="779"/>
      <c r="H1687" s="885"/>
      <c r="I1687" s="883"/>
      <c r="J1687" s="882"/>
      <c r="K1687" s="884"/>
    </row>
    <row r="1688" spans="1:12" s="843" customFormat="1" x14ac:dyDescent="0.25">
      <c r="A1688" s="882"/>
      <c r="B1688" s="844"/>
      <c r="C1688" s="619" t="s">
        <v>10515</v>
      </c>
      <c r="D1688" s="619"/>
      <c r="E1688" s="619"/>
      <c r="F1688" s="845" t="s">
        <v>3</v>
      </c>
      <c r="G1688" s="779">
        <f>0.115*0.115*2*8</f>
        <v>0.21160000000000001</v>
      </c>
      <c r="H1688" s="885"/>
      <c r="I1688" s="883"/>
      <c r="J1688" s="882"/>
      <c r="K1688" s="884"/>
    </row>
    <row r="1689" spans="1:12" s="843" customFormat="1" x14ac:dyDescent="0.25">
      <c r="A1689" s="886"/>
      <c r="B1689" s="887"/>
      <c r="C1689" s="745"/>
      <c r="D1689" s="738"/>
      <c r="E1689" s="738"/>
      <c r="F1689" s="892"/>
      <c r="G1689" s="893"/>
      <c r="H1689" s="891"/>
      <c r="I1689" s="883"/>
      <c r="J1689" s="882"/>
      <c r="K1689" s="884"/>
    </row>
    <row r="1690" spans="1:12" s="843" customFormat="1" x14ac:dyDescent="0.25">
      <c r="A1690" s="882"/>
      <c r="B1690" s="844"/>
      <c r="C1690" s="619"/>
      <c r="D1690" s="619"/>
      <c r="E1690" s="619"/>
      <c r="F1690" s="845"/>
      <c r="G1690" s="779"/>
      <c r="H1690" s="848" t="s">
        <v>10618</v>
      </c>
      <c r="I1690" s="883"/>
      <c r="J1690" s="882"/>
      <c r="K1690" s="884"/>
    </row>
    <row r="1691" spans="1:12" ht="18.75" x14ac:dyDescent="0.3">
      <c r="C1691" s="610"/>
      <c r="E1691" s="740" t="s">
        <v>10566</v>
      </c>
      <c r="G1691" s="777"/>
      <c r="H1691" s="842"/>
      <c r="J1691" s="864"/>
      <c r="L1691" s="746"/>
    </row>
    <row r="1692" spans="1:12" x14ac:dyDescent="0.25">
      <c r="C1692" s="610"/>
      <c r="G1692" s="777"/>
      <c r="H1692" s="842"/>
      <c r="J1692" s="864"/>
      <c r="L1692" s="746"/>
    </row>
    <row r="1693" spans="1:12" x14ac:dyDescent="0.25">
      <c r="C1693" s="610" t="s">
        <v>10420</v>
      </c>
      <c r="G1693" s="777"/>
      <c r="H1693" s="842"/>
      <c r="J1693" s="864"/>
      <c r="L1693" s="746"/>
    </row>
    <row r="1694" spans="1:12" x14ac:dyDescent="0.25">
      <c r="C1694" s="774" t="s">
        <v>10421</v>
      </c>
      <c r="F1694" s="836" t="s">
        <v>3</v>
      </c>
      <c r="G1694" s="777">
        <f>0.085*0.04*3*8*1.1</f>
        <v>8.976000000000002E-2</v>
      </c>
      <c r="H1694" s="842"/>
      <c r="J1694" s="864"/>
      <c r="L1694" s="746"/>
    </row>
    <row r="1695" spans="1:12" x14ac:dyDescent="0.25">
      <c r="C1695" s="774"/>
      <c r="G1695" s="777"/>
      <c r="H1695" s="842"/>
      <c r="J1695" s="864"/>
      <c r="L1695" s="746"/>
    </row>
    <row r="1696" spans="1:12" x14ac:dyDescent="0.25">
      <c r="C1696" s="773" t="s">
        <v>10492</v>
      </c>
      <c r="G1696" s="777"/>
      <c r="H1696" s="842"/>
      <c r="J1696" s="864"/>
      <c r="L1696" s="746"/>
    </row>
    <row r="1697" spans="3:12" x14ac:dyDescent="0.25">
      <c r="C1697" s="263" t="s">
        <v>39</v>
      </c>
      <c r="D1697" s="398"/>
      <c r="E1697" s="774"/>
      <c r="F1697" s="878" t="s">
        <v>3</v>
      </c>
      <c r="G1697" s="876">
        <f>(0.025*3.14+0.012*3.14)*0.08*1.2</f>
        <v>1.1153280000000002E-2</v>
      </c>
      <c r="H1697" s="842"/>
      <c r="J1697" s="864"/>
      <c r="L1697" s="746"/>
    </row>
    <row r="1698" spans="3:12" ht="17.25" x14ac:dyDescent="0.25">
      <c r="C1698" s="263" t="s">
        <v>1055</v>
      </c>
      <c r="D1698" s="398"/>
      <c r="E1698" s="774"/>
      <c r="F1698" s="878" t="s">
        <v>10568</v>
      </c>
      <c r="G1698" s="876">
        <f>1.1*G1697</f>
        <v>1.2268608000000002E-2</v>
      </c>
      <c r="H1698" s="842"/>
      <c r="J1698" s="864"/>
      <c r="L1698" s="746"/>
    </row>
    <row r="1699" spans="3:12" x14ac:dyDescent="0.25">
      <c r="C1699" s="263" t="s">
        <v>8</v>
      </c>
      <c r="D1699" s="398"/>
      <c r="E1699" s="774"/>
      <c r="F1699" s="878" t="s">
        <v>3</v>
      </c>
      <c r="G1699" s="876">
        <f>G1701*0.7</f>
        <v>8.1899999999999994E-3</v>
      </c>
      <c r="H1699" s="842"/>
      <c r="J1699" s="864"/>
      <c r="L1699" s="746"/>
    </row>
    <row r="1700" spans="3:12" x14ac:dyDescent="0.25">
      <c r="C1700" s="746" t="s">
        <v>12</v>
      </c>
      <c r="D1700" s="398"/>
      <c r="E1700" s="774"/>
      <c r="F1700" s="878" t="s">
        <v>3</v>
      </c>
      <c r="G1700" s="876">
        <f>0.3*G1699</f>
        <v>2.4569999999999995E-3</v>
      </c>
      <c r="H1700" s="842"/>
      <c r="J1700" s="864"/>
      <c r="L1700" s="746"/>
    </row>
    <row r="1701" spans="3:12" x14ac:dyDescent="0.25">
      <c r="C1701" s="263" t="s">
        <v>72</v>
      </c>
      <c r="D1701" s="398"/>
      <c r="E1701" s="774"/>
      <c r="F1701" s="878" t="s">
        <v>3</v>
      </c>
      <c r="G1701" s="876">
        <f>0.1*0.15*2*0.15*2*1.3</f>
        <v>1.17E-2</v>
      </c>
      <c r="H1701" s="842"/>
      <c r="J1701" s="864"/>
      <c r="L1701" s="746"/>
    </row>
    <row r="1702" spans="3:12" x14ac:dyDescent="0.25">
      <c r="C1702" s="263" t="s">
        <v>11</v>
      </c>
      <c r="D1702" s="398"/>
      <c r="E1702" s="774"/>
      <c r="F1702" s="878" t="s">
        <v>3</v>
      </c>
      <c r="G1702" s="876">
        <f>0.3*G1701</f>
        <v>3.5100000000000001E-3</v>
      </c>
      <c r="H1702" s="842"/>
      <c r="J1702" s="864"/>
      <c r="L1702" s="746"/>
    </row>
    <row r="1703" spans="3:12" x14ac:dyDescent="0.25">
      <c r="D1703" s="610" t="s">
        <v>10422</v>
      </c>
      <c r="G1703" s="777"/>
      <c r="H1703" s="842"/>
      <c r="J1703" s="864"/>
      <c r="L1703" s="746"/>
    </row>
    <row r="1704" spans="3:12" x14ac:dyDescent="0.25">
      <c r="D1704" s="746" t="s">
        <v>10423</v>
      </c>
      <c r="F1704" s="836" t="s">
        <v>3</v>
      </c>
      <c r="G1704" s="777">
        <f>2.027*L1704</f>
        <v>6.0810000000000003E-2</v>
      </c>
      <c r="H1704" s="842"/>
      <c r="I1704" s="874" t="s">
        <v>10567</v>
      </c>
      <c r="J1704" s="864">
        <v>2.1999999999999999E-2</v>
      </c>
      <c r="K1704" s="874" t="s">
        <v>10150</v>
      </c>
      <c r="L1704" s="824">
        <v>0.03</v>
      </c>
    </row>
    <row r="1705" spans="3:12" x14ac:dyDescent="0.25">
      <c r="G1705" s="777"/>
      <c r="H1705" s="842"/>
      <c r="I1705" s="874"/>
      <c r="J1705" s="864"/>
      <c r="K1705" s="874"/>
      <c r="L1705" s="824"/>
    </row>
    <row r="1706" spans="3:12" x14ac:dyDescent="0.25">
      <c r="C1706" s="610" t="s">
        <v>10493</v>
      </c>
      <c r="F1706" s="836" t="s">
        <v>2180</v>
      </c>
      <c r="G1706" s="777"/>
      <c r="H1706" s="842"/>
      <c r="I1706" s="874"/>
      <c r="J1706" s="864"/>
      <c r="K1706" s="874"/>
      <c r="L1706" s="824"/>
    </row>
    <row r="1707" spans="3:12" x14ac:dyDescent="0.25">
      <c r="D1707" s="610" t="s">
        <v>10494</v>
      </c>
      <c r="G1707" s="777"/>
      <c r="H1707" s="842"/>
      <c r="I1707" s="874"/>
      <c r="J1707" s="864"/>
      <c r="K1707" s="874"/>
      <c r="L1707" s="824"/>
    </row>
    <row r="1708" spans="3:12" x14ac:dyDescent="0.25">
      <c r="D1708" s="263" t="s">
        <v>39</v>
      </c>
      <c r="E1708" s="398"/>
      <c r="F1708" s="878" t="s">
        <v>3</v>
      </c>
      <c r="G1708" s="876">
        <f>(0.02*3.14+0.015*3.14)*0.08*1.3</f>
        <v>1.1429600000000002E-2</v>
      </c>
      <c r="H1708" s="842"/>
      <c r="I1708" s="874"/>
      <c r="J1708" s="864"/>
      <c r="K1708" s="874"/>
      <c r="L1708" s="824"/>
    </row>
    <row r="1709" spans="3:12" ht="17.25" x14ac:dyDescent="0.25">
      <c r="D1709" s="263" t="s">
        <v>1055</v>
      </c>
      <c r="E1709" s="398"/>
      <c r="F1709" s="878" t="s">
        <v>10568</v>
      </c>
      <c r="G1709" s="876">
        <f>1.1*G1708</f>
        <v>1.2572560000000003E-2</v>
      </c>
      <c r="H1709" s="842"/>
      <c r="I1709" s="874"/>
      <c r="J1709" s="864"/>
      <c r="K1709" s="874"/>
      <c r="L1709" s="824"/>
    </row>
    <row r="1710" spans="3:12" x14ac:dyDescent="0.25">
      <c r="D1710" s="780" t="s">
        <v>72</v>
      </c>
      <c r="E1710" s="780"/>
      <c r="F1710" s="878" t="s">
        <v>3</v>
      </c>
      <c r="G1710" s="777">
        <f>0.1*0.1*2*0.15*2*1.3</f>
        <v>7.8000000000000014E-3</v>
      </c>
      <c r="H1710" s="842"/>
      <c r="I1710" s="874"/>
      <c r="J1710" s="864"/>
      <c r="K1710" s="874"/>
      <c r="L1710" s="824"/>
    </row>
    <row r="1711" spans="3:12" x14ac:dyDescent="0.25">
      <c r="D1711" s="746" t="s">
        <v>11</v>
      </c>
      <c r="F1711" s="878" t="s">
        <v>3</v>
      </c>
      <c r="G1711" s="777">
        <f>0.3*G1710</f>
        <v>2.3400000000000005E-3</v>
      </c>
      <c r="H1711" s="842"/>
      <c r="I1711" s="874"/>
      <c r="J1711" s="864"/>
      <c r="K1711" s="874"/>
      <c r="L1711" s="824"/>
    </row>
    <row r="1712" spans="3:12" x14ac:dyDescent="0.25">
      <c r="D1712" s="746" t="s">
        <v>8</v>
      </c>
      <c r="F1712" s="878" t="s">
        <v>3</v>
      </c>
      <c r="G1712" s="777">
        <f>G1710*0.65</f>
        <v>5.0700000000000007E-3</v>
      </c>
      <c r="H1712" s="842"/>
      <c r="I1712" s="874"/>
      <c r="J1712" s="864"/>
      <c r="K1712" s="874"/>
      <c r="L1712" s="824"/>
    </row>
    <row r="1713" spans="3:12" x14ac:dyDescent="0.25">
      <c r="D1713" s="746" t="s">
        <v>12</v>
      </c>
      <c r="F1713" s="878" t="s">
        <v>3</v>
      </c>
      <c r="G1713" s="782">
        <f>0.3*G1712</f>
        <v>1.5210000000000002E-3</v>
      </c>
      <c r="H1713" s="842"/>
    </row>
    <row r="1714" spans="3:12" x14ac:dyDescent="0.25">
      <c r="E1714" s="610" t="s">
        <v>10495</v>
      </c>
      <c r="F1714" s="878"/>
      <c r="H1714" s="842"/>
    </row>
    <row r="1715" spans="3:12" x14ac:dyDescent="0.25">
      <c r="E1715" s="746" t="s">
        <v>4362</v>
      </c>
      <c r="F1715" s="878" t="s">
        <v>3</v>
      </c>
      <c r="G1715" s="782">
        <f>0.09*0.08*4*8*1.128</f>
        <v>0.25989119999999999</v>
      </c>
      <c r="H1715" s="842"/>
    </row>
    <row r="1716" spans="3:12" x14ac:dyDescent="0.25">
      <c r="H1716" s="842"/>
    </row>
    <row r="1717" spans="3:12" x14ac:dyDescent="0.25">
      <c r="C1717" s="610" t="s">
        <v>10424</v>
      </c>
      <c r="G1717" s="777"/>
      <c r="H1717" s="842"/>
      <c r="J1717" s="864"/>
      <c r="L1717" s="746"/>
    </row>
    <row r="1718" spans="3:12" x14ac:dyDescent="0.25">
      <c r="C1718" s="774" t="s">
        <v>10425</v>
      </c>
      <c r="F1718" s="836" t="s">
        <v>3</v>
      </c>
      <c r="G1718" s="777">
        <f>0.06*0.035*5*8*1.1</f>
        <v>9.2400000000000024E-2</v>
      </c>
      <c r="H1718" s="842"/>
      <c r="J1718" s="864"/>
      <c r="L1718" s="746"/>
    </row>
    <row r="1719" spans="3:12" x14ac:dyDescent="0.25">
      <c r="C1719" s="774"/>
      <c r="G1719" s="777"/>
      <c r="H1719" s="842"/>
      <c r="J1719" s="864"/>
      <c r="L1719" s="746"/>
    </row>
    <row r="1720" spans="3:12" x14ac:dyDescent="0.25">
      <c r="C1720" s="773" t="s">
        <v>10426</v>
      </c>
      <c r="G1720" s="777"/>
      <c r="H1720" s="842"/>
      <c r="J1720" s="864"/>
      <c r="L1720" s="746"/>
    </row>
    <row r="1721" spans="3:12" x14ac:dyDescent="0.25">
      <c r="C1721" s="263" t="s">
        <v>39</v>
      </c>
      <c r="D1721" s="398"/>
      <c r="E1721" s="774"/>
      <c r="F1721" s="878" t="s">
        <v>3</v>
      </c>
      <c r="G1721" s="876">
        <f>(0.44*2+0.265*2+0.04*4*8+0.03*4*4+0.1*3.14)*0.08*1.26-0.001</f>
        <v>0.35018720000000003</v>
      </c>
      <c r="H1721" s="842"/>
      <c r="J1721" s="864"/>
      <c r="L1721" s="746"/>
    </row>
    <row r="1722" spans="3:12" ht="17.25" x14ac:dyDescent="0.25">
      <c r="C1722" s="263" t="s">
        <v>1055</v>
      </c>
      <c r="D1722" s="398"/>
      <c r="E1722" s="774"/>
      <c r="F1722" s="878" t="s">
        <v>10568</v>
      </c>
      <c r="G1722" s="876">
        <f>1.1*G1721</f>
        <v>0.38520592000000009</v>
      </c>
      <c r="H1722" s="842"/>
      <c r="J1722" s="864"/>
      <c r="L1722" s="746"/>
    </row>
    <row r="1723" spans="3:12" x14ac:dyDescent="0.25">
      <c r="C1723" s="834" t="s">
        <v>1021</v>
      </c>
      <c r="D1723" s="834"/>
      <c r="E1723" s="834"/>
      <c r="F1723" s="827" t="s">
        <v>3</v>
      </c>
      <c r="G1723" s="777">
        <f>(0.265*0.215*2+0.44*0.265*2+0.44*0.215*2)*0.12*4*1.28</f>
        <v>0.32953344000000001</v>
      </c>
      <c r="H1723" s="842"/>
      <c r="J1723" s="864"/>
      <c r="L1723" s="746"/>
    </row>
    <row r="1724" spans="3:12" x14ac:dyDescent="0.25">
      <c r="C1724" s="834" t="s">
        <v>661</v>
      </c>
      <c r="D1724" s="834"/>
      <c r="E1724" s="834"/>
      <c r="F1724" s="827" t="s">
        <v>3</v>
      </c>
      <c r="G1724" s="777">
        <f>G1723*0.26+0.004</f>
        <v>8.9678694400000009E-2</v>
      </c>
      <c r="H1724" s="842"/>
      <c r="J1724" s="864"/>
      <c r="L1724" s="746"/>
    </row>
    <row r="1725" spans="3:12" x14ac:dyDescent="0.25">
      <c r="C1725" s="834" t="s">
        <v>1993</v>
      </c>
      <c r="D1725" s="834"/>
      <c r="E1725" s="834"/>
      <c r="F1725" s="827" t="s">
        <v>3</v>
      </c>
      <c r="G1725" s="777">
        <f>G1723*0.12</f>
        <v>3.95440128E-2</v>
      </c>
      <c r="H1725" s="842"/>
      <c r="J1725" s="864"/>
      <c r="L1725" s="746"/>
    </row>
    <row r="1726" spans="3:12" x14ac:dyDescent="0.25">
      <c r="C1726" s="774" t="s">
        <v>6576</v>
      </c>
      <c r="F1726" s="836" t="s">
        <v>3</v>
      </c>
      <c r="G1726" s="777">
        <v>0.2</v>
      </c>
      <c r="H1726" s="842"/>
      <c r="J1726" s="864"/>
      <c r="L1726" s="746"/>
    </row>
    <row r="1727" spans="3:12" x14ac:dyDescent="0.25">
      <c r="C1727" s="774"/>
      <c r="D1727" s="610" t="s">
        <v>10427</v>
      </c>
      <c r="G1727" s="777"/>
      <c r="H1727" s="842"/>
      <c r="J1727" s="864"/>
      <c r="L1727" s="746"/>
    </row>
    <row r="1728" spans="3:12" x14ac:dyDescent="0.25">
      <c r="C1728" s="774"/>
      <c r="D1728" s="774" t="s">
        <v>9749</v>
      </c>
      <c r="E1728" s="774"/>
      <c r="F1728" s="868" t="s">
        <v>3</v>
      </c>
      <c r="G1728" s="871">
        <f>0.455*0.28*2*8*1.1285</f>
        <v>2.3003344000000006</v>
      </c>
      <c r="H1728" s="842"/>
      <c r="I1728" s="746"/>
      <c r="J1728" s="864"/>
      <c r="L1728" s="746"/>
    </row>
    <row r="1729" spans="3:12" x14ac:dyDescent="0.25">
      <c r="C1729" s="774"/>
      <c r="D1729" s="263" t="s">
        <v>39</v>
      </c>
      <c r="E1729" s="398"/>
      <c r="F1729" s="878" t="s">
        <v>3</v>
      </c>
      <c r="G1729" s="876">
        <f>0.04*0.08*1.2</f>
        <v>3.8400000000000001E-3</v>
      </c>
      <c r="H1729" s="842"/>
      <c r="I1729" s="746"/>
      <c r="J1729" s="864"/>
      <c r="L1729" s="746"/>
    </row>
    <row r="1730" spans="3:12" ht="17.25" x14ac:dyDescent="0.25">
      <c r="C1730" s="774"/>
      <c r="D1730" s="263" t="s">
        <v>1055</v>
      </c>
      <c r="E1730" s="398"/>
      <c r="F1730" s="878" t="s">
        <v>10568</v>
      </c>
      <c r="G1730" s="876">
        <f>1.1*G1729</f>
        <v>4.2240000000000003E-3</v>
      </c>
      <c r="H1730" s="842"/>
      <c r="I1730" s="746"/>
      <c r="J1730" s="864"/>
      <c r="L1730" s="746"/>
    </row>
    <row r="1731" spans="3:12" x14ac:dyDescent="0.25">
      <c r="C1731" s="774"/>
      <c r="D1731" s="610" t="s">
        <v>10428</v>
      </c>
      <c r="F1731" s="746"/>
      <c r="G1731" s="746"/>
      <c r="H1731" s="842"/>
      <c r="I1731" s="746"/>
      <c r="J1731" s="864"/>
      <c r="L1731" s="746"/>
    </row>
    <row r="1732" spans="3:12" x14ac:dyDescent="0.25">
      <c r="C1732" s="774"/>
      <c r="D1732" s="774" t="s">
        <v>9749</v>
      </c>
      <c r="E1732" s="774"/>
      <c r="F1732" s="868" t="s">
        <v>3</v>
      </c>
      <c r="G1732" s="871">
        <f>0.455*0.28*2*8*1.1285</f>
        <v>2.3003344000000006</v>
      </c>
      <c r="H1732" s="842"/>
      <c r="I1732" s="746"/>
      <c r="J1732" s="864"/>
      <c r="L1732" s="746"/>
    </row>
    <row r="1733" spans="3:12" x14ac:dyDescent="0.25">
      <c r="C1733" s="774"/>
      <c r="D1733" s="263" t="s">
        <v>39</v>
      </c>
      <c r="E1733" s="398"/>
      <c r="F1733" s="878" t="s">
        <v>3</v>
      </c>
      <c r="G1733" s="876">
        <f>0.04*0.08*1.2</f>
        <v>3.8400000000000001E-3</v>
      </c>
      <c r="H1733" s="842"/>
      <c r="I1733" s="746"/>
      <c r="J1733" s="864"/>
      <c r="L1733" s="746"/>
    </row>
    <row r="1734" spans="3:12" ht="17.25" x14ac:dyDescent="0.25">
      <c r="C1734" s="774"/>
      <c r="D1734" s="263" t="s">
        <v>1055</v>
      </c>
      <c r="E1734" s="398"/>
      <c r="F1734" s="878" t="s">
        <v>10568</v>
      </c>
      <c r="G1734" s="876">
        <f>1.1*G1733</f>
        <v>4.2240000000000003E-3</v>
      </c>
      <c r="H1734" s="842"/>
      <c r="I1734" s="746"/>
      <c r="J1734" s="864"/>
      <c r="L1734" s="746"/>
    </row>
    <row r="1735" spans="3:12" x14ac:dyDescent="0.25">
      <c r="C1735" s="774"/>
      <c r="D1735" s="610" t="s">
        <v>10429</v>
      </c>
      <c r="G1735" s="777"/>
      <c r="H1735" s="842"/>
      <c r="J1735" s="864"/>
      <c r="L1735" s="746"/>
    </row>
    <row r="1736" spans="3:12" x14ac:dyDescent="0.25">
      <c r="C1736" s="774"/>
      <c r="D1736" s="774" t="s">
        <v>9749</v>
      </c>
      <c r="F1736" s="836" t="s">
        <v>3</v>
      </c>
      <c r="G1736" s="777">
        <f>(0.316+0.265+0.44+0.295+0.015)*0.211*2*8*1.135</f>
        <v>5.1000725599999992</v>
      </c>
      <c r="H1736" s="842"/>
      <c r="J1736" s="864"/>
      <c r="L1736" s="746"/>
    </row>
    <row r="1737" spans="3:12" x14ac:dyDescent="0.25">
      <c r="C1737" s="774"/>
      <c r="D1737" s="263" t="s">
        <v>39</v>
      </c>
      <c r="E1737" s="398"/>
      <c r="F1737" s="878" t="s">
        <v>3</v>
      </c>
      <c r="G1737" s="876">
        <f>0.21*0.08*1.2</f>
        <v>2.0159999999999997E-2</v>
      </c>
      <c r="H1737" s="842"/>
      <c r="J1737" s="864"/>
      <c r="L1737" s="746"/>
    </row>
    <row r="1738" spans="3:12" ht="17.25" x14ac:dyDescent="0.25">
      <c r="C1738" s="774"/>
      <c r="D1738" s="263" t="s">
        <v>1055</v>
      </c>
      <c r="E1738" s="398"/>
      <c r="F1738" s="878" t="s">
        <v>10568</v>
      </c>
      <c r="G1738" s="876">
        <f>1.1*G1737</f>
        <v>2.2175999999999998E-2</v>
      </c>
      <c r="H1738" s="842"/>
      <c r="J1738" s="864"/>
      <c r="L1738" s="746"/>
    </row>
    <row r="1739" spans="3:12" x14ac:dyDescent="0.25">
      <c r="C1739" s="774"/>
      <c r="D1739" s="610" t="s">
        <v>10430</v>
      </c>
      <c r="G1739" s="777"/>
      <c r="H1739" s="842"/>
      <c r="J1739" s="864"/>
      <c r="L1739" s="746"/>
    </row>
    <row r="1740" spans="3:12" x14ac:dyDescent="0.25">
      <c r="C1740" s="774"/>
      <c r="D1740" s="746" t="s">
        <v>10440</v>
      </c>
      <c r="F1740" s="836" t="s">
        <v>3</v>
      </c>
      <c r="G1740" s="777">
        <f>0.222*L1740</f>
        <v>7.1040000000000006E-2</v>
      </c>
      <c r="H1740" s="842"/>
      <c r="I1740" s="874" t="s">
        <v>10567</v>
      </c>
      <c r="J1740" s="864">
        <v>0.28000000000000003</v>
      </c>
      <c r="K1740" s="874" t="s">
        <v>10150</v>
      </c>
      <c r="L1740" s="824">
        <v>0.32</v>
      </c>
    </row>
    <row r="1741" spans="3:12" x14ac:dyDescent="0.25">
      <c r="C1741" s="774"/>
      <c r="D1741" s="610" t="s">
        <v>10431</v>
      </c>
      <c r="G1741" s="777"/>
      <c r="H1741" s="842"/>
      <c r="J1741" s="864"/>
      <c r="L1741" s="746"/>
    </row>
    <row r="1742" spans="3:12" x14ac:dyDescent="0.25">
      <c r="C1742" s="774"/>
      <c r="D1742" s="774" t="s">
        <v>10421</v>
      </c>
      <c r="F1742" s="836" t="s">
        <v>3</v>
      </c>
      <c r="G1742" s="777">
        <f>0.04*0.04*3*8*1.1</f>
        <v>4.2240000000000007E-2</v>
      </c>
      <c r="H1742" s="842"/>
      <c r="J1742" s="864"/>
      <c r="L1742" s="746"/>
    </row>
    <row r="1743" spans="3:12" x14ac:dyDescent="0.25">
      <c r="C1743" s="774"/>
      <c r="D1743" s="610" t="s">
        <v>10432</v>
      </c>
      <c r="G1743" s="777"/>
      <c r="H1743" s="842"/>
      <c r="J1743" s="864"/>
      <c r="L1743" s="746"/>
    </row>
    <row r="1744" spans="3:12" x14ac:dyDescent="0.25">
      <c r="C1744" s="774"/>
      <c r="D1744" s="746" t="s">
        <v>10441</v>
      </c>
      <c r="F1744" s="836" t="s">
        <v>3</v>
      </c>
      <c r="G1744" s="777">
        <f>1.747*L1744</f>
        <v>5.2409999999999998E-2</v>
      </c>
      <c r="H1744" s="842"/>
      <c r="I1744" s="874" t="s">
        <v>10567</v>
      </c>
      <c r="J1744" s="864">
        <v>2.4E-2</v>
      </c>
      <c r="K1744" s="874" t="s">
        <v>10150</v>
      </c>
      <c r="L1744" s="824">
        <v>0.03</v>
      </c>
    </row>
    <row r="1745" spans="3:12" x14ac:dyDescent="0.25">
      <c r="C1745" s="774"/>
      <c r="E1745" s="746" t="s">
        <v>2840</v>
      </c>
      <c r="G1745" s="777"/>
      <c r="H1745" s="842"/>
      <c r="I1745" s="874"/>
      <c r="J1745" s="864"/>
      <c r="K1745" s="874"/>
      <c r="L1745" s="824"/>
    </row>
    <row r="1746" spans="3:12" x14ac:dyDescent="0.25">
      <c r="C1746" s="774"/>
      <c r="D1746" s="746" t="s">
        <v>10442</v>
      </c>
      <c r="F1746" s="836" t="s">
        <v>3</v>
      </c>
      <c r="G1746" s="777">
        <f>1.872*L1746</f>
        <v>5.6160000000000002E-2</v>
      </c>
      <c r="H1746" s="842"/>
      <c r="I1746" s="874" t="s">
        <v>10567</v>
      </c>
      <c r="J1746" s="864">
        <v>2.4E-2</v>
      </c>
      <c r="K1746" s="874" t="s">
        <v>10150</v>
      </c>
      <c r="L1746" s="824">
        <v>0.03</v>
      </c>
    </row>
    <row r="1747" spans="3:12" x14ac:dyDescent="0.25">
      <c r="C1747" s="774"/>
      <c r="G1747" s="777"/>
      <c r="H1747" s="842"/>
      <c r="I1747" s="874"/>
      <c r="J1747" s="864"/>
      <c r="K1747" s="874"/>
      <c r="L1747" s="824"/>
    </row>
    <row r="1748" spans="3:12" x14ac:dyDescent="0.25">
      <c r="C1748" s="773" t="s">
        <v>10443</v>
      </c>
      <c r="G1748" s="777"/>
      <c r="H1748" s="842"/>
      <c r="I1748" s="874"/>
      <c r="J1748" s="864"/>
      <c r="K1748" s="874"/>
      <c r="L1748" s="824"/>
    </row>
    <row r="1749" spans="3:12" x14ac:dyDescent="0.25">
      <c r="C1749" s="774" t="s">
        <v>9618</v>
      </c>
      <c r="F1749" s="836" t="s">
        <v>3</v>
      </c>
      <c r="G1749" s="777">
        <f>0.15*0.05*2*8*1.125</f>
        <v>0.13500000000000001</v>
      </c>
      <c r="H1749" s="842"/>
      <c r="I1749" s="874"/>
      <c r="J1749" s="864"/>
      <c r="K1749" s="874"/>
      <c r="L1749" s="824"/>
    </row>
    <row r="1750" spans="3:12" x14ac:dyDescent="0.25">
      <c r="C1750" s="774"/>
      <c r="G1750" s="777"/>
      <c r="H1750" s="842"/>
      <c r="I1750" s="874"/>
      <c r="J1750" s="864"/>
      <c r="K1750" s="874"/>
      <c r="L1750" s="824"/>
    </row>
    <row r="1751" spans="3:12" x14ac:dyDescent="0.25">
      <c r="C1751" s="773" t="s">
        <v>10444</v>
      </c>
      <c r="G1751" s="777"/>
      <c r="H1751" s="842"/>
      <c r="I1751" s="874"/>
      <c r="J1751" s="864"/>
      <c r="K1751" s="874"/>
      <c r="L1751" s="824"/>
    </row>
    <row r="1752" spans="3:12" x14ac:dyDescent="0.25">
      <c r="C1752" s="774" t="s">
        <v>9618</v>
      </c>
      <c r="F1752" s="836" t="s">
        <v>3</v>
      </c>
      <c r="G1752" s="777">
        <f>0.07*0.05*2*8*1.159</f>
        <v>6.4904000000000017E-2</v>
      </c>
      <c r="H1752" s="842"/>
      <c r="I1752" s="874"/>
      <c r="J1752" s="864"/>
      <c r="K1752" s="874"/>
      <c r="L1752" s="824"/>
    </row>
    <row r="1753" spans="3:12" x14ac:dyDescent="0.25">
      <c r="C1753" s="774"/>
      <c r="G1753" s="777"/>
      <c r="H1753" s="842"/>
      <c r="I1753" s="874"/>
      <c r="J1753" s="864"/>
      <c r="K1753" s="874"/>
      <c r="L1753" s="824"/>
    </row>
    <row r="1754" spans="3:12" x14ac:dyDescent="0.25">
      <c r="C1754" s="773" t="s">
        <v>10445</v>
      </c>
      <c r="G1754" s="777"/>
      <c r="H1754" s="842"/>
      <c r="I1754" s="874"/>
      <c r="J1754" s="864"/>
      <c r="K1754" s="874"/>
      <c r="L1754" s="824"/>
    </row>
    <row r="1755" spans="3:12" x14ac:dyDescent="0.25">
      <c r="C1755" s="774" t="s">
        <v>9618</v>
      </c>
      <c r="F1755" s="836" t="s">
        <v>3</v>
      </c>
      <c r="G1755" s="777">
        <f>0.335*0.39*2*8*1.124</f>
        <v>2.3496096000000004</v>
      </c>
      <c r="H1755" s="842"/>
      <c r="I1755" s="874"/>
      <c r="J1755" s="864"/>
      <c r="K1755" s="874"/>
      <c r="L1755" s="824"/>
    </row>
    <row r="1756" spans="3:12" x14ac:dyDescent="0.25">
      <c r="C1756" s="774"/>
      <c r="G1756" s="777"/>
      <c r="H1756" s="842"/>
      <c r="I1756" s="874"/>
      <c r="J1756" s="864"/>
      <c r="K1756" s="874"/>
      <c r="L1756" s="824"/>
    </row>
    <row r="1757" spans="3:12" x14ac:dyDescent="0.25">
      <c r="C1757" s="773" t="s">
        <v>10446</v>
      </c>
      <c r="G1757" s="777"/>
      <c r="H1757" s="842"/>
      <c r="I1757" s="874"/>
      <c r="J1757" s="864"/>
      <c r="K1757" s="874"/>
      <c r="L1757" s="824"/>
    </row>
    <row r="1758" spans="3:12" x14ac:dyDescent="0.25">
      <c r="C1758" s="774" t="s">
        <v>10457</v>
      </c>
      <c r="F1758" s="836" t="s">
        <v>3</v>
      </c>
      <c r="G1758" s="777">
        <f>1.055*0.085*2*8*1.12+0.003</f>
        <v>1.6099760000000001</v>
      </c>
      <c r="H1758" s="842"/>
      <c r="I1758" s="874"/>
      <c r="J1758" s="864"/>
      <c r="K1758" s="874"/>
      <c r="L1758" s="824"/>
    </row>
    <row r="1759" spans="3:12" x14ac:dyDescent="0.25">
      <c r="C1759" s="774"/>
      <c r="G1759" s="777"/>
      <c r="H1759" s="842"/>
      <c r="I1759" s="874"/>
      <c r="J1759" s="864"/>
      <c r="K1759" s="874"/>
      <c r="L1759" s="824"/>
    </row>
    <row r="1760" spans="3:12" x14ac:dyDescent="0.25">
      <c r="C1760" s="773" t="s">
        <v>10447</v>
      </c>
      <c r="G1760" s="777"/>
      <c r="H1760" s="842"/>
      <c r="I1760" s="874"/>
      <c r="J1760" s="864"/>
      <c r="K1760" s="874"/>
      <c r="L1760" s="824"/>
    </row>
    <row r="1761" spans="3:12" x14ac:dyDescent="0.25">
      <c r="C1761" s="774" t="s">
        <v>10457</v>
      </c>
      <c r="F1761" s="836" t="s">
        <v>3</v>
      </c>
      <c r="G1761" s="777">
        <f>0.47*0.12*2*8*1.13</f>
        <v>1.0197119999999997</v>
      </c>
      <c r="H1761" s="842"/>
      <c r="I1761" s="874"/>
      <c r="J1761" s="864"/>
      <c r="K1761" s="874"/>
      <c r="L1761" s="824"/>
    </row>
    <row r="1762" spans="3:12" x14ac:dyDescent="0.25">
      <c r="C1762" s="774"/>
      <c r="G1762" s="777"/>
      <c r="H1762" s="842"/>
      <c r="I1762" s="874"/>
      <c r="J1762" s="864"/>
      <c r="K1762" s="874"/>
      <c r="L1762" s="824"/>
    </row>
    <row r="1763" spans="3:12" x14ac:dyDescent="0.25">
      <c r="C1763" s="773" t="s">
        <v>10448</v>
      </c>
      <c r="G1763" s="777"/>
      <c r="H1763" s="842"/>
      <c r="I1763" s="874"/>
      <c r="J1763" s="864"/>
      <c r="K1763" s="874"/>
      <c r="L1763" s="824"/>
    </row>
    <row r="1764" spans="3:12" x14ac:dyDescent="0.25">
      <c r="C1764" s="774" t="s">
        <v>10457</v>
      </c>
      <c r="F1764" s="836" t="s">
        <v>3</v>
      </c>
      <c r="G1764" s="777">
        <f>0.08*0.6*2*8*1.12</f>
        <v>0.86016000000000015</v>
      </c>
      <c r="H1764" s="842"/>
      <c r="I1764" s="874"/>
      <c r="J1764" s="864"/>
      <c r="K1764" s="874"/>
      <c r="L1764" s="824"/>
    </row>
    <row r="1765" spans="3:12" x14ac:dyDescent="0.25">
      <c r="C1765" s="774"/>
      <c r="G1765" s="777"/>
      <c r="H1765" s="842"/>
      <c r="I1765" s="874"/>
      <c r="J1765" s="864"/>
      <c r="K1765" s="874"/>
      <c r="L1765" s="824"/>
    </row>
    <row r="1766" spans="3:12" x14ac:dyDescent="0.25">
      <c r="C1766" s="773" t="s">
        <v>10449</v>
      </c>
      <c r="G1766" s="777"/>
      <c r="H1766" s="842"/>
      <c r="I1766" s="874"/>
      <c r="J1766" s="864"/>
      <c r="K1766" s="874"/>
      <c r="L1766" s="824"/>
    </row>
    <row r="1767" spans="3:12" x14ac:dyDescent="0.25">
      <c r="C1767" s="774" t="s">
        <v>10458</v>
      </c>
      <c r="F1767" s="836" t="s">
        <v>3</v>
      </c>
      <c r="G1767" s="777">
        <f>1.035*0.01*1*8*1.12</f>
        <v>9.2736000000000013E-2</v>
      </c>
      <c r="H1767" s="842"/>
      <c r="I1767" s="874"/>
      <c r="J1767" s="864"/>
      <c r="K1767" s="874"/>
      <c r="L1767" s="824"/>
    </row>
    <row r="1768" spans="3:12" x14ac:dyDescent="0.25">
      <c r="C1768" s="774"/>
      <c r="G1768" s="777"/>
      <c r="H1768" s="842"/>
      <c r="I1768" s="874"/>
      <c r="J1768" s="864"/>
      <c r="K1768" s="874"/>
      <c r="L1768" s="824"/>
    </row>
    <row r="1769" spans="3:12" x14ac:dyDescent="0.25">
      <c r="C1769" s="773" t="s">
        <v>10450</v>
      </c>
      <c r="G1769" s="777"/>
      <c r="H1769" s="842"/>
      <c r="I1769" s="874"/>
      <c r="J1769" s="864"/>
      <c r="K1769" s="874"/>
      <c r="L1769" s="824"/>
    </row>
    <row r="1770" spans="3:12" x14ac:dyDescent="0.25">
      <c r="C1770" s="774" t="s">
        <v>10458</v>
      </c>
      <c r="F1770" s="836" t="s">
        <v>3</v>
      </c>
      <c r="G1770" s="777">
        <f>0.775*0.01*1*8*1.125</f>
        <v>6.9750000000000006E-2</v>
      </c>
      <c r="H1770" s="842"/>
      <c r="I1770" s="874"/>
      <c r="J1770" s="864"/>
      <c r="K1770" s="874"/>
      <c r="L1770" s="824"/>
    </row>
    <row r="1771" spans="3:12" x14ac:dyDescent="0.25">
      <c r="C1771" s="774"/>
      <c r="G1771" s="777"/>
      <c r="H1771" s="842"/>
      <c r="I1771" s="874"/>
      <c r="J1771" s="864"/>
      <c r="K1771" s="874"/>
      <c r="L1771" s="824"/>
    </row>
    <row r="1772" spans="3:12" x14ac:dyDescent="0.25">
      <c r="C1772" s="773" t="s">
        <v>10456</v>
      </c>
      <c r="G1772" s="777"/>
      <c r="H1772" s="842"/>
      <c r="I1772" s="874"/>
      <c r="J1772" s="864"/>
      <c r="K1772" s="874"/>
      <c r="L1772" s="824"/>
    </row>
    <row r="1773" spans="3:12" x14ac:dyDescent="0.25">
      <c r="C1773" s="774" t="s">
        <v>10457</v>
      </c>
      <c r="F1773" s="836" t="s">
        <v>3</v>
      </c>
      <c r="G1773" s="777">
        <f>1.175*0.33*2*8*1.125</f>
        <v>6.9795000000000007</v>
      </c>
      <c r="H1773" s="842"/>
      <c r="I1773" s="874"/>
      <c r="J1773" s="864"/>
      <c r="K1773" s="874"/>
      <c r="L1773" s="824"/>
    </row>
    <row r="1774" spans="3:12" x14ac:dyDescent="0.25">
      <c r="C1774" s="610"/>
      <c r="G1774" s="777"/>
      <c r="H1774" s="842"/>
      <c r="J1774" s="864"/>
      <c r="L1774" s="746"/>
    </row>
    <row r="1775" spans="3:12" x14ac:dyDescent="0.25">
      <c r="C1775" s="773" t="s">
        <v>10382</v>
      </c>
      <c r="G1775" s="777"/>
      <c r="H1775" s="842"/>
      <c r="J1775" s="864"/>
      <c r="L1775" s="746"/>
    </row>
    <row r="1776" spans="3:12" x14ac:dyDescent="0.25">
      <c r="C1776" s="774" t="s">
        <v>10461</v>
      </c>
      <c r="F1776" s="836" t="s">
        <v>195</v>
      </c>
      <c r="G1776" s="777">
        <f>L1776</f>
        <v>0.11</v>
      </c>
      <c r="H1776" s="842"/>
      <c r="I1776" s="874" t="s">
        <v>10567</v>
      </c>
      <c r="J1776" s="864">
        <v>0.1</v>
      </c>
      <c r="K1776" s="874" t="s">
        <v>10150</v>
      </c>
      <c r="L1776" s="824">
        <v>0.11</v>
      </c>
    </row>
    <row r="1777" spans="3:12" x14ac:dyDescent="0.25">
      <c r="C1777" s="774" t="s">
        <v>143</v>
      </c>
      <c r="F1777" s="836" t="s">
        <v>3</v>
      </c>
      <c r="G1777" s="777">
        <f>G1779</f>
        <v>3.2904299999999997E-2</v>
      </c>
      <c r="H1777" s="842"/>
      <c r="J1777" s="864"/>
      <c r="L1777" s="746"/>
    </row>
    <row r="1778" spans="3:12" x14ac:dyDescent="0.25">
      <c r="C1778" s="813" t="s">
        <v>148</v>
      </c>
      <c r="D1778" s="780"/>
      <c r="E1778" s="780"/>
      <c r="F1778" s="836" t="s">
        <v>3</v>
      </c>
      <c r="G1778" s="777">
        <f>J1788*0.011*2*1.3</f>
        <v>5.0621999999999993E-2</v>
      </c>
      <c r="H1778" s="842"/>
      <c r="J1778" s="864"/>
      <c r="L1778" s="746"/>
    </row>
    <row r="1779" spans="3:12" x14ac:dyDescent="0.25">
      <c r="C1779" s="813" t="s">
        <v>8</v>
      </c>
      <c r="D1779" s="780"/>
      <c r="E1779" s="780"/>
      <c r="F1779" s="836" t="s">
        <v>3</v>
      </c>
      <c r="G1779" s="777">
        <f>0.65*G1778</f>
        <v>3.2904299999999997E-2</v>
      </c>
      <c r="H1779" s="842"/>
      <c r="J1779" s="864"/>
      <c r="L1779" s="746"/>
    </row>
    <row r="1780" spans="3:12" x14ac:dyDescent="0.25">
      <c r="C1780" s="813" t="s">
        <v>12</v>
      </c>
      <c r="D1780" s="780"/>
      <c r="E1780" s="780"/>
      <c r="F1780" s="836" t="s">
        <v>3</v>
      </c>
      <c r="G1780" s="777">
        <f>0.3*(G1779+G1778+G1777)</f>
        <v>3.4929179999999997E-2</v>
      </c>
      <c r="H1780" s="842"/>
      <c r="J1780" s="864"/>
      <c r="L1780" s="746"/>
    </row>
    <row r="1781" spans="3:12" x14ac:dyDescent="0.25">
      <c r="C1781" s="774"/>
      <c r="D1781" s="610" t="s">
        <v>10459</v>
      </c>
      <c r="G1781" s="777"/>
      <c r="H1781" s="842"/>
      <c r="J1781" s="864"/>
      <c r="L1781" s="746"/>
    </row>
    <row r="1782" spans="3:12" x14ac:dyDescent="0.25">
      <c r="C1782" s="774"/>
      <c r="D1782" s="746" t="s">
        <v>10395</v>
      </c>
      <c r="F1782" s="836" t="s">
        <v>3</v>
      </c>
      <c r="G1782" s="777">
        <f>0.37*L1782</f>
        <v>0.26639999999999997</v>
      </c>
      <c r="H1782" s="842"/>
      <c r="I1782" s="874" t="s">
        <v>10567</v>
      </c>
      <c r="J1782" s="864">
        <v>0.67500000000000004</v>
      </c>
      <c r="K1782" s="874" t="s">
        <v>10150</v>
      </c>
      <c r="L1782" s="824">
        <v>0.72</v>
      </c>
    </row>
    <row r="1783" spans="3:12" x14ac:dyDescent="0.25">
      <c r="C1783" s="774"/>
      <c r="D1783" s="774" t="s">
        <v>143</v>
      </c>
      <c r="F1783" s="836" t="s">
        <v>3</v>
      </c>
      <c r="G1783" s="777">
        <f>G1785</f>
        <v>1.2548250000000002E-2</v>
      </c>
      <c r="H1783" s="842"/>
      <c r="I1783" s="874"/>
      <c r="J1783" s="864"/>
      <c r="K1783" s="874"/>
      <c r="L1783" s="824"/>
    </row>
    <row r="1784" spans="3:12" x14ac:dyDescent="0.25">
      <c r="C1784" s="774"/>
      <c r="D1784" s="813" t="s">
        <v>148</v>
      </c>
      <c r="E1784" s="780"/>
      <c r="F1784" s="836" t="s">
        <v>3</v>
      </c>
      <c r="G1784" s="777">
        <f>J1782*0.011*2*1.3</f>
        <v>1.9305000000000003E-2</v>
      </c>
      <c r="H1784" s="842"/>
      <c r="I1784" s="874"/>
      <c r="J1784" s="864"/>
      <c r="K1784" s="874"/>
      <c r="L1784" s="824"/>
    </row>
    <row r="1785" spans="3:12" x14ac:dyDescent="0.25">
      <c r="C1785" s="774"/>
      <c r="D1785" s="813" t="s">
        <v>8</v>
      </c>
      <c r="E1785" s="780"/>
      <c r="F1785" s="836" t="s">
        <v>3</v>
      </c>
      <c r="G1785" s="777">
        <f>G1784*0.65</f>
        <v>1.2548250000000002E-2</v>
      </c>
      <c r="H1785" s="842"/>
      <c r="I1785" s="874"/>
      <c r="J1785" s="864"/>
      <c r="K1785" s="874"/>
      <c r="L1785" s="824"/>
    </row>
    <row r="1786" spans="3:12" x14ac:dyDescent="0.25">
      <c r="C1786" s="774"/>
      <c r="D1786" s="813" t="s">
        <v>12</v>
      </c>
      <c r="E1786" s="780"/>
      <c r="F1786" s="836" t="s">
        <v>3</v>
      </c>
      <c r="G1786" s="777">
        <f>0.3*(G1785+G1784+G1783)</f>
        <v>1.3320450000000003E-2</v>
      </c>
      <c r="H1786" s="842"/>
      <c r="I1786" s="874"/>
      <c r="J1786" s="864"/>
      <c r="K1786" s="874"/>
      <c r="L1786" s="824"/>
    </row>
    <row r="1787" spans="3:12" x14ac:dyDescent="0.25">
      <c r="C1787" s="774"/>
      <c r="D1787" s="610" t="s">
        <v>10460</v>
      </c>
      <c r="G1787" s="777"/>
      <c r="H1787" s="842"/>
      <c r="J1787" s="864"/>
      <c r="L1787" s="746"/>
    </row>
    <row r="1788" spans="3:12" x14ac:dyDescent="0.25">
      <c r="C1788" s="774"/>
      <c r="D1788" s="780" t="s">
        <v>10417</v>
      </c>
      <c r="E1788" s="780"/>
      <c r="F1788" s="836" t="s">
        <v>3</v>
      </c>
      <c r="G1788" s="777">
        <f>0.37* L1788</f>
        <v>0.6734</v>
      </c>
      <c r="H1788" s="842"/>
      <c r="I1788" s="874" t="s">
        <v>10567</v>
      </c>
      <c r="J1788" s="864">
        <v>1.77</v>
      </c>
      <c r="K1788" s="874" t="s">
        <v>10150</v>
      </c>
      <c r="L1788" s="824">
        <v>1.82</v>
      </c>
    </row>
    <row r="1789" spans="3:12" x14ac:dyDescent="0.25">
      <c r="C1789" s="774"/>
      <c r="G1789" s="777"/>
      <c r="H1789" s="842"/>
      <c r="J1789" s="864"/>
      <c r="L1789" s="746"/>
    </row>
    <row r="1790" spans="3:12" x14ac:dyDescent="0.25">
      <c r="C1790" s="773" t="s">
        <v>10383</v>
      </c>
      <c r="G1790" s="777"/>
      <c r="H1790" s="842"/>
      <c r="J1790" s="864"/>
      <c r="L1790" s="746"/>
    </row>
    <row r="1791" spans="3:12" x14ac:dyDescent="0.25">
      <c r="C1791" s="774" t="s">
        <v>10467</v>
      </c>
      <c r="F1791" s="836" t="s">
        <v>3</v>
      </c>
      <c r="G1791" s="777">
        <v>0.09</v>
      </c>
      <c r="H1791" s="842"/>
      <c r="I1791" s="874" t="s">
        <v>10567</v>
      </c>
      <c r="J1791" s="864">
        <v>0.08</v>
      </c>
      <c r="K1791" s="874" t="s">
        <v>10150</v>
      </c>
      <c r="L1791" s="824">
        <v>0.09</v>
      </c>
    </row>
    <row r="1792" spans="3:12" x14ac:dyDescent="0.25">
      <c r="C1792" s="774" t="s">
        <v>10410</v>
      </c>
      <c r="F1792" s="836" t="s">
        <v>3</v>
      </c>
      <c r="G1792" s="777">
        <f>0.0089*0.5</f>
        <v>4.45E-3</v>
      </c>
      <c r="H1792" s="842"/>
      <c r="I1792" s="874" t="s">
        <v>10567</v>
      </c>
      <c r="J1792" s="864">
        <f>2*0.2</f>
        <v>0.4</v>
      </c>
      <c r="K1792" s="874" t="s">
        <v>10150</v>
      </c>
      <c r="L1792" s="824">
        <v>0.5</v>
      </c>
    </row>
    <row r="1793" spans="3:12" x14ac:dyDescent="0.25">
      <c r="C1793" s="813"/>
      <c r="D1793" s="780"/>
      <c r="E1793" s="780"/>
      <c r="G1793" s="777"/>
      <c r="H1793" s="842"/>
      <c r="J1793" s="864"/>
      <c r="L1793" s="746"/>
    </row>
    <row r="1794" spans="3:12" x14ac:dyDescent="0.25">
      <c r="C1794" s="814" t="s">
        <v>10471</v>
      </c>
      <c r="D1794" s="780"/>
      <c r="E1794" s="780"/>
      <c r="G1794" s="777"/>
      <c r="H1794" s="842"/>
      <c r="J1794" s="864"/>
      <c r="L1794" s="746"/>
    </row>
    <row r="1795" spans="3:12" x14ac:dyDescent="0.25">
      <c r="C1795" s="844" t="s">
        <v>140</v>
      </c>
      <c r="D1795" s="844"/>
      <c r="F1795" s="845" t="s">
        <v>3</v>
      </c>
      <c r="G1795" s="779">
        <f>0.016*3.14*6*0.08*1.1</f>
        <v>2.6526720000000004E-2</v>
      </c>
      <c r="H1795" s="842"/>
      <c r="J1795" s="864"/>
      <c r="L1795" s="746"/>
    </row>
    <row r="1796" spans="3:12" ht="17.25" x14ac:dyDescent="0.25">
      <c r="C1796" s="844" t="s">
        <v>23</v>
      </c>
      <c r="D1796" s="844"/>
      <c r="F1796" s="845" t="s">
        <v>596</v>
      </c>
      <c r="G1796" s="779">
        <f>G1795*2</f>
        <v>5.3053440000000007E-2</v>
      </c>
      <c r="H1796" s="842"/>
      <c r="J1796" s="864"/>
      <c r="L1796" s="746"/>
    </row>
    <row r="1797" spans="3:12" x14ac:dyDescent="0.25">
      <c r="C1797" s="844" t="s">
        <v>142</v>
      </c>
      <c r="D1797" s="844"/>
      <c r="F1797" s="845" t="s">
        <v>3</v>
      </c>
      <c r="G1797" s="779">
        <f>G1795/4</f>
        <v>6.6316800000000009E-3</v>
      </c>
      <c r="H1797" s="842"/>
      <c r="J1797" s="864"/>
      <c r="L1797" s="746"/>
    </row>
    <row r="1798" spans="3:12" x14ac:dyDescent="0.25">
      <c r="C1798" s="774" t="s">
        <v>143</v>
      </c>
      <c r="F1798" s="836" t="s">
        <v>3</v>
      </c>
      <c r="G1798" s="779">
        <f>0.25*0.011*2*1.3*2+0.001</f>
        <v>1.5300000000000001E-2</v>
      </c>
      <c r="H1798" s="842"/>
      <c r="J1798" s="864"/>
      <c r="L1798" s="746"/>
    </row>
    <row r="1799" spans="3:12" x14ac:dyDescent="0.25">
      <c r="C1799" s="774" t="s">
        <v>12</v>
      </c>
      <c r="F1799" s="836" t="s">
        <v>3</v>
      </c>
      <c r="G1799" s="779">
        <f>0.3*G1798</f>
        <v>4.5900000000000003E-3</v>
      </c>
      <c r="H1799" s="842"/>
      <c r="J1799" s="864"/>
      <c r="L1799" s="746"/>
    </row>
    <row r="1800" spans="3:12" x14ac:dyDescent="0.25">
      <c r="C1800" s="814"/>
      <c r="D1800" s="814" t="s">
        <v>5702</v>
      </c>
      <c r="E1800" s="780"/>
      <c r="G1800" s="777"/>
      <c r="H1800" s="842"/>
      <c r="J1800" s="864"/>
      <c r="L1800" s="746"/>
    </row>
    <row r="1801" spans="3:12" x14ac:dyDescent="0.25">
      <c r="C1801" s="814"/>
      <c r="D1801" s="813" t="s">
        <v>10395</v>
      </c>
      <c r="E1801" s="780"/>
      <c r="F1801" s="836" t="s">
        <v>3</v>
      </c>
      <c r="G1801" s="777">
        <f>0.37* L1801</f>
        <v>4.07E-2</v>
      </c>
      <c r="H1801" s="842"/>
      <c r="I1801" s="874" t="s">
        <v>10567</v>
      </c>
      <c r="J1801" s="864">
        <v>7.9000000000000001E-2</v>
      </c>
      <c r="K1801" s="874" t="s">
        <v>10150</v>
      </c>
      <c r="L1801" s="824">
        <v>0.11</v>
      </c>
    </row>
    <row r="1802" spans="3:12" x14ac:dyDescent="0.25">
      <c r="D1802" s="814" t="s">
        <v>5704</v>
      </c>
      <c r="E1802" s="780"/>
      <c r="G1802" s="777"/>
      <c r="H1802" s="842"/>
      <c r="J1802" s="864"/>
      <c r="L1802" s="746"/>
    </row>
    <row r="1803" spans="3:12" x14ac:dyDescent="0.25">
      <c r="D1803" s="813" t="s">
        <v>10395</v>
      </c>
      <c r="E1803" s="780"/>
      <c r="F1803" s="836" t="s">
        <v>3</v>
      </c>
      <c r="G1803" s="777">
        <f>0.37* L1803</f>
        <v>3.6999999999999998E-2</v>
      </c>
      <c r="H1803" s="842"/>
      <c r="I1803" s="874" t="s">
        <v>10567</v>
      </c>
      <c r="J1803" s="864">
        <v>6.4000000000000001E-2</v>
      </c>
      <c r="K1803" s="874" t="s">
        <v>10150</v>
      </c>
      <c r="L1803" s="824">
        <v>0.1</v>
      </c>
    </row>
    <row r="1804" spans="3:12" x14ac:dyDescent="0.25">
      <c r="D1804" s="814" t="s">
        <v>5706</v>
      </c>
      <c r="E1804" s="780"/>
      <c r="G1804" s="777"/>
      <c r="H1804" s="842"/>
      <c r="J1804" s="864"/>
      <c r="L1804" s="746"/>
    </row>
    <row r="1805" spans="3:12" x14ac:dyDescent="0.25">
      <c r="D1805" s="813" t="s">
        <v>10395</v>
      </c>
      <c r="E1805" s="780"/>
      <c r="F1805" s="836" t="s">
        <v>3</v>
      </c>
      <c r="G1805" s="777">
        <f>0.37* L1805</f>
        <v>6.6599999999999993E-2</v>
      </c>
      <c r="H1805" s="842"/>
      <c r="I1805" s="874" t="s">
        <v>10567</v>
      </c>
      <c r="J1805" s="864">
        <v>0.11899999999999999</v>
      </c>
      <c r="K1805" s="874" t="s">
        <v>10150</v>
      </c>
      <c r="L1805" s="824">
        <v>0.18</v>
      </c>
    </row>
    <row r="1806" spans="3:12" x14ac:dyDescent="0.25">
      <c r="D1806" s="814" t="s">
        <v>5708</v>
      </c>
      <c r="E1806" s="780"/>
      <c r="G1806" s="777"/>
      <c r="H1806" s="842"/>
      <c r="J1806" s="864"/>
      <c r="L1806" s="746"/>
    </row>
    <row r="1807" spans="3:12" x14ac:dyDescent="0.25">
      <c r="D1807" s="813" t="s">
        <v>10395</v>
      </c>
      <c r="E1807" s="780"/>
      <c r="F1807" s="836" t="s">
        <v>3</v>
      </c>
      <c r="G1807" s="777">
        <f>0.37* L1807</f>
        <v>1.4800000000000001E-2</v>
      </c>
      <c r="H1807" s="842"/>
      <c r="I1807" s="874" t="s">
        <v>10567</v>
      </c>
      <c r="J1807" s="864">
        <v>3.4000000000000002E-2</v>
      </c>
      <c r="K1807" s="874" t="s">
        <v>10150</v>
      </c>
      <c r="L1807" s="824">
        <v>0.04</v>
      </c>
    </row>
    <row r="1808" spans="3:12" x14ac:dyDescent="0.25">
      <c r="D1808" s="780"/>
      <c r="E1808" s="780"/>
      <c r="G1808" s="777"/>
      <c r="H1808" s="842"/>
      <c r="J1808" s="864"/>
      <c r="L1808" s="746"/>
    </row>
    <row r="1809" spans="3:12" x14ac:dyDescent="0.25">
      <c r="C1809" s="814" t="s">
        <v>10472</v>
      </c>
      <c r="D1809" s="780"/>
      <c r="E1809" s="780"/>
      <c r="G1809" s="777"/>
      <c r="H1809" s="842"/>
      <c r="J1809" s="864"/>
      <c r="L1809" s="746"/>
    </row>
    <row r="1810" spans="3:12" x14ac:dyDescent="0.25">
      <c r="C1810" s="813" t="s">
        <v>10160</v>
      </c>
      <c r="D1810" s="780"/>
      <c r="E1810" s="780"/>
      <c r="F1810" s="836" t="s">
        <v>3</v>
      </c>
      <c r="G1810" s="777">
        <f>0.06*0.045*1*8</f>
        <v>2.1599999999999998E-2</v>
      </c>
      <c r="H1810" s="842"/>
      <c r="J1810" s="864"/>
      <c r="L1810" s="746"/>
    </row>
    <row r="1811" spans="3:12" x14ac:dyDescent="0.25">
      <c r="C1811" s="814"/>
      <c r="D1811" s="780"/>
      <c r="E1811" s="780"/>
      <c r="G1811" s="777"/>
      <c r="H1811" s="842"/>
      <c r="J1811" s="864"/>
      <c r="L1811" s="746"/>
    </row>
    <row r="1812" spans="3:12" x14ac:dyDescent="0.25">
      <c r="C1812" s="814" t="s">
        <v>10473</v>
      </c>
      <c r="D1812" s="780"/>
      <c r="E1812" s="780"/>
      <c r="G1812" s="777"/>
      <c r="H1812" s="842"/>
      <c r="J1812" s="864"/>
      <c r="L1812" s="746"/>
    </row>
    <row r="1813" spans="3:12" x14ac:dyDescent="0.25">
      <c r="C1813" s="813" t="s">
        <v>10474</v>
      </c>
      <c r="D1813" s="780"/>
      <c r="E1813" s="780"/>
      <c r="F1813" s="836" t="s">
        <v>3</v>
      </c>
      <c r="G1813" s="777">
        <f>0.06*0.06*2*1.2*1.1</f>
        <v>9.5040000000000003E-3</v>
      </c>
      <c r="H1813" s="842"/>
      <c r="J1813" s="864"/>
      <c r="L1813" s="746"/>
    </row>
    <row r="1814" spans="3:12" x14ac:dyDescent="0.25">
      <c r="C1814" s="814"/>
      <c r="D1814" s="780"/>
      <c r="E1814" s="780"/>
      <c r="G1814" s="777"/>
      <c r="H1814" s="842"/>
      <c r="J1814" s="864"/>
      <c r="L1814" s="746"/>
    </row>
    <row r="1815" spans="3:12" x14ac:dyDescent="0.25">
      <c r="C1815" s="814" t="s">
        <v>10477</v>
      </c>
      <c r="E1815" s="780"/>
      <c r="G1815" s="777"/>
      <c r="H1815" s="842"/>
      <c r="J1815" s="864"/>
      <c r="L1815" s="746"/>
    </row>
    <row r="1816" spans="3:12" x14ac:dyDescent="0.25">
      <c r="C1816" s="843" t="s">
        <v>39</v>
      </c>
      <c r="D1816" s="858"/>
      <c r="F1816" s="845" t="s">
        <v>3</v>
      </c>
      <c r="G1816" s="852">
        <f>0.06*0.08*1.18</f>
        <v>5.6639999999999989E-3</v>
      </c>
      <c r="H1816" s="842"/>
      <c r="J1816" s="864"/>
      <c r="L1816" s="746"/>
    </row>
    <row r="1817" spans="3:12" ht="17.25" x14ac:dyDescent="0.25">
      <c r="C1817" s="843" t="s">
        <v>1055</v>
      </c>
      <c r="D1817" s="858"/>
      <c r="F1817" s="845" t="s">
        <v>596</v>
      </c>
      <c r="G1817" s="779">
        <f>1.1*G1816</f>
        <v>6.2303999999999997E-3</v>
      </c>
      <c r="H1817" s="842"/>
      <c r="J1817" s="864"/>
      <c r="L1817" s="746"/>
    </row>
    <row r="1818" spans="3:12" x14ac:dyDescent="0.25">
      <c r="C1818" s="813" t="s">
        <v>6248</v>
      </c>
      <c r="E1818" s="780"/>
      <c r="F1818" s="836" t="s">
        <v>3</v>
      </c>
      <c r="G1818" s="777">
        <f>0.15*0.2*2*0.15*2*1.2</f>
        <v>2.1599999999999998E-2</v>
      </c>
      <c r="H1818" s="842"/>
      <c r="J1818" s="864"/>
      <c r="L1818" s="746"/>
    </row>
    <row r="1819" spans="3:12" x14ac:dyDescent="0.25">
      <c r="C1819" s="813" t="s">
        <v>12</v>
      </c>
      <c r="E1819" s="780"/>
      <c r="F1819" s="836" t="s">
        <v>3</v>
      </c>
      <c r="G1819" s="777">
        <f>0.3*G1818</f>
        <v>6.4799999999999988E-3</v>
      </c>
      <c r="H1819" s="842"/>
      <c r="J1819" s="864"/>
      <c r="L1819" s="746"/>
    </row>
    <row r="1820" spans="3:12" x14ac:dyDescent="0.25">
      <c r="D1820" s="814" t="s">
        <v>10478</v>
      </c>
      <c r="E1820" s="780"/>
      <c r="G1820" s="777"/>
      <c r="H1820" s="842"/>
      <c r="J1820" s="864"/>
      <c r="L1820" s="746"/>
    </row>
    <row r="1821" spans="3:12" x14ac:dyDescent="0.25">
      <c r="D1821" s="813" t="s">
        <v>10480</v>
      </c>
      <c r="E1821" s="780"/>
      <c r="F1821" s="836" t="s">
        <v>3</v>
      </c>
      <c r="G1821" s="777">
        <f>0.155*0.185*4*8*1.144</f>
        <v>1.0497344</v>
      </c>
      <c r="H1821" s="842"/>
      <c r="J1821" s="864"/>
      <c r="L1821" s="746"/>
    </row>
    <row r="1822" spans="3:12" x14ac:dyDescent="0.25">
      <c r="D1822" s="814" t="s">
        <v>10479</v>
      </c>
      <c r="E1822" s="780"/>
      <c r="G1822" s="777"/>
      <c r="H1822" s="842"/>
      <c r="J1822" s="864"/>
      <c r="L1822" s="746"/>
    </row>
    <row r="1823" spans="3:12" x14ac:dyDescent="0.25">
      <c r="D1823" s="813" t="s">
        <v>10481</v>
      </c>
      <c r="E1823" s="780"/>
      <c r="F1823" s="836" t="s">
        <v>3</v>
      </c>
      <c r="G1823" s="777">
        <f>0.035*0.03*3*8*1.1</f>
        <v>2.7720000000000005E-2</v>
      </c>
      <c r="H1823" s="842"/>
      <c r="J1823" s="864"/>
      <c r="L1823" s="746"/>
    </row>
    <row r="1824" spans="3:12" x14ac:dyDescent="0.25">
      <c r="D1824" s="814"/>
      <c r="E1824" s="780"/>
      <c r="G1824" s="777"/>
      <c r="H1824" s="842"/>
      <c r="J1824" s="864"/>
      <c r="L1824" s="746"/>
    </row>
    <row r="1825" spans="3:12" x14ac:dyDescent="0.25">
      <c r="C1825" s="610" t="s">
        <v>10482</v>
      </c>
      <c r="D1825" s="814"/>
      <c r="E1825" s="780"/>
      <c r="G1825" s="777"/>
      <c r="H1825" s="842"/>
      <c r="J1825" s="864"/>
      <c r="L1825" s="746"/>
    </row>
    <row r="1826" spans="3:12" x14ac:dyDescent="0.25">
      <c r="C1826" s="746" t="s">
        <v>10395</v>
      </c>
      <c r="D1826" s="814"/>
      <c r="E1826" s="780"/>
      <c r="F1826" s="836" t="s">
        <v>3</v>
      </c>
      <c r="G1826" s="777">
        <f>0.37* L1826</f>
        <v>0.15539999999999998</v>
      </c>
      <c r="H1826" s="842"/>
      <c r="I1826" s="874" t="s">
        <v>10567</v>
      </c>
      <c r="J1826" s="864">
        <v>0.36</v>
      </c>
      <c r="K1826" s="874" t="s">
        <v>10150</v>
      </c>
      <c r="L1826" s="824">
        <v>0.42</v>
      </c>
    </row>
    <row r="1827" spans="3:12" x14ac:dyDescent="0.25">
      <c r="C1827" s="746" t="s">
        <v>8</v>
      </c>
      <c r="D1827" s="814"/>
      <c r="E1827" s="780"/>
      <c r="F1827" s="836" t="s">
        <v>3</v>
      </c>
      <c r="G1827" s="777">
        <f>G1828*0.65</f>
        <v>8.4239999999999992E-3</v>
      </c>
      <c r="H1827" s="842"/>
      <c r="J1827" s="864"/>
      <c r="L1827" s="746"/>
    </row>
    <row r="1828" spans="3:12" x14ac:dyDescent="0.25">
      <c r="C1828" s="746" t="s">
        <v>148</v>
      </c>
      <c r="D1828" s="814"/>
      <c r="E1828" s="780"/>
      <c r="F1828" s="836" t="s">
        <v>3</v>
      </c>
      <c r="G1828" s="777">
        <f>J1826*0.015*2*1.2</f>
        <v>1.2959999999999998E-2</v>
      </c>
      <c r="H1828" s="842"/>
      <c r="J1828" s="864"/>
      <c r="L1828" s="746"/>
    </row>
    <row r="1829" spans="3:12" x14ac:dyDescent="0.25">
      <c r="C1829" s="746" t="s">
        <v>143</v>
      </c>
      <c r="D1829" s="814"/>
      <c r="E1829" s="780"/>
      <c r="F1829" s="836" t="s">
        <v>3</v>
      </c>
      <c r="G1829" s="777">
        <f>G1827</f>
        <v>8.4239999999999992E-3</v>
      </c>
      <c r="H1829" s="842"/>
      <c r="J1829" s="864"/>
      <c r="L1829" s="746"/>
    </row>
    <row r="1830" spans="3:12" x14ac:dyDescent="0.25">
      <c r="C1830" s="746" t="s">
        <v>12</v>
      </c>
      <c r="D1830" s="814"/>
      <c r="E1830" s="780"/>
      <c r="F1830" s="836" t="s">
        <v>3</v>
      </c>
      <c r="G1830" s="777">
        <f>0.3*(G1829+G1828+G1827)</f>
        <v>8.9423999999999979E-3</v>
      </c>
      <c r="H1830" s="842"/>
      <c r="J1830" s="864"/>
      <c r="L1830" s="746"/>
    </row>
    <row r="1831" spans="3:12" x14ac:dyDescent="0.25">
      <c r="D1831" s="814"/>
      <c r="E1831" s="780"/>
      <c r="G1831" s="777"/>
      <c r="H1831" s="842"/>
      <c r="J1831" s="864"/>
      <c r="L1831" s="746"/>
    </row>
    <row r="1832" spans="3:12" x14ac:dyDescent="0.25">
      <c r="C1832" s="814" t="s">
        <v>10384</v>
      </c>
      <c r="D1832" s="780"/>
      <c r="E1832" s="780"/>
      <c r="F1832" s="853"/>
      <c r="G1832" s="785"/>
      <c r="H1832" s="842"/>
      <c r="J1832" s="864"/>
      <c r="L1832" s="746"/>
    </row>
    <row r="1833" spans="3:12" x14ac:dyDescent="0.25">
      <c r="C1833" s="813" t="s">
        <v>10410</v>
      </c>
      <c r="D1833" s="780"/>
      <c r="E1833" s="780"/>
      <c r="F1833" s="853" t="s">
        <v>3</v>
      </c>
      <c r="G1833" s="785">
        <f>0.0089*1</f>
        <v>8.8999999999999999E-3</v>
      </c>
      <c r="H1833" s="842"/>
      <c r="I1833" s="874" t="s">
        <v>10567</v>
      </c>
      <c r="J1833" s="864">
        <f>0.2*4</f>
        <v>0.8</v>
      </c>
      <c r="K1833" s="874" t="s">
        <v>10150</v>
      </c>
      <c r="L1833" s="824">
        <v>1</v>
      </c>
    </row>
    <row r="1834" spans="3:12" x14ac:dyDescent="0.25">
      <c r="D1834" s="610" t="s">
        <v>10483</v>
      </c>
      <c r="E1834" s="780"/>
      <c r="G1834" s="777"/>
      <c r="H1834" s="842"/>
      <c r="J1834" s="864"/>
      <c r="L1834" s="746"/>
    </row>
    <row r="1835" spans="3:12" x14ac:dyDescent="0.25">
      <c r="D1835" s="843" t="s">
        <v>39</v>
      </c>
      <c r="E1835" s="858"/>
      <c r="F1835" s="845" t="s">
        <v>3</v>
      </c>
      <c r="G1835" s="852">
        <f>(0.13+0.012*3.14*4+0.1)*0.08*1.2</f>
        <v>3.6549120000000004E-2</v>
      </c>
      <c r="H1835" s="842"/>
      <c r="J1835" s="864"/>
      <c r="L1835" s="746"/>
    </row>
    <row r="1836" spans="3:12" ht="17.25" x14ac:dyDescent="0.25">
      <c r="D1836" s="843" t="s">
        <v>1055</v>
      </c>
      <c r="E1836" s="858"/>
      <c r="F1836" s="845" t="s">
        <v>596</v>
      </c>
      <c r="G1836" s="779">
        <f>1.1*G1835</f>
        <v>4.0204032000000008E-2</v>
      </c>
      <c r="H1836" s="842"/>
      <c r="J1836" s="864"/>
      <c r="L1836" s="746"/>
    </row>
    <row r="1837" spans="3:12" x14ac:dyDescent="0.25">
      <c r="D1837" s="843" t="s">
        <v>8</v>
      </c>
      <c r="E1837" s="858"/>
      <c r="F1837" s="845" t="s">
        <v>3</v>
      </c>
      <c r="G1837" s="779">
        <f>0.65*G1838</f>
        <v>9.8865000000000012E-3</v>
      </c>
      <c r="H1837" s="842"/>
      <c r="J1837" s="864"/>
      <c r="L1837" s="746"/>
    </row>
    <row r="1838" spans="3:12" x14ac:dyDescent="0.25">
      <c r="D1838" s="843" t="s">
        <v>2984</v>
      </c>
      <c r="E1838" s="858"/>
      <c r="F1838" s="845" t="s">
        <v>3</v>
      </c>
      <c r="G1838" s="779">
        <f>(0.05*0.15+0.15*0.08)*0.15*2*2*1.3</f>
        <v>1.5210000000000001E-2</v>
      </c>
      <c r="H1838" s="842"/>
      <c r="J1838" s="864"/>
      <c r="L1838" s="746"/>
    </row>
    <row r="1839" spans="3:12" x14ac:dyDescent="0.25">
      <c r="D1839" s="843" t="s">
        <v>12</v>
      </c>
      <c r="E1839" s="858"/>
      <c r="F1839" s="845" t="s">
        <v>3</v>
      </c>
      <c r="G1839" s="779">
        <f>0.3*(G1838+G1837)</f>
        <v>7.5289499999999995E-3</v>
      </c>
      <c r="H1839" s="842"/>
      <c r="J1839" s="864"/>
      <c r="L1839" s="746"/>
    </row>
    <row r="1840" spans="3:12" x14ac:dyDescent="0.25">
      <c r="D1840" s="814"/>
      <c r="E1840" s="610" t="s">
        <v>10484</v>
      </c>
      <c r="G1840" s="777"/>
      <c r="H1840" s="842"/>
      <c r="J1840" s="864"/>
      <c r="L1840" s="746"/>
    </row>
    <row r="1841" spans="4:12" x14ac:dyDescent="0.25">
      <c r="D1841" s="814"/>
      <c r="E1841" s="746" t="s">
        <v>9847</v>
      </c>
      <c r="F1841" s="836" t="s">
        <v>3</v>
      </c>
      <c r="G1841" s="777">
        <f>0.14*0.075*3*8*1.12-0.002</f>
        <v>0.28024000000000004</v>
      </c>
      <c r="H1841" s="842"/>
      <c r="J1841" s="864"/>
      <c r="L1841" s="746"/>
    </row>
    <row r="1842" spans="4:12" x14ac:dyDescent="0.25">
      <c r="D1842" s="814"/>
      <c r="E1842" s="610" t="s">
        <v>10485</v>
      </c>
      <c r="G1842" s="777"/>
      <c r="H1842" s="842"/>
      <c r="J1842" s="864"/>
      <c r="L1842" s="746"/>
    </row>
    <row r="1843" spans="4:12" x14ac:dyDescent="0.25">
      <c r="D1843" s="814"/>
      <c r="E1843" s="746" t="s">
        <v>9847</v>
      </c>
      <c r="F1843" s="836" t="s">
        <v>3</v>
      </c>
      <c r="G1843" s="777">
        <f>0.09*0.14*3*8*1.12+0.001</f>
        <v>0.33968800000000005</v>
      </c>
      <c r="H1843" s="842"/>
      <c r="J1843" s="864"/>
      <c r="L1843" s="746"/>
    </row>
    <row r="1844" spans="4:12" x14ac:dyDescent="0.25">
      <c r="D1844" s="780"/>
      <c r="E1844" s="814" t="s">
        <v>10486</v>
      </c>
      <c r="G1844" s="777"/>
      <c r="H1844" s="842"/>
      <c r="J1844" s="864"/>
      <c r="L1844" s="746"/>
    </row>
    <row r="1845" spans="4:12" x14ac:dyDescent="0.25">
      <c r="D1845" s="780"/>
      <c r="E1845" s="746" t="s">
        <v>9847</v>
      </c>
      <c r="F1845" s="836" t="s">
        <v>3</v>
      </c>
      <c r="G1845" s="777">
        <f>0.055*0.015*3*8*1.12</f>
        <v>2.2176000000000001E-2</v>
      </c>
      <c r="H1845" s="842"/>
      <c r="J1845" s="864"/>
      <c r="L1845" s="746"/>
    </row>
    <row r="1846" spans="4:12" x14ac:dyDescent="0.25">
      <c r="D1846" s="751" t="s">
        <v>10487</v>
      </c>
      <c r="E1846" s="814"/>
      <c r="G1846" s="777"/>
      <c r="H1846" s="842"/>
      <c r="J1846" s="864"/>
      <c r="L1846" s="746"/>
    </row>
    <row r="1847" spans="4:12" x14ac:dyDescent="0.25">
      <c r="D1847" s="844" t="s">
        <v>140</v>
      </c>
      <c r="E1847" s="844"/>
      <c r="F1847" s="845" t="s">
        <v>3</v>
      </c>
      <c r="G1847" s="779">
        <f>0.016*3.14*0.08*1.1</f>
        <v>4.4211199999999997E-3</v>
      </c>
      <c r="H1847" s="842"/>
      <c r="J1847" s="864"/>
      <c r="L1847" s="746"/>
    </row>
    <row r="1848" spans="4:12" ht="17.25" x14ac:dyDescent="0.25">
      <c r="D1848" s="844" t="s">
        <v>23</v>
      </c>
      <c r="E1848" s="844"/>
      <c r="F1848" s="845" t="s">
        <v>596</v>
      </c>
      <c r="G1848" s="779">
        <f>G1847*2</f>
        <v>8.8422399999999995E-3</v>
      </c>
      <c r="H1848" s="842"/>
      <c r="J1848" s="864"/>
      <c r="L1848" s="746"/>
    </row>
    <row r="1849" spans="4:12" x14ac:dyDescent="0.25">
      <c r="D1849" s="844" t="s">
        <v>142</v>
      </c>
      <c r="E1849" s="844"/>
      <c r="F1849" s="845" t="s">
        <v>3</v>
      </c>
      <c r="G1849" s="779">
        <f>G1847/4</f>
        <v>1.1052799999999999E-3</v>
      </c>
      <c r="H1849" s="842"/>
      <c r="J1849" s="864"/>
      <c r="L1849" s="746"/>
    </row>
    <row r="1850" spans="4:12" x14ac:dyDescent="0.25">
      <c r="D1850" s="746" t="s">
        <v>1783</v>
      </c>
      <c r="F1850" s="845" t="s">
        <v>3</v>
      </c>
      <c r="G1850" s="779">
        <f>0.1*0.011*2*1.5</f>
        <v>3.3E-3</v>
      </c>
      <c r="H1850" s="842"/>
      <c r="J1850" s="864"/>
      <c r="L1850" s="746"/>
    </row>
    <row r="1851" spans="4:12" x14ac:dyDescent="0.25">
      <c r="D1851" s="746" t="s">
        <v>8</v>
      </c>
      <c r="F1851" s="845" t="s">
        <v>3</v>
      </c>
      <c r="G1851" s="779">
        <f>0.65*G1850</f>
        <v>2.1450000000000002E-3</v>
      </c>
      <c r="H1851" s="842"/>
      <c r="J1851" s="864"/>
      <c r="L1851" s="746"/>
    </row>
    <row r="1852" spans="4:12" x14ac:dyDescent="0.25">
      <c r="D1852" s="774" t="s">
        <v>143</v>
      </c>
      <c r="F1852" s="836" t="s">
        <v>3</v>
      </c>
      <c r="G1852" s="779">
        <f>G1851</f>
        <v>2.1450000000000002E-3</v>
      </c>
      <c r="H1852" s="842"/>
      <c r="J1852" s="864"/>
      <c r="L1852" s="746"/>
    </row>
    <row r="1853" spans="4:12" x14ac:dyDescent="0.25">
      <c r="D1853" s="774" t="s">
        <v>12</v>
      </c>
      <c r="F1853" s="836" t="s">
        <v>3</v>
      </c>
      <c r="G1853" s="779">
        <f>0.3*(G1851+G1852+G1850)</f>
        <v>2.2769999999999999E-3</v>
      </c>
      <c r="H1853" s="842"/>
      <c r="J1853" s="864"/>
      <c r="L1853" s="746"/>
    </row>
    <row r="1854" spans="4:12" x14ac:dyDescent="0.25">
      <c r="E1854" s="751" t="s">
        <v>10488</v>
      </c>
      <c r="G1854" s="777"/>
      <c r="H1854" s="842"/>
      <c r="J1854" s="864"/>
      <c r="L1854" s="746"/>
    </row>
    <row r="1855" spans="4:12" x14ac:dyDescent="0.25">
      <c r="E1855" s="746" t="s">
        <v>10395</v>
      </c>
      <c r="F1855" s="836" t="s">
        <v>3</v>
      </c>
      <c r="G1855" s="777">
        <f>0.37*L1855</f>
        <v>2.6639999999999997E-2</v>
      </c>
      <c r="H1855" s="842"/>
      <c r="I1855" s="874" t="s">
        <v>10567</v>
      </c>
      <c r="J1855" s="864">
        <v>6.5000000000000002E-2</v>
      </c>
      <c r="K1855" s="874" t="s">
        <v>10150</v>
      </c>
      <c r="L1855" s="824">
        <v>7.1999999999999995E-2</v>
      </c>
    </row>
    <row r="1856" spans="4:12" x14ac:dyDescent="0.25">
      <c r="D1856" s="751" t="s">
        <v>10489</v>
      </c>
      <c r="E1856" s="814"/>
      <c r="G1856" s="777"/>
      <c r="H1856" s="842"/>
      <c r="J1856" s="864"/>
      <c r="L1856" s="746"/>
    </row>
    <row r="1857" spans="3:12" x14ac:dyDescent="0.25">
      <c r="D1857" s="844" t="s">
        <v>140</v>
      </c>
      <c r="E1857" s="844"/>
      <c r="F1857" s="845" t="s">
        <v>3</v>
      </c>
      <c r="G1857" s="779">
        <f>0.016*3.14*0.08*1.1</f>
        <v>4.4211199999999997E-3</v>
      </c>
      <c r="H1857" s="842"/>
      <c r="J1857" s="864"/>
      <c r="L1857" s="746"/>
    </row>
    <row r="1858" spans="3:12" ht="17.25" x14ac:dyDescent="0.25">
      <c r="D1858" s="844" t="s">
        <v>23</v>
      </c>
      <c r="E1858" s="844"/>
      <c r="F1858" s="845" t="s">
        <v>596</v>
      </c>
      <c r="G1858" s="779">
        <f>G1857*2</f>
        <v>8.8422399999999995E-3</v>
      </c>
      <c r="H1858" s="842"/>
      <c r="J1858" s="864"/>
      <c r="L1858" s="746"/>
    </row>
    <row r="1859" spans="3:12" x14ac:dyDescent="0.25">
      <c r="D1859" s="844" t="s">
        <v>142</v>
      </c>
      <c r="E1859" s="844"/>
      <c r="F1859" s="845" t="s">
        <v>3</v>
      </c>
      <c r="G1859" s="779">
        <f>G1857/4</f>
        <v>1.1052799999999999E-3</v>
      </c>
      <c r="H1859" s="842"/>
      <c r="J1859" s="864"/>
      <c r="L1859" s="746"/>
    </row>
    <row r="1860" spans="3:12" x14ac:dyDescent="0.25">
      <c r="D1860" s="746" t="s">
        <v>1783</v>
      </c>
      <c r="F1860" s="845" t="s">
        <v>3</v>
      </c>
      <c r="G1860" s="779">
        <f>0.2*0.011*2*1.5</f>
        <v>6.6E-3</v>
      </c>
      <c r="H1860" s="842"/>
      <c r="J1860" s="864"/>
      <c r="L1860" s="746"/>
    </row>
    <row r="1861" spans="3:12" x14ac:dyDescent="0.25">
      <c r="D1861" s="746" t="s">
        <v>8</v>
      </c>
      <c r="F1861" s="845" t="s">
        <v>3</v>
      </c>
      <c r="G1861" s="779">
        <f>0.65*G1860</f>
        <v>4.2900000000000004E-3</v>
      </c>
      <c r="H1861" s="842"/>
      <c r="J1861" s="864"/>
      <c r="L1861" s="746"/>
    </row>
    <row r="1862" spans="3:12" x14ac:dyDescent="0.25">
      <c r="D1862" s="774" t="s">
        <v>143</v>
      </c>
      <c r="F1862" s="836" t="s">
        <v>3</v>
      </c>
      <c r="G1862" s="779">
        <f>G1861</f>
        <v>4.2900000000000004E-3</v>
      </c>
      <c r="H1862" s="842"/>
      <c r="J1862" s="864"/>
      <c r="L1862" s="746"/>
    </row>
    <row r="1863" spans="3:12" x14ac:dyDescent="0.25">
      <c r="D1863" s="774" t="s">
        <v>12</v>
      </c>
      <c r="F1863" s="836" t="s">
        <v>3</v>
      </c>
      <c r="G1863" s="779">
        <f>0.3*(G1861+G1862+G1860)</f>
        <v>4.5539999999999999E-3</v>
      </c>
      <c r="H1863" s="842"/>
      <c r="J1863" s="864"/>
      <c r="L1863" s="746"/>
    </row>
    <row r="1864" spans="3:12" x14ac:dyDescent="0.25">
      <c r="E1864" s="751" t="s">
        <v>10490</v>
      </c>
      <c r="G1864" s="777"/>
      <c r="H1864" s="842"/>
      <c r="J1864" s="864"/>
      <c r="L1864" s="746"/>
    </row>
    <row r="1865" spans="3:12" x14ac:dyDescent="0.25">
      <c r="E1865" s="746" t="s">
        <v>10395</v>
      </c>
      <c r="F1865" s="836" t="s">
        <v>3</v>
      </c>
      <c r="G1865" s="777">
        <f>0.37* L1865</f>
        <v>8.14E-2</v>
      </c>
      <c r="H1865" s="842"/>
      <c r="I1865" s="874" t="s">
        <v>10567</v>
      </c>
      <c r="J1865" s="864">
        <v>0.19</v>
      </c>
      <c r="K1865" s="874" t="s">
        <v>10150</v>
      </c>
      <c r="L1865" s="824">
        <v>0.22</v>
      </c>
    </row>
    <row r="1866" spans="3:12" x14ac:dyDescent="0.25">
      <c r="D1866" s="610" t="s">
        <v>10491</v>
      </c>
      <c r="F1866" s="746"/>
      <c r="G1866" s="777"/>
      <c r="H1866" s="842"/>
      <c r="J1866" s="864"/>
      <c r="L1866" s="746"/>
    </row>
    <row r="1867" spans="3:12" x14ac:dyDescent="0.25">
      <c r="D1867" s="746" t="s">
        <v>9847</v>
      </c>
      <c r="F1867" s="836" t="s">
        <v>3</v>
      </c>
      <c r="G1867" s="777">
        <f>0.08*0.015*3*8*1.12</f>
        <v>3.2256E-2</v>
      </c>
      <c r="H1867" s="842"/>
      <c r="J1867" s="864"/>
      <c r="L1867" s="746"/>
    </row>
    <row r="1868" spans="3:12" x14ac:dyDescent="0.25">
      <c r="C1868" s="773"/>
      <c r="G1868" s="777"/>
      <c r="H1868" s="842"/>
      <c r="J1868" s="864"/>
      <c r="L1868" s="746"/>
    </row>
    <row r="1869" spans="3:12" x14ac:dyDescent="0.25">
      <c r="C1869" s="773" t="s">
        <v>10517</v>
      </c>
      <c r="G1869" s="777"/>
      <c r="H1869" s="842"/>
      <c r="J1869" s="864"/>
      <c r="L1869" s="746"/>
    </row>
    <row r="1870" spans="3:12" x14ac:dyDescent="0.25">
      <c r="C1870" s="746" t="s">
        <v>10518</v>
      </c>
      <c r="F1870" s="836" t="s">
        <v>3</v>
      </c>
      <c r="G1870" s="777">
        <f>0.065*0.035*5*8*1.1</f>
        <v>0.10010000000000001</v>
      </c>
      <c r="H1870" s="842"/>
      <c r="J1870" s="864"/>
      <c r="L1870" s="746"/>
    </row>
    <row r="1871" spans="3:12" x14ac:dyDescent="0.25">
      <c r="C1871" s="773"/>
      <c r="G1871" s="777"/>
      <c r="H1871" s="842"/>
      <c r="J1871" s="864"/>
      <c r="L1871" s="746"/>
    </row>
    <row r="1872" spans="3:12" x14ac:dyDescent="0.25">
      <c r="C1872" s="773" t="s">
        <v>10424</v>
      </c>
      <c r="G1872" s="777"/>
      <c r="H1872" s="842"/>
      <c r="J1872" s="864"/>
      <c r="L1872" s="746"/>
    </row>
    <row r="1873" spans="3:12" x14ac:dyDescent="0.25">
      <c r="C1873" s="746" t="s">
        <v>10518</v>
      </c>
      <c r="F1873" s="836" t="s">
        <v>3</v>
      </c>
      <c r="G1873" s="777">
        <f>0.065*0.035*5*8*1.1</f>
        <v>0.10010000000000001</v>
      </c>
      <c r="H1873" s="842"/>
      <c r="J1873" s="864"/>
      <c r="L1873" s="746"/>
    </row>
    <row r="1874" spans="3:12" x14ac:dyDescent="0.25">
      <c r="C1874" s="773"/>
      <c r="G1874" s="777"/>
      <c r="H1874" s="842"/>
      <c r="J1874" s="864"/>
      <c r="L1874" s="746"/>
    </row>
    <row r="1875" spans="3:12" x14ac:dyDescent="0.25">
      <c r="C1875" s="773" t="s">
        <v>10519</v>
      </c>
      <c r="G1875" s="777"/>
      <c r="H1875" s="842"/>
      <c r="J1875" s="864"/>
      <c r="L1875" s="746"/>
    </row>
    <row r="1876" spans="3:12" x14ac:dyDescent="0.25">
      <c r="C1876" s="774" t="s">
        <v>10417</v>
      </c>
      <c r="F1876" s="836" t="s">
        <v>3</v>
      </c>
      <c r="G1876" s="777">
        <f>0.37*L1876</f>
        <v>0.11840000000000001</v>
      </c>
      <c r="H1876" s="842"/>
      <c r="I1876" s="874" t="s">
        <v>10567</v>
      </c>
      <c r="J1876" s="864">
        <v>0.28999999999999998</v>
      </c>
      <c r="K1876" s="874" t="s">
        <v>10150</v>
      </c>
      <c r="L1876" s="824">
        <v>0.32</v>
      </c>
    </row>
    <row r="1877" spans="3:12" x14ac:dyDescent="0.25">
      <c r="C1877" s="774" t="s">
        <v>143</v>
      </c>
      <c r="F1877" s="836" t="s">
        <v>3</v>
      </c>
      <c r="G1877" s="777">
        <f>G1878*0.7</f>
        <v>5.3591999999999989E-3</v>
      </c>
      <c r="H1877" s="842"/>
      <c r="J1877" s="864"/>
      <c r="L1877" s="746"/>
    </row>
    <row r="1878" spans="3:12" x14ac:dyDescent="0.25">
      <c r="C1878" s="774" t="s">
        <v>148</v>
      </c>
      <c r="F1878" s="836" t="s">
        <v>3</v>
      </c>
      <c r="G1878" s="777">
        <f>0.011*J1876*2*1.2</f>
        <v>7.6559999999999987E-3</v>
      </c>
      <c r="H1878" s="842"/>
      <c r="J1878" s="864"/>
      <c r="L1878" s="746"/>
    </row>
    <row r="1879" spans="3:12" x14ac:dyDescent="0.25">
      <c r="C1879" s="774" t="s">
        <v>12</v>
      </c>
      <c r="F1879" s="836" t="s">
        <v>3</v>
      </c>
      <c r="G1879" s="777">
        <f>0.3*(G1878+G1877)</f>
        <v>3.9045599999999992E-3</v>
      </c>
      <c r="H1879" s="842"/>
      <c r="J1879" s="864"/>
      <c r="L1879" s="746"/>
    </row>
    <row r="1880" spans="3:12" x14ac:dyDescent="0.25">
      <c r="C1880" s="773"/>
      <c r="G1880" s="777"/>
      <c r="H1880" s="842"/>
      <c r="J1880" s="864"/>
      <c r="L1880" s="746"/>
    </row>
    <row r="1881" spans="3:12" x14ac:dyDescent="0.25">
      <c r="C1881" s="773" t="s">
        <v>10385</v>
      </c>
      <c r="G1881" s="777"/>
      <c r="H1881" s="842"/>
      <c r="J1881" s="864"/>
      <c r="L1881" s="746"/>
    </row>
    <row r="1882" spans="3:12" x14ac:dyDescent="0.25">
      <c r="C1882" s="844" t="s">
        <v>140</v>
      </c>
      <c r="D1882" s="844"/>
      <c r="F1882" s="845" t="s">
        <v>3</v>
      </c>
      <c r="G1882" s="779">
        <f>0.008*3.14*0.08*1.15</f>
        <v>2.3110399999999994E-3</v>
      </c>
      <c r="H1882" s="842"/>
      <c r="J1882" s="864"/>
      <c r="L1882" s="746"/>
    </row>
    <row r="1883" spans="3:12" ht="17.25" x14ac:dyDescent="0.25">
      <c r="C1883" s="844" t="s">
        <v>23</v>
      </c>
      <c r="D1883" s="844"/>
      <c r="F1883" s="845" t="s">
        <v>596</v>
      </c>
      <c r="G1883" s="779">
        <f>G1882*2</f>
        <v>4.6220799999999989E-3</v>
      </c>
      <c r="H1883" s="842"/>
      <c r="J1883" s="864"/>
      <c r="L1883" s="746"/>
    </row>
    <row r="1884" spans="3:12" x14ac:dyDescent="0.25">
      <c r="C1884" s="844" t="s">
        <v>142</v>
      </c>
      <c r="D1884" s="844"/>
      <c r="F1884" s="845" t="s">
        <v>3</v>
      </c>
      <c r="G1884" s="779">
        <f>G1882/4</f>
        <v>5.7775999999999986E-4</v>
      </c>
      <c r="H1884" s="842"/>
      <c r="J1884" s="864"/>
      <c r="L1884" s="746"/>
    </row>
    <row r="1885" spans="3:12" x14ac:dyDescent="0.25">
      <c r="C1885" s="843" t="s">
        <v>143</v>
      </c>
      <c r="D1885" s="844"/>
      <c r="F1885" s="845" t="s">
        <v>3</v>
      </c>
      <c r="G1885" s="779">
        <f>G1886</f>
        <v>4.7189999999999992E-3</v>
      </c>
      <c r="H1885" s="842"/>
      <c r="J1885" s="864"/>
      <c r="L1885" s="746"/>
    </row>
    <row r="1886" spans="3:12" x14ac:dyDescent="0.25">
      <c r="C1886" s="843" t="s">
        <v>8</v>
      </c>
      <c r="D1886" s="844"/>
      <c r="F1886" s="845" t="s">
        <v>3</v>
      </c>
      <c r="G1886" s="779">
        <f>G1887*0.65</f>
        <v>4.7189999999999992E-3</v>
      </c>
      <c r="H1886" s="842"/>
      <c r="J1886" s="864"/>
      <c r="L1886" s="746"/>
    </row>
    <row r="1887" spans="3:12" x14ac:dyDescent="0.25">
      <c r="C1887" s="843" t="s">
        <v>148</v>
      </c>
      <c r="D1887" s="844"/>
      <c r="E1887" s="780"/>
      <c r="F1887" s="845" t="s">
        <v>3</v>
      </c>
      <c r="G1887" s="779">
        <f>J1890*0.011*2*1.2</f>
        <v>7.2599999999999991E-3</v>
      </c>
      <c r="H1887" s="842"/>
      <c r="J1887" s="864"/>
      <c r="L1887" s="746"/>
    </row>
    <row r="1888" spans="3:12" x14ac:dyDescent="0.25">
      <c r="C1888" s="843" t="s">
        <v>12</v>
      </c>
      <c r="D1888" s="844"/>
      <c r="F1888" s="845" t="s">
        <v>3</v>
      </c>
      <c r="G1888" s="779">
        <f>0.3*(G1887+G1886+G1885)</f>
        <v>5.0093999999999989E-3</v>
      </c>
      <c r="H1888" s="842"/>
      <c r="J1888" s="864"/>
      <c r="L1888" s="746"/>
    </row>
    <row r="1889" spans="3:12" x14ac:dyDescent="0.25">
      <c r="C1889" s="773"/>
      <c r="D1889" s="773" t="s">
        <v>10394</v>
      </c>
      <c r="G1889" s="777"/>
      <c r="H1889" s="842"/>
      <c r="J1889" s="864"/>
      <c r="L1889" s="746"/>
    </row>
    <row r="1890" spans="3:12" x14ac:dyDescent="0.25">
      <c r="C1890" s="773"/>
      <c r="D1890" s="746" t="s">
        <v>10395</v>
      </c>
      <c r="F1890" s="836" t="s">
        <v>3</v>
      </c>
      <c r="G1890" s="777">
        <f>0.37*L1890</f>
        <v>0.1295</v>
      </c>
      <c r="H1890" s="842"/>
      <c r="I1890" s="874" t="s">
        <v>10567</v>
      </c>
      <c r="J1890" s="864">
        <v>0.27500000000000002</v>
      </c>
      <c r="K1890" s="874" t="s">
        <v>10150</v>
      </c>
      <c r="L1890" s="824">
        <v>0.35</v>
      </c>
    </row>
    <row r="1891" spans="3:12" x14ac:dyDescent="0.25">
      <c r="C1891" s="773"/>
      <c r="G1891" s="777"/>
      <c r="H1891" s="842"/>
      <c r="I1891" s="874"/>
      <c r="J1891" s="864"/>
      <c r="K1891" s="874"/>
      <c r="L1891" s="824"/>
    </row>
    <row r="1892" spans="3:12" x14ac:dyDescent="0.25">
      <c r="C1892" s="773" t="s">
        <v>10386</v>
      </c>
      <c r="G1892" s="777"/>
      <c r="H1892" s="842"/>
      <c r="J1892" s="864"/>
      <c r="L1892" s="746"/>
    </row>
    <row r="1893" spans="3:12" x14ac:dyDescent="0.25">
      <c r="C1893" s="844" t="s">
        <v>140</v>
      </c>
      <c r="D1893" s="844"/>
      <c r="F1893" s="845" t="s">
        <v>3</v>
      </c>
      <c r="G1893" s="779">
        <f>0.008*3.14*2*0.08*1.15</f>
        <v>4.6220799999999989E-3</v>
      </c>
      <c r="H1893" s="842"/>
      <c r="J1893" s="864"/>
      <c r="L1893" s="746"/>
    </row>
    <row r="1894" spans="3:12" ht="17.25" x14ac:dyDescent="0.25">
      <c r="C1894" s="844" t="s">
        <v>23</v>
      </c>
      <c r="D1894" s="844"/>
      <c r="F1894" s="845" t="s">
        <v>596</v>
      </c>
      <c r="G1894" s="779">
        <f>G1893*2</f>
        <v>9.2441599999999978E-3</v>
      </c>
      <c r="H1894" s="842"/>
      <c r="J1894" s="864"/>
      <c r="L1894" s="746"/>
    </row>
    <row r="1895" spans="3:12" x14ac:dyDescent="0.25">
      <c r="C1895" s="844" t="s">
        <v>142</v>
      </c>
      <c r="D1895" s="844"/>
      <c r="F1895" s="845" t="s">
        <v>3</v>
      </c>
      <c r="G1895" s="779">
        <f>G1893/4</f>
        <v>1.1555199999999997E-3</v>
      </c>
      <c r="H1895" s="842"/>
      <c r="J1895" s="864"/>
      <c r="L1895" s="746"/>
    </row>
    <row r="1896" spans="3:12" x14ac:dyDescent="0.25">
      <c r="C1896" s="843" t="s">
        <v>143</v>
      </c>
      <c r="D1896" s="844"/>
      <c r="F1896" s="845" t="s">
        <v>3</v>
      </c>
      <c r="G1896" s="779">
        <f>G1897</f>
        <v>2.39382E-2</v>
      </c>
      <c r="H1896" s="842"/>
      <c r="J1896" s="864"/>
      <c r="L1896" s="746"/>
    </row>
    <row r="1897" spans="3:12" x14ac:dyDescent="0.25">
      <c r="C1897" s="843" t="s">
        <v>8</v>
      </c>
      <c r="D1897" s="844"/>
      <c r="F1897" s="845" t="s">
        <v>3</v>
      </c>
      <c r="G1897" s="779">
        <f>G1898*0.65</f>
        <v>2.39382E-2</v>
      </c>
      <c r="H1897" s="842"/>
      <c r="J1897" s="864"/>
      <c r="L1897" s="746"/>
    </row>
    <row r="1898" spans="3:12" x14ac:dyDescent="0.25">
      <c r="C1898" s="843" t="s">
        <v>148</v>
      </c>
      <c r="D1898" s="844"/>
      <c r="E1898" s="780"/>
      <c r="F1898" s="845" t="s">
        <v>3</v>
      </c>
      <c r="G1898" s="779">
        <f>J1901*0.011*2*1.2</f>
        <v>3.6828E-2</v>
      </c>
      <c r="H1898" s="842"/>
      <c r="J1898" s="864"/>
      <c r="L1898" s="746"/>
    </row>
    <row r="1899" spans="3:12" x14ac:dyDescent="0.25">
      <c r="C1899" s="843" t="s">
        <v>12</v>
      </c>
      <c r="D1899" s="844"/>
      <c r="F1899" s="845" t="s">
        <v>3</v>
      </c>
      <c r="G1899" s="779">
        <f>0.3*(G1898+G1897+G1896)</f>
        <v>2.5411319999999998E-2</v>
      </c>
      <c r="H1899" s="842"/>
      <c r="J1899" s="864"/>
      <c r="L1899" s="746"/>
    </row>
    <row r="1900" spans="3:12" x14ac:dyDescent="0.25">
      <c r="C1900" s="773"/>
      <c r="D1900" s="773" t="s">
        <v>10396</v>
      </c>
      <c r="G1900" s="777"/>
      <c r="H1900" s="842"/>
      <c r="J1900" s="864"/>
      <c r="L1900" s="746"/>
    </row>
    <row r="1901" spans="3:12" x14ac:dyDescent="0.25">
      <c r="C1901" s="773"/>
      <c r="D1901" s="746" t="s">
        <v>10397</v>
      </c>
      <c r="F1901" s="836" t="s">
        <v>3</v>
      </c>
      <c r="G1901" s="777">
        <f>0.228*L1901</f>
        <v>0.34200000000000003</v>
      </c>
      <c r="H1901" s="842"/>
      <c r="I1901" s="874" t="s">
        <v>10567</v>
      </c>
      <c r="J1901" s="864">
        <v>1.395</v>
      </c>
      <c r="K1901" s="874" t="s">
        <v>10150</v>
      </c>
      <c r="L1901" s="824">
        <v>1.5</v>
      </c>
    </row>
    <row r="1902" spans="3:12" x14ac:dyDescent="0.25">
      <c r="C1902" s="773"/>
      <c r="G1902" s="777"/>
      <c r="H1902" s="842"/>
      <c r="J1902" s="864"/>
      <c r="L1902" s="746"/>
    </row>
    <row r="1903" spans="3:12" x14ac:dyDescent="0.25">
      <c r="C1903" s="773" t="s">
        <v>10387</v>
      </c>
      <c r="G1903" s="777"/>
      <c r="H1903" s="842"/>
      <c r="J1903" s="864"/>
      <c r="L1903" s="746"/>
    </row>
    <row r="1904" spans="3:12" x14ac:dyDescent="0.25">
      <c r="C1904" s="844" t="s">
        <v>140</v>
      </c>
      <c r="D1904" s="844"/>
      <c r="F1904" s="845" t="s">
        <v>3</v>
      </c>
      <c r="G1904" s="779">
        <f>0.008*3.14*2*0.08*1.15</f>
        <v>4.6220799999999989E-3</v>
      </c>
      <c r="H1904" s="842"/>
      <c r="J1904" s="864"/>
      <c r="L1904" s="746"/>
    </row>
    <row r="1905" spans="3:12" ht="17.25" x14ac:dyDescent="0.25">
      <c r="C1905" s="844" t="s">
        <v>23</v>
      </c>
      <c r="D1905" s="844"/>
      <c r="F1905" s="845" t="s">
        <v>596</v>
      </c>
      <c r="G1905" s="779">
        <f>G1904*2</f>
        <v>9.2441599999999978E-3</v>
      </c>
      <c r="H1905" s="842"/>
      <c r="J1905" s="864"/>
      <c r="L1905" s="746"/>
    </row>
    <row r="1906" spans="3:12" x14ac:dyDescent="0.25">
      <c r="C1906" s="844" t="s">
        <v>142</v>
      </c>
      <c r="D1906" s="844"/>
      <c r="F1906" s="845" t="s">
        <v>3</v>
      </c>
      <c r="G1906" s="779">
        <f>G1904/4</f>
        <v>1.1555199999999997E-3</v>
      </c>
      <c r="H1906" s="842"/>
      <c r="J1906" s="864"/>
      <c r="L1906" s="746"/>
    </row>
    <row r="1907" spans="3:12" x14ac:dyDescent="0.25">
      <c r="C1907" s="843" t="s">
        <v>143</v>
      </c>
      <c r="D1907" s="844"/>
      <c r="F1907" s="845" t="s">
        <v>3</v>
      </c>
      <c r="G1907" s="779">
        <f>G1908</f>
        <v>2.39382E-2</v>
      </c>
      <c r="H1907" s="842"/>
      <c r="J1907" s="864"/>
      <c r="L1907" s="746"/>
    </row>
    <row r="1908" spans="3:12" x14ac:dyDescent="0.25">
      <c r="C1908" s="843" t="s">
        <v>8</v>
      </c>
      <c r="D1908" s="844"/>
      <c r="F1908" s="845" t="s">
        <v>3</v>
      </c>
      <c r="G1908" s="779">
        <f>G1909*0.65</f>
        <v>2.39382E-2</v>
      </c>
      <c r="H1908" s="842"/>
      <c r="J1908" s="864"/>
      <c r="L1908" s="746"/>
    </row>
    <row r="1909" spans="3:12" x14ac:dyDescent="0.25">
      <c r="C1909" s="843" t="s">
        <v>148</v>
      </c>
      <c r="D1909" s="844"/>
      <c r="E1909" s="780"/>
      <c r="F1909" s="845" t="s">
        <v>3</v>
      </c>
      <c r="G1909" s="779">
        <f>J1912*0.011*2*1.2</f>
        <v>3.6828E-2</v>
      </c>
      <c r="H1909" s="842"/>
      <c r="J1909" s="864"/>
      <c r="L1909" s="746"/>
    </row>
    <row r="1910" spans="3:12" x14ac:dyDescent="0.25">
      <c r="C1910" s="843" t="s">
        <v>12</v>
      </c>
      <c r="D1910" s="844"/>
      <c r="F1910" s="845" t="s">
        <v>3</v>
      </c>
      <c r="G1910" s="779">
        <f>0.3*(G1909+G1908+G1907)</f>
        <v>2.5411319999999998E-2</v>
      </c>
      <c r="H1910" s="842"/>
      <c r="J1910" s="864"/>
      <c r="L1910" s="746"/>
    </row>
    <row r="1911" spans="3:12" x14ac:dyDescent="0.25">
      <c r="C1911" s="773"/>
      <c r="D1911" s="773" t="s">
        <v>10398</v>
      </c>
      <c r="G1911" s="777"/>
      <c r="H1911" s="842"/>
      <c r="J1911" s="864"/>
      <c r="L1911" s="746"/>
    </row>
    <row r="1912" spans="3:12" x14ac:dyDescent="0.25">
      <c r="C1912" s="773"/>
      <c r="D1912" s="746" t="s">
        <v>10397</v>
      </c>
      <c r="F1912" s="836" t="s">
        <v>3</v>
      </c>
      <c r="G1912" s="777">
        <f>0.228*L1912</f>
        <v>0.34200000000000003</v>
      </c>
      <c r="H1912" s="842"/>
      <c r="I1912" s="874" t="s">
        <v>10567</v>
      </c>
      <c r="J1912" s="864">
        <v>1.395</v>
      </c>
      <c r="K1912" s="874" t="s">
        <v>10150</v>
      </c>
      <c r="L1912" s="824">
        <v>1.5</v>
      </c>
    </row>
    <row r="1913" spans="3:12" x14ac:dyDescent="0.25">
      <c r="C1913" s="773"/>
      <c r="G1913" s="777"/>
      <c r="H1913" s="842"/>
      <c r="J1913" s="864"/>
      <c r="L1913" s="746"/>
    </row>
    <row r="1914" spans="3:12" x14ac:dyDescent="0.25">
      <c r="C1914" s="773" t="s">
        <v>10388</v>
      </c>
      <c r="G1914" s="777"/>
      <c r="H1914" s="842"/>
      <c r="J1914" s="864"/>
      <c r="L1914" s="746"/>
    </row>
    <row r="1915" spans="3:12" x14ac:dyDescent="0.25">
      <c r="C1915" s="844" t="s">
        <v>140</v>
      </c>
      <c r="D1915" s="844"/>
      <c r="F1915" s="845" t="s">
        <v>3</v>
      </c>
      <c r="G1915" s="779">
        <f>0.017*3.14*3*0.08*1.15</f>
        <v>1.4732879999999999E-2</v>
      </c>
      <c r="H1915" s="842"/>
      <c r="J1915" s="864"/>
      <c r="L1915" s="746"/>
    </row>
    <row r="1916" spans="3:12" ht="17.25" x14ac:dyDescent="0.25">
      <c r="C1916" s="844" t="s">
        <v>23</v>
      </c>
      <c r="D1916" s="844"/>
      <c r="F1916" s="845" t="s">
        <v>596</v>
      </c>
      <c r="G1916" s="779">
        <f>G1915*2</f>
        <v>2.9465759999999997E-2</v>
      </c>
      <c r="H1916" s="842"/>
      <c r="J1916" s="864"/>
      <c r="L1916" s="746"/>
    </row>
    <row r="1917" spans="3:12" x14ac:dyDescent="0.25">
      <c r="C1917" s="844" t="s">
        <v>142</v>
      </c>
      <c r="D1917" s="844"/>
      <c r="F1917" s="845" t="s">
        <v>3</v>
      </c>
      <c r="G1917" s="779">
        <f>G1915/4</f>
        <v>3.6832199999999996E-3</v>
      </c>
      <c r="H1917" s="842"/>
      <c r="J1917" s="864"/>
      <c r="L1917" s="746"/>
    </row>
    <row r="1918" spans="3:12" x14ac:dyDescent="0.25">
      <c r="C1918" s="843" t="s">
        <v>143</v>
      </c>
      <c r="D1918" s="844"/>
      <c r="F1918" s="845" t="s">
        <v>3</v>
      </c>
      <c r="G1918" s="779">
        <f>G1919</f>
        <v>4.6331999999999996E-3</v>
      </c>
      <c r="H1918" s="842"/>
      <c r="J1918" s="864"/>
      <c r="L1918" s="746"/>
    </row>
    <row r="1919" spans="3:12" x14ac:dyDescent="0.25">
      <c r="C1919" s="843" t="s">
        <v>8</v>
      </c>
      <c r="D1919" s="844"/>
      <c r="F1919" s="845" t="s">
        <v>3</v>
      </c>
      <c r="G1919" s="779">
        <f>G1920*0.65</f>
        <v>4.6331999999999996E-3</v>
      </c>
      <c r="H1919" s="842"/>
      <c r="J1919" s="864"/>
      <c r="L1919" s="746"/>
    </row>
    <row r="1920" spans="3:12" x14ac:dyDescent="0.25">
      <c r="C1920" s="843" t="s">
        <v>148</v>
      </c>
      <c r="D1920" s="844"/>
      <c r="E1920" s="780"/>
      <c r="F1920" s="845" t="s">
        <v>3</v>
      </c>
      <c r="G1920" s="779">
        <f>J1923*0.011*2*1.2</f>
        <v>7.1279999999999998E-3</v>
      </c>
      <c r="H1920" s="842"/>
      <c r="J1920" s="864"/>
      <c r="L1920" s="746"/>
    </row>
    <row r="1921" spans="3:12" x14ac:dyDescent="0.25">
      <c r="C1921" s="843" t="s">
        <v>12</v>
      </c>
      <c r="D1921" s="844"/>
      <c r="F1921" s="845" t="s">
        <v>3</v>
      </c>
      <c r="G1921" s="779">
        <f>0.3*(G1920+G1919+G1918)</f>
        <v>4.9183199999999995E-3</v>
      </c>
      <c r="H1921" s="842"/>
      <c r="J1921" s="864"/>
      <c r="L1921" s="746"/>
    </row>
    <row r="1922" spans="3:12" x14ac:dyDescent="0.25">
      <c r="C1922" s="773"/>
      <c r="D1922" s="773" t="s">
        <v>10399</v>
      </c>
      <c r="G1922" s="777"/>
      <c r="H1922" s="842"/>
      <c r="J1922" s="864"/>
      <c r="L1922" s="746"/>
    </row>
    <row r="1923" spans="3:12" x14ac:dyDescent="0.25">
      <c r="C1923" s="773"/>
      <c r="D1923" s="746" t="s">
        <v>10400</v>
      </c>
      <c r="F1923" s="836" t="s">
        <v>3</v>
      </c>
      <c r="G1923" s="777">
        <f>0.74*L1923+0.001</f>
        <v>0.26</v>
      </c>
      <c r="H1923" s="842"/>
      <c r="I1923" s="874" t="s">
        <v>10567</v>
      </c>
      <c r="J1923" s="864">
        <v>0.27</v>
      </c>
      <c r="K1923" s="874" t="s">
        <v>10150</v>
      </c>
      <c r="L1923" s="824">
        <v>0.35</v>
      </c>
    </row>
    <row r="1924" spans="3:12" x14ac:dyDescent="0.25">
      <c r="C1924" s="773"/>
      <c r="G1924" s="777"/>
      <c r="H1924" s="842"/>
      <c r="I1924" s="874"/>
      <c r="J1924" s="864"/>
      <c r="K1924" s="874"/>
      <c r="L1924" s="824"/>
    </row>
    <row r="1925" spans="3:12" x14ac:dyDescent="0.25">
      <c r="C1925" s="773" t="s">
        <v>10389</v>
      </c>
      <c r="G1925" s="777"/>
      <c r="H1925" s="842"/>
      <c r="J1925" s="864"/>
      <c r="L1925" s="746"/>
    </row>
    <row r="1926" spans="3:12" x14ac:dyDescent="0.25">
      <c r="C1926" s="844" t="s">
        <v>140</v>
      </c>
      <c r="D1926" s="844"/>
      <c r="F1926" s="845" t="s">
        <v>3</v>
      </c>
      <c r="G1926" s="779">
        <f>0.017*3.14*2*0.08*1.15</f>
        <v>9.8219200000000013E-3</v>
      </c>
      <c r="H1926" s="842"/>
      <c r="J1926" s="864"/>
      <c r="L1926" s="746"/>
    </row>
    <row r="1927" spans="3:12" ht="17.25" x14ac:dyDescent="0.25">
      <c r="C1927" s="844" t="s">
        <v>23</v>
      </c>
      <c r="D1927" s="844"/>
      <c r="F1927" s="845" t="s">
        <v>596</v>
      </c>
      <c r="G1927" s="779">
        <f>G1926*2</f>
        <v>1.9643840000000003E-2</v>
      </c>
      <c r="H1927" s="842"/>
      <c r="J1927" s="864"/>
      <c r="L1927" s="746"/>
    </row>
    <row r="1928" spans="3:12" x14ac:dyDescent="0.25">
      <c r="C1928" s="844" t="s">
        <v>142</v>
      </c>
      <c r="D1928" s="844"/>
      <c r="F1928" s="845" t="s">
        <v>3</v>
      </c>
      <c r="G1928" s="779">
        <f>G1926/4</f>
        <v>2.4554800000000003E-3</v>
      </c>
      <c r="H1928" s="842"/>
      <c r="J1928" s="864"/>
      <c r="L1928" s="746"/>
    </row>
    <row r="1929" spans="3:12" x14ac:dyDescent="0.25">
      <c r="C1929" s="843" t="s">
        <v>143</v>
      </c>
      <c r="D1929" s="844"/>
      <c r="F1929" s="845" t="s">
        <v>3</v>
      </c>
      <c r="G1929" s="779">
        <f>G1930</f>
        <v>4.3243199999999996E-2</v>
      </c>
      <c r="H1929" s="842"/>
      <c r="J1929" s="864"/>
      <c r="L1929" s="746"/>
    </row>
    <row r="1930" spans="3:12" x14ac:dyDescent="0.25">
      <c r="C1930" s="843" t="s">
        <v>8</v>
      </c>
      <c r="D1930" s="844"/>
      <c r="F1930" s="845" t="s">
        <v>3</v>
      </c>
      <c r="G1930" s="779">
        <f>G1931*0.65</f>
        <v>4.3243199999999996E-2</v>
      </c>
      <c r="H1930" s="842"/>
      <c r="J1930" s="864"/>
      <c r="L1930" s="746"/>
    </row>
    <row r="1931" spans="3:12" x14ac:dyDescent="0.25">
      <c r="C1931" s="843" t="s">
        <v>148</v>
      </c>
      <c r="D1931" s="844"/>
      <c r="E1931" s="780"/>
      <c r="F1931" s="845" t="s">
        <v>3</v>
      </c>
      <c r="G1931" s="779">
        <f>J1934*0.011*2*1.2</f>
        <v>6.652799999999999E-2</v>
      </c>
      <c r="H1931" s="842"/>
      <c r="J1931" s="864"/>
      <c r="L1931" s="746"/>
    </row>
    <row r="1932" spans="3:12" x14ac:dyDescent="0.25">
      <c r="C1932" s="843" t="s">
        <v>12</v>
      </c>
      <c r="D1932" s="844"/>
      <c r="F1932" s="845" t="s">
        <v>3</v>
      </c>
      <c r="G1932" s="779">
        <f>0.3*(G1931+G1930+G1929)</f>
        <v>4.5904319999999998E-2</v>
      </c>
      <c r="H1932" s="842"/>
      <c r="J1932" s="864"/>
      <c r="L1932" s="746"/>
    </row>
    <row r="1933" spans="3:12" x14ac:dyDescent="0.25">
      <c r="C1933" s="773"/>
      <c r="D1933" s="773" t="s">
        <v>10401</v>
      </c>
      <c r="G1933" s="777"/>
      <c r="H1933" s="842"/>
      <c r="J1933" s="864"/>
      <c r="L1933" s="746"/>
    </row>
    <row r="1934" spans="3:12" x14ac:dyDescent="0.25">
      <c r="C1934" s="773"/>
      <c r="D1934" s="746" t="s">
        <v>10400</v>
      </c>
      <c r="F1934" s="836" t="s">
        <v>3</v>
      </c>
      <c r="G1934" s="777">
        <f>0.74*L1934+0.001</f>
        <v>1.9619999999999997</v>
      </c>
      <c r="H1934" s="842"/>
      <c r="I1934" s="874" t="s">
        <v>10567</v>
      </c>
      <c r="J1934" s="864">
        <v>2.52</v>
      </c>
      <c r="K1934" s="874" t="s">
        <v>10150</v>
      </c>
      <c r="L1934" s="824">
        <v>2.65</v>
      </c>
    </row>
    <row r="1935" spans="3:12" x14ac:dyDescent="0.25">
      <c r="C1935" s="773"/>
      <c r="G1935" s="777"/>
      <c r="H1935" s="842"/>
      <c r="J1935" s="864"/>
      <c r="L1935" s="746"/>
    </row>
    <row r="1936" spans="3:12" x14ac:dyDescent="0.25">
      <c r="C1936" s="773" t="s">
        <v>10390</v>
      </c>
      <c r="G1936" s="777"/>
      <c r="H1936" s="842"/>
      <c r="J1936" s="864"/>
      <c r="L1936" s="746"/>
    </row>
    <row r="1937" spans="3:12" x14ac:dyDescent="0.25">
      <c r="C1937" s="844" t="s">
        <v>140</v>
      </c>
      <c r="D1937" s="844"/>
      <c r="F1937" s="845" t="s">
        <v>3</v>
      </c>
      <c r="G1937" s="779">
        <f>0.017*3.14*2*0.08*1.15</f>
        <v>9.8219200000000013E-3</v>
      </c>
      <c r="H1937" s="842"/>
      <c r="J1937" s="864"/>
      <c r="L1937" s="746"/>
    </row>
    <row r="1938" spans="3:12" ht="17.25" x14ac:dyDescent="0.25">
      <c r="C1938" s="844" t="s">
        <v>23</v>
      </c>
      <c r="D1938" s="844"/>
      <c r="F1938" s="845" t="s">
        <v>596</v>
      </c>
      <c r="G1938" s="779">
        <f>G1937*2</f>
        <v>1.9643840000000003E-2</v>
      </c>
      <c r="H1938" s="842"/>
      <c r="J1938" s="864"/>
      <c r="L1938" s="746"/>
    </row>
    <row r="1939" spans="3:12" x14ac:dyDescent="0.25">
      <c r="C1939" s="844" t="s">
        <v>142</v>
      </c>
      <c r="D1939" s="844"/>
      <c r="F1939" s="845" t="s">
        <v>3</v>
      </c>
      <c r="G1939" s="779">
        <f>G1937/4</f>
        <v>2.4554800000000003E-3</v>
      </c>
      <c r="H1939" s="842"/>
      <c r="J1939" s="864"/>
      <c r="L1939" s="746"/>
    </row>
    <row r="1940" spans="3:12" x14ac:dyDescent="0.25">
      <c r="C1940" s="843" t="s">
        <v>143</v>
      </c>
      <c r="D1940" s="844"/>
      <c r="F1940" s="845" t="s">
        <v>3</v>
      </c>
      <c r="G1940" s="779">
        <f>G1941</f>
        <v>3.7751999999999994E-2</v>
      </c>
      <c r="H1940" s="842"/>
      <c r="J1940" s="864"/>
      <c r="L1940" s="746"/>
    </row>
    <row r="1941" spans="3:12" x14ac:dyDescent="0.25">
      <c r="C1941" s="843" t="s">
        <v>8</v>
      </c>
      <c r="D1941" s="844"/>
      <c r="F1941" s="845" t="s">
        <v>3</v>
      </c>
      <c r="G1941" s="779">
        <f>G1942*0.65</f>
        <v>3.7751999999999994E-2</v>
      </c>
      <c r="H1941" s="842"/>
      <c r="J1941" s="864"/>
      <c r="L1941" s="746"/>
    </row>
    <row r="1942" spans="3:12" x14ac:dyDescent="0.25">
      <c r="C1942" s="843" t="s">
        <v>148</v>
      </c>
      <c r="D1942" s="844"/>
      <c r="E1942" s="780"/>
      <c r="F1942" s="845" t="s">
        <v>3</v>
      </c>
      <c r="G1942" s="779">
        <f>J1945*0.011*2*1.2</f>
        <v>5.8079999999999993E-2</v>
      </c>
      <c r="H1942" s="842"/>
      <c r="J1942" s="864"/>
      <c r="L1942" s="746"/>
    </row>
    <row r="1943" spans="3:12" x14ac:dyDescent="0.25">
      <c r="C1943" s="843" t="s">
        <v>12</v>
      </c>
      <c r="D1943" s="844"/>
      <c r="F1943" s="845" t="s">
        <v>3</v>
      </c>
      <c r="G1943" s="779">
        <f>0.3*(G1942+G1941+G1940)</f>
        <v>4.0075199999999991E-2</v>
      </c>
      <c r="H1943" s="842"/>
      <c r="J1943" s="864"/>
      <c r="L1943" s="746"/>
    </row>
    <row r="1944" spans="3:12" x14ac:dyDescent="0.25">
      <c r="C1944" s="773"/>
      <c r="D1944" s="773" t="s">
        <v>9774</v>
      </c>
      <c r="G1944" s="777"/>
      <c r="H1944" s="842"/>
      <c r="J1944" s="864"/>
      <c r="L1944" s="746"/>
    </row>
    <row r="1945" spans="3:12" x14ac:dyDescent="0.25">
      <c r="C1945" s="773"/>
      <c r="D1945" s="746" t="s">
        <v>10400</v>
      </c>
      <c r="F1945" s="836" t="s">
        <v>3</v>
      </c>
      <c r="G1945" s="777">
        <f>0.74*L1945+0.001</f>
        <v>1.7177999999999998</v>
      </c>
      <c r="H1945" s="842"/>
      <c r="I1945" s="874" t="s">
        <v>10567</v>
      </c>
      <c r="J1945" s="864">
        <v>2.2000000000000002</v>
      </c>
      <c r="K1945" s="874" t="s">
        <v>10150</v>
      </c>
      <c r="L1945" s="824">
        <v>2.3199999999999998</v>
      </c>
    </row>
    <row r="1946" spans="3:12" x14ac:dyDescent="0.25">
      <c r="C1946" s="773"/>
      <c r="G1946" s="777"/>
      <c r="H1946" s="842"/>
      <c r="J1946" s="864"/>
      <c r="L1946" s="746"/>
    </row>
    <row r="1947" spans="3:12" x14ac:dyDescent="0.25">
      <c r="C1947" s="773" t="s">
        <v>10391</v>
      </c>
      <c r="G1947" s="777"/>
      <c r="H1947" s="842"/>
      <c r="J1947" s="864"/>
      <c r="L1947" s="746"/>
    </row>
    <row r="1948" spans="3:12" x14ac:dyDescent="0.25">
      <c r="C1948" s="844" t="s">
        <v>140</v>
      </c>
      <c r="D1948" s="844"/>
      <c r="F1948" s="845" t="s">
        <v>3</v>
      </c>
      <c r="G1948" s="779">
        <f>0.01*3.14*0.08*1.15</f>
        <v>2.8888E-3</v>
      </c>
      <c r="H1948" s="842"/>
      <c r="J1948" s="864"/>
      <c r="L1948" s="746"/>
    </row>
    <row r="1949" spans="3:12" ht="17.25" x14ac:dyDescent="0.25">
      <c r="C1949" s="844" t="s">
        <v>23</v>
      </c>
      <c r="D1949" s="844"/>
      <c r="F1949" s="845" t="s">
        <v>596</v>
      </c>
      <c r="G1949" s="779">
        <f>G1948*2</f>
        <v>5.7775999999999999E-3</v>
      </c>
      <c r="H1949" s="842"/>
      <c r="J1949" s="864"/>
      <c r="L1949" s="746"/>
    </row>
    <row r="1950" spans="3:12" x14ac:dyDescent="0.25">
      <c r="C1950" s="844" t="s">
        <v>142</v>
      </c>
      <c r="D1950" s="844"/>
      <c r="F1950" s="845" t="s">
        <v>3</v>
      </c>
      <c r="G1950" s="779">
        <f>G1948/4</f>
        <v>7.2219999999999999E-4</v>
      </c>
      <c r="H1950" s="842"/>
      <c r="J1950" s="864"/>
      <c r="L1950" s="746"/>
    </row>
    <row r="1951" spans="3:12" x14ac:dyDescent="0.25">
      <c r="C1951" s="843" t="s">
        <v>143</v>
      </c>
      <c r="D1951" s="844"/>
      <c r="F1951" s="845" t="s">
        <v>3</v>
      </c>
      <c r="G1951" s="779">
        <f>G1952</f>
        <v>2.0077199999999996E-2</v>
      </c>
      <c r="H1951" s="842"/>
      <c r="J1951" s="864"/>
      <c r="L1951" s="746"/>
    </row>
    <row r="1952" spans="3:12" x14ac:dyDescent="0.25">
      <c r="C1952" s="843" t="s">
        <v>8</v>
      </c>
      <c r="D1952" s="844"/>
      <c r="F1952" s="845" t="s">
        <v>3</v>
      </c>
      <c r="G1952" s="779">
        <f>G1953*0.65</f>
        <v>2.0077199999999996E-2</v>
      </c>
      <c r="H1952" s="842"/>
      <c r="J1952" s="864"/>
      <c r="L1952" s="746"/>
    </row>
    <row r="1953" spans="3:12" x14ac:dyDescent="0.25">
      <c r="C1953" s="843" t="s">
        <v>148</v>
      </c>
      <c r="D1953" s="844"/>
      <c r="E1953" s="780"/>
      <c r="F1953" s="845" t="s">
        <v>3</v>
      </c>
      <c r="G1953" s="779">
        <f>J1956*0.011*2*1.2</f>
        <v>3.0887999999999992E-2</v>
      </c>
      <c r="H1953" s="842"/>
      <c r="J1953" s="864"/>
      <c r="L1953" s="746"/>
    </row>
    <row r="1954" spans="3:12" x14ac:dyDescent="0.25">
      <c r="C1954" s="843" t="s">
        <v>12</v>
      </c>
      <c r="D1954" s="844"/>
      <c r="F1954" s="845" t="s">
        <v>3</v>
      </c>
      <c r="G1954" s="779">
        <f>0.3*(G1953+G1952+G1951)</f>
        <v>2.1312719999999993E-2</v>
      </c>
      <c r="H1954" s="842"/>
      <c r="J1954" s="864"/>
      <c r="L1954" s="746"/>
    </row>
    <row r="1955" spans="3:12" x14ac:dyDescent="0.25">
      <c r="C1955" s="773"/>
      <c r="D1955" s="773" t="s">
        <v>10402</v>
      </c>
      <c r="G1955" s="777"/>
      <c r="H1955" s="842"/>
      <c r="J1955" s="864"/>
      <c r="L1955" s="746"/>
    </row>
    <row r="1956" spans="3:12" x14ac:dyDescent="0.25">
      <c r="C1956" s="773"/>
      <c r="D1956" s="746" t="s">
        <v>10403</v>
      </c>
      <c r="F1956" s="836" t="s">
        <v>3</v>
      </c>
      <c r="G1956" s="777">
        <f>0.296*L1956</f>
        <v>0.37591999999999998</v>
      </c>
      <c r="H1956" s="842"/>
      <c r="I1956" s="874" t="s">
        <v>10567</v>
      </c>
      <c r="J1956" s="864">
        <v>1.17</v>
      </c>
      <c r="K1956" s="874" t="s">
        <v>10150</v>
      </c>
      <c r="L1956" s="824">
        <v>1.27</v>
      </c>
    </row>
    <row r="1957" spans="3:12" x14ac:dyDescent="0.25">
      <c r="C1957" s="773"/>
      <c r="G1957" s="777"/>
      <c r="H1957" s="842"/>
      <c r="I1957" s="874"/>
      <c r="J1957" s="864"/>
      <c r="K1957" s="874"/>
      <c r="L1957" s="824"/>
    </row>
    <row r="1958" spans="3:12" x14ac:dyDescent="0.25">
      <c r="C1958" s="773" t="s">
        <v>10392</v>
      </c>
      <c r="G1958" s="777"/>
      <c r="H1958" s="842"/>
      <c r="J1958" s="864"/>
      <c r="L1958" s="746"/>
    </row>
    <row r="1959" spans="3:12" x14ac:dyDescent="0.25">
      <c r="C1959" s="844" t="s">
        <v>140</v>
      </c>
      <c r="D1959" s="844"/>
      <c r="F1959" s="845" t="s">
        <v>3</v>
      </c>
      <c r="G1959" s="779">
        <f>(0.016*3.14+0.01*3.14)*0.08*1.15</f>
        <v>7.5108800000000002E-3</v>
      </c>
      <c r="H1959" s="842"/>
      <c r="J1959" s="864"/>
      <c r="L1959" s="746"/>
    </row>
    <row r="1960" spans="3:12" ht="17.25" x14ac:dyDescent="0.25">
      <c r="C1960" s="844" t="s">
        <v>23</v>
      </c>
      <c r="D1960" s="844"/>
      <c r="F1960" s="845" t="s">
        <v>596</v>
      </c>
      <c r="G1960" s="779">
        <f>G1959*2</f>
        <v>1.502176E-2</v>
      </c>
      <c r="H1960" s="842"/>
      <c r="J1960" s="864"/>
      <c r="L1960" s="746"/>
    </row>
    <row r="1961" spans="3:12" x14ac:dyDescent="0.25">
      <c r="C1961" s="844" t="s">
        <v>142</v>
      </c>
      <c r="D1961" s="844"/>
      <c r="F1961" s="845" t="s">
        <v>3</v>
      </c>
      <c r="G1961" s="779">
        <f>G1959/4</f>
        <v>1.87772E-3</v>
      </c>
      <c r="H1961" s="842"/>
      <c r="J1961" s="864"/>
      <c r="L1961" s="746"/>
    </row>
    <row r="1962" spans="3:12" x14ac:dyDescent="0.25">
      <c r="C1962" s="843" t="s">
        <v>143</v>
      </c>
      <c r="D1962" s="844"/>
      <c r="F1962" s="845" t="s">
        <v>3</v>
      </c>
      <c r="G1962" s="779">
        <f>G1963</f>
        <v>1.0673520000000001E-2</v>
      </c>
      <c r="H1962" s="842"/>
      <c r="J1962" s="864"/>
      <c r="L1962" s="746"/>
    </row>
    <row r="1963" spans="3:12" x14ac:dyDescent="0.25">
      <c r="C1963" s="843" t="s">
        <v>8</v>
      </c>
      <c r="D1963" s="844"/>
      <c r="F1963" s="845" t="s">
        <v>3</v>
      </c>
      <c r="G1963" s="779">
        <f>G1964*0.65</f>
        <v>1.0673520000000001E-2</v>
      </c>
      <c r="H1963" s="842"/>
      <c r="J1963" s="864"/>
      <c r="L1963" s="746"/>
    </row>
    <row r="1964" spans="3:12" x14ac:dyDescent="0.25">
      <c r="C1964" s="843" t="s">
        <v>5543</v>
      </c>
      <c r="D1964" s="844"/>
      <c r="F1964" s="845" t="s">
        <v>3</v>
      </c>
      <c r="G1964" s="779">
        <f>J1967*0.011*2*1.2</f>
        <v>1.6420799999999999E-2</v>
      </c>
      <c r="H1964" s="842"/>
      <c r="J1964" s="864"/>
      <c r="L1964" s="746"/>
    </row>
    <row r="1965" spans="3:12" x14ac:dyDescent="0.25">
      <c r="C1965" s="843" t="s">
        <v>12</v>
      </c>
      <c r="D1965" s="844"/>
      <c r="F1965" s="845" t="s">
        <v>3</v>
      </c>
      <c r="G1965" s="779">
        <f>0.3*(G1964+G1963+G1962)</f>
        <v>1.1330351999999998E-2</v>
      </c>
      <c r="H1965" s="842"/>
      <c r="J1965" s="864"/>
      <c r="L1965" s="746"/>
    </row>
    <row r="1966" spans="3:12" x14ac:dyDescent="0.25">
      <c r="C1966" s="773"/>
      <c r="D1966" s="773" t="s">
        <v>10404</v>
      </c>
      <c r="G1966" s="777"/>
      <c r="H1966" s="842"/>
      <c r="J1966" s="864"/>
      <c r="L1966" s="746"/>
    </row>
    <row r="1967" spans="3:12" x14ac:dyDescent="0.25">
      <c r="C1967" s="773"/>
      <c r="D1967" s="746" t="s">
        <v>10395</v>
      </c>
      <c r="F1967" s="836" t="s">
        <v>3</v>
      </c>
      <c r="G1967" s="777">
        <f>0.37*L1967+0.001</f>
        <v>0.26</v>
      </c>
      <c r="H1967" s="842"/>
      <c r="I1967" s="874" t="s">
        <v>10567</v>
      </c>
      <c r="J1967" s="864">
        <v>0.622</v>
      </c>
      <c r="K1967" s="874" t="s">
        <v>10150</v>
      </c>
      <c r="L1967" s="824">
        <v>0.7</v>
      </c>
    </row>
    <row r="1968" spans="3:12" x14ac:dyDescent="0.25">
      <c r="C1968" s="773"/>
      <c r="D1968" s="773" t="s">
        <v>10405</v>
      </c>
      <c r="G1968" s="777"/>
      <c r="H1968" s="842"/>
      <c r="J1968" s="864"/>
      <c r="L1968" s="746"/>
    </row>
    <row r="1969" spans="3:12" x14ac:dyDescent="0.25">
      <c r="C1969" s="773"/>
      <c r="D1969" s="746" t="s">
        <v>10406</v>
      </c>
      <c r="F1969" s="836" t="s">
        <v>3</v>
      </c>
      <c r="G1969" s="777">
        <f>0.296*L1969</f>
        <v>2.9600000000000001E-2</v>
      </c>
      <c r="H1969" s="842"/>
      <c r="I1969" s="874" t="s">
        <v>10567</v>
      </c>
      <c r="J1969" s="864">
        <v>8.2000000000000003E-2</v>
      </c>
      <c r="K1969" s="874" t="s">
        <v>10150</v>
      </c>
      <c r="L1969" s="824">
        <v>0.1</v>
      </c>
    </row>
    <row r="1970" spans="3:12" x14ac:dyDescent="0.25">
      <c r="C1970" s="773"/>
      <c r="G1970" s="777"/>
      <c r="H1970" s="842"/>
      <c r="I1970" s="874"/>
      <c r="J1970" s="864"/>
      <c r="K1970" s="874"/>
      <c r="L1970" s="824"/>
    </row>
    <row r="1971" spans="3:12" x14ac:dyDescent="0.25">
      <c r="C1971" s="773" t="s">
        <v>10393</v>
      </c>
      <c r="G1971" s="777"/>
      <c r="H1971" s="842"/>
      <c r="J1971" s="864"/>
      <c r="L1971" s="746"/>
    </row>
    <row r="1972" spans="3:12" x14ac:dyDescent="0.25">
      <c r="C1972" s="844" t="s">
        <v>140</v>
      </c>
      <c r="D1972" s="844"/>
      <c r="F1972" s="845" t="s">
        <v>3</v>
      </c>
      <c r="G1972" s="779">
        <f>0.016*3.14*0.08*1.15</f>
        <v>4.6220799999999989E-3</v>
      </c>
      <c r="H1972" s="842"/>
      <c r="J1972" s="864"/>
      <c r="L1972" s="746"/>
    </row>
    <row r="1973" spans="3:12" ht="17.25" x14ac:dyDescent="0.25">
      <c r="C1973" s="844" t="s">
        <v>23</v>
      </c>
      <c r="D1973" s="844"/>
      <c r="F1973" s="845" t="s">
        <v>596</v>
      </c>
      <c r="G1973" s="779">
        <f>G1972*2</f>
        <v>9.2441599999999978E-3</v>
      </c>
      <c r="H1973" s="842"/>
      <c r="J1973" s="864"/>
      <c r="L1973" s="746"/>
    </row>
    <row r="1974" spans="3:12" x14ac:dyDescent="0.25">
      <c r="C1974" s="844" t="s">
        <v>142</v>
      </c>
      <c r="D1974" s="844"/>
      <c r="F1974" s="845" t="s">
        <v>3</v>
      </c>
      <c r="G1974" s="779">
        <f>G1972/4</f>
        <v>1.1555199999999997E-3</v>
      </c>
      <c r="H1974" s="842"/>
      <c r="J1974" s="864"/>
      <c r="L1974" s="746"/>
    </row>
    <row r="1975" spans="3:12" x14ac:dyDescent="0.25">
      <c r="C1975" s="843" t="s">
        <v>143</v>
      </c>
      <c r="D1975" s="844"/>
      <c r="F1975" s="845" t="s">
        <v>3</v>
      </c>
      <c r="G1975" s="779">
        <f>G1976</f>
        <v>4.3758E-3</v>
      </c>
      <c r="H1975" s="842"/>
      <c r="J1975" s="864"/>
      <c r="L1975" s="746"/>
    </row>
    <row r="1976" spans="3:12" x14ac:dyDescent="0.25">
      <c r="C1976" s="843" t="s">
        <v>8</v>
      </c>
      <c r="D1976" s="844"/>
      <c r="F1976" s="845" t="s">
        <v>3</v>
      </c>
      <c r="G1976" s="779">
        <f>G1977*0.65</f>
        <v>4.3758E-3</v>
      </c>
      <c r="H1976" s="842"/>
      <c r="J1976" s="864"/>
      <c r="L1976" s="746"/>
    </row>
    <row r="1977" spans="3:12" x14ac:dyDescent="0.25">
      <c r="C1977" s="843" t="s">
        <v>5543</v>
      </c>
      <c r="D1977" s="844"/>
      <c r="F1977" s="845" t="s">
        <v>3</v>
      </c>
      <c r="G1977" s="779">
        <f>J1980*0.011*2*1.2</f>
        <v>6.7319999999999993E-3</v>
      </c>
      <c r="H1977" s="842"/>
      <c r="J1977" s="864"/>
      <c r="L1977" s="746"/>
    </row>
    <row r="1978" spans="3:12" x14ac:dyDescent="0.25">
      <c r="C1978" s="843" t="s">
        <v>12</v>
      </c>
      <c r="D1978" s="844"/>
      <c r="F1978" s="845" t="s">
        <v>3</v>
      </c>
      <c r="G1978" s="779">
        <f>0.3*(G1977+G1976+G1975)</f>
        <v>4.6450800000000002E-3</v>
      </c>
      <c r="H1978" s="842"/>
      <c r="J1978" s="864"/>
      <c r="L1978" s="746"/>
    </row>
    <row r="1979" spans="3:12" x14ac:dyDescent="0.25">
      <c r="C1979" s="773"/>
      <c r="D1979" s="773" t="s">
        <v>10407</v>
      </c>
      <c r="G1979" s="777"/>
      <c r="H1979" s="842"/>
      <c r="J1979" s="864"/>
      <c r="L1979" s="746"/>
    </row>
    <row r="1980" spans="3:12" x14ac:dyDescent="0.25">
      <c r="C1980" s="773"/>
      <c r="D1980" s="746" t="s">
        <v>10395</v>
      </c>
      <c r="F1980" s="836" t="s">
        <v>3</v>
      </c>
      <c r="G1980" s="777">
        <f>0.37*L1980+0.001</f>
        <v>0.112</v>
      </c>
      <c r="H1980" s="842"/>
      <c r="I1980" s="874" t="s">
        <v>10567</v>
      </c>
      <c r="J1980" s="864">
        <v>0.255</v>
      </c>
      <c r="K1980" s="874" t="s">
        <v>10150</v>
      </c>
      <c r="L1980" s="824">
        <v>0.3</v>
      </c>
    </row>
    <row r="1981" spans="3:12" x14ac:dyDescent="0.25">
      <c r="C1981" s="610"/>
      <c r="G1981" s="777"/>
      <c r="H1981" s="842"/>
      <c r="J1981" s="864"/>
      <c r="L1981" s="746"/>
    </row>
    <row r="1982" spans="3:12" x14ac:dyDescent="0.25">
      <c r="C1982" s="773" t="s">
        <v>10408</v>
      </c>
      <c r="G1982" s="777"/>
      <c r="H1982" s="842"/>
      <c r="J1982" s="864"/>
      <c r="L1982" s="746"/>
    </row>
    <row r="1983" spans="3:12" x14ac:dyDescent="0.25">
      <c r="C1983" s="263" t="s">
        <v>39</v>
      </c>
      <c r="D1983" s="398"/>
      <c r="E1983" s="774"/>
      <c r="F1983" s="878" t="s">
        <v>3</v>
      </c>
      <c r="G1983" s="876">
        <f>1*0.08*1.2</f>
        <v>9.6000000000000002E-2</v>
      </c>
      <c r="H1983" s="842"/>
      <c r="J1983" s="864"/>
      <c r="L1983" s="746"/>
    </row>
    <row r="1984" spans="3:12" ht="17.25" x14ac:dyDescent="0.25">
      <c r="C1984" s="263" t="s">
        <v>1055</v>
      </c>
      <c r="D1984" s="398"/>
      <c r="E1984" s="774"/>
      <c r="F1984" s="878" t="s">
        <v>10568</v>
      </c>
      <c r="G1984" s="876">
        <f>1.1*G1983</f>
        <v>0.10560000000000001</v>
      </c>
      <c r="H1984" s="842"/>
      <c r="J1984" s="864"/>
      <c r="L1984" s="746"/>
    </row>
    <row r="1985" spans="3:12" x14ac:dyDescent="0.25">
      <c r="C1985" s="746" t="s">
        <v>72</v>
      </c>
      <c r="F1985" s="836" t="s">
        <v>3</v>
      </c>
      <c r="G1985" s="777">
        <f>(0.49*0.35*2*0.15*2+1*0.03*2)*1.165</f>
        <v>0.18977849999999999</v>
      </c>
      <c r="H1985" s="842"/>
      <c r="J1985" s="864"/>
      <c r="L1985" s="746"/>
    </row>
    <row r="1986" spans="3:12" x14ac:dyDescent="0.25">
      <c r="C1986" s="746" t="s">
        <v>11</v>
      </c>
      <c r="F1986" s="836" t="s">
        <v>3</v>
      </c>
      <c r="G1986" s="777">
        <f>0.3*G1985</f>
        <v>5.6933549999999992E-2</v>
      </c>
      <c r="H1986" s="842"/>
      <c r="J1986" s="864"/>
      <c r="L1986" s="746"/>
    </row>
    <row r="1987" spans="3:12" x14ac:dyDescent="0.25">
      <c r="C1987" s="746" t="s">
        <v>8</v>
      </c>
      <c r="F1987" s="836" t="s">
        <v>3</v>
      </c>
      <c r="G1987" s="777">
        <f>0.65*G1985</f>
        <v>0.12335602499999999</v>
      </c>
      <c r="H1987" s="842"/>
      <c r="J1987" s="864"/>
      <c r="L1987" s="746"/>
    </row>
    <row r="1988" spans="3:12" x14ac:dyDescent="0.25">
      <c r="C1988" s="746" t="s">
        <v>12</v>
      </c>
      <c r="F1988" s="836" t="s">
        <v>3</v>
      </c>
      <c r="G1988" s="777">
        <f>0.3*G1987</f>
        <v>3.7006807499999995E-2</v>
      </c>
      <c r="H1988" s="842"/>
      <c r="J1988" s="864"/>
      <c r="L1988" s="746"/>
    </row>
    <row r="1989" spans="3:12" x14ac:dyDescent="0.25">
      <c r="C1989" s="746" t="s">
        <v>6576</v>
      </c>
      <c r="F1989" s="836" t="s">
        <v>3</v>
      </c>
      <c r="G1989" s="777">
        <v>0.1</v>
      </c>
      <c r="H1989" s="842"/>
      <c r="J1989" s="864"/>
      <c r="L1989" s="746"/>
    </row>
    <row r="1990" spans="3:12" x14ac:dyDescent="0.25">
      <c r="C1990" s="610"/>
      <c r="D1990" s="773" t="s">
        <v>9781</v>
      </c>
      <c r="G1990" s="777"/>
      <c r="H1990" s="842"/>
      <c r="J1990" s="864"/>
      <c r="L1990" s="746"/>
    </row>
    <row r="1991" spans="3:12" x14ac:dyDescent="0.25">
      <c r="C1991" s="610"/>
      <c r="D1991" s="619" t="s">
        <v>6561</v>
      </c>
      <c r="F1991" s="836" t="s">
        <v>3</v>
      </c>
      <c r="G1991" s="777">
        <f>0.555*0.41*2*8*1.126</f>
        <v>4.0995407999999998</v>
      </c>
      <c r="H1991" s="842"/>
      <c r="J1991" s="864"/>
      <c r="L1991" s="746"/>
    </row>
    <row r="1992" spans="3:12" x14ac:dyDescent="0.25">
      <c r="C1992" s="610"/>
      <c r="D1992" s="773" t="s">
        <v>9782</v>
      </c>
      <c r="G1992" s="777"/>
      <c r="H1992" s="842"/>
      <c r="J1992" s="864"/>
      <c r="L1992" s="746"/>
    </row>
    <row r="1993" spans="3:12" x14ac:dyDescent="0.25">
      <c r="C1993" s="610"/>
      <c r="D1993" s="746" t="s">
        <v>10409</v>
      </c>
      <c r="F1993" s="836" t="s">
        <v>3</v>
      </c>
      <c r="G1993" s="777">
        <f>0.477*L1993</f>
        <v>0.10493999999999999</v>
      </c>
      <c r="H1993" s="842"/>
      <c r="I1993" s="874" t="s">
        <v>10567</v>
      </c>
      <c r="J1993" s="864">
        <v>0.2</v>
      </c>
      <c r="K1993" s="874" t="s">
        <v>10150</v>
      </c>
      <c r="L1993" s="824">
        <v>0.22</v>
      </c>
    </row>
    <row r="1994" spans="3:12" x14ac:dyDescent="0.25">
      <c r="C1994" s="610"/>
      <c r="D1994" s="773" t="s">
        <v>9783</v>
      </c>
      <c r="G1994" s="777"/>
      <c r="H1994" s="842"/>
      <c r="J1994" s="864"/>
      <c r="L1994" s="746"/>
    </row>
    <row r="1995" spans="3:12" x14ac:dyDescent="0.25">
      <c r="C1995" s="610"/>
      <c r="D1995" s="746" t="s">
        <v>10409</v>
      </c>
      <c r="F1995" s="836" t="s">
        <v>3</v>
      </c>
      <c r="G1995" s="777">
        <f>0.477*L1995</f>
        <v>0.10493999999999999</v>
      </c>
      <c r="H1995" s="842"/>
      <c r="I1995" s="874" t="s">
        <v>10567</v>
      </c>
      <c r="J1995" s="864">
        <v>0.2</v>
      </c>
      <c r="K1995" s="874" t="s">
        <v>10150</v>
      </c>
      <c r="L1995" s="824">
        <v>0.22</v>
      </c>
    </row>
    <row r="1996" spans="3:12" x14ac:dyDescent="0.25">
      <c r="C1996" s="610"/>
      <c r="D1996" s="773" t="s">
        <v>9784</v>
      </c>
      <c r="G1996" s="777"/>
      <c r="H1996" s="842"/>
      <c r="J1996" s="864"/>
      <c r="L1996" s="746"/>
    </row>
    <row r="1997" spans="3:12" x14ac:dyDescent="0.25">
      <c r="C1997" s="610"/>
      <c r="D1997" s="619" t="s">
        <v>6572</v>
      </c>
      <c r="F1997" s="836" t="s">
        <v>10565</v>
      </c>
      <c r="G1997" s="777">
        <f>0.072*0.023*3*8*1.12</f>
        <v>4.4513280000000009E-2</v>
      </c>
      <c r="H1997" s="842"/>
      <c r="J1997" s="864"/>
      <c r="L1997" s="746"/>
    </row>
    <row r="1998" spans="3:12" x14ac:dyDescent="0.25">
      <c r="C1998" s="610"/>
      <c r="G1998" s="777"/>
      <c r="H1998" s="842"/>
      <c r="J1998" s="864"/>
      <c r="L1998" s="746"/>
    </row>
    <row r="1999" spans="3:12" x14ac:dyDescent="0.25">
      <c r="C1999" s="610" t="s">
        <v>10521</v>
      </c>
      <c r="G1999" s="777"/>
      <c r="H1999" s="842"/>
      <c r="J1999" s="864"/>
      <c r="L1999" s="746"/>
    </row>
    <row r="2000" spans="3:12" x14ac:dyDescent="0.25">
      <c r="C2000" s="844" t="s">
        <v>140</v>
      </c>
      <c r="D2000" s="844"/>
      <c r="F2000" s="845" t="s">
        <v>3</v>
      </c>
      <c r="G2000" s="779">
        <f>0.008*3.14*2*0.08*1.15</f>
        <v>4.6220799999999989E-3</v>
      </c>
      <c r="H2000" s="842"/>
      <c r="J2000" s="864"/>
      <c r="L2000" s="746"/>
    </row>
    <row r="2001" spans="3:12" ht="17.25" x14ac:dyDescent="0.25">
      <c r="C2001" s="844" t="s">
        <v>23</v>
      </c>
      <c r="D2001" s="844"/>
      <c r="F2001" s="845" t="s">
        <v>596</v>
      </c>
      <c r="G2001" s="779">
        <f>G2000*2</f>
        <v>9.2441599999999978E-3</v>
      </c>
      <c r="H2001" s="842"/>
      <c r="J2001" s="864"/>
      <c r="L2001" s="746"/>
    </row>
    <row r="2002" spans="3:12" x14ac:dyDescent="0.25">
      <c r="C2002" s="844" t="s">
        <v>142</v>
      </c>
      <c r="D2002" s="844"/>
      <c r="F2002" s="845" t="s">
        <v>3</v>
      </c>
      <c r="G2002" s="779">
        <f>G2000/4</f>
        <v>1.1555199999999997E-3</v>
      </c>
      <c r="H2002" s="842"/>
      <c r="J2002" s="864"/>
      <c r="L2002" s="746"/>
    </row>
    <row r="2003" spans="3:12" x14ac:dyDescent="0.25">
      <c r="C2003" s="843" t="s">
        <v>143</v>
      </c>
      <c r="D2003" s="844"/>
      <c r="F2003" s="845" t="s">
        <v>3</v>
      </c>
      <c r="G2003" s="779">
        <f>G2004</f>
        <v>7.7219999999999988E-3</v>
      </c>
      <c r="H2003" s="842"/>
      <c r="J2003" s="864"/>
      <c r="L2003" s="746"/>
    </row>
    <row r="2004" spans="3:12" x14ac:dyDescent="0.25">
      <c r="C2004" s="843" t="s">
        <v>8</v>
      </c>
      <c r="D2004" s="844"/>
      <c r="F2004" s="845" t="s">
        <v>3</v>
      </c>
      <c r="G2004" s="779">
        <f>G2005*0.65</f>
        <v>7.7219999999999988E-3</v>
      </c>
      <c r="H2004" s="842"/>
      <c r="J2004" s="864"/>
      <c r="L2004" s="746"/>
    </row>
    <row r="2005" spans="3:12" x14ac:dyDescent="0.25">
      <c r="C2005" s="843" t="s">
        <v>5543</v>
      </c>
      <c r="D2005" s="844"/>
      <c r="F2005" s="845" t="s">
        <v>3</v>
      </c>
      <c r="G2005" s="779">
        <f>J2008*0.011*2*1.2</f>
        <v>1.1879999999999998E-2</v>
      </c>
      <c r="H2005" s="842"/>
      <c r="J2005" s="864"/>
      <c r="L2005" s="746"/>
    </row>
    <row r="2006" spans="3:12" x14ac:dyDescent="0.25">
      <c r="C2006" s="843" t="s">
        <v>12</v>
      </c>
      <c r="D2006" s="844"/>
      <c r="F2006" s="845" t="s">
        <v>3</v>
      </c>
      <c r="G2006" s="779">
        <f>0.3*(G2005+G2004+G2003)</f>
        <v>8.1971999999999982E-3</v>
      </c>
      <c r="H2006" s="842"/>
      <c r="J2006" s="864"/>
      <c r="L2006" s="746"/>
    </row>
    <row r="2007" spans="3:12" x14ac:dyDescent="0.25">
      <c r="C2007" s="843"/>
      <c r="D2007" s="75" t="s">
        <v>10522</v>
      </c>
      <c r="F2007" s="845"/>
      <c r="G2007" s="779"/>
      <c r="H2007" s="842"/>
      <c r="J2007" s="864"/>
      <c r="L2007" s="746"/>
    </row>
    <row r="2008" spans="3:12" x14ac:dyDescent="0.25">
      <c r="C2008" s="843"/>
      <c r="D2008" s="844" t="s">
        <v>10523</v>
      </c>
      <c r="F2008" s="845" t="s">
        <v>3</v>
      </c>
      <c r="G2008" s="779">
        <f>0.24* L2008</f>
        <v>0.12479999999999999</v>
      </c>
      <c r="H2008" s="842"/>
      <c r="I2008" s="874" t="s">
        <v>10567</v>
      </c>
      <c r="J2008" s="864">
        <v>0.45</v>
      </c>
      <c r="K2008" s="874" t="s">
        <v>10150</v>
      </c>
      <c r="L2008" s="824">
        <v>0.52</v>
      </c>
    </row>
    <row r="2009" spans="3:12" x14ac:dyDescent="0.25">
      <c r="C2009" s="843"/>
      <c r="D2009" s="844"/>
      <c r="F2009" s="845"/>
      <c r="G2009" s="779"/>
      <c r="H2009" s="842"/>
      <c r="I2009" s="874"/>
      <c r="J2009" s="864"/>
      <c r="K2009" s="874"/>
      <c r="L2009" s="824"/>
    </row>
    <row r="2010" spans="3:12" x14ac:dyDescent="0.25">
      <c r="C2010" s="78" t="s">
        <v>10530</v>
      </c>
      <c r="D2010" s="843"/>
      <c r="E2010" s="780"/>
      <c r="F2010" s="845" t="s">
        <v>2180</v>
      </c>
      <c r="G2010" s="779"/>
      <c r="H2010" s="842"/>
      <c r="I2010" s="874"/>
      <c r="J2010" s="864"/>
      <c r="K2010" s="874"/>
      <c r="L2010" s="824"/>
    </row>
    <row r="2011" spans="3:12" x14ac:dyDescent="0.25">
      <c r="C2011" s="78"/>
      <c r="D2011" s="78" t="s">
        <v>10531</v>
      </c>
      <c r="E2011" s="780"/>
      <c r="F2011" s="845"/>
      <c r="G2011" s="779"/>
      <c r="H2011" s="842"/>
      <c r="I2011" s="874"/>
      <c r="J2011" s="864"/>
      <c r="K2011" s="874"/>
      <c r="L2011" s="824"/>
    </row>
    <row r="2012" spans="3:12" x14ac:dyDescent="0.25">
      <c r="C2012" s="78"/>
      <c r="D2012" s="843" t="s">
        <v>143</v>
      </c>
      <c r="E2012" s="780"/>
      <c r="F2012" s="845" t="s">
        <v>3</v>
      </c>
      <c r="G2012" s="779">
        <f>0.1*3.14*0.8*0.12*2</f>
        <v>6.0288000000000008E-2</v>
      </c>
      <c r="H2012" s="842"/>
      <c r="I2012" s="874"/>
      <c r="J2012" s="864"/>
      <c r="K2012" s="874"/>
      <c r="L2012" s="824"/>
    </row>
    <row r="2013" spans="3:12" x14ac:dyDescent="0.25">
      <c r="C2013" s="78"/>
      <c r="D2013" s="843" t="s">
        <v>12</v>
      </c>
      <c r="E2013" s="780"/>
      <c r="F2013" s="845" t="s">
        <v>3</v>
      </c>
      <c r="G2013" s="779">
        <f>0.3*G2012</f>
        <v>1.8086400000000002E-2</v>
      </c>
      <c r="H2013" s="842"/>
      <c r="I2013" s="874"/>
      <c r="J2013" s="864"/>
      <c r="K2013" s="874"/>
      <c r="L2013" s="824"/>
    </row>
    <row r="2014" spans="3:12" x14ac:dyDescent="0.25">
      <c r="C2014" s="78"/>
      <c r="D2014" s="263" t="s">
        <v>39</v>
      </c>
      <c r="E2014" s="263"/>
      <c r="F2014" s="878" t="s">
        <v>3</v>
      </c>
      <c r="G2014" s="876">
        <f>(0.1*3.14*2+0.05*3.14+0.02*3.14*2)*0.08*1.2</f>
        <v>8.7417600000000012E-2</v>
      </c>
      <c r="H2014" s="842"/>
      <c r="I2014" s="874"/>
      <c r="J2014" s="864"/>
      <c r="K2014" s="874"/>
      <c r="L2014" s="824"/>
    </row>
    <row r="2015" spans="3:12" ht="17.25" x14ac:dyDescent="0.25">
      <c r="C2015" s="78"/>
      <c r="D2015" s="263" t="s">
        <v>1055</v>
      </c>
      <c r="E2015" s="263"/>
      <c r="F2015" s="878" t="s">
        <v>10568</v>
      </c>
      <c r="G2015" s="876">
        <f>1.1*G2014</f>
        <v>9.6159360000000027E-2</v>
      </c>
      <c r="H2015" s="842"/>
      <c r="I2015" s="874"/>
      <c r="J2015" s="864"/>
      <c r="K2015" s="874"/>
      <c r="L2015" s="824"/>
    </row>
    <row r="2016" spans="3:12" x14ac:dyDescent="0.25">
      <c r="C2016" s="78"/>
      <c r="D2016" s="780"/>
      <c r="E2016" s="78" t="s">
        <v>5631</v>
      </c>
      <c r="F2016" s="855"/>
      <c r="G2016" s="852"/>
      <c r="H2016" s="842"/>
      <c r="I2016" s="874"/>
      <c r="J2016" s="864"/>
      <c r="K2016" s="874"/>
      <c r="L2016" s="824"/>
    </row>
    <row r="2017" spans="3:12" x14ac:dyDescent="0.25">
      <c r="C2017" s="78"/>
      <c r="D2017" s="780"/>
      <c r="E2017" s="861" t="s">
        <v>140</v>
      </c>
      <c r="F2017" s="862" t="s">
        <v>3</v>
      </c>
      <c r="G2017" s="894">
        <f>0.012*3.14*0.08*1.2</f>
        <v>3.6172800000000005E-3</v>
      </c>
      <c r="H2017" s="842"/>
      <c r="I2017" s="874"/>
      <c r="J2017" s="864"/>
      <c r="K2017" s="874"/>
      <c r="L2017" s="824"/>
    </row>
    <row r="2018" spans="3:12" ht="17.25" x14ac:dyDescent="0.25">
      <c r="C2018" s="78"/>
      <c r="D2018" s="780"/>
      <c r="E2018" s="861" t="s">
        <v>23</v>
      </c>
      <c r="F2018" s="862" t="s">
        <v>10569</v>
      </c>
      <c r="G2018" s="894">
        <f>G2017*2</f>
        <v>7.234560000000001E-3</v>
      </c>
      <c r="H2018" s="842"/>
      <c r="I2018" s="874"/>
      <c r="J2018" s="864"/>
      <c r="K2018" s="874"/>
      <c r="L2018" s="824"/>
    </row>
    <row r="2019" spans="3:12" x14ac:dyDescent="0.25">
      <c r="C2019" s="78"/>
      <c r="D2019" s="780"/>
      <c r="E2019" s="861" t="s">
        <v>142</v>
      </c>
      <c r="F2019" s="862" t="s">
        <v>3</v>
      </c>
      <c r="G2019" s="894">
        <f>G2017/4</f>
        <v>9.0432000000000012E-4</v>
      </c>
      <c r="H2019" s="842"/>
      <c r="I2019" s="874"/>
      <c r="J2019" s="864"/>
      <c r="K2019" s="874"/>
      <c r="L2019" s="824"/>
    </row>
    <row r="2020" spans="3:12" x14ac:dyDescent="0.25">
      <c r="C2020" s="78"/>
      <c r="D2020" s="780"/>
      <c r="E2020" s="768" t="s">
        <v>5632</v>
      </c>
      <c r="F2020" s="862" t="s">
        <v>3</v>
      </c>
      <c r="G2020" s="779"/>
      <c r="H2020" s="842"/>
      <c r="I2020" s="874"/>
      <c r="J2020" s="864"/>
      <c r="K2020" s="874"/>
      <c r="L2020" s="824"/>
    </row>
    <row r="2021" spans="3:12" x14ac:dyDescent="0.25">
      <c r="C2021" s="78"/>
      <c r="D2021" s="780"/>
      <c r="E2021" s="895" t="s">
        <v>5633</v>
      </c>
      <c r="F2021" s="859" t="s">
        <v>3</v>
      </c>
      <c r="G2021" s="860">
        <f>0.271* L2021</f>
        <v>2.7100000000000003E-2</v>
      </c>
      <c r="H2021" s="899"/>
      <c r="I2021" s="874" t="s">
        <v>10567</v>
      </c>
      <c r="J2021" s="864">
        <v>6.8000000000000005E-2</v>
      </c>
      <c r="K2021" s="874" t="s">
        <v>10150</v>
      </c>
      <c r="L2021" s="824">
        <v>0.1</v>
      </c>
    </row>
    <row r="2022" spans="3:12" x14ac:dyDescent="0.25">
      <c r="C2022" s="78"/>
      <c r="D2022" s="780"/>
      <c r="E2022" s="79" t="s">
        <v>5635</v>
      </c>
      <c r="F2022" s="845"/>
      <c r="G2022" s="779"/>
      <c r="H2022" s="842"/>
      <c r="I2022" s="874"/>
      <c r="J2022" s="864"/>
      <c r="K2022" s="874"/>
      <c r="L2022" s="824"/>
    </row>
    <row r="2023" spans="3:12" x14ac:dyDescent="0.25">
      <c r="C2023" s="78"/>
      <c r="D2023" s="780"/>
      <c r="E2023" s="896" t="s">
        <v>10559</v>
      </c>
      <c r="F2023" s="845" t="s">
        <v>3</v>
      </c>
      <c r="G2023" s="779">
        <f>0.715*L2023</f>
        <v>0.32174999999999998</v>
      </c>
      <c r="H2023" s="842"/>
      <c r="I2023" s="874" t="s">
        <v>10567</v>
      </c>
      <c r="J2023" s="864">
        <v>0.35</v>
      </c>
      <c r="K2023" s="874" t="s">
        <v>10150</v>
      </c>
      <c r="L2023" s="824">
        <v>0.45</v>
      </c>
    </row>
    <row r="2024" spans="3:12" x14ac:dyDescent="0.25">
      <c r="C2024" s="78"/>
      <c r="D2024" s="780"/>
      <c r="E2024" s="79" t="s">
        <v>5642</v>
      </c>
      <c r="F2024" s="845"/>
      <c r="G2024" s="779"/>
      <c r="H2024" s="842"/>
      <c r="I2024" s="874"/>
      <c r="J2024" s="864"/>
      <c r="K2024" s="874"/>
      <c r="L2024" s="824"/>
    </row>
    <row r="2025" spans="3:12" x14ac:dyDescent="0.25">
      <c r="C2025" s="78"/>
      <c r="D2025" s="780"/>
      <c r="E2025" s="896" t="s">
        <v>10559</v>
      </c>
      <c r="F2025" s="845" t="s">
        <v>3</v>
      </c>
      <c r="G2025" s="779">
        <f>0.715*L2025</f>
        <v>0.2145</v>
      </c>
      <c r="H2025" s="842"/>
      <c r="I2025" s="874" t="s">
        <v>10567</v>
      </c>
      <c r="J2025" s="864">
        <v>0.27200000000000002</v>
      </c>
      <c r="K2025" s="874" t="s">
        <v>10150</v>
      </c>
      <c r="L2025" s="824">
        <v>0.3</v>
      </c>
    </row>
    <row r="2026" spans="3:12" x14ac:dyDescent="0.25">
      <c r="C2026" s="78"/>
      <c r="D2026" s="780"/>
      <c r="E2026" s="79" t="s">
        <v>10558</v>
      </c>
      <c r="F2026" s="845"/>
      <c r="G2026" s="779"/>
      <c r="H2026" s="842"/>
      <c r="I2026" s="874"/>
      <c r="J2026" s="864"/>
      <c r="K2026" s="874"/>
      <c r="L2026" s="824"/>
    </row>
    <row r="2027" spans="3:12" x14ac:dyDescent="0.25">
      <c r="C2027" s="78"/>
      <c r="D2027" s="780"/>
      <c r="E2027" s="896" t="s">
        <v>6444</v>
      </c>
      <c r="F2027" s="845" t="s">
        <v>3</v>
      </c>
      <c r="G2027" s="779">
        <f>0.23*0.08*1*8*1.155</f>
        <v>0.170016</v>
      </c>
      <c r="H2027" s="842"/>
      <c r="I2027" s="874"/>
      <c r="J2027" s="864"/>
      <c r="K2027" s="874"/>
      <c r="L2027" s="824"/>
    </row>
    <row r="2028" spans="3:12" x14ac:dyDescent="0.25">
      <c r="C2028" s="78"/>
      <c r="D2028" s="780"/>
      <c r="E2028" s="843" t="s">
        <v>39</v>
      </c>
      <c r="F2028" s="845" t="s">
        <v>3</v>
      </c>
      <c r="G2028" s="852">
        <f>0.08*0.08*1.2</f>
        <v>7.6800000000000002E-3</v>
      </c>
      <c r="H2028" s="842"/>
      <c r="I2028" s="874"/>
      <c r="J2028" s="864"/>
      <c r="K2028" s="874"/>
      <c r="L2028" s="824"/>
    </row>
    <row r="2029" spans="3:12" ht="17.25" x14ac:dyDescent="0.25">
      <c r="C2029" s="78"/>
      <c r="D2029" s="780"/>
      <c r="E2029" s="843" t="s">
        <v>1055</v>
      </c>
      <c r="F2029" s="845" t="s">
        <v>596</v>
      </c>
      <c r="G2029" s="779">
        <f>1.1*G2028</f>
        <v>8.4480000000000006E-3</v>
      </c>
      <c r="H2029" s="842"/>
      <c r="I2029" s="874"/>
      <c r="J2029" s="864"/>
      <c r="K2029" s="874"/>
      <c r="L2029" s="824"/>
    </row>
    <row r="2030" spans="3:12" x14ac:dyDescent="0.25">
      <c r="C2030" s="78"/>
      <c r="D2030" s="780"/>
      <c r="E2030" s="79" t="s">
        <v>10532</v>
      </c>
      <c r="F2030" s="845"/>
      <c r="G2030" s="779"/>
      <c r="H2030" s="842"/>
      <c r="I2030" s="874"/>
      <c r="J2030" s="864"/>
      <c r="K2030" s="874"/>
      <c r="L2030" s="824"/>
    </row>
    <row r="2031" spans="3:12" x14ac:dyDescent="0.25">
      <c r="C2031" s="78"/>
      <c r="D2031" s="780"/>
      <c r="E2031" s="896" t="s">
        <v>9845</v>
      </c>
      <c r="F2031" s="845" t="s">
        <v>3</v>
      </c>
      <c r="G2031" s="779">
        <f>0.08*3.14*0.345*1.5*8*1.12</f>
        <v>1.16476416</v>
      </c>
      <c r="H2031" s="842"/>
      <c r="I2031" s="874"/>
      <c r="J2031" s="864"/>
      <c r="K2031" s="874"/>
      <c r="L2031" s="824"/>
    </row>
    <row r="2032" spans="3:12" x14ac:dyDescent="0.25">
      <c r="C2032" s="78"/>
      <c r="D2032" s="780"/>
      <c r="E2032" s="843" t="s">
        <v>39</v>
      </c>
      <c r="F2032" s="845" t="s">
        <v>3</v>
      </c>
      <c r="G2032" s="852">
        <f>0.35*0.08*1.2</f>
        <v>3.3599999999999998E-2</v>
      </c>
      <c r="H2032" s="842"/>
      <c r="I2032" s="874"/>
      <c r="J2032" s="864"/>
      <c r="K2032" s="874"/>
      <c r="L2032" s="824"/>
    </row>
    <row r="2033" spans="3:12" ht="17.25" x14ac:dyDescent="0.25">
      <c r="C2033" s="78"/>
      <c r="D2033" s="780"/>
      <c r="E2033" s="843" t="s">
        <v>1055</v>
      </c>
      <c r="F2033" s="845" t="s">
        <v>596</v>
      </c>
      <c r="G2033" s="779">
        <f>1.1*G2032</f>
        <v>3.696E-2</v>
      </c>
      <c r="H2033" s="842"/>
      <c r="I2033" s="874"/>
      <c r="J2033" s="864"/>
      <c r="K2033" s="874"/>
      <c r="L2033" s="824"/>
    </row>
    <row r="2034" spans="3:12" x14ac:dyDescent="0.25">
      <c r="C2034" s="78"/>
      <c r="D2034" s="780"/>
      <c r="E2034" s="79" t="s">
        <v>10533</v>
      </c>
      <c r="F2034" s="845"/>
      <c r="G2034" s="779"/>
      <c r="H2034" s="842"/>
      <c r="I2034" s="874"/>
      <c r="J2034" s="864"/>
      <c r="K2034" s="874"/>
      <c r="L2034" s="824"/>
    </row>
    <row r="2035" spans="3:12" x14ac:dyDescent="0.25">
      <c r="C2035" s="78"/>
      <c r="D2035" s="75"/>
      <c r="E2035" s="858" t="s">
        <v>5641</v>
      </c>
      <c r="F2035" s="859" t="s">
        <v>3</v>
      </c>
      <c r="G2035" s="779">
        <f>1.72*L2035+0.001</f>
        <v>0.34500000000000003</v>
      </c>
      <c r="H2035" s="899"/>
      <c r="I2035" s="874" t="s">
        <v>10567</v>
      </c>
      <c r="J2035" s="864">
        <v>0.15</v>
      </c>
      <c r="K2035" s="874" t="s">
        <v>10150</v>
      </c>
      <c r="L2035" s="824">
        <v>0.2</v>
      </c>
    </row>
    <row r="2036" spans="3:12" x14ac:dyDescent="0.25">
      <c r="C2036" s="78"/>
      <c r="D2036" s="75" t="s">
        <v>5561</v>
      </c>
      <c r="F2036" s="845"/>
      <c r="G2036" s="746"/>
      <c r="H2036" s="842"/>
      <c r="I2036" s="874"/>
      <c r="J2036" s="864"/>
      <c r="K2036" s="874"/>
      <c r="L2036" s="824"/>
    </row>
    <row r="2037" spans="3:12" x14ac:dyDescent="0.25">
      <c r="C2037" s="78"/>
      <c r="D2037" s="858" t="s">
        <v>5562</v>
      </c>
      <c r="E2037" s="858"/>
      <c r="F2037" s="859" t="s">
        <v>3</v>
      </c>
      <c r="G2037" s="860">
        <f>0.001</f>
        <v>1E-3</v>
      </c>
      <c r="H2037" s="842"/>
      <c r="I2037" s="874"/>
      <c r="J2037" s="864"/>
      <c r="K2037" s="874"/>
      <c r="L2037" s="824"/>
    </row>
    <row r="2038" spans="3:12" x14ac:dyDescent="0.25">
      <c r="C2038" s="78"/>
      <c r="D2038" s="75"/>
      <c r="E2038" s="610" t="s">
        <v>5564</v>
      </c>
      <c r="F2038" s="845"/>
      <c r="G2038" s="779"/>
      <c r="H2038" s="842"/>
      <c r="I2038" s="874"/>
      <c r="J2038" s="864"/>
      <c r="K2038" s="874"/>
      <c r="L2038" s="824"/>
    </row>
    <row r="2039" spans="3:12" x14ac:dyDescent="0.25">
      <c r="C2039" s="78"/>
      <c r="D2039" s="75"/>
      <c r="E2039" s="858" t="s">
        <v>5415</v>
      </c>
      <c r="F2039" s="859" t="s">
        <v>3</v>
      </c>
      <c r="G2039" s="860">
        <v>8.0000000000000002E-3</v>
      </c>
      <c r="H2039" s="842"/>
      <c r="I2039" s="874"/>
      <c r="J2039" s="864"/>
      <c r="K2039" s="874"/>
      <c r="L2039" s="824"/>
    </row>
    <row r="2040" spans="3:12" x14ac:dyDescent="0.25">
      <c r="C2040" s="78"/>
      <c r="D2040" s="75"/>
      <c r="E2040" s="858" t="s">
        <v>104</v>
      </c>
      <c r="F2040" s="859" t="s">
        <v>3</v>
      </c>
      <c r="G2040" s="860">
        <f>G2039*2</f>
        <v>1.6E-2</v>
      </c>
      <c r="H2040" s="842"/>
      <c r="I2040" s="874"/>
      <c r="J2040" s="864"/>
      <c r="K2040" s="874"/>
      <c r="L2040" s="824"/>
    </row>
    <row r="2041" spans="3:12" x14ac:dyDescent="0.25">
      <c r="C2041" s="78"/>
      <c r="D2041" s="75"/>
      <c r="E2041" s="787" t="s">
        <v>5566</v>
      </c>
      <c r="F2041" s="845"/>
      <c r="G2041" s="779"/>
      <c r="H2041" s="842"/>
      <c r="I2041" s="874"/>
      <c r="J2041" s="864"/>
      <c r="K2041" s="874"/>
      <c r="L2041" s="824"/>
    </row>
    <row r="2042" spans="3:12" x14ac:dyDescent="0.25">
      <c r="C2042" s="78"/>
      <c r="D2042" s="75"/>
      <c r="E2042" s="895" t="s">
        <v>5567</v>
      </c>
      <c r="F2042" s="859" t="s">
        <v>3</v>
      </c>
      <c r="G2042" s="860">
        <v>0.17499999999999999</v>
      </c>
      <c r="H2042" s="842"/>
      <c r="I2042" s="874"/>
      <c r="J2042" s="864"/>
      <c r="K2042" s="874"/>
      <c r="L2042" s="824"/>
    </row>
    <row r="2043" spans="3:12" x14ac:dyDescent="0.25">
      <c r="C2043" s="78"/>
      <c r="D2043" s="75"/>
      <c r="E2043" s="610" t="s">
        <v>5569</v>
      </c>
      <c r="F2043" s="845"/>
      <c r="G2043" s="779"/>
      <c r="H2043" s="842"/>
      <c r="I2043" s="874"/>
      <c r="J2043" s="864"/>
      <c r="K2043" s="874"/>
      <c r="L2043" s="824"/>
    </row>
    <row r="2044" spans="3:12" x14ac:dyDescent="0.25">
      <c r="C2044" s="78"/>
      <c r="D2044" s="75"/>
      <c r="E2044" s="858" t="s">
        <v>2032</v>
      </c>
      <c r="F2044" s="859" t="s">
        <v>3</v>
      </c>
      <c r="G2044" s="860">
        <v>0.01</v>
      </c>
      <c r="H2044" s="842"/>
      <c r="I2044" s="874"/>
      <c r="J2044" s="864"/>
      <c r="K2044" s="874"/>
      <c r="L2044" s="824"/>
    </row>
    <row r="2045" spans="3:12" x14ac:dyDescent="0.25">
      <c r="C2045" s="78"/>
      <c r="D2045" s="75"/>
      <c r="E2045" s="858" t="s">
        <v>104</v>
      </c>
      <c r="F2045" s="859" t="s">
        <v>3</v>
      </c>
      <c r="G2045" s="860">
        <f>2.5*G2044</f>
        <v>2.5000000000000001E-2</v>
      </c>
      <c r="H2045" s="842"/>
      <c r="I2045" s="874"/>
      <c r="J2045" s="864"/>
      <c r="K2045" s="874"/>
      <c r="L2045" s="824"/>
    </row>
    <row r="2046" spans="3:12" x14ac:dyDescent="0.25">
      <c r="C2046" s="78"/>
      <c r="D2046" s="75"/>
      <c r="E2046" s="787" t="s">
        <v>5571</v>
      </c>
      <c r="F2046" s="845"/>
      <c r="G2046" s="779"/>
      <c r="H2046" s="842"/>
      <c r="I2046" s="874"/>
      <c r="J2046" s="864"/>
      <c r="K2046" s="874"/>
      <c r="L2046" s="824"/>
    </row>
    <row r="2047" spans="3:12" x14ac:dyDescent="0.25">
      <c r="C2047" s="78"/>
      <c r="D2047" s="75"/>
      <c r="E2047" s="895" t="s">
        <v>5572</v>
      </c>
      <c r="F2047" s="859" t="s">
        <v>3</v>
      </c>
      <c r="G2047" s="860">
        <f>0.033*3.14*0.095*0.18*8.5*1.12</f>
        <v>1.6868507040000001E-2</v>
      </c>
      <c r="H2047" s="842"/>
      <c r="I2047" s="874"/>
      <c r="J2047" s="864"/>
      <c r="K2047" s="874"/>
      <c r="L2047" s="824"/>
    </row>
    <row r="2048" spans="3:12" x14ac:dyDescent="0.25">
      <c r="C2048" s="78"/>
      <c r="D2048" s="75"/>
      <c r="E2048" s="895" t="s">
        <v>2032</v>
      </c>
      <c r="F2048" s="859" t="s">
        <v>3</v>
      </c>
      <c r="G2048" s="860">
        <v>5.0000000000000001E-3</v>
      </c>
      <c r="H2048" s="842"/>
      <c r="I2048" s="874"/>
      <c r="J2048" s="864"/>
      <c r="K2048" s="874"/>
      <c r="L2048" s="824"/>
    </row>
    <row r="2049" spans="3:12" x14ac:dyDescent="0.25">
      <c r="C2049" s="78"/>
      <c r="D2049" s="75"/>
      <c r="E2049" s="895" t="s">
        <v>104</v>
      </c>
      <c r="F2049" s="859" t="s">
        <v>3</v>
      </c>
      <c r="G2049" s="860">
        <f>G2048*2.5</f>
        <v>1.2500000000000001E-2</v>
      </c>
      <c r="H2049" s="842"/>
      <c r="I2049" s="874"/>
      <c r="J2049" s="864"/>
      <c r="K2049" s="874"/>
      <c r="L2049" s="824"/>
    </row>
    <row r="2050" spans="3:12" x14ac:dyDescent="0.25">
      <c r="C2050" s="78"/>
      <c r="D2050" s="75"/>
      <c r="F2050" s="746"/>
      <c r="G2050" s="746"/>
      <c r="H2050" s="842"/>
      <c r="I2050" s="874"/>
      <c r="J2050" s="864"/>
      <c r="K2050" s="874"/>
      <c r="L2050" s="824"/>
    </row>
    <row r="2051" spans="3:12" x14ac:dyDescent="0.25">
      <c r="C2051" s="78" t="s">
        <v>10535</v>
      </c>
      <c r="D2051" s="78"/>
      <c r="E2051" s="780"/>
      <c r="F2051" s="746"/>
      <c r="G2051" s="746"/>
      <c r="H2051" s="842"/>
      <c r="I2051" s="874"/>
      <c r="J2051" s="864"/>
      <c r="K2051" s="874"/>
      <c r="L2051" s="824"/>
    </row>
    <row r="2052" spans="3:12" x14ac:dyDescent="0.25">
      <c r="C2052" s="813" t="s">
        <v>10474</v>
      </c>
      <c r="D2052" s="780"/>
      <c r="E2052" s="780"/>
      <c r="F2052" s="836" t="s">
        <v>3</v>
      </c>
      <c r="G2052" s="777">
        <f>0.063*0.063*2*1.2*1.1</f>
        <v>1.0478160000000002E-2</v>
      </c>
      <c r="H2052" s="842"/>
      <c r="I2052" s="874"/>
      <c r="J2052" s="864"/>
      <c r="K2052" s="874"/>
      <c r="L2052" s="824"/>
    </row>
    <row r="2053" spans="3:12" x14ac:dyDescent="0.25">
      <c r="H2053" s="842"/>
      <c r="I2053" s="874"/>
      <c r="J2053" s="864"/>
      <c r="K2053" s="874"/>
      <c r="L2053" s="824"/>
    </row>
    <row r="2054" spans="3:12" x14ac:dyDescent="0.25">
      <c r="C2054" s="610" t="s">
        <v>9747</v>
      </c>
      <c r="F2054" s="836" t="s">
        <v>2180</v>
      </c>
      <c r="G2054" s="777"/>
      <c r="H2054" s="842"/>
      <c r="J2054" s="864"/>
      <c r="L2054" s="746"/>
    </row>
    <row r="2055" spans="3:12" x14ac:dyDescent="0.25">
      <c r="F2055" s="746"/>
      <c r="G2055" s="746"/>
      <c r="H2055" s="842"/>
      <c r="J2055" s="864"/>
      <c r="L2055" s="746"/>
    </row>
    <row r="2056" spans="3:12" x14ac:dyDescent="0.25">
      <c r="C2056" s="3" t="s">
        <v>5678</v>
      </c>
      <c r="D2056" s="858"/>
      <c r="E2056" s="858"/>
      <c r="F2056" s="859"/>
      <c r="G2056" s="860"/>
      <c r="H2056" s="899"/>
      <c r="I2056" s="858"/>
      <c r="J2056" s="858"/>
      <c r="L2056" s="746"/>
    </row>
    <row r="2057" spans="3:12" x14ac:dyDescent="0.25">
      <c r="C2057" s="858" t="s">
        <v>143</v>
      </c>
      <c r="D2057" s="858"/>
      <c r="E2057" s="858"/>
      <c r="F2057" s="859" t="s">
        <v>3</v>
      </c>
      <c r="G2057" s="860">
        <f>0.35*0.02*2*1.41</f>
        <v>1.9739999999999997E-2</v>
      </c>
      <c r="H2057" s="899"/>
      <c r="I2057" s="858"/>
      <c r="J2057" s="858"/>
      <c r="L2057" s="746"/>
    </row>
    <row r="2058" spans="3:12" x14ac:dyDescent="0.25">
      <c r="C2058" s="858" t="s">
        <v>8</v>
      </c>
      <c r="D2058" s="861"/>
      <c r="E2058" s="861"/>
      <c r="F2058" s="859" t="s">
        <v>3</v>
      </c>
      <c r="G2058" s="860">
        <v>0.02</v>
      </c>
      <c r="H2058" s="899"/>
      <c r="I2058" s="858"/>
      <c r="J2058" s="858"/>
      <c r="L2058" s="746"/>
    </row>
    <row r="2059" spans="3:12" x14ac:dyDescent="0.25">
      <c r="C2059" s="858" t="s">
        <v>5543</v>
      </c>
      <c r="D2059" s="861"/>
      <c r="E2059" s="861"/>
      <c r="F2059" s="859" t="s">
        <v>3</v>
      </c>
      <c r="G2059" s="860">
        <f>0.35*0.03*2*1.3</f>
        <v>2.7299999999999998E-2</v>
      </c>
      <c r="H2059" s="899"/>
      <c r="I2059" s="858"/>
      <c r="J2059" s="858"/>
      <c r="L2059" s="746"/>
    </row>
    <row r="2060" spans="3:12" x14ac:dyDescent="0.25">
      <c r="C2060" s="858" t="s">
        <v>566</v>
      </c>
      <c r="D2060" s="858"/>
      <c r="E2060" s="858"/>
      <c r="F2060" s="859" t="s">
        <v>3</v>
      </c>
      <c r="G2060" s="860">
        <f>0.3*(G2057+G2058+G2059)</f>
        <v>2.0111999999999994E-2</v>
      </c>
      <c r="H2060" s="899"/>
      <c r="I2060" s="858"/>
      <c r="J2060" s="858"/>
      <c r="L2060" s="746"/>
    </row>
    <row r="2061" spans="3:12" x14ac:dyDescent="0.25">
      <c r="C2061" s="858" t="s">
        <v>140</v>
      </c>
      <c r="D2061" s="858"/>
      <c r="E2061" s="858"/>
      <c r="F2061" s="859" t="s">
        <v>3</v>
      </c>
      <c r="G2061" s="860">
        <f>(0.008*3.14*3+0.03*3.14*2)*0.08*1.2</f>
        <v>2.532096E-2</v>
      </c>
      <c r="H2061" s="899"/>
      <c r="I2061" s="858"/>
      <c r="J2061" s="858"/>
      <c r="L2061" s="746"/>
    </row>
    <row r="2062" spans="3:12" ht="17.25" x14ac:dyDescent="0.25">
      <c r="C2062" s="858" t="s">
        <v>23</v>
      </c>
      <c r="D2062" s="858"/>
      <c r="E2062" s="858"/>
      <c r="F2062" s="859" t="s">
        <v>10569</v>
      </c>
      <c r="G2062" s="860">
        <f>G2061*2</f>
        <v>5.064192E-2</v>
      </c>
      <c r="H2062" s="899"/>
      <c r="I2062" s="858"/>
      <c r="J2062" s="858"/>
      <c r="L2062" s="746"/>
    </row>
    <row r="2063" spans="3:12" x14ac:dyDescent="0.25">
      <c r="C2063" s="858" t="s">
        <v>142</v>
      </c>
      <c r="D2063" s="858"/>
      <c r="E2063" s="858"/>
      <c r="F2063" s="859" t="s">
        <v>3</v>
      </c>
      <c r="G2063" s="860">
        <f>G2061/4</f>
        <v>6.33024E-3</v>
      </c>
      <c r="H2063" s="899"/>
      <c r="I2063" s="858"/>
      <c r="J2063" s="858"/>
      <c r="L2063" s="746"/>
    </row>
    <row r="2064" spans="3:12" x14ac:dyDescent="0.25">
      <c r="C2064" s="858"/>
      <c r="D2064" s="858"/>
      <c r="E2064" s="858"/>
      <c r="F2064" s="859"/>
      <c r="G2064" s="860"/>
      <c r="H2064" s="899"/>
      <c r="I2064" s="858"/>
      <c r="J2064" s="858"/>
      <c r="L2064" s="746"/>
    </row>
    <row r="2065" spans="3:12" x14ac:dyDescent="0.25">
      <c r="C2065" s="3" t="s">
        <v>5679</v>
      </c>
      <c r="D2065" s="858"/>
      <c r="F2065" s="859"/>
      <c r="G2065" s="860"/>
      <c r="H2065" s="899"/>
      <c r="I2065" s="858"/>
      <c r="J2065" s="858"/>
      <c r="L2065" s="746"/>
    </row>
    <row r="2066" spans="3:12" x14ac:dyDescent="0.25">
      <c r="C2066" s="858" t="s">
        <v>140</v>
      </c>
      <c r="D2066" s="858"/>
      <c r="F2066" s="859" t="s">
        <v>3</v>
      </c>
      <c r="G2066" s="860">
        <f>0.008*3.14*0.08*1.3</f>
        <v>2.6124799999999999E-3</v>
      </c>
      <c r="H2066" s="899"/>
      <c r="I2066" s="858"/>
      <c r="J2066" s="858"/>
      <c r="L2066" s="746"/>
    </row>
    <row r="2067" spans="3:12" ht="17.25" x14ac:dyDescent="0.25">
      <c r="C2067" s="858" t="s">
        <v>23</v>
      </c>
      <c r="D2067" s="858"/>
      <c r="F2067" s="859" t="s">
        <v>10569</v>
      </c>
      <c r="G2067" s="860">
        <f>G2066*2</f>
        <v>5.2249599999999998E-3</v>
      </c>
      <c r="H2067" s="899"/>
      <c r="I2067" s="858"/>
      <c r="J2067" s="858"/>
      <c r="L2067" s="746"/>
    </row>
    <row r="2068" spans="3:12" x14ac:dyDescent="0.25">
      <c r="C2068" s="858" t="s">
        <v>142</v>
      </c>
      <c r="D2068" s="858"/>
      <c r="F2068" s="859" t="s">
        <v>3</v>
      </c>
      <c r="G2068" s="860">
        <f>G2066/4</f>
        <v>6.5311999999999998E-4</v>
      </c>
      <c r="H2068" s="899"/>
      <c r="I2068" s="858"/>
      <c r="J2068" s="858"/>
      <c r="L2068" s="746"/>
    </row>
    <row r="2069" spans="3:12" x14ac:dyDescent="0.25">
      <c r="C2069" s="858"/>
      <c r="D2069" s="3" t="s">
        <v>5680</v>
      </c>
      <c r="F2069" s="859"/>
      <c r="G2069" s="860"/>
      <c r="H2069" s="899"/>
      <c r="I2069" s="858"/>
      <c r="J2069" s="858"/>
      <c r="L2069" s="746"/>
    </row>
    <row r="2070" spans="3:12" x14ac:dyDescent="0.25">
      <c r="C2070" s="858"/>
      <c r="D2070" s="858" t="s">
        <v>5676</v>
      </c>
      <c r="F2070" s="859" t="s">
        <v>3</v>
      </c>
      <c r="G2070" s="860">
        <v>0.06</v>
      </c>
      <c r="H2070" s="899"/>
      <c r="I2070" s="874" t="s">
        <v>10567</v>
      </c>
      <c r="J2070" s="864">
        <v>0.21</v>
      </c>
      <c r="K2070" s="874" t="s">
        <v>10150</v>
      </c>
      <c r="L2070" s="824">
        <v>0.25</v>
      </c>
    </row>
    <row r="2071" spans="3:12" x14ac:dyDescent="0.25">
      <c r="C2071" s="858"/>
      <c r="D2071" s="858"/>
      <c r="F2071" s="859"/>
      <c r="G2071" s="860"/>
      <c r="H2071" s="899"/>
      <c r="I2071" s="858"/>
      <c r="J2071" s="858"/>
      <c r="L2071" s="746"/>
    </row>
    <row r="2072" spans="3:12" x14ac:dyDescent="0.25">
      <c r="C2072" s="3" t="s">
        <v>5681</v>
      </c>
      <c r="D2072" s="858"/>
      <c r="F2072" s="859"/>
      <c r="G2072" s="860"/>
      <c r="H2072" s="899"/>
      <c r="I2072" s="858"/>
      <c r="J2072" s="858"/>
      <c r="L2072" s="746"/>
    </row>
    <row r="2073" spans="3:12" x14ac:dyDescent="0.25">
      <c r="C2073" s="858" t="s">
        <v>140</v>
      </c>
      <c r="D2073" s="858"/>
      <c r="F2073" s="859" t="s">
        <v>3</v>
      </c>
      <c r="G2073" s="860">
        <f>0.008*3.14*0.08*1.3</f>
        <v>2.6124799999999999E-3</v>
      </c>
      <c r="H2073" s="899"/>
      <c r="I2073" s="858"/>
      <c r="J2073" s="858"/>
      <c r="L2073" s="746"/>
    </row>
    <row r="2074" spans="3:12" ht="17.25" x14ac:dyDescent="0.25">
      <c r="C2074" s="858" t="s">
        <v>23</v>
      </c>
      <c r="D2074" s="858"/>
      <c r="F2074" s="859" t="s">
        <v>10569</v>
      </c>
      <c r="G2074" s="860">
        <f>G2073*2</f>
        <v>5.2249599999999998E-3</v>
      </c>
      <c r="H2074" s="899"/>
      <c r="I2074" s="858"/>
      <c r="J2074" s="858"/>
      <c r="L2074" s="746"/>
    </row>
    <row r="2075" spans="3:12" x14ac:dyDescent="0.25">
      <c r="C2075" s="858" t="s">
        <v>142</v>
      </c>
      <c r="D2075" s="858"/>
      <c r="F2075" s="859" t="s">
        <v>3</v>
      </c>
      <c r="G2075" s="860">
        <f>G2073/4</f>
        <v>6.5311999999999998E-4</v>
      </c>
      <c r="H2075" s="899"/>
      <c r="I2075" s="858"/>
      <c r="J2075" s="858"/>
      <c r="L2075" s="746"/>
    </row>
    <row r="2076" spans="3:12" x14ac:dyDescent="0.25">
      <c r="C2076" s="858"/>
      <c r="D2076" s="3" t="s">
        <v>5682</v>
      </c>
      <c r="F2076" s="859"/>
      <c r="G2076" s="860"/>
      <c r="H2076" s="899"/>
      <c r="I2076" s="858"/>
      <c r="J2076" s="858"/>
      <c r="L2076" s="746"/>
    </row>
    <row r="2077" spans="3:12" x14ac:dyDescent="0.25">
      <c r="C2077" s="858"/>
      <c r="D2077" s="858" t="s">
        <v>5676</v>
      </c>
      <c r="F2077" s="859" t="s">
        <v>3</v>
      </c>
      <c r="G2077" s="860">
        <v>7.1999999999999995E-2</v>
      </c>
      <c r="H2077" s="899"/>
      <c r="I2077" s="874" t="s">
        <v>10567</v>
      </c>
      <c r="J2077" s="864">
        <v>0.24</v>
      </c>
      <c r="K2077" s="874" t="s">
        <v>10150</v>
      </c>
      <c r="L2077" s="824">
        <v>0.3</v>
      </c>
    </row>
    <row r="2078" spans="3:12" x14ac:dyDescent="0.25">
      <c r="C2078" s="858"/>
      <c r="D2078" s="858"/>
      <c r="E2078" s="858"/>
      <c r="F2078" s="859"/>
      <c r="G2078" s="860"/>
      <c r="H2078" s="899"/>
      <c r="I2078" s="858"/>
      <c r="J2078" s="858"/>
      <c r="L2078" s="746"/>
    </row>
    <row r="2079" spans="3:12" x14ac:dyDescent="0.25">
      <c r="C2079" s="3" t="s">
        <v>5684</v>
      </c>
      <c r="D2079" s="858"/>
      <c r="F2079" s="859"/>
      <c r="G2079" s="860"/>
      <c r="H2079" s="899"/>
      <c r="I2079" s="858"/>
      <c r="J2079" s="858"/>
      <c r="L2079" s="746"/>
    </row>
    <row r="2080" spans="3:12" x14ac:dyDescent="0.25">
      <c r="C2080" s="858" t="s">
        <v>140</v>
      </c>
      <c r="D2080" s="858"/>
      <c r="F2080" s="859" t="s">
        <v>3</v>
      </c>
      <c r="G2080" s="860">
        <f>0.008*3.14*0.08*1.3</f>
        <v>2.6124799999999999E-3</v>
      </c>
      <c r="H2080" s="899"/>
      <c r="I2080" s="858"/>
      <c r="J2080" s="858"/>
      <c r="L2080" s="746"/>
    </row>
    <row r="2081" spans="3:12" ht="17.25" x14ac:dyDescent="0.25">
      <c r="C2081" s="858" t="s">
        <v>23</v>
      </c>
      <c r="D2081" s="858"/>
      <c r="F2081" s="859" t="s">
        <v>10569</v>
      </c>
      <c r="G2081" s="860">
        <f>G2080*2</f>
        <v>5.2249599999999998E-3</v>
      </c>
      <c r="H2081" s="899"/>
      <c r="I2081" s="858"/>
      <c r="J2081" s="858"/>
      <c r="L2081" s="746"/>
    </row>
    <row r="2082" spans="3:12" x14ac:dyDescent="0.25">
      <c r="C2082" s="858" t="s">
        <v>142</v>
      </c>
      <c r="D2082" s="858"/>
      <c r="F2082" s="859" t="s">
        <v>3</v>
      </c>
      <c r="G2082" s="860">
        <f>G2080/4</f>
        <v>6.5311999999999998E-4</v>
      </c>
      <c r="H2082" s="899"/>
      <c r="I2082" s="858"/>
      <c r="J2082" s="858"/>
      <c r="L2082" s="746"/>
    </row>
    <row r="2083" spans="3:12" x14ac:dyDescent="0.25">
      <c r="C2083" s="858"/>
      <c r="D2083" s="3" t="s">
        <v>10647</v>
      </c>
      <c r="F2083" s="859"/>
      <c r="G2083" s="860"/>
      <c r="H2083" s="899"/>
      <c r="I2083" s="858"/>
      <c r="J2083" s="858"/>
      <c r="L2083" s="746"/>
    </row>
    <row r="2084" spans="3:12" x14ac:dyDescent="0.25">
      <c r="C2084" s="858"/>
      <c r="D2084" s="858" t="s">
        <v>5676</v>
      </c>
      <c r="F2084" s="859" t="s">
        <v>3</v>
      </c>
      <c r="G2084" s="860">
        <v>1.2E-2</v>
      </c>
      <c r="H2084" s="899"/>
      <c r="I2084" s="874" t="s">
        <v>10567</v>
      </c>
      <c r="J2084" s="864">
        <v>0.04</v>
      </c>
      <c r="K2084" s="874" t="s">
        <v>10150</v>
      </c>
      <c r="L2084" s="824">
        <v>0.05</v>
      </c>
    </row>
    <row r="2085" spans="3:12" x14ac:dyDescent="0.25">
      <c r="C2085" s="858"/>
      <c r="D2085" s="858"/>
      <c r="E2085" s="858"/>
      <c r="F2085" s="859"/>
      <c r="G2085" s="860"/>
      <c r="H2085" s="899"/>
      <c r="I2085" s="858"/>
      <c r="J2085" s="858"/>
      <c r="L2085" s="746"/>
    </row>
    <row r="2086" spans="3:12" x14ac:dyDescent="0.25">
      <c r="C2086" s="3" t="s">
        <v>5685</v>
      </c>
      <c r="D2086" s="858"/>
      <c r="F2086" s="859"/>
      <c r="G2086" s="860"/>
      <c r="H2086" s="899"/>
      <c r="I2086" s="858"/>
      <c r="J2086" s="858"/>
      <c r="L2086" s="746"/>
    </row>
    <row r="2087" spans="3:12" x14ac:dyDescent="0.25">
      <c r="C2087" s="858" t="s">
        <v>5686</v>
      </c>
      <c r="D2087" s="858"/>
      <c r="F2087" s="859" t="s">
        <v>3</v>
      </c>
      <c r="G2087" s="860">
        <v>0.06</v>
      </c>
      <c r="H2087" s="899"/>
      <c r="I2087" s="874" t="s">
        <v>10567</v>
      </c>
      <c r="J2087" s="864">
        <v>0.11</v>
      </c>
      <c r="K2087" s="874" t="s">
        <v>10150</v>
      </c>
      <c r="L2087" s="824">
        <v>0.12</v>
      </c>
    </row>
    <row r="2088" spans="3:12" x14ac:dyDescent="0.25">
      <c r="C2088" s="858"/>
      <c r="D2088" s="858"/>
      <c r="F2088" s="859"/>
      <c r="G2088" s="860"/>
      <c r="H2088" s="899"/>
      <c r="I2088" s="858"/>
      <c r="J2088" s="858"/>
      <c r="L2088" s="746"/>
    </row>
    <row r="2089" spans="3:12" x14ac:dyDescent="0.25">
      <c r="C2089" s="3" t="s">
        <v>5688</v>
      </c>
      <c r="D2089" s="858"/>
      <c r="F2089" s="859"/>
      <c r="G2089" s="860"/>
      <c r="H2089" s="899"/>
      <c r="I2089" s="858"/>
      <c r="J2089" s="858"/>
      <c r="L2089" s="746"/>
    </row>
    <row r="2090" spans="3:12" x14ac:dyDescent="0.25">
      <c r="C2090" s="858" t="s">
        <v>5689</v>
      </c>
      <c r="D2090" s="858"/>
      <c r="F2090" s="859" t="s">
        <v>3</v>
      </c>
      <c r="G2090" s="860">
        <f>0.25</f>
        <v>0.25</v>
      </c>
      <c r="H2090" s="899"/>
      <c r="I2090" s="874" t="s">
        <v>10567</v>
      </c>
      <c r="J2090" s="864">
        <v>0.2</v>
      </c>
      <c r="K2090" s="874" t="s">
        <v>10150</v>
      </c>
      <c r="L2090" s="824">
        <v>0.22</v>
      </c>
    </row>
    <row r="2091" spans="3:12" x14ac:dyDescent="0.25">
      <c r="C2091" s="858"/>
      <c r="D2091" s="858"/>
      <c r="F2091" s="859"/>
      <c r="G2091" s="860"/>
      <c r="H2091" s="899"/>
      <c r="I2091" s="858"/>
      <c r="J2091" s="858"/>
      <c r="L2091" s="746"/>
    </row>
    <row r="2092" spans="3:12" x14ac:dyDescent="0.25">
      <c r="C2092" s="3" t="s">
        <v>5690</v>
      </c>
      <c r="D2092" s="858"/>
      <c r="F2092" s="859"/>
      <c r="G2092" s="860"/>
      <c r="H2092" s="899"/>
      <c r="I2092" s="858"/>
      <c r="J2092" s="858"/>
      <c r="L2092" s="746"/>
    </row>
    <row r="2093" spans="3:12" ht="17.25" x14ac:dyDescent="0.25">
      <c r="C2093" s="858" t="s">
        <v>5691</v>
      </c>
      <c r="D2093" s="858"/>
      <c r="F2093" s="859" t="s">
        <v>10570</v>
      </c>
      <c r="G2093" s="860">
        <f>0.04*0.04*1.05</f>
        <v>1.6800000000000001E-3</v>
      </c>
      <c r="H2093" s="899"/>
      <c r="I2093" s="858"/>
      <c r="J2093" s="858"/>
      <c r="L2093" s="746"/>
    </row>
    <row r="2094" spans="3:12" x14ac:dyDescent="0.25">
      <c r="C2094" s="858"/>
      <c r="D2094" s="858"/>
      <c r="F2094" s="859"/>
      <c r="G2094" s="860"/>
      <c r="H2094" s="899"/>
      <c r="I2094" s="858"/>
      <c r="J2094" s="858"/>
      <c r="L2094" s="746"/>
    </row>
    <row r="2095" spans="3:12" x14ac:dyDescent="0.25">
      <c r="C2095" s="3" t="s">
        <v>5693</v>
      </c>
      <c r="D2095" s="858"/>
      <c r="F2095" s="859"/>
      <c r="G2095" s="860"/>
      <c r="H2095" s="899"/>
      <c r="I2095" s="858"/>
      <c r="J2095" s="858"/>
      <c r="L2095" s="746"/>
    </row>
    <row r="2096" spans="3:12" x14ac:dyDescent="0.25">
      <c r="C2096" s="858" t="s">
        <v>953</v>
      </c>
      <c r="D2096" s="858"/>
      <c r="F2096" s="859" t="s">
        <v>3</v>
      </c>
      <c r="G2096" s="860">
        <v>5.0000000000000001E-3</v>
      </c>
      <c r="H2096" s="899"/>
      <c r="I2096" s="858"/>
      <c r="J2096" s="858"/>
      <c r="L2096" s="746"/>
    </row>
    <row r="2097" spans="3:12" x14ac:dyDescent="0.25">
      <c r="C2097" s="610"/>
      <c r="G2097" s="777"/>
      <c r="H2097" s="842"/>
      <c r="J2097" s="864"/>
      <c r="L2097" s="746"/>
    </row>
    <row r="2098" spans="3:12" x14ac:dyDescent="0.25">
      <c r="C2098" s="3" t="s">
        <v>5694</v>
      </c>
      <c r="D2098" s="858"/>
      <c r="E2098" s="858"/>
      <c r="F2098" s="859"/>
      <c r="G2098" s="860"/>
      <c r="H2098" s="899"/>
      <c r="I2098" s="858"/>
      <c r="J2098" s="858"/>
      <c r="L2098" s="746"/>
    </row>
    <row r="2099" spans="3:12" x14ac:dyDescent="0.25">
      <c r="C2099" s="858" t="s">
        <v>143</v>
      </c>
      <c r="D2099" s="858"/>
      <c r="E2099" s="858"/>
      <c r="F2099" s="859" t="s">
        <v>3</v>
      </c>
      <c r="G2099" s="860">
        <f>0.23*0.015*2*1.3</f>
        <v>8.9700000000000005E-3</v>
      </c>
      <c r="H2099" s="899"/>
      <c r="I2099" s="858"/>
      <c r="J2099" s="858"/>
      <c r="L2099" s="746"/>
    </row>
    <row r="2100" spans="3:12" x14ac:dyDescent="0.25">
      <c r="C2100" s="858" t="s">
        <v>8</v>
      </c>
      <c r="D2100" s="858"/>
      <c r="E2100" s="858"/>
      <c r="F2100" s="859" t="s">
        <v>3</v>
      </c>
      <c r="G2100" s="860">
        <f>0.3*G2099</f>
        <v>2.6910000000000002E-3</v>
      </c>
      <c r="H2100" s="899"/>
      <c r="I2100" s="858"/>
      <c r="J2100" s="858"/>
      <c r="L2100" s="746"/>
    </row>
    <row r="2101" spans="3:12" x14ac:dyDescent="0.25">
      <c r="C2101" s="858" t="s">
        <v>5543</v>
      </c>
      <c r="D2101" s="858"/>
      <c r="E2101" s="858"/>
      <c r="F2101" s="859" t="s">
        <v>3</v>
      </c>
      <c r="G2101" s="860">
        <f>J2107*0.011*2*1.3</f>
        <v>6.5780000000000005E-3</v>
      </c>
      <c r="H2101" s="899"/>
      <c r="I2101" s="858"/>
      <c r="J2101" s="858"/>
      <c r="L2101" s="746"/>
    </row>
    <row r="2102" spans="3:12" x14ac:dyDescent="0.25">
      <c r="C2102" s="858" t="s">
        <v>566</v>
      </c>
      <c r="D2102" s="858"/>
      <c r="E2102" s="858"/>
      <c r="F2102" s="859" t="s">
        <v>3</v>
      </c>
      <c r="G2102" s="860">
        <f>0.3*(G2101+G2100+G2099)</f>
        <v>5.4717000000000003E-3</v>
      </c>
      <c r="H2102" s="899"/>
      <c r="I2102" s="858"/>
      <c r="J2102" s="858"/>
      <c r="L2102" s="746"/>
    </row>
    <row r="2103" spans="3:12" x14ac:dyDescent="0.25">
      <c r="C2103" s="858" t="s">
        <v>140</v>
      </c>
      <c r="D2103" s="858"/>
      <c r="E2103" s="858"/>
      <c r="F2103" s="859" t="s">
        <v>3</v>
      </c>
      <c r="G2103" s="860">
        <f>0.008*3.14*2*0.08*1.2</f>
        <v>4.8230399999999998E-3</v>
      </c>
      <c r="H2103" s="899"/>
      <c r="I2103" s="858"/>
      <c r="J2103" s="858"/>
      <c r="L2103" s="746"/>
    </row>
    <row r="2104" spans="3:12" ht="17.25" x14ac:dyDescent="0.25">
      <c r="C2104" s="858" t="s">
        <v>23</v>
      </c>
      <c r="D2104" s="858"/>
      <c r="E2104" s="858"/>
      <c r="F2104" s="859" t="s">
        <v>10569</v>
      </c>
      <c r="G2104" s="860">
        <f>G2103*2</f>
        <v>9.6460799999999996E-3</v>
      </c>
      <c r="H2104" s="899"/>
      <c r="I2104" s="858"/>
      <c r="J2104" s="858"/>
      <c r="L2104" s="746"/>
    </row>
    <row r="2105" spans="3:12" x14ac:dyDescent="0.25">
      <c r="C2105" s="858" t="s">
        <v>142</v>
      </c>
      <c r="D2105" s="858"/>
      <c r="E2105" s="858"/>
      <c r="F2105" s="859" t="s">
        <v>3</v>
      </c>
      <c r="G2105" s="860">
        <f>G2103/4</f>
        <v>1.2057599999999999E-3</v>
      </c>
      <c r="H2105" s="899"/>
      <c r="I2105" s="858"/>
      <c r="J2105" s="858"/>
      <c r="L2105" s="746"/>
    </row>
    <row r="2106" spans="3:12" x14ac:dyDescent="0.25">
      <c r="C2106" s="858"/>
      <c r="D2106" s="3" t="s">
        <v>10563</v>
      </c>
      <c r="E2106" s="858"/>
      <c r="F2106" s="859"/>
      <c r="G2106" s="860"/>
      <c r="H2106" s="899"/>
      <c r="I2106" s="858"/>
      <c r="J2106" s="858"/>
      <c r="L2106" s="746"/>
    </row>
    <row r="2107" spans="3:12" x14ac:dyDescent="0.25">
      <c r="C2107" s="858"/>
      <c r="D2107" s="858" t="s">
        <v>5676</v>
      </c>
      <c r="E2107" s="858"/>
      <c r="F2107" s="859" t="s">
        <v>3</v>
      </c>
      <c r="G2107" s="777">
        <f>0.24* L2107</f>
        <v>7.1999999999999995E-2</v>
      </c>
      <c r="H2107" s="899"/>
      <c r="I2107" s="874" t="s">
        <v>10567</v>
      </c>
      <c r="J2107" s="864">
        <v>0.23</v>
      </c>
      <c r="K2107" s="874" t="s">
        <v>10150</v>
      </c>
      <c r="L2107" s="824">
        <v>0.3</v>
      </c>
    </row>
    <row r="2108" spans="3:12" x14ac:dyDescent="0.25">
      <c r="C2108" s="610"/>
      <c r="H2108" s="842"/>
      <c r="J2108" s="864"/>
      <c r="L2108" s="746"/>
    </row>
    <row r="2109" spans="3:12" x14ac:dyDescent="0.25">
      <c r="C2109" s="3" t="s">
        <v>5711</v>
      </c>
      <c r="D2109" s="858"/>
      <c r="E2109" s="858"/>
      <c r="F2109" s="859"/>
      <c r="G2109" s="860"/>
      <c r="H2109" s="899"/>
      <c r="I2109" s="858"/>
      <c r="J2109" s="858"/>
      <c r="L2109" s="746"/>
    </row>
    <row r="2110" spans="3:12" x14ac:dyDescent="0.25">
      <c r="C2110" s="858" t="s">
        <v>143</v>
      </c>
      <c r="D2110" s="858"/>
      <c r="E2110" s="858"/>
      <c r="F2110" s="859" t="s">
        <v>3</v>
      </c>
      <c r="G2110" s="860">
        <f>0.5*0.011*2*1.3</f>
        <v>1.43E-2</v>
      </c>
      <c r="H2110" s="899"/>
      <c r="I2110" s="858"/>
      <c r="J2110" s="858"/>
      <c r="L2110" s="746"/>
    </row>
    <row r="2111" spans="3:12" x14ac:dyDescent="0.25">
      <c r="C2111" s="858" t="s">
        <v>8</v>
      </c>
      <c r="D2111" s="858"/>
      <c r="E2111" s="858"/>
      <c r="F2111" s="859" t="s">
        <v>3</v>
      </c>
      <c r="G2111" s="860">
        <f>0.3*G2110</f>
        <v>4.2899999999999995E-3</v>
      </c>
      <c r="H2111" s="899"/>
      <c r="I2111" s="858"/>
      <c r="J2111" s="858"/>
      <c r="L2111" s="746"/>
    </row>
    <row r="2112" spans="3:12" x14ac:dyDescent="0.25">
      <c r="C2112" s="858" t="s">
        <v>5543</v>
      </c>
      <c r="D2112" s="858"/>
      <c r="E2112" s="858"/>
      <c r="F2112" s="859" t="s">
        <v>3</v>
      </c>
      <c r="G2112" s="860">
        <f>J2118*0.011*2*1.3</f>
        <v>1.43E-2</v>
      </c>
      <c r="H2112" s="899"/>
      <c r="I2112" s="858"/>
      <c r="J2112" s="858"/>
      <c r="L2112" s="746"/>
    </row>
    <row r="2113" spans="3:12" x14ac:dyDescent="0.25">
      <c r="C2113" s="858" t="s">
        <v>12</v>
      </c>
      <c r="D2113" s="858"/>
      <c r="E2113" s="858"/>
      <c r="F2113" s="859" t="s">
        <v>3</v>
      </c>
      <c r="G2113" s="860">
        <f>0.3*(G2112+G2111+G2110)</f>
        <v>9.8670000000000008E-3</v>
      </c>
      <c r="H2113" s="899"/>
      <c r="I2113" s="858"/>
      <c r="J2113" s="858"/>
      <c r="L2113" s="746"/>
    </row>
    <row r="2114" spans="3:12" x14ac:dyDescent="0.25">
      <c r="C2114" s="858" t="s">
        <v>140</v>
      </c>
      <c r="D2114" s="858"/>
      <c r="E2114" s="858"/>
      <c r="F2114" s="859" t="s">
        <v>3</v>
      </c>
      <c r="G2114" s="860">
        <f>0.008*3.14*2*0.08*1.3</f>
        <v>5.2249599999999998E-3</v>
      </c>
      <c r="H2114" s="899"/>
      <c r="I2114" s="858"/>
      <c r="J2114" s="858"/>
      <c r="L2114" s="746"/>
    </row>
    <row r="2115" spans="3:12" ht="17.25" x14ac:dyDescent="0.25">
      <c r="C2115" s="858" t="s">
        <v>23</v>
      </c>
      <c r="D2115" s="858"/>
      <c r="E2115" s="858"/>
      <c r="F2115" s="859" t="s">
        <v>10569</v>
      </c>
      <c r="G2115" s="860">
        <f>G2114*2</f>
        <v>1.044992E-2</v>
      </c>
      <c r="H2115" s="899"/>
      <c r="I2115" s="858"/>
      <c r="J2115" s="858"/>
      <c r="L2115" s="746"/>
    </row>
    <row r="2116" spans="3:12" x14ac:dyDescent="0.25">
      <c r="C2116" s="858" t="s">
        <v>142</v>
      </c>
      <c r="D2116" s="858"/>
      <c r="E2116" s="858"/>
      <c r="F2116" s="859" t="s">
        <v>3</v>
      </c>
      <c r="G2116" s="860">
        <f>G2114/4</f>
        <v>1.30624E-3</v>
      </c>
      <c r="H2116" s="899"/>
      <c r="I2116" s="858"/>
      <c r="J2116" s="858"/>
      <c r="L2116" s="746"/>
    </row>
    <row r="2117" spans="3:12" x14ac:dyDescent="0.25">
      <c r="C2117" s="858"/>
      <c r="D2117" s="3" t="s">
        <v>5712</v>
      </c>
      <c r="E2117" s="858"/>
      <c r="F2117" s="859"/>
      <c r="G2117" s="860"/>
      <c r="H2117" s="899"/>
      <c r="I2117" s="858"/>
      <c r="J2117" s="858"/>
      <c r="L2117" s="746"/>
    </row>
    <row r="2118" spans="3:12" x14ac:dyDescent="0.25">
      <c r="C2118" s="858"/>
      <c r="D2118" s="858" t="s">
        <v>5676</v>
      </c>
      <c r="E2118" s="858"/>
      <c r="F2118" s="859" t="s">
        <v>3</v>
      </c>
      <c r="G2118" s="777">
        <f>0.24* L2118</f>
        <v>0.1452</v>
      </c>
      <c r="H2118" s="899"/>
      <c r="I2118" s="874" t="s">
        <v>10567</v>
      </c>
      <c r="J2118" s="864">
        <v>0.5</v>
      </c>
      <c r="K2118" s="874" t="s">
        <v>10150</v>
      </c>
      <c r="L2118" s="824">
        <v>0.60499999999999998</v>
      </c>
    </row>
    <row r="2119" spans="3:12" x14ac:dyDescent="0.25">
      <c r="C2119" s="610"/>
      <c r="G2119" s="746"/>
      <c r="H2119" s="842"/>
      <c r="J2119" s="864"/>
      <c r="L2119" s="746"/>
    </row>
    <row r="2120" spans="3:12" x14ac:dyDescent="0.25">
      <c r="C2120" s="54" t="s">
        <v>5582</v>
      </c>
      <c r="D2120" s="861"/>
      <c r="E2120" s="859"/>
      <c r="F2120" s="860"/>
      <c r="G2120" s="777"/>
      <c r="H2120" s="842"/>
      <c r="J2120" s="864"/>
      <c r="L2120" s="746"/>
    </row>
    <row r="2121" spans="3:12" x14ac:dyDescent="0.25">
      <c r="C2121" s="861" t="s">
        <v>5415</v>
      </c>
      <c r="D2121" s="861"/>
      <c r="F2121" s="859" t="s">
        <v>3</v>
      </c>
      <c r="G2121" s="860">
        <f>0.45*0.05*1.32</f>
        <v>2.9700000000000004E-2</v>
      </c>
      <c r="H2121" s="842"/>
      <c r="J2121" s="864"/>
      <c r="L2121" s="746"/>
    </row>
    <row r="2122" spans="3:12" x14ac:dyDescent="0.25">
      <c r="C2122" s="861" t="s">
        <v>104</v>
      </c>
      <c r="D2122" s="861"/>
      <c r="F2122" s="859" t="s">
        <v>3</v>
      </c>
      <c r="G2122" s="860">
        <f>2.5*G2121</f>
        <v>7.425000000000001E-2</v>
      </c>
      <c r="H2122" s="842"/>
      <c r="J2122" s="864"/>
      <c r="L2122" s="746"/>
    </row>
    <row r="2123" spans="3:12" x14ac:dyDescent="0.25">
      <c r="C2123" s="54"/>
      <c r="D2123" s="54" t="s">
        <v>5583</v>
      </c>
      <c r="F2123" s="859"/>
      <c r="G2123" s="860"/>
      <c r="H2123" s="842"/>
      <c r="J2123" s="864"/>
      <c r="L2123" s="746"/>
    </row>
    <row r="2124" spans="3:12" x14ac:dyDescent="0.25">
      <c r="C2124" s="54"/>
      <c r="D2124" s="861" t="s">
        <v>957</v>
      </c>
      <c r="F2124" s="859" t="s">
        <v>3</v>
      </c>
      <c r="G2124" s="860">
        <f>0.07*0.07*1*8.5*1.05</f>
        <v>4.3732500000000007E-2</v>
      </c>
      <c r="H2124" s="842"/>
      <c r="J2124" s="864"/>
      <c r="L2124" s="746"/>
    </row>
    <row r="2125" spans="3:12" x14ac:dyDescent="0.25">
      <c r="C2125" s="54"/>
      <c r="D2125" s="54" t="s">
        <v>5584</v>
      </c>
      <c r="F2125" s="859"/>
      <c r="G2125" s="860"/>
      <c r="H2125" s="842"/>
      <c r="J2125" s="864"/>
      <c r="L2125" s="746"/>
    </row>
    <row r="2126" spans="3:12" x14ac:dyDescent="0.25">
      <c r="C2126" s="54"/>
      <c r="D2126" s="861" t="s">
        <v>957</v>
      </c>
      <c r="F2126" s="859" t="s">
        <v>3</v>
      </c>
      <c r="G2126" s="860">
        <f>0.07*0.07*1*8.5*1.05</f>
        <v>4.3732500000000007E-2</v>
      </c>
      <c r="H2126" s="842"/>
      <c r="J2126" s="864"/>
      <c r="L2126" s="746"/>
    </row>
    <row r="2127" spans="3:12" x14ac:dyDescent="0.25">
      <c r="C2127" s="54"/>
      <c r="D2127" s="54" t="s">
        <v>5585</v>
      </c>
      <c r="F2127" s="859"/>
      <c r="G2127" s="860"/>
      <c r="H2127" s="842"/>
      <c r="J2127" s="864"/>
      <c r="L2127" s="746"/>
    </row>
    <row r="2128" spans="3:12" x14ac:dyDescent="0.25">
      <c r="C2128" s="54"/>
      <c r="D2128" s="861" t="s">
        <v>957</v>
      </c>
      <c r="F2128" s="859" t="s">
        <v>3</v>
      </c>
      <c r="G2128" s="860">
        <f>0.1*0.006*1*8.5*1.1</f>
        <v>5.6100000000000013E-3</v>
      </c>
      <c r="H2128" s="842"/>
      <c r="J2128" s="864"/>
      <c r="L2128" s="746"/>
    </row>
    <row r="2129" spans="3:12" x14ac:dyDescent="0.25">
      <c r="C2129" s="54"/>
      <c r="D2129" s="54" t="s">
        <v>5586</v>
      </c>
      <c r="F2129" s="859"/>
      <c r="G2129" s="860"/>
      <c r="H2129" s="842"/>
      <c r="J2129" s="864"/>
      <c r="L2129" s="746"/>
    </row>
    <row r="2130" spans="3:12" x14ac:dyDescent="0.25">
      <c r="C2130" s="54"/>
      <c r="D2130" s="861" t="s">
        <v>5587</v>
      </c>
      <c r="F2130" s="859" t="s">
        <v>3</v>
      </c>
      <c r="G2130" s="860">
        <f>0.15*0.1*1.12</f>
        <v>1.6800000000000002E-2</v>
      </c>
      <c r="H2130" s="842"/>
      <c r="J2130" s="864"/>
      <c r="L2130" s="746"/>
    </row>
    <row r="2131" spans="3:12" x14ac:dyDescent="0.25">
      <c r="C2131" s="54"/>
      <c r="D2131" s="54" t="s">
        <v>5588</v>
      </c>
      <c r="F2131" s="859"/>
      <c r="G2131" s="860"/>
      <c r="H2131" s="842"/>
      <c r="J2131" s="864"/>
      <c r="L2131" s="746"/>
    </row>
    <row r="2132" spans="3:12" x14ac:dyDescent="0.25">
      <c r="C2132" s="54"/>
      <c r="D2132" s="861" t="s">
        <v>5587</v>
      </c>
      <c r="F2132" s="859" t="s">
        <v>3</v>
      </c>
      <c r="G2132" s="860">
        <f>0.05*0.05*1.05</f>
        <v>2.6250000000000006E-3</v>
      </c>
      <c r="H2132" s="842"/>
      <c r="J2132" s="864"/>
      <c r="L2132" s="746"/>
    </row>
    <row r="2133" spans="3:12" x14ac:dyDescent="0.25">
      <c r="C2133" s="610"/>
      <c r="G2133" s="777"/>
      <c r="H2133" s="842"/>
      <c r="J2133" s="864"/>
      <c r="L2133" s="746"/>
    </row>
    <row r="2134" spans="3:12" x14ac:dyDescent="0.25">
      <c r="C2134" s="3" t="s">
        <v>5659</v>
      </c>
      <c r="D2134" s="858"/>
      <c r="E2134" s="858"/>
      <c r="F2134" s="859"/>
      <c r="G2134" s="860"/>
      <c r="H2134" s="899"/>
      <c r="I2134" s="858"/>
      <c r="J2134" s="858"/>
      <c r="L2134" s="746"/>
    </row>
    <row r="2135" spans="3:12" x14ac:dyDescent="0.25">
      <c r="C2135" s="858" t="s">
        <v>140</v>
      </c>
      <c r="D2135" s="858"/>
      <c r="E2135" s="858"/>
      <c r="F2135" s="859" t="s">
        <v>3</v>
      </c>
      <c r="G2135" s="860">
        <f>0.018*3.14*0.08*1.2</f>
        <v>5.4259199999999999E-3</v>
      </c>
      <c r="H2135" s="899"/>
      <c r="I2135" s="858"/>
      <c r="J2135" s="858"/>
      <c r="L2135" s="746"/>
    </row>
    <row r="2136" spans="3:12" ht="17.25" x14ac:dyDescent="0.25">
      <c r="C2136" s="858" t="s">
        <v>23</v>
      </c>
      <c r="D2136" s="858"/>
      <c r="E2136" s="858"/>
      <c r="F2136" s="859" t="s">
        <v>10569</v>
      </c>
      <c r="G2136" s="860">
        <f>G2135*2</f>
        <v>1.085184E-2</v>
      </c>
      <c r="H2136" s="899"/>
      <c r="I2136" s="858"/>
      <c r="J2136" s="858"/>
      <c r="L2136" s="746"/>
    </row>
    <row r="2137" spans="3:12" x14ac:dyDescent="0.25">
      <c r="C2137" s="858" t="s">
        <v>142</v>
      </c>
      <c r="D2137" s="858"/>
      <c r="E2137" s="858"/>
      <c r="F2137" s="859" t="s">
        <v>3</v>
      </c>
      <c r="G2137" s="860">
        <f>G2135/4</f>
        <v>1.35648E-3</v>
      </c>
      <c r="H2137" s="899"/>
      <c r="I2137" s="858"/>
      <c r="J2137" s="858"/>
      <c r="L2137" s="746"/>
    </row>
    <row r="2138" spans="3:12" x14ac:dyDescent="0.25">
      <c r="C2138" s="858" t="s">
        <v>143</v>
      </c>
      <c r="D2138" s="858"/>
      <c r="E2138" s="858"/>
      <c r="F2138" s="859" t="s">
        <v>3</v>
      </c>
      <c r="G2138" s="860">
        <f>0.06*0.03*2*1.3</f>
        <v>4.6800000000000001E-3</v>
      </c>
      <c r="H2138" s="899"/>
      <c r="I2138" s="858"/>
      <c r="J2138" s="858"/>
    </row>
    <row r="2139" spans="3:12" x14ac:dyDescent="0.25">
      <c r="C2139" s="858" t="s">
        <v>661</v>
      </c>
      <c r="D2139" s="858"/>
      <c r="E2139" s="858"/>
      <c r="F2139" s="859" t="s">
        <v>3</v>
      </c>
      <c r="G2139" s="860">
        <f>0.3*G2138</f>
        <v>1.4040000000000001E-3</v>
      </c>
      <c r="H2139" s="899"/>
      <c r="I2139" s="858"/>
      <c r="J2139" s="858"/>
    </row>
    <row r="2140" spans="3:12" x14ac:dyDescent="0.25">
      <c r="C2140" s="858"/>
      <c r="D2140" s="3" t="s">
        <v>5660</v>
      </c>
      <c r="E2140" s="858"/>
      <c r="F2140" s="859"/>
      <c r="G2140" s="860"/>
      <c r="H2140" s="899"/>
      <c r="I2140" s="858"/>
      <c r="J2140" s="858"/>
    </row>
    <row r="2141" spans="3:12" x14ac:dyDescent="0.25">
      <c r="C2141" s="858"/>
      <c r="D2141" s="858" t="s">
        <v>5661</v>
      </c>
      <c r="E2141" s="858"/>
      <c r="F2141" s="859" t="s">
        <v>3</v>
      </c>
      <c r="G2141" s="860">
        <f>0.469*L2141</f>
        <v>3.5174999999999998E-2</v>
      </c>
      <c r="H2141" s="899"/>
      <c r="I2141" s="874" t="s">
        <v>10567</v>
      </c>
      <c r="J2141" s="864">
        <v>0.05</v>
      </c>
      <c r="K2141" s="874" t="s">
        <v>10150</v>
      </c>
      <c r="L2141" s="825">
        <v>7.4999999999999997E-2</v>
      </c>
    </row>
    <row r="2142" spans="3:12" x14ac:dyDescent="0.25">
      <c r="C2142" s="610"/>
      <c r="G2142" s="777"/>
      <c r="H2142" s="842"/>
      <c r="J2142" s="864"/>
      <c r="L2142" s="746"/>
    </row>
    <row r="2143" spans="3:12" x14ac:dyDescent="0.25">
      <c r="C2143" s="610" t="s">
        <v>10540</v>
      </c>
      <c r="G2143" s="777"/>
      <c r="H2143" s="842"/>
      <c r="J2143" s="864"/>
      <c r="L2143" s="746"/>
    </row>
    <row r="2144" spans="3:12" x14ac:dyDescent="0.25">
      <c r="C2144" s="746" t="s">
        <v>10417</v>
      </c>
      <c r="F2144" s="836" t="s">
        <v>3</v>
      </c>
      <c r="G2144" s="777">
        <f>0.37* L2144+0.002</f>
        <v>0.33500000000000002</v>
      </c>
      <c r="H2144" s="842"/>
      <c r="I2144" s="874" t="s">
        <v>10567</v>
      </c>
      <c r="J2144" s="864">
        <v>0.84499999999999997</v>
      </c>
      <c r="K2144" s="874" t="s">
        <v>10150</v>
      </c>
      <c r="L2144" s="825">
        <v>0.9</v>
      </c>
    </row>
    <row r="2145" spans="3:12" x14ac:dyDescent="0.25">
      <c r="C2145" s="843" t="s">
        <v>143</v>
      </c>
      <c r="D2145" s="844"/>
      <c r="F2145" s="845" t="s">
        <v>3</v>
      </c>
      <c r="G2145" s="779">
        <f>G2146</f>
        <v>1.45002E-2</v>
      </c>
      <c r="H2145" s="842"/>
      <c r="I2145" s="874"/>
      <c r="J2145" s="864"/>
      <c r="K2145" s="874"/>
    </row>
    <row r="2146" spans="3:12" x14ac:dyDescent="0.25">
      <c r="C2146" s="843" t="s">
        <v>8</v>
      </c>
      <c r="D2146" s="844"/>
      <c r="F2146" s="845" t="s">
        <v>3</v>
      </c>
      <c r="G2146" s="779">
        <f>G2147*0.65</f>
        <v>1.45002E-2</v>
      </c>
      <c r="H2146" s="842"/>
      <c r="I2146" s="874"/>
      <c r="J2146" s="864"/>
      <c r="K2146" s="874"/>
    </row>
    <row r="2147" spans="3:12" x14ac:dyDescent="0.25">
      <c r="C2147" s="843" t="s">
        <v>5543</v>
      </c>
      <c r="D2147" s="844"/>
      <c r="F2147" s="845" t="s">
        <v>3</v>
      </c>
      <c r="G2147" s="779">
        <f>J2144*0.011*2*1.2</f>
        <v>2.2307999999999998E-2</v>
      </c>
      <c r="H2147" s="842"/>
      <c r="I2147" s="874"/>
      <c r="J2147" s="864"/>
      <c r="K2147" s="874"/>
    </row>
    <row r="2148" spans="3:12" x14ac:dyDescent="0.25">
      <c r="C2148" s="843" t="s">
        <v>12</v>
      </c>
      <c r="D2148" s="844"/>
      <c r="F2148" s="845" t="s">
        <v>3</v>
      </c>
      <c r="G2148" s="779">
        <f>0.3*(G2147+G2146+G2145)</f>
        <v>1.5392519999999998E-2</v>
      </c>
      <c r="H2148" s="842"/>
      <c r="I2148" s="874"/>
      <c r="J2148" s="864"/>
      <c r="K2148" s="874"/>
    </row>
    <row r="2149" spans="3:12" x14ac:dyDescent="0.25">
      <c r="G2149" s="777"/>
      <c r="H2149" s="842"/>
      <c r="I2149" s="874"/>
      <c r="J2149" s="864"/>
      <c r="K2149" s="874"/>
    </row>
    <row r="2150" spans="3:12" x14ac:dyDescent="0.25">
      <c r="C2150" s="610" t="s">
        <v>10541</v>
      </c>
      <c r="G2150" s="777"/>
      <c r="H2150" s="842"/>
      <c r="J2150" s="864"/>
      <c r="L2150" s="746"/>
    </row>
    <row r="2151" spans="3:12" x14ac:dyDescent="0.25">
      <c r="C2151" s="746" t="s">
        <v>10417</v>
      </c>
      <c r="F2151" s="836" t="s">
        <v>3</v>
      </c>
      <c r="G2151" s="777">
        <f>0.37* L2151+0.002</f>
        <v>0.50149999999999995</v>
      </c>
      <c r="H2151" s="842"/>
      <c r="I2151" s="874" t="s">
        <v>10567</v>
      </c>
      <c r="J2151" s="864">
        <v>1.28</v>
      </c>
      <c r="K2151" s="874" t="s">
        <v>10150</v>
      </c>
      <c r="L2151" s="825">
        <v>1.35</v>
      </c>
    </row>
    <row r="2152" spans="3:12" x14ac:dyDescent="0.25">
      <c r="C2152" s="843" t="s">
        <v>143</v>
      </c>
      <c r="D2152" s="844"/>
      <c r="F2152" s="845" t="s">
        <v>3</v>
      </c>
      <c r="G2152" s="779">
        <f>G2153</f>
        <v>2.19648E-2</v>
      </c>
      <c r="H2152" s="842"/>
      <c r="I2152" s="874"/>
      <c r="J2152" s="864"/>
      <c r="K2152" s="874"/>
    </row>
    <row r="2153" spans="3:12" x14ac:dyDescent="0.25">
      <c r="C2153" s="843" t="s">
        <v>8</v>
      </c>
      <c r="D2153" s="844"/>
      <c r="F2153" s="845" t="s">
        <v>3</v>
      </c>
      <c r="G2153" s="779">
        <f>G2154*0.65</f>
        <v>2.19648E-2</v>
      </c>
      <c r="H2153" s="842"/>
      <c r="I2153" s="874"/>
      <c r="J2153" s="864"/>
      <c r="K2153" s="874"/>
    </row>
    <row r="2154" spans="3:12" x14ac:dyDescent="0.25">
      <c r="C2154" s="843" t="s">
        <v>5543</v>
      </c>
      <c r="D2154" s="844"/>
      <c r="F2154" s="845" t="s">
        <v>3</v>
      </c>
      <c r="G2154" s="779">
        <f>J2151*0.011*2*1.2</f>
        <v>3.3791999999999996E-2</v>
      </c>
      <c r="H2154" s="842"/>
      <c r="I2154" s="874"/>
      <c r="J2154" s="864"/>
      <c r="K2154" s="874"/>
    </row>
    <row r="2155" spans="3:12" x14ac:dyDescent="0.25">
      <c r="C2155" s="843" t="s">
        <v>12</v>
      </c>
      <c r="D2155" s="844"/>
      <c r="F2155" s="845" t="s">
        <v>3</v>
      </c>
      <c r="G2155" s="779">
        <f>0.3*(G2154+G2153+G2152)</f>
        <v>2.3316480000000001E-2</v>
      </c>
      <c r="H2155" s="842"/>
      <c r="I2155" s="874"/>
      <c r="J2155" s="864"/>
      <c r="K2155" s="874"/>
    </row>
    <row r="2156" spans="3:12" x14ac:dyDescent="0.25">
      <c r="C2156" s="610"/>
      <c r="G2156" s="777"/>
      <c r="H2156" s="842"/>
      <c r="I2156" s="874"/>
      <c r="J2156" s="864"/>
      <c r="K2156" s="874"/>
    </row>
    <row r="2157" spans="3:12" x14ac:dyDescent="0.25">
      <c r="C2157" s="610" t="s">
        <v>10542</v>
      </c>
      <c r="G2157" s="777"/>
      <c r="H2157" s="842"/>
      <c r="J2157" s="864"/>
      <c r="L2157" s="746"/>
    </row>
    <row r="2158" spans="3:12" x14ac:dyDescent="0.25">
      <c r="C2158" s="746" t="s">
        <v>10549</v>
      </c>
      <c r="F2158" s="836" t="s">
        <v>3</v>
      </c>
      <c r="G2158" s="777">
        <f>0.314* L2158</f>
        <v>0.12560000000000002</v>
      </c>
      <c r="H2158" s="842"/>
      <c r="I2158" s="874" t="s">
        <v>10567</v>
      </c>
      <c r="J2158" s="864">
        <v>0.35</v>
      </c>
      <c r="K2158" s="874" t="s">
        <v>10150</v>
      </c>
      <c r="L2158" s="825">
        <v>0.4</v>
      </c>
    </row>
    <row r="2159" spans="3:12" x14ac:dyDescent="0.25">
      <c r="C2159" s="843" t="s">
        <v>143</v>
      </c>
      <c r="D2159" s="844"/>
      <c r="F2159" s="845" t="s">
        <v>3</v>
      </c>
      <c r="G2159" s="779">
        <f>G2160</f>
        <v>6.0059999999999992E-3</v>
      </c>
      <c r="H2159" s="842"/>
      <c r="I2159" s="874"/>
      <c r="J2159" s="864"/>
      <c r="K2159" s="874"/>
    </row>
    <row r="2160" spans="3:12" x14ac:dyDescent="0.25">
      <c r="C2160" s="843" t="s">
        <v>8</v>
      </c>
      <c r="D2160" s="844"/>
      <c r="F2160" s="845" t="s">
        <v>3</v>
      </c>
      <c r="G2160" s="779">
        <f>G2161*0.65</f>
        <v>6.0059999999999992E-3</v>
      </c>
      <c r="H2160" s="842"/>
      <c r="I2160" s="874"/>
      <c r="J2160" s="864"/>
      <c r="K2160" s="874"/>
    </row>
    <row r="2161" spans="3:12" x14ac:dyDescent="0.25">
      <c r="C2161" s="843" t="s">
        <v>5543</v>
      </c>
      <c r="D2161" s="844"/>
      <c r="F2161" s="845" t="s">
        <v>3</v>
      </c>
      <c r="G2161" s="779">
        <f>J2158*0.011*2*1.2</f>
        <v>9.2399999999999982E-3</v>
      </c>
      <c r="H2161" s="842"/>
      <c r="I2161" s="874"/>
      <c r="J2161" s="864"/>
      <c r="K2161" s="874"/>
    </row>
    <row r="2162" spans="3:12" x14ac:dyDescent="0.25">
      <c r="C2162" s="843" t="s">
        <v>12</v>
      </c>
      <c r="D2162" s="844"/>
      <c r="F2162" s="845" t="s">
        <v>3</v>
      </c>
      <c r="G2162" s="779">
        <f>0.3*(G2161+G2160+G2159)</f>
        <v>6.3755999999999986E-3</v>
      </c>
      <c r="H2162" s="842"/>
      <c r="I2162" s="874"/>
      <c r="J2162" s="864"/>
      <c r="K2162" s="874"/>
    </row>
    <row r="2163" spans="3:12" x14ac:dyDescent="0.25">
      <c r="C2163" s="610"/>
      <c r="G2163" s="777"/>
      <c r="H2163" s="842"/>
      <c r="I2163" s="874"/>
      <c r="J2163" s="864"/>
      <c r="K2163" s="874"/>
    </row>
    <row r="2164" spans="3:12" x14ac:dyDescent="0.25">
      <c r="C2164" s="610" t="s">
        <v>10543</v>
      </c>
      <c r="G2164" s="777"/>
      <c r="H2164" s="842"/>
      <c r="J2164" s="864"/>
      <c r="L2164" s="746"/>
    </row>
    <row r="2165" spans="3:12" x14ac:dyDescent="0.25">
      <c r="C2165" s="746" t="s">
        <v>10550</v>
      </c>
      <c r="F2165" s="836" t="s">
        <v>3</v>
      </c>
      <c r="G2165" s="777">
        <f>0.222* L2165</f>
        <v>0.20535</v>
      </c>
      <c r="H2165" s="842"/>
      <c r="I2165" s="874" t="s">
        <v>10567</v>
      </c>
      <c r="J2165" s="864">
        <v>0.88200000000000001</v>
      </c>
      <c r="K2165" s="874" t="s">
        <v>10150</v>
      </c>
      <c r="L2165" s="825">
        <v>0.92500000000000004</v>
      </c>
    </row>
    <row r="2166" spans="3:12" x14ac:dyDescent="0.25">
      <c r="C2166" s="843" t="s">
        <v>143</v>
      </c>
      <c r="D2166" s="844"/>
      <c r="F2166" s="845" t="s">
        <v>3</v>
      </c>
      <c r="G2166" s="779">
        <f>G2167</f>
        <v>1.5135119999999998E-2</v>
      </c>
      <c r="H2166" s="842"/>
      <c r="I2166" s="874"/>
      <c r="J2166" s="864"/>
      <c r="K2166" s="874"/>
    </row>
    <row r="2167" spans="3:12" x14ac:dyDescent="0.25">
      <c r="C2167" s="843" t="s">
        <v>8</v>
      </c>
      <c r="D2167" s="844"/>
      <c r="F2167" s="845" t="s">
        <v>3</v>
      </c>
      <c r="G2167" s="779">
        <f>G2168*0.65</f>
        <v>1.5135119999999998E-2</v>
      </c>
      <c r="H2167" s="842"/>
      <c r="I2167" s="874"/>
      <c r="J2167" s="864"/>
      <c r="K2167" s="874"/>
    </row>
    <row r="2168" spans="3:12" x14ac:dyDescent="0.25">
      <c r="C2168" s="843" t="s">
        <v>5543</v>
      </c>
      <c r="D2168" s="844"/>
      <c r="F2168" s="845" t="s">
        <v>3</v>
      </c>
      <c r="G2168" s="779">
        <f>J2165*0.011*2*1.2</f>
        <v>2.3284799999999998E-2</v>
      </c>
      <c r="H2168" s="842"/>
      <c r="I2168" s="874"/>
      <c r="J2168" s="864"/>
      <c r="K2168" s="874"/>
    </row>
    <row r="2169" spans="3:12" x14ac:dyDescent="0.25">
      <c r="C2169" s="843" t="s">
        <v>12</v>
      </c>
      <c r="D2169" s="844"/>
      <c r="F2169" s="845" t="s">
        <v>3</v>
      </c>
      <c r="G2169" s="779">
        <f>0.3*(G2168+G2167+G2166)</f>
        <v>1.6066511999999998E-2</v>
      </c>
      <c r="H2169" s="842"/>
      <c r="I2169" s="874"/>
      <c r="J2169" s="864"/>
      <c r="K2169" s="874"/>
    </row>
    <row r="2170" spans="3:12" x14ac:dyDescent="0.25">
      <c r="C2170" s="610"/>
      <c r="G2170" s="777"/>
      <c r="H2170" s="842"/>
      <c r="J2170" s="864"/>
      <c r="L2170" s="746"/>
    </row>
    <row r="2171" spans="3:12" x14ac:dyDescent="0.25">
      <c r="C2171" s="610" t="s">
        <v>10544</v>
      </c>
      <c r="G2171" s="777"/>
      <c r="H2171" s="842"/>
      <c r="J2171" s="864"/>
      <c r="L2171" s="746"/>
    </row>
    <row r="2172" spans="3:12" x14ac:dyDescent="0.25">
      <c r="C2172" s="746" t="s">
        <v>10550</v>
      </c>
      <c r="F2172" s="836" t="s">
        <v>3</v>
      </c>
      <c r="G2172" s="777">
        <f>0.222* L2172</f>
        <v>0.24531</v>
      </c>
      <c r="H2172" s="842"/>
      <c r="I2172" s="874" t="s">
        <v>10567</v>
      </c>
      <c r="J2172" s="864">
        <v>1.02</v>
      </c>
      <c r="K2172" s="874" t="s">
        <v>10150</v>
      </c>
      <c r="L2172" s="825">
        <v>1.105</v>
      </c>
    </row>
    <row r="2173" spans="3:12" x14ac:dyDescent="0.25">
      <c r="C2173" s="843" t="s">
        <v>143</v>
      </c>
      <c r="D2173" s="844"/>
      <c r="F2173" s="845" t="s">
        <v>3</v>
      </c>
      <c r="G2173" s="779">
        <f>G2174</f>
        <v>1.75032E-2</v>
      </c>
      <c r="H2173" s="842"/>
      <c r="I2173" s="874"/>
      <c r="J2173" s="864"/>
      <c r="K2173" s="874"/>
    </row>
    <row r="2174" spans="3:12" x14ac:dyDescent="0.25">
      <c r="C2174" s="843" t="s">
        <v>8</v>
      </c>
      <c r="D2174" s="844"/>
      <c r="F2174" s="845" t="s">
        <v>3</v>
      </c>
      <c r="G2174" s="779">
        <f>G2175*0.65</f>
        <v>1.75032E-2</v>
      </c>
      <c r="H2174" s="842"/>
      <c r="I2174" s="874"/>
      <c r="J2174" s="864"/>
      <c r="K2174" s="874"/>
    </row>
    <row r="2175" spans="3:12" x14ac:dyDescent="0.25">
      <c r="C2175" s="843" t="s">
        <v>5543</v>
      </c>
      <c r="D2175" s="844"/>
      <c r="F2175" s="845" t="s">
        <v>3</v>
      </c>
      <c r="G2175" s="779">
        <f>J2172*0.011*2*1.2</f>
        <v>2.6927999999999997E-2</v>
      </c>
      <c r="H2175" s="842"/>
      <c r="I2175" s="874"/>
      <c r="J2175" s="864"/>
      <c r="K2175" s="874"/>
    </row>
    <row r="2176" spans="3:12" x14ac:dyDescent="0.25">
      <c r="C2176" s="843" t="s">
        <v>12</v>
      </c>
      <c r="D2176" s="844"/>
      <c r="F2176" s="845" t="s">
        <v>3</v>
      </c>
      <c r="G2176" s="779">
        <f>0.3*(G2175+G2174+G2173)</f>
        <v>1.8580320000000001E-2</v>
      </c>
      <c r="H2176" s="842"/>
      <c r="I2176" s="874"/>
      <c r="J2176" s="864"/>
      <c r="K2176" s="874"/>
    </row>
    <row r="2177" spans="3:12" x14ac:dyDescent="0.25">
      <c r="C2177" s="610"/>
      <c r="G2177" s="777"/>
      <c r="H2177" s="842"/>
      <c r="I2177" s="874"/>
      <c r="J2177" s="864"/>
      <c r="K2177" s="874"/>
    </row>
    <row r="2178" spans="3:12" x14ac:dyDescent="0.25">
      <c r="C2178" s="610" t="s">
        <v>10545</v>
      </c>
      <c r="G2178" s="777"/>
      <c r="H2178" s="842"/>
      <c r="J2178" s="864"/>
      <c r="L2178" s="746"/>
    </row>
    <row r="2179" spans="3:12" x14ac:dyDescent="0.25">
      <c r="C2179" s="746" t="s">
        <v>10417</v>
      </c>
      <c r="F2179" s="836" t="s">
        <v>3</v>
      </c>
      <c r="G2179" s="777">
        <f>0.37* L2179+0.002</f>
        <v>0.39050000000000001</v>
      </c>
      <c r="H2179" s="842"/>
      <c r="I2179" s="874" t="s">
        <v>10567</v>
      </c>
      <c r="J2179" s="864">
        <v>0.96499999999999997</v>
      </c>
      <c r="K2179" s="874" t="s">
        <v>10150</v>
      </c>
      <c r="L2179" s="825">
        <v>1.05</v>
      </c>
    </row>
    <row r="2180" spans="3:12" x14ac:dyDescent="0.25">
      <c r="C2180" s="843" t="s">
        <v>143</v>
      </c>
      <c r="D2180" s="844"/>
      <c r="F2180" s="845" t="s">
        <v>3</v>
      </c>
      <c r="G2180" s="779">
        <f>G2181</f>
        <v>1.6559399999999998E-2</v>
      </c>
      <c r="H2180" s="842"/>
      <c r="I2180" s="874"/>
      <c r="J2180" s="864"/>
      <c r="K2180" s="874"/>
    </row>
    <row r="2181" spans="3:12" x14ac:dyDescent="0.25">
      <c r="C2181" s="843" t="s">
        <v>8</v>
      </c>
      <c r="D2181" s="844"/>
      <c r="F2181" s="845" t="s">
        <v>3</v>
      </c>
      <c r="G2181" s="779">
        <f>G2182*0.65</f>
        <v>1.6559399999999998E-2</v>
      </c>
      <c r="H2181" s="842"/>
      <c r="I2181" s="874"/>
      <c r="J2181" s="864"/>
      <c r="K2181" s="874"/>
    </row>
    <row r="2182" spans="3:12" x14ac:dyDescent="0.25">
      <c r="C2182" s="843" t="s">
        <v>5543</v>
      </c>
      <c r="D2182" s="844"/>
      <c r="F2182" s="845" t="s">
        <v>3</v>
      </c>
      <c r="G2182" s="779">
        <f>J2179*0.011*2*1.2</f>
        <v>2.5475999999999999E-2</v>
      </c>
      <c r="H2182" s="842"/>
      <c r="I2182" s="874"/>
      <c r="J2182" s="864"/>
      <c r="K2182" s="874"/>
    </row>
    <row r="2183" spans="3:12" x14ac:dyDescent="0.25">
      <c r="C2183" s="843" t="s">
        <v>12</v>
      </c>
      <c r="D2183" s="844"/>
      <c r="F2183" s="845" t="s">
        <v>3</v>
      </c>
      <c r="G2183" s="779">
        <f>0.3*(G2182+G2181+G2180)</f>
        <v>1.7578440000000001E-2</v>
      </c>
      <c r="H2183" s="842"/>
      <c r="I2183" s="874"/>
      <c r="J2183" s="864"/>
      <c r="K2183" s="874"/>
    </row>
    <row r="2184" spans="3:12" x14ac:dyDescent="0.25">
      <c r="C2184" s="610"/>
      <c r="G2184" s="777"/>
      <c r="H2184" s="842"/>
      <c r="I2184" s="874"/>
      <c r="J2184" s="864"/>
      <c r="K2184" s="874"/>
    </row>
    <row r="2185" spans="3:12" x14ac:dyDescent="0.25">
      <c r="C2185" s="610" t="s">
        <v>10546</v>
      </c>
      <c r="G2185" s="777"/>
      <c r="H2185" s="842"/>
      <c r="J2185" s="864"/>
      <c r="L2185" s="746"/>
    </row>
    <row r="2186" spans="3:12" x14ac:dyDescent="0.25">
      <c r="C2186" s="774" t="s">
        <v>10425</v>
      </c>
      <c r="F2186" s="836" t="s">
        <v>3</v>
      </c>
      <c r="G2186" s="777">
        <f>0.105*0.06*5*8*1.12+0.003</f>
        <v>0.28523999999999999</v>
      </c>
      <c r="H2186" s="842"/>
      <c r="J2186" s="864"/>
      <c r="L2186" s="746"/>
    </row>
    <row r="2187" spans="3:12" x14ac:dyDescent="0.25">
      <c r="C2187" s="610"/>
      <c r="G2187" s="777"/>
      <c r="H2187" s="842"/>
      <c r="J2187" s="864"/>
      <c r="L2187" s="746"/>
    </row>
    <row r="2188" spans="3:12" x14ac:dyDescent="0.25">
      <c r="C2188" s="751" t="s">
        <v>10547</v>
      </c>
      <c r="D2188" s="780"/>
      <c r="E2188" s="780"/>
      <c r="G2188" s="777"/>
      <c r="H2188" s="842"/>
      <c r="J2188" s="864"/>
      <c r="L2188" s="746"/>
    </row>
    <row r="2189" spans="3:12" x14ac:dyDescent="0.25">
      <c r="C2189" s="746" t="s">
        <v>10557</v>
      </c>
      <c r="F2189" s="836" t="s">
        <v>3</v>
      </c>
      <c r="G2189" s="777">
        <f>0.228*L2189</f>
        <v>0.17100000000000001</v>
      </c>
      <c r="H2189" s="842"/>
      <c r="I2189" s="874" t="s">
        <v>10567</v>
      </c>
      <c r="J2189" s="864">
        <v>0.71</v>
      </c>
      <c r="K2189" s="874" t="s">
        <v>10150</v>
      </c>
      <c r="L2189" s="825">
        <v>0.75</v>
      </c>
    </row>
    <row r="2190" spans="3:12" x14ac:dyDescent="0.25">
      <c r="C2190" s="610"/>
      <c r="G2190" s="777"/>
      <c r="H2190" s="842"/>
      <c r="J2190" s="864"/>
      <c r="L2190" s="746"/>
    </row>
    <row r="2191" spans="3:12" x14ac:dyDescent="0.25">
      <c r="C2191" s="751" t="s">
        <v>10548</v>
      </c>
      <c r="D2191" s="780"/>
      <c r="E2191" s="780"/>
      <c r="G2191" s="777"/>
      <c r="H2191" s="842"/>
      <c r="J2191" s="864"/>
      <c r="L2191" s="746"/>
    </row>
    <row r="2192" spans="3:12" x14ac:dyDescent="0.25">
      <c r="C2192" s="746" t="s">
        <v>10550</v>
      </c>
      <c r="F2192" s="836" t="s">
        <v>3</v>
      </c>
      <c r="G2192" s="777">
        <f>0.222* L2192</f>
        <v>9.9900000000000003E-2</v>
      </c>
      <c r="H2192" s="842"/>
      <c r="I2192" s="874" t="s">
        <v>10567</v>
      </c>
      <c r="J2192" s="864">
        <v>0.93899999999999995</v>
      </c>
      <c r="K2192" s="874" t="s">
        <v>10150</v>
      </c>
      <c r="L2192" s="825">
        <v>0.45</v>
      </c>
    </row>
    <row r="2193" spans="3:12" x14ac:dyDescent="0.25">
      <c r="C2193" s="610"/>
      <c r="G2193" s="777"/>
      <c r="H2193" s="842"/>
      <c r="J2193" s="864"/>
      <c r="L2193" s="746"/>
    </row>
    <row r="2194" spans="3:12" x14ac:dyDescent="0.25">
      <c r="C2194" s="751" t="s">
        <v>6443</v>
      </c>
      <c r="D2194" s="780"/>
      <c r="E2194" s="780"/>
      <c r="F2194" s="853"/>
      <c r="G2194" s="777"/>
      <c r="H2194" s="842"/>
      <c r="J2194" s="864"/>
      <c r="L2194" s="746"/>
    </row>
    <row r="2195" spans="3:12" x14ac:dyDescent="0.25">
      <c r="C2195" s="780" t="s">
        <v>6444</v>
      </c>
      <c r="D2195" s="780"/>
      <c r="E2195" s="780"/>
      <c r="F2195" s="853" t="s">
        <v>3</v>
      </c>
      <c r="G2195" s="777">
        <f>0.179*0.016*1*8*1.15</f>
        <v>2.6348799999999995E-2</v>
      </c>
      <c r="H2195" s="842"/>
      <c r="J2195" s="864"/>
      <c r="L2195" s="746"/>
    </row>
    <row r="2196" spans="3:12" x14ac:dyDescent="0.25">
      <c r="C2196" s="780"/>
      <c r="D2196" s="780"/>
      <c r="E2196" s="780"/>
      <c r="F2196" s="853"/>
      <c r="G2196" s="777"/>
      <c r="H2196" s="842"/>
      <c r="J2196" s="864"/>
      <c r="L2196" s="746"/>
    </row>
    <row r="2197" spans="3:12" x14ac:dyDescent="0.25">
      <c r="C2197" s="751" t="s">
        <v>10552</v>
      </c>
      <c r="D2197" s="780"/>
      <c r="E2197" s="780"/>
      <c r="F2197" s="853"/>
      <c r="G2197" s="777"/>
      <c r="H2197" s="842"/>
      <c r="J2197" s="864"/>
      <c r="L2197" s="746"/>
    </row>
    <row r="2198" spans="3:12" x14ac:dyDescent="0.25">
      <c r="C2198" s="780" t="s">
        <v>10417</v>
      </c>
      <c r="D2198" s="780"/>
      <c r="E2198" s="780"/>
      <c r="F2198" s="853" t="s">
        <v>3</v>
      </c>
      <c r="G2198" s="777">
        <f>0.37*L2198</f>
        <v>0.79993999999999998</v>
      </c>
      <c r="H2198" s="842"/>
      <c r="I2198" s="874" t="s">
        <v>10567</v>
      </c>
      <c r="J2198" s="864">
        <v>2.0499999999999998</v>
      </c>
      <c r="K2198" s="874" t="s">
        <v>10150</v>
      </c>
      <c r="L2198" s="825">
        <v>2.1619999999999999</v>
      </c>
    </row>
    <row r="2199" spans="3:12" x14ac:dyDescent="0.25">
      <c r="C2199" s="610"/>
      <c r="G2199" s="777"/>
      <c r="H2199" s="842"/>
      <c r="J2199" s="864"/>
      <c r="L2199" s="746"/>
    </row>
    <row r="2200" spans="3:12" x14ac:dyDescent="0.25">
      <c r="C2200" s="610" t="s">
        <v>5740</v>
      </c>
      <c r="G2200" s="777"/>
      <c r="H2200" s="842"/>
      <c r="J2200" s="864"/>
      <c r="L2200" s="746"/>
    </row>
    <row r="2201" spans="3:12" x14ac:dyDescent="0.25">
      <c r="C2201" s="746" t="s">
        <v>10553</v>
      </c>
      <c r="F2201" s="836" t="s">
        <v>3</v>
      </c>
      <c r="G2201" s="777">
        <f>0.114*0.016*0.8*8*1.12</f>
        <v>1.3074432000000002E-2</v>
      </c>
      <c r="H2201" s="842"/>
      <c r="J2201" s="864"/>
      <c r="L2201" s="746"/>
    </row>
    <row r="2202" spans="3:12" x14ac:dyDescent="0.25">
      <c r="C2202" s="610"/>
      <c r="G2202" s="777"/>
      <c r="H2202" s="842"/>
      <c r="J2202" s="864"/>
      <c r="L2202" s="746"/>
    </row>
    <row r="2203" spans="3:12" x14ac:dyDescent="0.25">
      <c r="C2203" s="610" t="s">
        <v>5746</v>
      </c>
      <c r="G2203" s="777"/>
      <c r="H2203" s="842"/>
      <c r="J2203" s="864"/>
      <c r="L2203" s="746"/>
    </row>
    <row r="2204" spans="3:12" x14ac:dyDescent="0.25">
      <c r="C2204" s="746" t="s">
        <v>4362</v>
      </c>
      <c r="F2204" s="836" t="s">
        <v>3</v>
      </c>
      <c r="G2204" s="777">
        <f>0.09*0.03*4*8*1.155</f>
        <v>9.9791999999999992E-2</v>
      </c>
      <c r="H2204" s="842"/>
      <c r="J2204" s="864"/>
      <c r="L2204" s="746"/>
    </row>
    <row r="2205" spans="3:12" x14ac:dyDescent="0.25">
      <c r="C2205" s="610"/>
      <c r="G2205" s="777"/>
      <c r="H2205" s="842"/>
      <c r="J2205" s="864"/>
      <c r="L2205" s="746"/>
    </row>
    <row r="2206" spans="3:12" x14ac:dyDescent="0.25">
      <c r="C2206" s="610" t="s">
        <v>10554</v>
      </c>
      <c r="G2206" s="777"/>
      <c r="H2206" s="842"/>
      <c r="J2206" s="864"/>
      <c r="L2206" s="746"/>
    </row>
    <row r="2207" spans="3:12" x14ac:dyDescent="0.25">
      <c r="C2207" s="746" t="s">
        <v>10703</v>
      </c>
      <c r="F2207" s="775" t="s">
        <v>3</v>
      </c>
      <c r="G2207" s="777">
        <f>0.12*0.11*4*8*1.125</f>
        <v>0.47520000000000001</v>
      </c>
      <c r="H2207" s="842"/>
      <c r="J2207" s="864"/>
      <c r="L2207" s="746"/>
    </row>
    <row r="2208" spans="3:12" x14ac:dyDescent="0.25">
      <c r="C2208" s="901" t="s">
        <v>8</v>
      </c>
      <c r="F2208" s="775" t="s">
        <v>3</v>
      </c>
      <c r="G2208" s="777">
        <f>0.65*G2209</f>
        <v>6.1776000000000001E-3</v>
      </c>
      <c r="H2208" s="842"/>
      <c r="J2208" s="864"/>
      <c r="L2208" s="746"/>
    </row>
    <row r="2209" spans="3:12" x14ac:dyDescent="0.25">
      <c r="C2209" s="901" t="s">
        <v>5630</v>
      </c>
      <c r="F2209" s="775" t="s">
        <v>3</v>
      </c>
      <c r="G2209" s="777">
        <f>0.12*0.11*2*0.15*2*1.2</f>
        <v>9.5040000000000003E-3</v>
      </c>
      <c r="H2209" s="842"/>
      <c r="J2209" s="864"/>
      <c r="L2209" s="746"/>
    </row>
    <row r="2210" spans="3:12" x14ac:dyDescent="0.25">
      <c r="C2210" s="901" t="s">
        <v>12</v>
      </c>
      <c r="F2210" s="775" t="s">
        <v>3</v>
      </c>
      <c r="G2210" s="777">
        <f>0.3*(G2209+G2208)</f>
        <v>4.7044799999999996E-3</v>
      </c>
      <c r="H2210" s="842"/>
      <c r="J2210" s="864"/>
      <c r="L2210" s="746"/>
    </row>
    <row r="2211" spans="3:12" x14ac:dyDescent="0.25">
      <c r="F2211" s="775"/>
      <c r="G2211" s="777"/>
      <c r="H2211" s="842"/>
      <c r="J2211" s="864"/>
      <c r="L2211" s="746"/>
    </row>
    <row r="2212" spans="3:12" x14ac:dyDescent="0.25">
      <c r="C2212" s="751" t="s">
        <v>10536</v>
      </c>
      <c r="D2212" s="780"/>
      <c r="E2212" s="780"/>
      <c r="F2212" s="746"/>
      <c r="G2212" s="746"/>
      <c r="H2212" s="842"/>
      <c r="J2212" s="864"/>
      <c r="L2212" s="746"/>
    </row>
    <row r="2213" spans="3:12" x14ac:dyDescent="0.25">
      <c r="C2213" s="858" t="s">
        <v>140</v>
      </c>
      <c r="D2213" s="858"/>
      <c r="E2213" s="858"/>
      <c r="F2213" s="859" t="s">
        <v>3</v>
      </c>
      <c r="G2213" s="860">
        <f>(0.008*3.14*2)*0.08*1.2</f>
        <v>4.8230399999999998E-3</v>
      </c>
      <c r="H2213" s="842"/>
      <c r="J2213" s="864"/>
      <c r="L2213" s="746"/>
    </row>
    <row r="2214" spans="3:12" ht="17.25" x14ac:dyDescent="0.25">
      <c r="C2214" s="858" t="s">
        <v>23</v>
      </c>
      <c r="D2214" s="858"/>
      <c r="E2214" s="858"/>
      <c r="F2214" s="859" t="s">
        <v>10569</v>
      </c>
      <c r="G2214" s="860">
        <f>G2213*2</f>
        <v>9.6460799999999996E-3</v>
      </c>
      <c r="H2214" s="842"/>
      <c r="J2214" s="864"/>
      <c r="L2214" s="746"/>
    </row>
    <row r="2215" spans="3:12" x14ac:dyDescent="0.25">
      <c r="C2215" s="858" t="s">
        <v>142</v>
      </c>
      <c r="D2215" s="858"/>
      <c r="E2215" s="858"/>
      <c r="F2215" s="859" t="s">
        <v>3</v>
      </c>
      <c r="G2215" s="860">
        <f>G2213/4</f>
        <v>1.2057599999999999E-3</v>
      </c>
      <c r="H2215" s="842"/>
      <c r="J2215" s="864"/>
      <c r="L2215" s="746"/>
    </row>
    <row r="2216" spans="3:12" x14ac:dyDescent="0.25">
      <c r="C2216" s="780" t="s">
        <v>8</v>
      </c>
      <c r="D2216" s="780"/>
      <c r="E2216" s="780"/>
      <c r="F2216" s="836" t="s">
        <v>3</v>
      </c>
      <c r="G2216" s="782">
        <f>G2217*0.65</f>
        <v>1.9733999999999998E-2</v>
      </c>
      <c r="H2216" s="842"/>
      <c r="J2216" s="864"/>
      <c r="L2216" s="746"/>
    </row>
    <row r="2217" spans="3:12" x14ac:dyDescent="0.25">
      <c r="C2217" s="780" t="s">
        <v>5543</v>
      </c>
      <c r="D2217" s="780"/>
      <c r="E2217" s="780"/>
      <c r="F2217" s="836" t="s">
        <v>3</v>
      </c>
      <c r="G2217" s="782">
        <f>L2220*0.011*2*1.2</f>
        <v>3.0359999999999995E-2</v>
      </c>
      <c r="H2217" s="842"/>
      <c r="J2217" s="864"/>
      <c r="L2217" s="746"/>
    </row>
    <row r="2218" spans="3:12" x14ac:dyDescent="0.25">
      <c r="C2218" s="780" t="s">
        <v>12</v>
      </c>
      <c r="D2218" s="780"/>
      <c r="E2218" s="780"/>
      <c r="F2218" s="836" t="s">
        <v>3</v>
      </c>
      <c r="G2218" s="782">
        <f>0.3*(G2217+G2216)</f>
        <v>1.5028199999999997E-2</v>
      </c>
      <c r="H2218" s="842"/>
      <c r="J2218" s="864"/>
      <c r="L2218" s="746"/>
    </row>
    <row r="2219" spans="3:12" x14ac:dyDescent="0.25">
      <c r="C2219" s="780"/>
      <c r="D2219" s="751" t="s">
        <v>10537</v>
      </c>
      <c r="E2219" s="780"/>
      <c r="G2219" s="897"/>
      <c r="H2219" s="842"/>
      <c r="J2219" s="864"/>
      <c r="L2219" s="746"/>
    </row>
    <row r="2220" spans="3:12" x14ac:dyDescent="0.25">
      <c r="D2220" s="746" t="s">
        <v>10523</v>
      </c>
      <c r="F2220" s="836" t="s">
        <v>3</v>
      </c>
      <c r="G2220" s="860">
        <f>0.24*L2220</f>
        <v>0.27599999999999997</v>
      </c>
      <c r="H2220" s="842"/>
      <c r="I2220" s="874" t="s">
        <v>10567</v>
      </c>
      <c r="J2220" s="864">
        <v>1.07</v>
      </c>
      <c r="K2220" s="874" t="s">
        <v>10150</v>
      </c>
      <c r="L2220" s="824">
        <v>1.1499999999999999</v>
      </c>
    </row>
    <row r="2221" spans="3:12" x14ac:dyDescent="0.25">
      <c r="G2221" s="897"/>
      <c r="H2221" s="842"/>
      <c r="J2221" s="864"/>
      <c r="L2221" s="746"/>
    </row>
    <row r="2222" spans="3:12" x14ac:dyDescent="0.25">
      <c r="C2222" s="751" t="s">
        <v>10538</v>
      </c>
      <c r="D2222" s="780"/>
      <c r="E2222" s="780"/>
      <c r="G2222" s="897"/>
      <c r="H2222" s="842"/>
      <c r="J2222" s="864"/>
      <c r="L2222" s="746"/>
    </row>
    <row r="2223" spans="3:12" x14ac:dyDescent="0.25">
      <c r="C2223" s="858" t="s">
        <v>140</v>
      </c>
      <c r="D2223" s="858"/>
      <c r="E2223" s="858"/>
      <c r="F2223" s="859" t="s">
        <v>3</v>
      </c>
      <c r="G2223" s="860">
        <f>(0.008*3.14*2)*0.08*1.2</f>
        <v>4.8230399999999998E-3</v>
      </c>
      <c r="H2223" s="842"/>
      <c r="J2223" s="864"/>
      <c r="L2223" s="746"/>
    </row>
    <row r="2224" spans="3:12" ht="17.25" x14ac:dyDescent="0.25">
      <c r="C2224" s="858" t="s">
        <v>23</v>
      </c>
      <c r="D2224" s="858"/>
      <c r="E2224" s="858"/>
      <c r="F2224" s="859" t="s">
        <v>10569</v>
      </c>
      <c r="G2224" s="860">
        <f>G2223*2</f>
        <v>9.6460799999999996E-3</v>
      </c>
      <c r="H2224" s="842"/>
      <c r="J2224" s="864"/>
      <c r="L2224" s="746"/>
    </row>
    <row r="2225" spans="3:12" x14ac:dyDescent="0.25">
      <c r="C2225" s="858" t="s">
        <v>142</v>
      </c>
      <c r="D2225" s="858"/>
      <c r="E2225" s="858"/>
      <c r="F2225" s="859" t="s">
        <v>3</v>
      </c>
      <c r="G2225" s="860">
        <f>G2223/4</f>
        <v>1.2057599999999999E-3</v>
      </c>
      <c r="H2225" s="842"/>
      <c r="J2225" s="864"/>
      <c r="L2225" s="746"/>
    </row>
    <row r="2226" spans="3:12" x14ac:dyDescent="0.25">
      <c r="C2226" s="780" t="s">
        <v>8</v>
      </c>
      <c r="D2226" s="780"/>
      <c r="E2226" s="780"/>
      <c r="F2226" s="836" t="s">
        <v>3</v>
      </c>
      <c r="G2226" s="782">
        <f>G2227*0.65</f>
        <v>1.3728000000000001E-2</v>
      </c>
      <c r="H2226" s="842"/>
      <c r="J2226" s="864"/>
      <c r="L2226" s="746"/>
    </row>
    <row r="2227" spans="3:12" x14ac:dyDescent="0.25">
      <c r="C2227" s="780" t="s">
        <v>5543</v>
      </c>
      <c r="D2227" s="780"/>
      <c r="E2227" s="780"/>
      <c r="F2227" s="836" t="s">
        <v>3</v>
      </c>
      <c r="G2227" s="782">
        <f>L2230*0.011*2*1.2</f>
        <v>2.112E-2</v>
      </c>
      <c r="H2227" s="842"/>
      <c r="J2227" s="864"/>
      <c r="L2227" s="746"/>
    </row>
    <row r="2228" spans="3:12" x14ac:dyDescent="0.25">
      <c r="C2228" s="780" t="s">
        <v>12</v>
      </c>
      <c r="D2228" s="780"/>
      <c r="E2228" s="780"/>
      <c r="F2228" s="836" t="s">
        <v>3</v>
      </c>
      <c r="G2228" s="782">
        <f>0.3*(G2227+G2226)</f>
        <v>1.0454400000000001E-2</v>
      </c>
      <c r="H2228" s="842"/>
      <c r="J2228" s="864"/>
      <c r="L2228" s="746"/>
    </row>
    <row r="2229" spans="3:12" x14ac:dyDescent="0.25">
      <c r="C2229" s="780"/>
      <c r="D2229" s="751" t="s">
        <v>10539</v>
      </c>
      <c r="E2229" s="780"/>
      <c r="H2229" s="842"/>
      <c r="J2229" s="864"/>
      <c r="L2229" s="746"/>
    </row>
    <row r="2230" spans="3:12" x14ac:dyDescent="0.25">
      <c r="C2230" s="780"/>
      <c r="D2230" s="780" t="s">
        <v>10523</v>
      </c>
      <c r="E2230" s="780"/>
      <c r="F2230" s="859" t="s">
        <v>3</v>
      </c>
      <c r="G2230" s="860">
        <f>0.24*L2230</f>
        <v>0.192</v>
      </c>
      <c r="H2230" s="842"/>
      <c r="I2230" s="874" t="s">
        <v>10567</v>
      </c>
      <c r="J2230" s="864">
        <v>0.74</v>
      </c>
      <c r="K2230" s="874" t="s">
        <v>10150</v>
      </c>
      <c r="L2230" s="824">
        <v>0.8</v>
      </c>
    </row>
    <row r="2231" spans="3:12" x14ac:dyDescent="0.25">
      <c r="C2231" s="780"/>
      <c r="D2231" s="780"/>
      <c r="E2231" s="780"/>
      <c r="F2231" s="859"/>
      <c r="G2231" s="860"/>
      <c r="H2231" s="842"/>
      <c r="I2231" s="874"/>
      <c r="J2231" s="864"/>
      <c r="K2231" s="874"/>
      <c r="L2231" s="824"/>
    </row>
    <row r="2232" spans="3:12" x14ac:dyDescent="0.25">
      <c r="C2232" s="751" t="s">
        <v>5729</v>
      </c>
      <c r="D2232" s="780"/>
      <c r="E2232" s="780"/>
      <c r="F2232" s="853"/>
      <c r="G2232" s="777"/>
      <c r="H2232" s="842"/>
      <c r="I2232" s="751" t="s">
        <v>10575</v>
      </c>
      <c r="J2232" s="864"/>
      <c r="L2232" s="746"/>
    </row>
    <row r="2233" spans="3:12" x14ac:dyDescent="0.25">
      <c r="C2233" s="780" t="s">
        <v>10564</v>
      </c>
      <c r="D2233" s="780"/>
      <c r="E2233" s="780"/>
      <c r="F2233" s="853" t="s">
        <v>3</v>
      </c>
      <c r="G2233" s="777">
        <f>1.72* L2233</f>
        <v>0.96492000000000011</v>
      </c>
      <c r="H2233" s="842"/>
      <c r="I2233" s="874" t="s">
        <v>10567</v>
      </c>
      <c r="J2233" s="864">
        <v>0.51500000000000001</v>
      </c>
      <c r="K2233" s="874" t="s">
        <v>10150</v>
      </c>
      <c r="L2233" s="825">
        <v>0.56100000000000005</v>
      </c>
    </row>
    <row r="2234" spans="3:12" x14ac:dyDescent="0.25">
      <c r="C2234" s="610"/>
      <c r="G2234" s="777"/>
      <c r="H2234" s="842"/>
      <c r="J2234" s="864"/>
      <c r="L2234" s="746"/>
    </row>
    <row r="2235" spans="3:12" x14ac:dyDescent="0.25">
      <c r="C2235" s="751" t="s">
        <v>10551</v>
      </c>
      <c r="D2235" s="780"/>
      <c r="E2235" s="780"/>
      <c r="F2235" s="853"/>
      <c r="G2235" s="777"/>
      <c r="H2235" s="842"/>
      <c r="I2235" s="751" t="s">
        <v>10575</v>
      </c>
      <c r="J2235" s="864"/>
      <c r="L2235" s="746"/>
    </row>
    <row r="2236" spans="3:12" x14ac:dyDescent="0.25">
      <c r="C2236" s="780" t="s">
        <v>10417</v>
      </c>
      <c r="D2236" s="780"/>
      <c r="E2236" s="780"/>
      <c r="F2236" s="853" t="s">
        <v>3</v>
      </c>
      <c r="G2236" s="777">
        <f>0.37*L2236</f>
        <v>0.66969999999999996</v>
      </c>
      <c r="H2236" s="842"/>
      <c r="I2236" s="874" t="s">
        <v>10567</v>
      </c>
      <c r="J2236" s="864">
        <v>1.75</v>
      </c>
      <c r="K2236" s="874" t="s">
        <v>10150</v>
      </c>
      <c r="L2236" s="825">
        <v>1.81</v>
      </c>
    </row>
    <row r="2237" spans="3:12" x14ac:dyDescent="0.25">
      <c r="C2237" s="610"/>
      <c r="G2237" s="777"/>
      <c r="H2237" s="842"/>
      <c r="J2237" s="864"/>
      <c r="L2237" s="746"/>
    </row>
    <row r="2238" spans="3:12" x14ac:dyDescent="0.25">
      <c r="C2238" s="78" t="s">
        <v>10524</v>
      </c>
      <c r="D2238" s="843"/>
      <c r="E2238" s="780"/>
      <c r="F2238" s="855"/>
      <c r="G2238" s="852"/>
      <c r="H2238" s="842"/>
      <c r="J2238" s="864"/>
      <c r="L2238" s="824"/>
    </row>
    <row r="2239" spans="3:12" x14ac:dyDescent="0.25">
      <c r="C2239" s="186" t="s">
        <v>10571</v>
      </c>
      <c r="D2239" s="843"/>
      <c r="E2239" s="780"/>
      <c r="F2239" s="360" t="s">
        <v>195</v>
      </c>
      <c r="G2239" s="786">
        <v>0.08</v>
      </c>
      <c r="H2239" s="842"/>
      <c r="I2239" s="874" t="s">
        <v>10567</v>
      </c>
      <c r="J2239" s="864">
        <v>7.1999999999999995E-2</v>
      </c>
      <c r="K2239" s="874" t="s">
        <v>10150</v>
      </c>
      <c r="L2239" s="825">
        <v>0.08</v>
      </c>
    </row>
    <row r="2240" spans="3:12" x14ac:dyDescent="0.25">
      <c r="C2240" s="858" t="s">
        <v>140</v>
      </c>
      <c r="D2240" s="858"/>
      <c r="E2240" s="858"/>
      <c r="F2240" s="859" t="s">
        <v>3</v>
      </c>
      <c r="G2240" s="860">
        <f>(0.016*3.14*3)*0.08*1.25</f>
        <v>1.5072E-2</v>
      </c>
      <c r="H2240" s="842"/>
      <c r="J2240" s="864"/>
      <c r="L2240" s="824"/>
    </row>
    <row r="2241" spans="3:12" ht="17.25" x14ac:dyDescent="0.25">
      <c r="C2241" s="858" t="s">
        <v>23</v>
      </c>
      <c r="D2241" s="858"/>
      <c r="E2241" s="858"/>
      <c r="F2241" s="859" t="s">
        <v>10569</v>
      </c>
      <c r="G2241" s="860">
        <f>G2240*2</f>
        <v>3.0144000000000001E-2</v>
      </c>
      <c r="H2241" s="842"/>
      <c r="J2241" s="864"/>
      <c r="L2241" s="824"/>
    </row>
    <row r="2242" spans="3:12" x14ac:dyDescent="0.25">
      <c r="C2242" s="858" t="s">
        <v>142</v>
      </c>
      <c r="D2242" s="858"/>
      <c r="E2242" s="858"/>
      <c r="F2242" s="859" t="s">
        <v>3</v>
      </c>
      <c r="G2242" s="860">
        <f>G2240/4</f>
        <v>3.7680000000000001E-3</v>
      </c>
      <c r="H2242" s="842"/>
      <c r="J2242" s="864"/>
      <c r="L2242" s="824"/>
    </row>
    <row r="2243" spans="3:12" x14ac:dyDescent="0.25">
      <c r="C2243" s="25" t="s">
        <v>143</v>
      </c>
      <c r="D2243" s="858"/>
      <c r="E2243" s="858"/>
      <c r="F2243" s="91" t="s">
        <v>3</v>
      </c>
      <c r="G2243" s="860">
        <f>1.7*0.015*2*1.18</f>
        <v>6.017999999999999E-2</v>
      </c>
      <c r="H2243" s="842"/>
      <c r="J2243" s="864"/>
      <c r="L2243" s="824"/>
    </row>
    <row r="2244" spans="3:12" x14ac:dyDescent="0.25">
      <c r="C2244" s="25" t="s">
        <v>12</v>
      </c>
      <c r="D2244" s="858"/>
      <c r="E2244" s="858"/>
      <c r="F2244" s="91" t="s">
        <v>3</v>
      </c>
      <c r="G2244" s="860">
        <f>0.3*G2243</f>
        <v>1.8053999999999997E-2</v>
      </c>
      <c r="H2244" s="842"/>
      <c r="J2244" s="864"/>
      <c r="L2244" s="824"/>
    </row>
    <row r="2245" spans="3:12" x14ac:dyDescent="0.25">
      <c r="C2245" s="186" t="s">
        <v>5543</v>
      </c>
      <c r="D2245" s="844"/>
      <c r="F2245" s="845" t="s">
        <v>3</v>
      </c>
      <c r="G2245" s="779">
        <f>1.7*0.011*2*1.35</f>
        <v>5.049E-2</v>
      </c>
      <c r="H2245" s="842"/>
      <c r="J2245" s="864"/>
      <c r="L2245" s="824"/>
    </row>
    <row r="2246" spans="3:12" x14ac:dyDescent="0.25">
      <c r="C2246" s="186" t="s">
        <v>12</v>
      </c>
      <c r="D2246" s="844"/>
      <c r="F2246" s="845" t="s">
        <v>3</v>
      </c>
      <c r="G2246" s="779">
        <f>0.3*(G2245+G2244)</f>
        <v>2.0563199999999997E-2</v>
      </c>
      <c r="H2246" s="842"/>
      <c r="J2246" s="864"/>
      <c r="L2246" s="824"/>
    </row>
    <row r="2247" spans="3:12" x14ac:dyDescent="0.25">
      <c r="C2247" s="78"/>
      <c r="D2247" s="78" t="s">
        <v>10525</v>
      </c>
      <c r="E2247" s="780"/>
      <c r="F2247" s="855"/>
      <c r="G2247" s="852"/>
      <c r="H2247" s="842"/>
      <c r="J2247" s="864"/>
      <c r="L2247" s="824"/>
    </row>
    <row r="2248" spans="3:12" x14ac:dyDescent="0.25">
      <c r="C2248" s="78"/>
      <c r="D2248" s="186" t="s">
        <v>10572</v>
      </c>
      <c r="E2248" s="780"/>
      <c r="F2248" s="360" t="s">
        <v>3</v>
      </c>
      <c r="G2248" s="786">
        <f>0.74*L2248</f>
        <v>0.63047999999999993</v>
      </c>
      <c r="H2248" s="842"/>
      <c r="I2248" s="874" t="s">
        <v>10567</v>
      </c>
      <c r="J2248" s="864">
        <v>0.8</v>
      </c>
      <c r="K2248" s="874" t="s">
        <v>10150</v>
      </c>
      <c r="L2248" s="825">
        <v>0.85199999999999998</v>
      </c>
    </row>
    <row r="2249" spans="3:12" x14ac:dyDescent="0.25">
      <c r="C2249" s="78"/>
      <c r="D2249" s="78" t="s">
        <v>10526</v>
      </c>
      <c r="E2249" s="780"/>
      <c r="F2249" s="855"/>
      <c r="G2249" s="852"/>
      <c r="H2249" s="842"/>
      <c r="J2249" s="864"/>
      <c r="L2249" s="824"/>
    </row>
    <row r="2250" spans="3:12" x14ac:dyDescent="0.25">
      <c r="C2250" s="78"/>
      <c r="D2250" s="186" t="s">
        <v>10572</v>
      </c>
      <c r="E2250" s="780"/>
      <c r="F2250" s="360" t="s">
        <v>3</v>
      </c>
      <c r="G2250" s="786">
        <f>0.74*L2250</f>
        <v>0.72519999999999996</v>
      </c>
      <c r="H2250" s="842"/>
      <c r="I2250" s="874" t="s">
        <v>10567</v>
      </c>
      <c r="J2250" s="864">
        <v>0.9</v>
      </c>
      <c r="K2250" s="874" t="s">
        <v>10150</v>
      </c>
      <c r="L2250" s="825">
        <v>0.98</v>
      </c>
    </row>
    <row r="2251" spans="3:12" x14ac:dyDescent="0.25">
      <c r="C2251" s="78"/>
      <c r="D2251" s="78" t="s">
        <v>10527</v>
      </c>
      <c r="E2251" s="780"/>
      <c r="F2251" s="855"/>
      <c r="G2251" s="852"/>
      <c r="H2251" s="842"/>
      <c r="J2251" s="864"/>
      <c r="L2251" s="824"/>
    </row>
    <row r="2252" spans="3:12" x14ac:dyDescent="0.25">
      <c r="C2252" s="78"/>
      <c r="D2252" s="186" t="s">
        <v>10417</v>
      </c>
      <c r="E2252" s="780"/>
      <c r="F2252" s="360" t="s">
        <v>3</v>
      </c>
      <c r="G2252" s="852">
        <f>0.37* L2252</f>
        <v>4.4399999999999995E-2</v>
      </c>
      <c r="H2252" s="842"/>
      <c r="I2252" s="874" t="s">
        <v>10567</v>
      </c>
      <c r="J2252" s="898">
        <v>0.11</v>
      </c>
      <c r="K2252" s="874" t="s">
        <v>10150</v>
      </c>
      <c r="L2252" s="825">
        <v>0.12</v>
      </c>
    </row>
    <row r="2253" spans="3:12" x14ac:dyDescent="0.25">
      <c r="C2253" s="78"/>
      <c r="D2253" s="78" t="s">
        <v>10528</v>
      </c>
      <c r="E2253" s="780"/>
      <c r="F2253" s="855"/>
      <c r="G2253" s="852"/>
      <c r="H2253" s="842"/>
      <c r="J2253" s="864"/>
      <c r="L2253" s="824"/>
    </row>
    <row r="2254" spans="3:12" x14ac:dyDescent="0.25">
      <c r="C2254" s="78"/>
      <c r="D2254" s="186" t="s">
        <v>10573</v>
      </c>
      <c r="E2254" s="780"/>
      <c r="F2254" s="360" t="s">
        <v>3</v>
      </c>
      <c r="G2254" s="852">
        <f>0.469* L2254</f>
        <v>3.0484999999999998E-2</v>
      </c>
      <c r="H2254" s="842"/>
      <c r="I2254" s="874" t="s">
        <v>10567</v>
      </c>
      <c r="J2254" s="898">
        <v>5.5E-2</v>
      </c>
      <c r="K2254" s="874" t="s">
        <v>10150</v>
      </c>
      <c r="L2254" s="825">
        <v>6.5000000000000002E-2</v>
      </c>
    </row>
    <row r="2255" spans="3:12" x14ac:dyDescent="0.25">
      <c r="C2255" s="78"/>
      <c r="D2255" s="844"/>
      <c r="F2255" s="845"/>
      <c r="G2255" s="779"/>
      <c r="H2255" s="842"/>
      <c r="J2255" s="864"/>
      <c r="L2255" s="824"/>
    </row>
    <row r="2256" spans="3:12" x14ac:dyDescent="0.25">
      <c r="C2256" s="78" t="s">
        <v>10529</v>
      </c>
      <c r="D2256" s="844"/>
      <c r="F2256" s="845"/>
      <c r="G2256" s="779"/>
      <c r="H2256" s="842"/>
      <c r="J2256" s="864"/>
      <c r="L2256" s="824"/>
    </row>
    <row r="2257" spans="3:14" x14ac:dyDescent="0.25">
      <c r="C2257" s="844" t="s">
        <v>140</v>
      </c>
      <c r="D2257" s="844"/>
      <c r="F2257" s="845" t="s">
        <v>3</v>
      </c>
      <c r="G2257" s="779">
        <f>0.012*3.14*2*0.08*1.15</f>
        <v>6.9331200000000001E-3</v>
      </c>
      <c r="H2257" s="842"/>
      <c r="J2257" s="864"/>
      <c r="L2257" s="824"/>
    </row>
    <row r="2258" spans="3:14" ht="17.25" x14ac:dyDescent="0.25">
      <c r="C2258" s="844" t="s">
        <v>23</v>
      </c>
      <c r="D2258" s="844"/>
      <c r="F2258" s="845" t="s">
        <v>596</v>
      </c>
      <c r="G2258" s="779">
        <f>G2257*2</f>
        <v>1.386624E-2</v>
      </c>
      <c r="H2258" s="842"/>
      <c r="J2258" s="864"/>
      <c r="L2258" s="824"/>
      <c r="N2258" s="746">
        <f>7300/21</f>
        <v>347.61904761904759</v>
      </c>
    </row>
    <row r="2259" spans="3:14" x14ac:dyDescent="0.25">
      <c r="C2259" s="844" t="s">
        <v>142</v>
      </c>
      <c r="D2259" s="844"/>
      <c r="F2259" s="845" t="s">
        <v>3</v>
      </c>
      <c r="G2259" s="779">
        <f>G2257/4</f>
        <v>1.73328E-3</v>
      </c>
      <c r="H2259" s="842"/>
      <c r="J2259" s="864"/>
      <c r="L2259" s="824"/>
      <c r="N2259" s="746">
        <f>N2258*2</f>
        <v>695.23809523809518</v>
      </c>
    </row>
    <row r="2260" spans="3:14" x14ac:dyDescent="0.25">
      <c r="C2260" s="843" t="s">
        <v>143</v>
      </c>
      <c r="D2260" s="844"/>
      <c r="F2260" s="845" t="s">
        <v>3</v>
      </c>
      <c r="G2260" s="779">
        <f>G2261*0.7</f>
        <v>1.3282499999999996E-2</v>
      </c>
      <c r="H2260" s="842"/>
      <c r="J2260" s="864"/>
      <c r="L2260" s="824"/>
      <c r="N2260" s="746">
        <f>N2259*0.8</f>
        <v>556.19047619047615</v>
      </c>
    </row>
    <row r="2261" spans="3:14" x14ac:dyDescent="0.25">
      <c r="C2261" s="186" t="s">
        <v>5543</v>
      </c>
      <c r="D2261" s="844"/>
      <c r="F2261" s="845" t="s">
        <v>3</v>
      </c>
      <c r="G2261" s="779">
        <f>J2264*0.011*2*1.25</f>
        <v>1.8974999999999995E-2</v>
      </c>
      <c r="H2261" s="842"/>
      <c r="J2261" s="864"/>
      <c r="L2261" s="824"/>
    </row>
    <row r="2262" spans="3:14" x14ac:dyDescent="0.25">
      <c r="C2262" s="186" t="s">
        <v>12</v>
      </c>
      <c r="D2262" s="844"/>
      <c r="F2262" s="845" t="s">
        <v>3</v>
      </c>
      <c r="G2262" s="779">
        <f>0.3*(G2261+G2260)</f>
        <v>9.6772499999999984E-3</v>
      </c>
      <c r="H2262" s="842"/>
      <c r="J2262" s="864"/>
      <c r="L2262" s="824"/>
    </row>
    <row r="2263" spans="3:14" x14ac:dyDescent="0.25">
      <c r="D2263" s="78" t="s">
        <v>5656</v>
      </c>
      <c r="E2263" s="780"/>
      <c r="F2263" s="845"/>
      <c r="G2263" s="779"/>
      <c r="H2263" s="842"/>
      <c r="J2263" s="864"/>
      <c r="L2263" s="824"/>
    </row>
    <row r="2264" spans="3:14" x14ac:dyDescent="0.25">
      <c r="D2264" s="843" t="s">
        <v>10555</v>
      </c>
      <c r="E2264" s="780"/>
      <c r="F2264" s="845" t="s">
        <v>3</v>
      </c>
      <c r="G2264" s="779">
        <f>0.271* L2264</f>
        <v>0.20325000000000001</v>
      </c>
      <c r="H2264" s="842"/>
      <c r="I2264" s="874" t="s">
        <v>10567</v>
      </c>
      <c r="J2264" s="864">
        <v>0.69</v>
      </c>
      <c r="K2264" s="874" t="s">
        <v>10150</v>
      </c>
      <c r="L2264" s="824">
        <v>0.75</v>
      </c>
    </row>
    <row r="2265" spans="3:14" x14ac:dyDescent="0.25">
      <c r="C2265" s="610"/>
      <c r="G2265" s="777"/>
      <c r="H2265" s="842"/>
      <c r="J2265" s="864"/>
      <c r="L2265" s="746"/>
    </row>
    <row r="2266" spans="3:14" x14ac:dyDescent="0.25">
      <c r="C2266" s="814" t="s">
        <v>10468</v>
      </c>
      <c r="D2266" s="780"/>
      <c r="E2266" s="780"/>
      <c r="F2266" s="853"/>
      <c r="G2266" s="777"/>
      <c r="H2266" s="842"/>
      <c r="J2266" s="864"/>
      <c r="L2266" s="746"/>
    </row>
    <row r="2267" spans="3:14" x14ac:dyDescent="0.25">
      <c r="C2267" s="813" t="s">
        <v>5543</v>
      </c>
      <c r="D2267" s="780"/>
      <c r="E2267" s="780"/>
      <c r="F2267" s="775" t="s">
        <v>3</v>
      </c>
      <c r="G2267" s="777">
        <f>0.015</f>
        <v>1.4999999999999999E-2</v>
      </c>
      <c r="H2267" s="842"/>
      <c r="I2267" s="815" t="s">
        <v>10574</v>
      </c>
      <c r="J2267" s="864"/>
      <c r="L2267" s="746"/>
    </row>
    <row r="2268" spans="3:14" x14ac:dyDescent="0.25">
      <c r="C2268" s="813" t="s">
        <v>12</v>
      </c>
      <c r="D2268" s="780"/>
      <c r="E2268" s="780"/>
      <c r="F2268" s="775" t="s">
        <v>3</v>
      </c>
      <c r="G2268" s="777">
        <f>0.3*G2267</f>
        <v>4.4999999999999997E-3</v>
      </c>
      <c r="H2268" s="842"/>
      <c r="J2268" s="864"/>
      <c r="L2268" s="746"/>
    </row>
    <row r="2269" spans="3:14" x14ac:dyDescent="0.25">
      <c r="C2269" s="813"/>
      <c r="D2269" s="814" t="s">
        <v>10469</v>
      </c>
      <c r="E2269" s="780"/>
      <c r="G2269" s="777"/>
      <c r="H2269" s="842"/>
      <c r="J2269" s="864"/>
      <c r="L2269" s="746"/>
    </row>
    <row r="2270" spans="3:14" x14ac:dyDescent="0.25">
      <c r="C2270" s="813"/>
      <c r="D2270" s="861" t="s">
        <v>671</v>
      </c>
      <c r="F2270" s="859" t="s">
        <v>3</v>
      </c>
      <c r="G2270" s="860">
        <f>0.002</f>
        <v>2E-3</v>
      </c>
      <c r="H2270" s="842"/>
      <c r="J2270" s="864"/>
      <c r="L2270" s="746"/>
    </row>
    <row r="2271" spans="3:14" x14ac:dyDescent="0.25">
      <c r="C2271" s="813"/>
      <c r="D2271" s="861" t="s">
        <v>672</v>
      </c>
      <c r="F2271" s="859" t="s">
        <v>3</v>
      </c>
      <c r="G2271" s="860">
        <f>G2270*2</f>
        <v>4.0000000000000001E-3</v>
      </c>
      <c r="H2271" s="842"/>
      <c r="J2271" s="864"/>
      <c r="L2271" s="746"/>
    </row>
    <row r="2272" spans="3:14" x14ac:dyDescent="0.25">
      <c r="C2272" s="813"/>
      <c r="D2272" s="780"/>
      <c r="E2272" s="814" t="s">
        <v>10470</v>
      </c>
      <c r="G2272" s="777"/>
      <c r="H2272" s="842"/>
      <c r="J2272" s="864"/>
      <c r="L2272" s="746"/>
    </row>
    <row r="2273" spans="1:12" x14ac:dyDescent="0.25">
      <c r="C2273" s="813"/>
      <c r="D2273" s="780"/>
      <c r="E2273" s="780" t="s">
        <v>10556</v>
      </c>
      <c r="F2273" s="836" t="s">
        <v>3</v>
      </c>
      <c r="G2273" s="777">
        <f>0.02*0.02*1*8.5*1.12</f>
        <v>3.8080000000000006E-3</v>
      </c>
      <c r="H2273" s="842"/>
      <c r="J2273" s="864"/>
      <c r="L2273" s="746"/>
    </row>
    <row r="2274" spans="1:12" x14ac:dyDescent="0.25">
      <c r="C2274" s="610"/>
      <c r="G2274" s="777"/>
      <c r="H2274" s="842"/>
      <c r="J2274" s="864"/>
      <c r="L2274" s="746"/>
    </row>
    <row r="2275" spans="1:12" x14ac:dyDescent="0.25">
      <c r="C2275" s="814" t="s">
        <v>10475</v>
      </c>
      <c r="D2275" s="780"/>
      <c r="E2275" s="780"/>
      <c r="G2275" s="777"/>
      <c r="H2275" s="842"/>
      <c r="J2275" s="864"/>
      <c r="L2275" s="746"/>
    </row>
    <row r="2276" spans="1:12" x14ac:dyDescent="0.25">
      <c r="C2276" s="844" t="s">
        <v>140</v>
      </c>
      <c r="D2276" s="844"/>
      <c r="F2276" s="845" t="s">
        <v>3</v>
      </c>
      <c r="G2276" s="779">
        <f>0.016*3.14*6*0.08*1.1</f>
        <v>2.6526720000000004E-2</v>
      </c>
      <c r="H2276" s="842"/>
      <c r="J2276" s="864"/>
      <c r="L2276" s="746"/>
    </row>
    <row r="2277" spans="1:12" ht="17.25" x14ac:dyDescent="0.25">
      <c r="C2277" s="844" t="s">
        <v>23</v>
      </c>
      <c r="D2277" s="844"/>
      <c r="F2277" s="845" t="s">
        <v>596</v>
      </c>
      <c r="G2277" s="779">
        <f>G2276*2</f>
        <v>5.3053440000000007E-2</v>
      </c>
      <c r="H2277" s="842"/>
      <c r="J2277" s="864"/>
      <c r="L2277" s="746"/>
    </row>
    <row r="2278" spans="1:12" x14ac:dyDescent="0.25">
      <c r="C2278" s="844" t="s">
        <v>142</v>
      </c>
      <c r="D2278" s="844"/>
      <c r="F2278" s="845" t="s">
        <v>3</v>
      </c>
      <c r="G2278" s="779">
        <f>G2276/4</f>
        <v>6.6316800000000009E-3</v>
      </c>
      <c r="H2278" s="842"/>
      <c r="J2278" s="864"/>
      <c r="L2278" s="746"/>
    </row>
    <row r="2279" spans="1:12" x14ac:dyDescent="0.25">
      <c r="C2279" s="813" t="s">
        <v>143</v>
      </c>
      <c r="D2279" s="780"/>
      <c r="E2279" s="780"/>
      <c r="F2279" s="836" t="s">
        <v>3</v>
      </c>
      <c r="G2279" s="777">
        <f>G2280*0.7</f>
        <v>1.2196799999999999E-2</v>
      </c>
      <c r="H2279" s="842"/>
      <c r="J2279" s="864"/>
      <c r="L2279" s="746"/>
    </row>
    <row r="2280" spans="1:12" x14ac:dyDescent="0.25">
      <c r="C2280" s="813" t="s">
        <v>5543</v>
      </c>
      <c r="D2280" s="780"/>
      <c r="E2280" s="780"/>
      <c r="F2280" s="775" t="s">
        <v>3</v>
      </c>
      <c r="G2280" s="777">
        <f>J2283*0.011*2*1.2</f>
        <v>1.7423999999999999E-2</v>
      </c>
      <c r="H2280" s="842"/>
      <c r="J2280" s="864"/>
      <c r="L2280" s="746"/>
    </row>
    <row r="2281" spans="1:12" x14ac:dyDescent="0.25">
      <c r="C2281" s="813" t="s">
        <v>12</v>
      </c>
      <c r="D2281" s="780"/>
      <c r="E2281" s="780"/>
      <c r="F2281" s="775" t="s">
        <v>3</v>
      </c>
      <c r="G2281" s="777">
        <f>0.3*G2280</f>
        <v>5.2271999999999996E-3</v>
      </c>
      <c r="H2281" s="842"/>
      <c r="J2281" s="864"/>
      <c r="L2281" s="746"/>
    </row>
    <row r="2282" spans="1:12" x14ac:dyDescent="0.25">
      <c r="C2282" s="780"/>
      <c r="D2282" s="814" t="s">
        <v>10476</v>
      </c>
      <c r="E2282" s="780"/>
      <c r="G2282" s="777"/>
      <c r="H2282" s="842"/>
      <c r="J2282" s="864"/>
      <c r="L2282" s="746"/>
    </row>
    <row r="2283" spans="1:12" x14ac:dyDescent="0.25">
      <c r="C2283" s="780"/>
      <c r="D2283" s="813" t="s">
        <v>10557</v>
      </c>
      <c r="E2283" s="780"/>
      <c r="F2283" s="836" t="s">
        <v>3</v>
      </c>
      <c r="G2283" s="777">
        <f>0.228* L2283</f>
        <v>0.15959999999999999</v>
      </c>
      <c r="H2283" s="842"/>
      <c r="I2283" s="874" t="s">
        <v>10567</v>
      </c>
      <c r="J2283" s="864">
        <v>0.66</v>
      </c>
      <c r="K2283" s="874" t="s">
        <v>10150</v>
      </c>
      <c r="L2283" s="824">
        <v>0.7</v>
      </c>
    </row>
    <row r="2284" spans="1:12" x14ac:dyDescent="0.25">
      <c r="C2284" s="610"/>
      <c r="G2284" s="777"/>
      <c r="H2284" s="842"/>
      <c r="J2284" s="864"/>
      <c r="L2284" s="746"/>
    </row>
    <row r="2285" spans="1:12" x14ac:dyDescent="0.25">
      <c r="C2285" s="670" t="s">
        <v>5652</v>
      </c>
      <c r="D2285" s="670"/>
      <c r="E2285" s="818"/>
      <c r="F2285" s="746"/>
      <c r="G2285" s="746"/>
      <c r="H2285" s="842"/>
      <c r="I2285" s="874"/>
      <c r="J2285" s="864"/>
      <c r="K2285" s="874"/>
      <c r="L2285" s="824"/>
    </row>
    <row r="2286" spans="1:12" x14ac:dyDescent="0.25">
      <c r="C2286" s="610"/>
      <c r="G2286" s="777"/>
      <c r="H2286" s="842"/>
      <c r="J2286" s="864"/>
      <c r="L2286" s="746"/>
    </row>
    <row r="2287" spans="1:12" x14ac:dyDescent="0.25">
      <c r="C2287" s="670" t="s">
        <v>10534</v>
      </c>
      <c r="D2287" s="670"/>
      <c r="E2287" s="818"/>
      <c r="F2287" s="746"/>
      <c r="G2287" s="746" t="s">
        <v>10560</v>
      </c>
      <c r="H2287" s="842"/>
      <c r="I2287" s="874"/>
      <c r="J2287" s="864"/>
      <c r="K2287" s="874"/>
      <c r="L2287" s="824"/>
    </row>
    <row r="2288" spans="1:12" x14ac:dyDescent="0.25">
      <c r="A2288" s="738"/>
      <c r="B2288" s="738"/>
      <c r="C2288" s="745"/>
      <c r="D2288" s="738"/>
      <c r="E2288" s="738"/>
      <c r="F2288" s="846"/>
      <c r="G2288" s="778"/>
      <c r="H2288" s="847"/>
      <c r="J2288" s="864"/>
      <c r="L2288" s="746"/>
    </row>
    <row r="2289" spans="1:12" x14ac:dyDescent="0.25">
      <c r="A2289" s="882"/>
      <c r="B2289" s="844"/>
      <c r="C2289" s="619"/>
      <c r="D2289" s="619"/>
      <c r="E2289" s="619"/>
      <c r="F2289" s="845"/>
      <c r="G2289" s="779"/>
      <c r="H2289" s="848" t="s">
        <v>10618</v>
      </c>
      <c r="J2289" s="864"/>
      <c r="L2289" s="746"/>
    </row>
    <row r="2290" spans="1:12" ht="18.75" x14ac:dyDescent="0.3">
      <c r="C2290" s="610"/>
      <c r="E2290" s="740" t="s">
        <v>10619</v>
      </c>
      <c r="G2290" s="777"/>
      <c r="H2290" s="842"/>
      <c r="J2290" s="864"/>
      <c r="L2290" s="746"/>
    </row>
    <row r="2291" spans="1:12" x14ac:dyDescent="0.25">
      <c r="C2291" s="610"/>
      <c r="G2291" s="777"/>
      <c r="H2291" s="842"/>
      <c r="J2291" s="864"/>
      <c r="L2291" s="746"/>
    </row>
    <row r="2292" spans="1:12" x14ac:dyDescent="0.25">
      <c r="C2292" s="610"/>
      <c r="G2292" s="777"/>
      <c r="H2292" s="842"/>
      <c r="J2292" s="864"/>
      <c r="L2292" s="746"/>
    </row>
    <row r="2293" spans="1:12" x14ac:dyDescent="0.25">
      <c r="C2293" s="610" t="s">
        <v>10620</v>
      </c>
      <c r="G2293" s="777"/>
      <c r="H2293" s="842"/>
      <c r="J2293" s="864"/>
      <c r="L2293" s="746"/>
    </row>
    <row r="2294" spans="1:12" x14ac:dyDescent="0.25">
      <c r="C2294" s="736" t="s">
        <v>6572</v>
      </c>
      <c r="F2294" s="775" t="s">
        <v>3</v>
      </c>
      <c r="G2294" s="777">
        <f>0.046*0.01*3*8*1.12</f>
        <v>1.2364800000000002E-2</v>
      </c>
      <c r="H2294" s="842"/>
      <c r="J2294" s="864"/>
      <c r="L2294" s="746"/>
    </row>
    <row r="2295" spans="1:12" x14ac:dyDescent="0.25">
      <c r="C2295" s="610"/>
      <c r="G2295" s="777"/>
      <c r="H2295" s="842"/>
      <c r="J2295" s="864"/>
      <c r="L2295" s="746"/>
    </row>
    <row r="2296" spans="1:12" x14ac:dyDescent="0.25">
      <c r="C2296" s="610" t="s">
        <v>10621</v>
      </c>
      <c r="G2296" s="777"/>
      <c r="H2296" s="842"/>
      <c r="J2296" s="864"/>
      <c r="L2296" s="746"/>
    </row>
    <row r="2297" spans="1:12" x14ac:dyDescent="0.25">
      <c r="C2297" s="736" t="s">
        <v>6572</v>
      </c>
      <c r="F2297" s="775" t="s">
        <v>3</v>
      </c>
      <c r="G2297" s="777">
        <f>0.087*0.04*3*8*1.135</f>
        <v>9.4795199999999996E-2</v>
      </c>
      <c r="H2297" s="842"/>
      <c r="J2297" s="864"/>
      <c r="L2297" s="746"/>
    </row>
    <row r="2298" spans="1:12" x14ac:dyDescent="0.25">
      <c r="C2298" s="610"/>
      <c r="G2298" s="777"/>
      <c r="H2298" s="842"/>
      <c r="J2298" s="864"/>
      <c r="L2298" s="746"/>
    </row>
    <row r="2299" spans="1:12" x14ac:dyDescent="0.25">
      <c r="C2299" s="610" t="s">
        <v>10622</v>
      </c>
      <c r="G2299" s="777"/>
      <c r="H2299" s="842"/>
      <c r="J2299" s="864"/>
      <c r="L2299" s="746"/>
    </row>
    <row r="2300" spans="1:12" x14ac:dyDescent="0.25">
      <c r="C2300" s="736" t="s">
        <v>6572</v>
      </c>
      <c r="F2300" s="775" t="s">
        <v>3</v>
      </c>
      <c r="G2300" s="777">
        <f>0.032*0.35*3*8*1.115</f>
        <v>0.29971199999999998</v>
      </c>
      <c r="H2300" s="842"/>
      <c r="J2300" s="864"/>
      <c r="L2300" s="746"/>
    </row>
    <row r="2301" spans="1:12" x14ac:dyDescent="0.25">
      <c r="C2301" s="610"/>
      <c r="G2301" s="777"/>
      <c r="H2301" s="842"/>
      <c r="J2301" s="864"/>
      <c r="L2301" s="746"/>
    </row>
    <row r="2302" spans="1:12" x14ac:dyDescent="0.25">
      <c r="C2302" s="610" t="s">
        <v>10623</v>
      </c>
      <c r="G2302" s="777"/>
      <c r="H2302" s="842"/>
      <c r="J2302" s="864"/>
      <c r="L2302" s="746"/>
    </row>
    <row r="2303" spans="1:12" x14ac:dyDescent="0.25">
      <c r="C2303" s="736" t="s">
        <v>6572</v>
      </c>
      <c r="F2303" s="775" t="s">
        <v>3</v>
      </c>
      <c r="G2303" s="777">
        <f>0.4*0.032*3*8*1.122</f>
        <v>0.34467840000000005</v>
      </c>
      <c r="H2303" s="842"/>
      <c r="J2303" s="864"/>
      <c r="L2303" s="746"/>
    </row>
    <row r="2304" spans="1:12" x14ac:dyDescent="0.25">
      <c r="C2304" s="610"/>
      <c r="G2304" s="777"/>
      <c r="H2304" s="842"/>
      <c r="J2304" s="864"/>
      <c r="L2304" s="746"/>
    </row>
    <row r="2305" spans="1:12" x14ac:dyDescent="0.25">
      <c r="C2305" s="610" t="s">
        <v>10624</v>
      </c>
      <c r="G2305" s="777"/>
      <c r="H2305" s="842"/>
      <c r="J2305" s="864"/>
      <c r="L2305" s="746"/>
    </row>
    <row r="2306" spans="1:12" x14ac:dyDescent="0.25">
      <c r="C2306" s="746" t="s">
        <v>9839</v>
      </c>
      <c r="F2306" s="775" t="s">
        <v>3</v>
      </c>
      <c r="G2306" s="777">
        <f>0.025*0.015*5*8*1.12</f>
        <v>1.6800000000000002E-2</v>
      </c>
      <c r="H2306" s="842"/>
      <c r="J2306" s="864"/>
      <c r="L2306" s="746"/>
    </row>
    <row r="2307" spans="1:12" x14ac:dyDescent="0.25">
      <c r="C2307" s="610"/>
      <c r="G2307" s="777"/>
      <c r="H2307" s="842"/>
      <c r="J2307" s="864"/>
      <c r="L2307" s="746"/>
    </row>
    <row r="2308" spans="1:12" x14ac:dyDescent="0.25">
      <c r="C2308" s="610" t="s">
        <v>10625</v>
      </c>
      <c r="G2308" s="777"/>
      <c r="H2308" s="842"/>
      <c r="J2308" s="864"/>
      <c r="L2308" s="746"/>
    </row>
    <row r="2309" spans="1:12" x14ac:dyDescent="0.25">
      <c r="C2309" s="901" t="s">
        <v>10635</v>
      </c>
      <c r="F2309" s="775" t="s">
        <v>3</v>
      </c>
      <c r="G2309" s="777">
        <f>1.88*L2309+0.001</f>
        <v>0.56499999999999995</v>
      </c>
      <c r="H2309" s="842"/>
      <c r="I2309" s="874" t="s">
        <v>10149</v>
      </c>
      <c r="J2309" s="864">
        <v>0.28299999999999997</v>
      </c>
      <c r="K2309" s="874" t="s">
        <v>10150</v>
      </c>
      <c r="L2309" s="824">
        <v>0.3</v>
      </c>
    </row>
    <row r="2310" spans="1:12" x14ac:dyDescent="0.25">
      <c r="G2310" s="777"/>
      <c r="H2310" s="842"/>
      <c r="J2310" s="864"/>
      <c r="L2310" s="746"/>
    </row>
    <row r="2311" spans="1:12" x14ac:dyDescent="0.25">
      <c r="C2311" s="610" t="s">
        <v>10626</v>
      </c>
      <c r="G2311" s="777"/>
      <c r="H2311" s="842"/>
      <c r="J2311" s="864"/>
      <c r="L2311" s="746"/>
    </row>
    <row r="2312" spans="1:12" x14ac:dyDescent="0.25">
      <c r="C2312" s="746" t="s">
        <v>10634</v>
      </c>
      <c r="F2312" s="775" t="s">
        <v>3</v>
      </c>
      <c r="G2312" s="777">
        <f>0.055*0.216*3*8*1.122</f>
        <v>0.31990464000000002</v>
      </c>
      <c r="H2312" s="842"/>
      <c r="J2312" s="864"/>
      <c r="L2312" s="746"/>
    </row>
    <row r="2313" spans="1:12" x14ac:dyDescent="0.25">
      <c r="C2313" s="610"/>
      <c r="G2313" s="777"/>
      <c r="H2313" s="842"/>
      <c r="J2313" s="864"/>
      <c r="L2313" s="746"/>
    </row>
    <row r="2314" spans="1:12" x14ac:dyDescent="0.25">
      <c r="C2314" s="610" t="s">
        <v>10627</v>
      </c>
      <c r="G2314" s="777"/>
      <c r="H2314" s="842"/>
      <c r="J2314" s="864"/>
      <c r="L2314" s="746"/>
    </row>
    <row r="2315" spans="1:12" x14ac:dyDescent="0.25">
      <c r="C2315" s="901" t="s">
        <v>10635</v>
      </c>
      <c r="F2315" s="775" t="s">
        <v>3</v>
      </c>
      <c r="G2315" s="777">
        <f>1.88*L2315+0.002</f>
        <v>0.65999999999999992</v>
      </c>
      <c r="H2315" s="842"/>
      <c r="I2315" s="874" t="s">
        <v>10149</v>
      </c>
      <c r="J2315" s="864">
        <v>0.33400000000000002</v>
      </c>
      <c r="K2315" s="874" t="s">
        <v>10150</v>
      </c>
      <c r="L2315" s="824">
        <v>0.35</v>
      </c>
    </row>
    <row r="2316" spans="1:12" x14ac:dyDescent="0.25">
      <c r="C2316" s="610"/>
      <c r="G2316" s="777"/>
      <c r="H2316" s="842"/>
      <c r="J2316" s="864"/>
      <c r="L2316" s="746"/>
    </row>
    <row r="2317" spans="1:12" x14ac:dyDescent="0.25">
      <c r="C2317" s="610" t="s">
        <v>10628</v>
      </c>
      <c r="G2317" s="777"/>
      <c r="H2317" s="842"/>
      <c r="J2317" s="864"/>
      <c r="L2317" s="746"/>
    </row>
    <row r="2318" spans="1:12" x14ac:dyDescent="0.25">
      <c r="C2318" s="746" t="s">
        <v>10634</v>
      </c>
      <c r="F2318" s="775" t="s">
        <v>3</v>
      </c>
      <c r="G2318" s="777">
        <f>0.035*0.012*4*8*1.12</f>
        <v>1.5052800000000003E-2</v>
      </c>
      <c r="H2318" s="842"/>
      <c r="J2318" s="864"/>
      <c r="L2318" s="746"/>
    </row>
    <row r="2319" spans="1:12" x14ac:dyDescent="0.25">
      <c r="A2319" s="738"/>
      <c r="B2319" s="738"/>
      <c r="C2319" s="745"/>
      <c r="D2319" s="738"/>
      <c r="E2319" s="738"/>
      <c r="F2319" s="846"/>
      <c r="G2319" s="778"/>
      <c r="H2319" s="847"/>
      <c r="J2319" s="864"/>
      <c r="L2319" s="746"/>
    </row>
    <row r="2320" spans="1:12" x14ac:dyDescent="0.25">
      <c r="C2320" s="610"/>
      <c r="G2320" s="777"/>
      <c r="H2320" s="848" t="s">
        <v>10746</v>
      </c>
      <c r="J2320" s="864"/>
      <c r="L2320" s="746"/>
    </row>
    <row r="2321" spans="3:12" ht="18.75" x14ac:dyDescent="0.3">
      <c r="C2321" s="610"/>
      <c r="E2321" s="740" t="s">
        <v>10646</v>
      </c>
      <c r="F2321" s="775"/>
      <c r="G2321" s="777"/>
      <c r="H2321" s="842"/>
      <c r="J2321" s="864"/>
      <c r="L2321" s="746"/>
    </row>
    <row r="2322" spans="3:12" x14ac:dyDescent="0.25">
      <c r="C2322" s="610"/>
      <c r="F2322" s="775"/>
      <c r="G2322" s="777"/>
      <c r="H2322" s="842"/>
      <c r="J2322" s="864"/>
      <c r="L2322" s="746"/>
    </row>
    <row r="2323" spans="3:12" x14ac:dyDescent="0.25">
      <c r="C2323" s="610"/>
      <c r="F2323" s="775"/>
      <c r="G2323" s="777"/>
      <c r="H2323" s="842"/>
      <c r="J2323" s="864"/>
      <c r="L2323" s="746"/>
    </row>
    <row r="2324" spans="3:12" x14ac:dyDescent="0.25">
      <c r="C2324" s="610" t="s">
        <v>10637</v>
      </c>
      <c r="F2324" s="775"/>
      <c r="G2324" s="777"/>
      <c r="H2324" s="842"/>
      <c r="J2324" s="864"/>
      <c r="L2324" s="746"/>
    </row>
    <row r="2325" spans="3:12" x14ac:dyDescent="0.25">
      <c r="C2325" s="746" t="s">
        <v>10638</v>
      </c>
      <c r="F2325" s="775" t="s">
        <v>3</v>
      </c>
      <c r="G2325" s="777">
        <f>0.075*0.075*5*8+0.005</f>
        <v>0.22999999999999998</v>
      </c>
      <c r="H2325" s="842"/>
      <c r="J2325" s="864"/>
      <c r="L2325" s="746"/>
    </row>
    <row r="2326" spans="3:12" x14ac:dyDescent="0.25">
      <c r="C2326" s="610"/>
      <c r="F2326" s="775"/>
      <c r="G2326" s="777"/>
      <c r="H2326" s="842"/>
      <c r="J2326" s="864"/>
      <c r="L2326" s="746"/>
    </row>
    <row r="2327" spans="3:12" x14ac:dyDescent="0.25">
      <c r="C2327" s="610" t="s">
        <v>10636</v>
      </c>
      <c r="F2327" s="775"/>
      <c r="G2327" s="777"/>
      <c r="H2327" s="842"/>
      <c r="J2327" s="864"/>
      <c r="L2327" s="746"/>
    </row>
    <row r="2328" spans="3:12" x14ac:dyDescent="0.25">
      <c r="C2328" s="746" t="s">
        <v>10639</v>
      </c>
      <c r="F2328" s="775" t="s">
        <v>3</v>
      </c>
      <c r="G2328" s="777">
        <f>0.14*0.11*4*8*1.136</f>
        <v>0.55982080000000001</v>
      </c>
      <c r="H2328" s="842"/>
      <c r="J2328" s="864"/>
      <c r="L2328" s="746"/>
    </row>
    <row r="2329" spans="3:12" x14ac:dyDescent="0.25">
      <c r="C2329" s="610"/>
      <c r="F2329" s="775"/>
      <c r="G2329" s="777"/>
      <c r="H2329" s="842"/>
      <c r="J2329" s="864"/>
      <c r="L2329" s="746"/>
    </row>
    <row r="2330" spans="3:12" x14ac:dyDescent="0.25">
      <c r="C2330" s="610" t="s">
        <v>10640</v>
      </c>
      <c r="F2330" s="775"/>
      <c r="G2330" s="777"/>
      <c r="H2330" s="842"/>
      <c r="J2330" s="864"/>
      <c r="L2330" s="746"/>
    </row>
    <row r="2331" spans="3:12" x14ac:dyDescent="0.25">
      <c r="C2331" s="746" t="s">
        <v>10639</v>
      </c>
      <c r="F2331" s="775" t="s">
        <v>3</v>
      </c>
      <c r="G2331" s="777">
        <f>0.045*0.01*4*8*1.12</f>
        <v>1.6128E-2</v>
      </c>
      <c r="H2331" s="842"/>
      <c r="J2331" s="864"/>
      <c r="L2331" s="746"/>
    </row>
    <row r="2332" spans="3:12" x14ac:dyDescent="0.25">
      <c r="C2332" s="610"/>
      <c r="F2332" s="775"/>
      <c r="G2332" s="777"/>
      <c r="H2332" s="842"/>
      <c r="J2332" s="864"/>
      <c r="L2332" s="746"/>
    </row>
    <row r="2333" spans="3:12" x14ac:dyDescent="0.25">
      <c r="C2333" s="610" t="s">
        <v>10641</v>
      </c>
      <c r="G2333" s="777"/>
      <c r="H2333" s="842"/>
      <c r="J2333" s="864"/>
      <c r="L2333" s="746"/>
    </row>
    <row r="2334" spans="3:12" x14ac:dyDescent="0.25">
      <c r="C2334" s="901" t="s">
        <v>10642</v>
      </c>
      <c r="F2334" s="775" t="s">
        <v>3</v>
      </c>
      <c r="G2334" s="777">
        <f>0.11*0.1*5*8*1.137</f>
        <v>0.50028000000000006</v>
      </c>
      <c r="H2334" s="842"/>
      <c r="J2334" s="864"/>
      <c r="L2334" s="746"/>
    </row>
    <row r="2335" spans="3:12" x14ac:dyDescent="0.25">
      <c r="G2335" s="777"/>
      <c r="H2335" s="842"/>
      <c r="J2335" s="864"/>
      <c r="L2335" s="746"/>
    </row>
    <row r="2336" spans="3:12" x14ac:dyDescent="0.25">
      <c r="C2336" s="610" t="s">
        <v>10643</v>
      </c>
      <c r="G2336" s="777"/>
      <c r="H2336" s="842"/>
      <c r="J2336" s="864"/>
      <c r="L2336" s="746"/>
    </row>
    <row r="2337" spans="1:12" x14ac:dyDescent="0.25">
      <c r="C2337" s="844" t="s">
        <v>140</v>
      </c>
      <c r="D2337" s="844"/>
      <c r="F2337" s="845" t="s">
        <v>3</v>
      </c>
      <c r="G2337" s="779">
        <v>3.0000000000000001E-3</v>
      </c>
      <c r="H2337" s="842"/>
      <c r="J2337" s="864"/>
      <c r="L2337" s="746"/>
    </row>
    <row r="2338" spans="1:12" ht="17.25" x14ac:dyDescent="0.25">
      <c r="C2338" s="844" t="s">
        <v>23</v>
      </c>
      <c r="D2338" s="844"/>
      <c r="F2338" s="845" t="s">
        <v>596</v>
      </c>
      <c r="G2338" s="779">
        <f>G2337*2</f>
        <v>6.0000000000000001E-3</v>
      </c>
      <c r="H2338" s="842"/>
      <c r="J2338" s="864"/>
      <c r="L2338" s="746"/>
    </row>
    <row r="2339" spans="1:12" x14ac:dyDescent="0.25">
      <c r="C2339" s="844" t="s">
        <v>142</v>
      </c>
      <c r="D2339" s="844"/>
      <c r="F2339" s="845" t="s">
        <v>3</v>
      </c>
      <c r="G2339" s="779">
        <f>G2337/4</f>
        <v>7.5000000000000002E-4</v>
      </c>
      <c r="H2339" s="842"/>
      <c r="J2339" s="864"/>
      <c r="L2339" s="746"/>
    </row>
    <row r="2340" spans="1:12" x14ac:dyDescent="0.25">
      <c r="D2340" s="610" t="s">
        <v>10644</v>
      </c>
      <c r="G2340" s="777"/>
      <c r="H2340" s="842"/>
      <c r="J2340" s="864"/>
      <c r="L2340" s="746"/>
    </row>
    <row r="2341" spans="1:12" x14ac:dyDescent="0.25">
      <c r="D2341" s="901" t="s">
        <v>10645</v>
      </c>
      <c r="F2341" s="775" t="s">
        <v>3</v>
      </c>
      <c r="G2341" s="777">
        <f>0.025*L2341</f>
        <v>1.7500000000000003E-3</v>
      </c>
      <c r="H2341" s="842"/>
      <c r="I2341" s="874" t="s">
        <v>10149</v>
      </c>
      <c r="J2341" s="864">
        <v>0.06</v>
      </c>
      <c r="K2341" s="874" t="s">
        <v>10150</v>
      </c>
      <c r="L2341" s="824">
        <v>7.0000000000000007E-2</v>
      </c>
    </row>
    <row r="2342" spans="1:12" x14ac:dyDescent="0.25">
      <c r="A2342" s="738"/>
      <c r="B2342" s="738"/>
      <c r="C2342" s="738"/>
      <c r="D2342" s="738"/>
      <c r="E2342" s="738"/>
      <c r="F2342" s="846"/>
      <c r="G2342" s="778"/>
      <c r="H2342" s="847"/>
      <c r="J2342" s="864"/>
      <c r="L2342" s="746"/>
    </row>
    <row r="2343" spans="1:12" x14ac:dyDescent="0.25">
      <c r="G2343" s="777"/>
      <c r="H2343" s="848" t="s">
        <v>11340</v>
      </c>
      <c r="J2343" s="864"/>
      <c r="L2343" s="746"/>
    </row>
    <row r="2344" spans="1:12" customFormat="1" ht="18.75" x14ac:dyDescent="0.3">
      <c r="E2344" s="594" t="s">
        <v>4259</v>
      </c>
      <c r="F2344" s="737"/>
      <c r="G2344" s="10"/>
      <c r="H2344" s="538"/>
    </row>
    <row r="2345" spans="1:12" customFormat="1" x14ac:dyDescent="0.25">
      <c r="F2345" s="737"/>
      <c r="G2345" s="10"/>
      <c r="H2345" s="538"/>
    </row>
    <row r="2346" spans="1:12" customFormat="1" x14ac:dyDescent="0.25">
      <c r="C2346" s="3" t="s">
        <v>10823</v>
      </c>
      <c r="F2346" s="737"/>
      <c r="G2346" s="10"/>
      <c r="H2346" s="538"/>
    </row>
    <row r="2347" spans="1:12" customFormat="1" x14ac:dyDescent="0.25">
      <c r="C2347" s="73" t="s">
        <v>2755</v>
      </c>
      <c r="F2347" s="74" t="s">
        <v>3</v>
      </c>
      <c r="G2347" s="10">
        <f>0.2*0.08*1.2</f>
        <v>1.9199999999999998E-2</v>
      </c>
      <c r="H2347" s="538"/>
    </row>
    <row r="2348" spans="1:12" customFormat="1" ht="17.25" x14ac:dyDescent="0.25">
      <c r="C2348" s="73" t="s">
        <v>1055</v>
      </c>
      <c r="F2348" s="74" t="s">
        <v>596</v>
      </c>
      <c r="G2348" s="10">
        <f>1.09*G2347</f>
        <v>2.0927999999999999E-2</v>
      </c>
      <c r="H2348" s="538"/>
    </row>
    <row r="2349" spans="1:12" x14ac:dyDescent="0.25">
      <c r="D2349" s="610" t="s">
        <v>10824</v>
      </c>
      <c r="G2349" s="777"/>
      <c r="H2349" s="842"/>
    </row>
    <row r="2350" spans="1:12" x14ac:dyDescent="0.25">
      <c r="D2350" s="901" t="s">
        <v>9839</v>
      </c>
      <c r="F2350" s="775" t="s">
        <v>3</v>
      </c>
      <c r="G2350" s="777">
        <f>0.6*0.05*5*8*1.125</f>
        <v>1.3499999999999999</v>
      </c>
      <c r="H2350" s="842"/>
      <c r="I2350" s="874" t="s">
        <v>10149</v>
      </c>
      <c r="J2350" s="864">
        <v>0.59</v>
      </c>
      <c r="K2350" s="874" t="s">
        <v>10150</v>
      </c>
      <c r="L2350" s="824">
        <v>0.6</v>
      </c>
    </row>
    <row r="2351" spans="1:12" x14ac:dyDescent="0.25">
      <c r="G2351" s="777"/>
      <c r="H2351" s="842"/>
      <c r="J2351" s="864"/>
      <c r="L2351" s="746"/>
    </row>
    <row r="2352" spans="1:12" x14ac:dyDescent="0.25">
      <c r="C2352" s="610" t="s">
        <v>10825</v>
      </c>
      <c r="G2352" s="777"/>
      <c r="H2352" s="842"/>
      <c r="J2352" s="864"/>
      <c r="L2352" s="746"/>
    </row>
    <row r="2353" spans="3:12" x14ac:dyDescent="0.25">
      <c r="C2353" s="939" t="s">
        <v>10826</v>
      </c>
      <c r="F2353" s="775" t="s">
        <v>3</v>
      </c>
      <c r="G2353" s="940">
        <f>1.885*L2353+0.006</f>
        <v>5.8495000000000008</v>
      </c>
      <c r="H2353" s="842"/>
      <c r="I2353" s="874" t="s">
        <v>10149</v>
      </c>
      <c r="J2353" s="864">
        <v>3</v>
      </c>
      <c r="K2353" s="874" t="s">
        <v>10150</v>
      </c>
      <c r="L2353" s="824">
        <v>3.1</v>
      </c>
    </row>
    <row r="2354" spans="3:12" x14ac:dyDescent="0.25">
      <c r="G2354" s="777"/>
      <c r="H2354" s="842"/>
      <c r="J2354" s="864"/>
      <c r="L2354" s="746"/>
    </row>
    <row r="2355" spans="3:12" x14ac:dyDescent="0.25">
      <c r="C2355" s="610" t="s">
        <v>10827</v>
      </c>
      <c r="G2355" s="777"/>
      <c r="H2355" s="842"/>
      <c r="J2355" s="864"/>
      <c r="L2355" s="746"/>
    </row>
    <row r="2356" spans="3:12" x14ac:dyDescent="0.25">
      <c r="C2356" s="901" t="s">
        <v>4960</v>
      </c>
      <c r="F2356" s="775" t="s">
        <v>3</v>
      </c>
      <c r="G2356" s="777">
        <f>0.66*1.575*3*8*1.13037</f>
        <v>28.200470760000002</v>
      </c>
      <c r="H2356" s="842"/>
      <c r="J2356" s="864"/>
      <c r="L2356" s="746"/>
    </row>
    <row r="2357" spans="3:12" x14ac:dyDescent="0.25">
      <c r="G2357" s="777"/>
      <c r="H2357" s="842"/>
      <c r="J2357" s="864"/>
      <c r="L2357" s="746"/>
    </row>
    <row r="2358" spans="3:12" x14ac:dyDescent="0.25">
      <c r="C2358" s="610" t="s">
        <v>10828</v>
      </c>
      <c r="G2358" s="777"/>
      <c r="H2358" s="842"/>
      <c r="J2358" s="864"/>
      <c r="L2358" s="746"/>
    </row>
    <row r="2359" spans="3:12" x14ac:dyDescent="0.25">
      <c r="C2359" s="901" t="s">
        <v>4960</v>
      </c>
      <c r="F2359" s="775" t="s">
        <v>3</v>
      </c>
      <c r="G2359" s="777">
        <f>0.66*1.575*3*8*1.13037</f>
        <v>28.200470760000002</v>
      </c>
      <c r="H2359" s="842"/>
      <c r="J2359" s="864"/>
      <c r="L2359" s="746"/>
    </row>
    <row r="2360" spans="3:12" x14ac:dyDescent="0.25">
      <c r="G2360" s="777"/>
      <c r="H2360" s="842"/>
      <c r="J2360" s="864"/>
      <c r="L2360" s="746"/>
    </row>
    <row r="2361" spans="3:12" x14ac:dyDescent="0.25">
      <c r="C2361" s="610" t="s">
        <v>10829</v>
      </c>
      <c r="G2361" s="777"/>
      <c r="H2361" s="842"/>
      <c r="J2361" s="864"/>
      <c r="L2361" s="746"/>
    </row>
    <row r="2362" spans="3:12" x14ac:dyDescent="0.25">
      <c r="C2362" s="901" t="s">
        <v>4960</v>
      </c>
      <c r="F2362" s="775" t="s">
        <v>3</v>
      </c>
      <c r="G2362" s="777">
        <f>0.66*1.575*3*8*1.13037</f>
        <v>28.200470760000002</v>
      </c>
      <c r="H2362" s="842"/>
      <c r="J2362" s="864"/>
      <c r="L2362" s="746"/>
    </row>
    <row r="2363" spans="3:12" x14ac:dyDescent="0.25">
      <c r="G2363" s="777"/>
      <c r="H2363" s="842"/>
      <c r="J2363" s="864"/>
      <c r="L2363" s="746"/>
    </row>
    <row r="2364" spans="3:12" x14ac:dyDescent="0.25">
      <c r="C2364" s="610" t="s">
        <v>10830</v>
      </c>
      <c r="G2364" s="777"/>
      <c r="H2364" s="842"/>
      <c r="J2364" s="864"/>
      <c r="L2364" s="746"/>
    </row>
    <row r="2365" spans="3:12" x14ac:dyDescent="0.25">
      <c r="C2365" s="901" t="s">
        <v>9867</v>
      </c>
      <c r="F2365" s="775" t="s">
        <v>3</v>
      </c>
      <c r="G2365" s="777">
        <f>0.036*0.036*0.5*8</f>
        <v>5.1839999999999994E-3</v>
      </c>
      <c r="H2365" s="842"/>
      <c r="J2365" s="864"/>
      <c r="L2365" s="746"/>
    </row>
    <row r="2366" spans="3:12" x14ac:dyDescent="0.25">
      <c r="G2366" s="777"/>
      <c r="H2366" s="842"/>
      <c r="J2366" s="864"/>
      <c r="L2366" s="746"/>
    </row>
    <row r="2367" spans="3:12" x14ac:dyDescent="0.25">
      <c r="C2367" s="610" t="s">
        <v>10831</v>
      </c>
      <c r="G2367" s="777"/>
      <c r="H2367" s="842"/>
      <c r="J2367" s="864"/>
      <c r="L2367" s="746"/>
    </row>
    <row r="2368" spans="3:12" x14ac:dyDescent="0.25">
      <c r="C2368" s="901" t="s">
        <v>10832</v>
      </c>
      <c r="F2368" s="775" t="s">
        <v>3</v>
      </c>
      <c r="G2368" s="777">
        <f>0.16*0.016*2*8*1.12</f>
        <v>4.5875200000000005E-2</v>
      </c>
      <c r="H2368" s="842"/>
      <c r="J2368" s="864"/>
      <c r="L2368" s="746"/>
    </row>
    <row r="2369" spans="3:12" x14ac:dyDescent="0.25">
      <c r="G2369" s="777"/>
      <c r="H2369" s="842"/>
      <c r="J2369" s="864"/>
      <c r="L2369" s="746"/>
    </row>
    <row r="2370" spans="3:12" x14ac:dyDescent="0.25">
      <c r="C2370" s="610" t="s">
        <v>11267</v>
      </c>
      <c r="F2370" s="775" t="s">
        <v>2180</v>
      </c>
      <c r="G2370" s="777"/>
      <c r="H2370" s="842"/>
      <c r="J2370" s="864"/>
      <c r="L2370" s="746"/>
    </row>
    <row r="2371" spans="3:12" x14ac:dyDescent="0.25">
      <c r="C2371" s="901" t="s">
        <v>11268</v>
      </c>
      <c r="F2371" s="775" t="s">
        <v>1516</v>
      </c>
      <c r="G2371" s="777">
        <v>7</v>
      </c>
      <c r="H2371" s="842"/>
      <c r="J2371" s="864"/>
      <c r="L2371" s="746"/>
    </row>
    <row r="2372" spans="3:12" x14ac:dyDescent="0.25">
      <c r="C2372" s="901" t="s">
        <v>11269</v>
      </c>
      <c r="F2372" s="775" t="s">
        <v>1516</v>
      </c>
      <c r="G2372" s="777">
        <v>1</v>
      </c>
      <c r="H2372" s="842"/>
      <c r="J2372" s="864"/>
      <c r="L2372" s="746"/>
    </row>
    <row r="2373" spans="3:12" x14ac:dyDescent="0.25">
      <c r="D2373" s="610" t="s">
        <v>11270</v>
      </c>
      <c r="G2373" s="777"/>
      <c r="H2373" s="842"/>
      <c r="J2373" s="864"/>
      <c r="L2373" s="746"/>
    </row>
    <row r="2374" spans="3:12" x14ac:dyDescent="0.25">
      <c r="D2374" s="901" t="s">
        <v>9767</v>
      </c>
      <c r="F2374" s="775" t="s">
        <v>3</v>
      </c>
      <c r="G2374" s="777">
        <f>0.07*0.8*1.5*8*1.12-0.003</f>
        <v>0.7496400000000002</v>
      </c>
      <c r="H2374" s="842"/>
      <c r="J2374" s="864"/>
      <c r="L2374" s="746"/>
    </row>
    <row r="2375" spans="3:12" x14ac:dyDescent="0.25">
      <c r="D2375" s="901" t="s">
        <v>8</v>
      </c>
      <c r="F2375" s="775" t="s">
        <v>3</v>
      </c>
      <c r="G2375" s="777">
        <f>G2376*0.65</f>
        <v>2.6208000000000002E-2</v>
      </c>
      <c r="H2375" s="842"/>
      <c r="J2375" s="864"/>
      <c r="L2375" s="746"/>
    </row>
    <row r="2376" spans="3:12" x14ac:dyDescent="0.25">
      <c r="D2376" s="901" t="s">
        <v>879</v>
      </c>
      <c r="F2376" s="775" t="s">
        <v>3</v>
      </c>
      <c r="G2376" s="777">
        <f>0.8*0.07*2*0.15*2*1.2</f>
        <v>4.0320000000000002E-2</v>
      </c>
      <c r="H2376" s="842"/>
      <c r="J2376" s="864"/>
      <c r="L2376" s="746"/>
    </row>
    <row r="2377" spans="3:12" x14ac:dyDescent="0.25">
      <c r="D2377" s="901" t="s">
        <v>12</v>
      </c>
      <c r="F2377" s="775" t="s">
        <v>3</v>
      </c>
      <c r="G2377" s="777">
        <f>0.3*(G2376+G2375)</f>
        <v>1.9958400000000001E-2</v>
      </c>
      <c r="H2377" s="842"/>
      <c r="J2377" s="864"/>
      <c r="L2377" s="746"/>
    </row>
    <row r="2378" spans="3:12" x14ac:dyDescent="0.25">
      <c r="D2378" s="610" t="s">
        <v>11271</v>
      </c>
      <c r="F2378" s="775"/>
      <c r="G2378" s="777"/>
      <c r="H2378" s="842"/>
      <c r="J2378" s="864"/>
      <c r="L2378" s="746"/>
    </row>
    <row r="2379" spans="3:12" x14ac:dyDescent="0.25">
      <c r="D2379" s="901" t="s">
        <v>9767</v>
      </c>
      <c r="F2379" s="775" t="s">
        <v>3</v>
      </c>
      <c r="G2379" s="777">
        <f>0.8*0.014*2*8*1.12-0.001</f>
        <v>0.19970400000000005</v>
      </c>
      <c r="H2379" s="842"/>
      <c r="J2379" s="864"/>
      <c r="L2379" s="746"/>
    </row>
    <row r="2380" spans="3:12" x14ac:dyDescent="0.25">
      <c r="D2380" s="901" t="s">
        <v>8</v>
      </c>
      <c r="F2380" s="775" t="s">
        <v>3</v>
      </c>
      <c r="G2380" s="777">
        <f>G2381*0.65</f>
        <v>1.3156000000000001E-2</v>
      </c>
      <c r="H2380" s="842"/>
      <c r="J2380" s="864"/>
      <c r="L2380" s="746"/>
    </row>
    <row r="2381" spans="3:12" x14ac:dyDescent="0.25">
      <c r="D2381" s="901" t="s">
        <v>879</v>
      </c>
      <c r="F2381" s="775" t="s">
        <v>3</v>
      </c>
      <c r="G2381" s="777">
        <f>0.8*0.011*2*1.15</f>
        <v>2.0240000000000001E-2</v>
      </c>
      <c r="H2381" s="842"/>
      <c r="J2381" s="864"/>
      <c r="L2381" s="746"/>
    </row>
    <row r="2382" spans="3:12" x14ac:dyDescent="0.25">
      <c r="D2382" s="901" t="s">
        <v>12</v>
      </c>
      <c r="F2382" s="775" t="s">
        <v>3</v>
      </c>
      <c r="G2382" s="777">
        <f>0.3*(G2381+G2380)</f>
        <v>1.00188E-2</v>
      </c>
      <c r="H2382" s="842"/>
      <c r="J2382" s="864"/>
      <c r="L2382" s="746"/>
    </row>
    <row r="2383" spans="3:12" x14ac:dyDescent="0.25">
      <c r="D2383" s="901"/>
      <c r="F2383" s="775"/>
      <c r="G2383" s="777"/>
      <c r="H2383" s="842"/>
      <c r="J2383" s="864"/>
      <c r="L2383" s="746"/>
    </row>
    <row r="2384" spans="3:12" x14ac:dyDescent="0.25">
      <c r="C2384" s="610" t="s">
        <v>11272</v>
      </c>
      <c r="D2384" s="901"/>
      <c r="F2384" s="775" t="s">
        <v>2180</v>
      </c>
      <c r="G2384" s="777"/>
      <c r="H2384" s="842"/>
      <c r="J2384" s="864"/>
      <c r="L2384" s="746"/>
    </row>
    <row r="2385" spans="3:12" x14ac:dyDescent="0.25">
      <c r="C2385" s="901" t="s">
        <v>11269</v>
      </c>
      <c r="F2385" s="775" t="s">
        <v>1516</v>
      </c>
      <c r="G2385" s="777">
        <v>11</v>
      </c>
      <c r="H2385" s="842"/>
      <c r="J2385" s="864"/>
      <c r="L2385" s="746"/>
    </row>
    <row r="2386" spans="3:12" x14ac:dyDescent="0.25">
      <c r="D2386" s="610" t="s">
        <v>11273</v>
      </c>
      <c r="F2386" s="775"/>
      <c r="G2386" s="777"/>
      <c r="H2386" s="842"/>
      <c r="J2386" s="864"/>
      <c r="L2386" s="746"/>
    </row>
    <row r="2387" spans="3:12" x14ac:dyDescent="0.25">
      <c r="D2387" s="901" t="s">
        <v>11274</v>
      </c>
      <c r="F2387" s="775" t="s">
        <v>3</v>
      </c>
      <c r="G2387" s="777">
        <f>1.15*0.024*1*8*1.13</f>
        <v>0.24950399999999998</v>
      </c>
      <c r="H2387" s="842"/>
      <c r="J2387" s="864"/>
      <c r="L2387" s="746"/>
    </row>
    <row r="2388" spans="3:12" x14ac:dyDescent="0.25">
      <c r="D2388" s="901" t="s">
        <v>8</v>
      </c>
      <c r="F2388" s="775" t="s">
        <v>3</v>
      </c>
      <c r="G2388" s="777">
        <f>G2389*0.68</f>
        <v>2.0300719999999998E-2</v>
      </c>
      <c r="H2388" s="842"/>
      <c r="J2388" s="864"/>
      <c r="L2388" s="746"/>
    </row>
    <row r="2389" spans="3:12" x14ac:dyDescent="0.25">
      <c r="D2389" s="901" t="s">
        <v>879</v>
      </c>
      <c r="F2389" s="775" t="s">
        <v>3</v>
      </c>
      <c r="G2389" s="777">
        <f>1.15*0.011*2*1.18</f>
        <v>2.9853999999999995E-2</v>
      </c>
      <c r="H2389" s="842"/>
      <c r="J2389" s="864"/>
      <c r="L2389" s="746"/>
    </row>
    <row r="2390" spans="3:12" x14ac:dyDescent="0.25">
      <c r="D2390" s="901" t="s">
        <v>12</v>
      </c>
      <c r="F2390" s="775" t="s">
        <v>3</v>
      </c>
      <c r="G2390" s="777">
        <f>0.3*(G2389+G2388)</f>
        <v>1.5046415999999996E-2</v>
      </c>
      <c r="H2390" s="842"/>
      <c r="J2390" s="864"/>
      <c r="L2390" s="746"/>
    </row>
    <row r="2391" spans="3:12" x14ac:dyDescent="0.25">
      <c r="D2391" s="610" t="s">
        <v>11275</v>
      </c>
      <c r="F2391" s="775"/>
      <c r="G2391" s="777"/>
      <c r="H2391" s="842"/>
      <c r="J2391" s="864"/>
      <c r="L2391" s="746"/>
    </row>
    <row r="2392" spans="3:12" x14ac:dyDescent="0.25">
      <c r="D2392" s="901" t="s">
        <v>11274</v>
      </c>
      <c r="F2392" s="775" t="s">
        <v>3</v>
      </c>
      <c r="G2392" s="777">
        <f>1.15*0.02*1*8*1.139</f>
        <v>0.20957600000000001</v>
      </c>
      <c r="H2392" s="842"/>
      <c r="J2392" s="864"/>
      <c r="L2392" s="746"/>
    </row>
    <row r="2393" spans="3:12" x14ac:dyDescent="0.25">
      <c r="D2393" s="901" t="s">
        <v>8</v>
      </c>
      <c r="F2393" s="775" t="s">
        <v>3</v>
      </c>
      <c r="G2393" s="777">
        <f>G2394*0.68</f>
        <v>2.0300719999999998E-2</v>
      </c>
      <c r="H2393" s="842"/>
      <c r="J2393" s="864"/>
      <c r="L2393" s="746"/>
    </row>
    <row r="2394" spans="3:12" x14ac:dyDescent="0.25">
      <c r="D2394" s="901" t="s">
        <v>879</v>
      </c>
      <c r="F2394" s="775" t="s">
        <v>3</v>
      </c>
      <c r="G2394" s="777">
        <f>1.15*0.011*2*1.18</f>
        <v>2.9853999999999995E-2</v>
      </c>
      <c r="H2394" s="842"/>
      <c r="J2394" s="864"/>
      <c r="L2394" s="746"/>
    </row>
    <row r="2395" spans="3:12" x14ac:dyDescent="0.25">
      <c r="D2395" s="901" t="s">
        <v>12</v>
      </c>
      <c r="F2395" s="775" t="s">
        <v>3</v>
      </c>
      <c r="G2395" s="777">
        <f>0.3*(G2394+G2393)</f>
        <v>1.5046415999999996E-2</v>
      </c>
      <c r="H2395" s="842"/>
      <c r="J2395" s="864"/>
      <c r="L2395" s="746"/>
    </row>
    <row r="2396" spans="3:12" x14ac:dyDescent="0.25">
      <c r="D2396" s="901"/>
      <c r="F2396" s="775"/>
      <c r="G2396" s="777"/>
      <c r="H2396" s="842"/>
      <c r="J2396" s="864"/>
      <c r="L2396" s="746"/>
    </row>
    <row r="2397" spans="3:12" x14ac:dyDescent="0.25">
      <c r="C2397" s="610" t="s">
        <v>11276</v>
      </c>
      <c r="D2397" s="901"/>
      <c r="F2397" s="775" t="s">
        <v>2180</v>
      </c>
      <c r="G2397" s="777"/>
      <c r="H2397" s="842"/>
      <c r="J2397" s="864"/>
      <c r="L2397" s="746"/>
    </row>
    <row r="2398" spans="3:12" x14ac:dyDescent="0.25">
      <c r="C2398" s="901" t="s">
        <v>11269</v>
      </c>
      <c r="F2398" s="775" t="s">
        <v>1516</v>
      </c>
      <c r="G2398" s="777">
        <v>2</v>
      </c>
      <c r="H2398" s="842"/>
      <c r="J2398" s="864"/>
      <c r="L2398" s="746"/>
    </row>
    <row r="2399" spans="3:12" x14ac:dyDescent="0.25">
      <c r="D2399" s="610" t="s">
        <v>11277</v>
      </c>
      <c r="F2399" s="775"/>
      <c r="G2399" s="777"/>
      <c r="H2399" s="842"/>
      <c r="J2399" s="864"/>
      <c r="L2399" s="746"/>
    </row>
    <row r="2400" spans="3:12" x14ac:dyDescent="0.25">
      <c r="D2400" s="901" t="s">
        <v>11274</v>
      </c>
      <c r="F2400" s="775" t="s">
        <v>3</v>
      </c>
      <c r="G2400" s="777">
        <f>0.03*0.15*1*8*1.12</f>
        <v>4.0320000000000002E-2</v>
      </c>
      <c r="H2400" s="842"/>
      <c r="J2400" s="864"/>
      <c r="L2400" s="746"/>
    </row>
    <row r="2401" spans="3:12" x14ac:dyDescent="0.25">
      <c r="D2401" s="901" t="s">
        <v>8</v>
      </c>
      <c r="F2401" s="775" t="s">
        <v>3</v>
      </c>
      <c r="G2401" s="777">
        <f>G2402*0.68</f>
        <v>3.1191599999999997E-3</v>
      </c>
      <c r="H2401" s="842"/>
      <c r="J2401" s="864"/>
      <c r="L2401" s="746"/>
    </row>
    <row r="2402" spans="3:12" x14ac:dyDescent="0.25">
      <c r="D2402" s="901" t="s">
        <v>879</v>
      </c>
      <c r="F2402" s="775" t="s">
        <v>3</v>
      </c>
      <c r="G2402" s="777">
        <f>0.15*0.011*2*1.39</f>
        <v>4.5869999999999991E-3</v>
      </c>
      <c r="H2402" s="842"/>
      <c r="J2402" s="864"/>
      <c r="L2402" s="746"/>
    </row>
    <row r="2403" spans="3:12" x14ac:dyDescent="0.25">
      <c r="D2403" s="901" t="s">
        <v>12</v>
      </c>
      <c r="F2403" s="775" t="s">
        <v>3</v>
      </c>
      <c r="G2403" s="777">
        <f>0.3*(G2402+G2401)</f>
        <v>2.3118479999999996E-3</v>
      </c>
      <c r="H2403" s="842"/>
      <c r="J2403" s="864"/>
      <c r="L2403" s="746"/>
    </row>
    <row r="2404" spans="3:12" x14ac:dyDescent="0.25">
      <c r="D2404" s="610" t="s">
        <v>11278</v>
      </c>
      <c r="F2404" s="775"/>
      <c r="G2404" s="777"/>
      <c r="H2404" s="842"/>
      <c r="J2404" s="864"/>
      <c r="L2404" s="746"/>
    </row>
    <row r="2405" spans="3:12" x14ac:dyDescent="0.25">
      <c r="D2405" s="901" t="s">
        <v>11274</v>
      </c>
      <c r="F2405" s="775" t="s">
        <v>3</v>
      </c>
      <c r="G2405" s="777">
        <f>0.02*0.15*1*8*1.12</f>
        <v>2.6880000000000005E-2</v>
      </c>
      <c r="H2405" s="842"/>
      <c r="J2405" s="864"/>
      <c r="L2405" s="746"/>
    </row>
    <row r="2406" spans="3:12" x14ac:dyDescent="0.25">
      <c r="D2406" s="901" t="s">
        <v>8</v>
      </c>
      <c r="F2406" s="775" t="s">
        <v>3</v>
      </c>
      <c r="G2406" s="777">
        <f>G2407*0.68</f>
        <v>3.1191599999999997E-3</v>
      </c>
      <c r="H2406" s="842"/>
      <c r="J2406" s="864"/>
      <c r="L2406" s="746"/>
    </row>
    <row r="2407" spans="3:12" x14ac:dyDescent="0.25">
      <c r="D2407" s="901" t="s">
        <v>879</v>
      </c>
      <c r="F2407" s="775" t="s">
        <v>3</v>
      </c>
      <c r="G2407" s="777">
        <f>0.15*0.011*2*1.39</f>
        <v>4.5869999999999991E-3</v>
      </c>
      <c r="H2407" s="842"/>
      <c r="J2407" s="864"/>
      <c r="L2407" s="746"/>
    </row>
    <row r="2408" spans="3:12" x14ac:dyDescent="0.25">
      <c r="D2408" s="901" t="s">
        <v>12</v>
      </c>
      <c r="F2408" s="775" t="s">
        <v>3</v>
      </c>
      <c r="G2408" s="777">
        <f>0.3*(G2407+G2406)</f>
        <v>2.3118479999999996E-3</v>
      </c>
      <c r="H2408" s="842"/>
      <c r="J2408" s="864"/>
      <c r="L2408" s="746"/>
    </row>
    <row r="2409" spans="3:12" x14ac:dyDescent="0.25">
      <c r="D2409" s="901"/>
      <c r="F2409" s="775"/>
      <c r="G2409" s="777"/>
      <c r="H2409" s="842"/>
      <c r="J2409" s="864"/>
      <c r="L2409" s="746"/>
    </row>
    <row r="2410" spans="3:12" x14ac:dyDescent="0.25">
      <c r="C2410" s="610" t="s">
        <v>10195</v>
      </c>
      <c r="H2410" s="842"/>
      <c r="I2410" s="746"/>
      <c r="J2410" s="746"/>
      <c r="L2410" s="746"/>
    </row>
    <row r="2411" spans="3:12" x14ac:dyDescent="0.25">
      <c r="C2411" s="746" t="s">
        <v>10196</v>
      </c>
      <c r="F2411" s="836" t="s">
        <v>3</v>
      </c>
      <c r="G2411" s="849">
        <f>0.015*0.015*2*2.7*1</f>
        <v>1.2150000000000002E-3</v>
      </c>
      <c r="H2411" s="842"/>
      <c r="I2411" s="746"/>
      <c r="J2411" s="746"/>
      <c r="L2411" s="746"/>
    </row>
    <row r="2412" spans="3:12" x14ac:dyDescent="0.25">
      <c r="H2412" s="842"/>
      <c r="I2412" s="746"/>
      <c r="J2412" s="746"/>
      <c r="L2412" s="746"/>
    </row>
    <row r="2413" spans="3:12" x14ac:dyDescent="0.25">
      <c r="C2413" s="610" t="s">
        <v>11279</v>
      </c>
      <c r="D2413" s="901"/>
      <c r="F2413" s="775"/>
      <c r="G2413" s="777"/>
      <c r="H2413" s="842"/>
      <c r="J2413" s="864"/>
      <c r="L2413" s="746"/>
    </row>
    <row r="2414" spans="3:12" x14ac:dyDescent="0.25">
      <c r="C2414" s="844" t="s">
        <v>140</v>
      </c>
      <c r="D2414" s="844"/>
      <c r="F2414" s="845" t="s">
        <v>3</v>
      </c>
      <c r="G2414" s="779">
        <f>0.016*3.14*0.08*1.1</f>
        <v>4.4211199999999997E-3</v>
      </c>
      <c r="H2414" s="842"/>
      <c r="J2414" s="864"/>
      <c r="L2414" s="746"/>
    </row>
    <row r="2415" spans="3:12" ht="17.25" x14ac:dyDescent="0.25">
      <c r="C2415" s="844" t="s">
        <v>23</v>
      </c>
      <c r="D2415" s="844"/>
      <c r="F2415" s="845" t="s">
        <v>596</v>
      </c>
      <c r="G2415" s="779">
        <f>G2414*2</f>
        <v>8.8422399999999995E-3</v>
      </c>
      <c r="H2415" s="842"/>
      <c r="J2415" s="864"/>
      <c r="L2415" s="746"/>
    </row>
    <row r="2416" spans="3:12" x14ac:dyDescent="0.25">
      <c r="C2416" s="844" t="s">
        <v>142</v>
      </c>
      <c r="D2416" s="844"/>
      <c r="F2416" s="845" t="s">
        <v>3</v>
      </c>
      <c r="G2416" s="779">
        <f>G2414/4</f>
        <v>1.1052799999999999E-3</v>
      </c>
      <c r="H2416" s="842"/>
      <c r="J2416" s="864"/>
      <c r="L2416" s="746"/>
    </row>
    <row r="2417" spans="3:12" x14ac:dyDescent="0.25">
      <c r="C2417" s="901" t="s">
        <v>8</v>
      </c>
      <c r="F2417" s="775" t="s">
        <v>3</v>
      </c>
      <c r="G2417" s="777">
        <f>G2418*0.68</f>
        <v>6.7836800000000003E-2</v>
      </c>
      <c r="H2417" s="842"/>
      <c r="J2417" s="864"/>
      <c r="L2417" s="746"/>
    </row>
    <row r="2418" spans="3:12" x14ac:dyDescent="0.25">
      <c r="C2418" s="901" t="s">
        <v>5441</v>
      </c>
      <c r="F2418" s="775" t="s">
        <v>3</v>
      </c>
      <c r="G2418" s="777">
        <f>L2424*0.02*2*1.16</f>
        <v>9.9759999999999988E-2</v>
      </c>
      <c r="H2418" s="842"/>
      <c r="J2418" s="864"/>
      <c r="L2418" s="746"/>
    </row>
    <row r="2419" spans="3:12" x14ac:dyDescent="0.25">
      <c r="C2419" s="901" t="s">
        <v>12</v>
      </c>
      <c r="F2419" s="775" t="s">
        <v>3</v>
      </c>
      <c r="G2419" s="777">
        <f>0.3*(G2418+G2417)</f>
        <v>5.0279039999999997E-2</v>
      </c>
      <c r="H2419" s="842"/>
      <c r="J2419" s="864"/>
      <c r="L2419" s="746"/>
    </row>
    <row r="2420" spans="3:12" x14ac:dyDescent="0.25">
      <c r="C2420" s="73" t="s">
        <v>1021</v>
      </c>
      <c r="D2420" s="73"/>
      <c r="E2420" s="73"/>
      <c r="F2420" s="74" t="s">
        <v>3</v>
      </c>
      <c r="G2420" s="153">
        <f>G2418</f>
        <v>9.9759999999999988E-2</v>
      </c>
      <c r="H2420" s="842"/>
      <c r="J2420" s="864"/>
      <c r="L2420" s="746"/>
    </row>
    <row r="2421" spans="3:12" x14ac:dyDescent="0.25">
      <c r="C2421" s="73" t="s">
        <v>661</v>
      </c>
      <c r="D2421" s="73"/>
      <c r="E2421" s="73"/>
      <c r="F2421" s="74" t="s">
        <v>3</v>
      </c>
      <c r="G2421" s="153">
        <f>G2420*0.3*0.66</f>
        <v>1.9752479999999999E-2</v>
      </c>
      <c r="H2421" s="842"/>
      <c r="J2421" s="864"/>
      <c r="L2421" s="746"/>
    </row>
    <row r="2422" spans="3:12" x14ac:dyDescent="0.25">
      <c r="C2422" s="73" t="s">
        <v>1993</v>
      </c>
      <c r="D2422" s="73"/>
      <c r="E2422" s="73"/>
      <c r="F2422" s="74" t="s">
        <v>3</v>
      </c>
      <c r="G2422" s="153">
        <f>G2421/2</f>
        <v>9.8762399999999997E-3</v>
      </c>
      <c r="H2422" s="842"/>
      <c r="J2422" s="864"/>
      <c r="L2422" s="746"/>
    </row>
    <row r="2423" spans="3:12" x14ac:dyDescent="0.25">
      <c r="D2423" s="610" t="s">
        <v>11287</v>
      </c>
      <c r="G2423" s="777"/>
      <c r="H2423" s="842"/>
      <c r="J2423" s="864"/>
      <c r="L2423" s="746"/>
    </row>
    <row r="2424" spans="3:12" x14ac:dyDescent="0.25">
      <c r="D2424" s="901" t="s">
        <v>11288</v>
      </c>
      <c r="F2424" s="775" t="s">
        <v>3</v>
      </c>
      <c r="G2424" s="940">
        <f>0.592* L2424</f>
        <v>1.2727999999999999</v>
      </c>
      <c r="H2424" s="842"/>
      <c r="I2424" s="874" t="s">
        <v>10149</v>
      </c>
      <c r="J2424" s="864">
        <v>1.97</v>
      </c>
      <c r="K2424" s="874" t="s">
        <v>10150</v>
      </c>
      <c r="L2424" s="824">
        <v>2.15</v>
      </c>
    </row>
    <row r="2425" spans="3:12" x14ac:dyDescent="0.25">
      <c r="G2425" s="777"/>
      <c r="H2425" s="842"/>
      <c r="J2425" s="864"/>
      <c r="L2425" s="746"/>
    </row>
    <row r="2426" spans="3:12" x14ac:dyDescent="0.25">
      <c r="C2426" s="54" t="s">
        <v>11289</v>
      </c>
      <c r="G2426" s="777"/>
      <c r="H2426" s="842"/>
      <c r="J2426" s="864"/>
      <c r="L2426" s="746"/>
    </row>
    <row r="2427" spans="3:12" x14ac:dyDescent="0.25">
      <c r="C2427" s="901" t="s">
        <v>11290</v>
      </c>
      <c r="F2427" s="775" t="s">
        <v>3</v>
      </c>
      <c r="G2427" s="777">
        <f>0.00153*L2427</f>
        <v>7.6499999999999995E-4</v>
      </c>
      <c r="H2427" s="842"/>
      <c r="I2427" s="874" t="s">
        <v>10149</v>
      </c>
      <c r="J2427" s="864">
        <v>0.4</v>
      </c>
      <c r="K2427" s="874" t="s">
        <v>10150</v>
      </c>
      <c r="L2427" s="824">
        <v>0.5</v>
      </c>
    </row>
    <row r="2428" spans="3:12" x14ac:dyDescent="0.25">
      <c r="C2428" s="861" t="s">
        <v>671</v>
      </c>
      <c r="F2428" s="859" t="s">
        <v>3</v>
      </c>
      <c r="G2428" s="860">
        <v>4.0000000000000001E-3</v>
      </c>
      <c r="H2428" s="842"/>
      <c r="J2428" s="864"/>
      <c r="L2428" s="746"/>
    </row>
    <row r="2429" spans="3:12" x14ac:dyDescent="0.25">
      <c r="C2429" s="861" t="s">
        <v>672</v>
      </c>
      <c r="F2429" s="859" t="s">
        <v>3</v>
      </c>
      <c r="G2429" s="860">
        <f>G2428*2</f>
        <v>8.0000000000000002E-3</v>
      </c>
      <c r="H2429" s="842"/>
      <c r="J2429" s="864"/>
      <c r="L2429" s="746"/>
    </row>
    <row r="2430" spans="3:12" x14ac:dyDescent="0.25">
      <c r="C2430" s="901" t="s">
        <v>612</v>
      </c>
      <c r="F2430" s="91" t="s">
        <v>3</v>
      </c>
      <c r="G2430" s="860">
        <v>4.0000000000000001E-3</v>
      </c>
      <c r="H2430" s="842"/>
      <c r="J2430" s="864"/>
      <c r="L2430" s="746"/>
    </row>
    <row r="2431" spans="3:12" x14ac:dyDescent="0.25">
      <c r="D2431" s="610" t="s">
        <v>11291</v>
      </c>
      <c r="G2431" s="777"/>
      <c r="H2431" s="842"/>
      <c r="J2431" s="864"/>
      <c r="L2431" s="746"/>
    </row>
    <row r="2432" spans="3:12" x14ac:dyDescent="0.25">
      <c r="D2432" s="901" t="s">
        <v>11292</v>
      </c>
      <c r="F2432" s="775" t="s">
        <v>195</v>
      </c>
      <c r="G2432" s="777">
        <f>L2432</f>
        <v>2</v>
      </c>
      <c r="H2432" s="842"/>
      <c r="I2432" s="874" t="s">
        <v>10149</v>
      </c>
      <c r="J2432" s="864">
        <v>1.9</v>
      </c>
      <c r="K2432" s="874" t="s">
        <v>10150</v>
      </c>
      <c r="L2432" s="824">
        <v>2</v>
      </c>
    </row>
    <row r="2433" spans="3:12" x14ac:dyDescent="0.25">
      <c r="G2433" s="777"/>
      <c r="H2433" s="842"/>
      <c r="J2433" s="864"/>
      <c r="L2433" s="746"/>
    </row>
    <row r="2434" spans="3:12" x14ac:dyDescent="0.25">
      <c r="C2434" s="610" t="s">
        <v>11293</v>
      </c>
      <c r="G2434" s="777"/>
      <c r="H2434" s="842"/>
      <c r="J2434" s="864"/>
      <c r="L2434" s="746"/>
    </row>
    <row r="2435" spans="3:12" x14ac:dyDescent="0.25">
      <c r="C2435" s="901" t="s">
        <v>11294</v>
      </c>
      <c r="F2435" s="775" t="s">
        <v>3</v>
      </c>
      <c r="G2435" s="839">
        <f>0.0089*L2435</f>
        <v>2.225E-3</v>
      </c>
      <c r="H2435" s="842"/>
      <c r="I2435" s="874" t="s">
        <v>10149</v>
      </c>
      <c r="J2435" s="864">
        <v>0.2</v>
      </c>
      <c r="K2435" s="874" t="s">
        <v>10150</v>
      </c>
      <c r="L2435" s="824">
        <v>0.25</v>
      </c>
    </row>
    <row r="2436" spans="3:12" x14ac:dyDescent="0.25">
      <c r="D2436" s="610" t="s">
        <v>5664</v>
      </c>
      <c r="G2436" s="777"/>
      <c r="H2436" s="842"/>
      <c r="J2436" s="864"/>
      <c r="L2436" s="746"/>
    </row>
    <row r="2437" spans="3:12" x14ac:dyDescent="0.25">
      <c r="D2437" s="834" t="s">
        <v>39</v>
      </c>
      <c r="E2437" s="619"/>
      <c r="F2437" s="827" t="s">
        <v>3</v>
      </c>
      <c r="G2437" s="785">
        <f>0.05*0.08*1.15</f>
        <v>4.5999999999999999E-3</v>
      </c>
      <c r="H2437" s="842"/>
      <c r="J2437" s="864"/>
      <c r="L2437" s="746"/>
    </row>
    <row r="2438" spans="3:12" ht="17.25" x14ac:dyDescent="0.25">
      <c r="D2438" s="834" t="s">
        <v>1055</v>
      </c>
      <c r="E2438" s="619"/>
      <c r="F2438" s="827" t="s">
        <v>596</v>
      </c>
      <c r="G2438" s="777">
        <f>1.5*G2437+0.001</f>
        <v>7.9000000000000008E-3</v>
      </c>
      <c r="H2438" s="842"/>
      <c r="J2438" s="864"/>
      <c r="L2438" s="746"/>
    </row>
    <row r="2439" spans="3:12" x14ac:dyDescent="0.25">
      <c r="D2439" s="858" t="s">
        <v>140</v>
      </c>
      <c r="E2439" s="858"/>
      <c r="F2439" s="859" t="s">
        <v>3</v>
      </c>
      <c r="G2439" s="860">
        <f>(0.008*3.14*2)*0.08*1.2</f>
        <v>4.8230399999999998E-3</v>
      </c>
      <c r="H2439" s="842"/>
      <c r="J2439" s="864"/>
      <c r="L2439" s="746"/>
    </row>
    <row r="2440" spans="3:12" ht="17.25" x14ac:dyDescent="0.25">
      <c r="D2440" s="858" t="s">
        <v>23</v>
      </c>
      <c r="E2440" s="858"/>
      <c r="F2440" s="859" t="s">
        <v>10569</v>
      </c>
      <c r="G2440" s="860">
        <f>G2439*2</f>
        <v>9.6460799999999996E-3</v>
      </c>
      <c r="H2440" s="842"/>
      <c r="J2440" s="864"/>
      <c r="L2440" s="746"/>
    </row>
    <row r="2441" spans="3:12" x14ac:dyDescent="0.25">
      <c r="D2441" s="858" t="s">
        <v>142</v>
      </c>
      <c r="E2441" s="858"/>
      <c r="F2441" s="859" t="s">
        <v>3</v>
      </c>
      <c r="G2441" s="860">
        <f>G2439/4</f>
        <v>1.2057599999999999E-3</v>
      </c>
      <c r="H2441" s="842"/>
      <c r="J2441" s="864"/>
      <c r="L2441" s="746"/>
    </row>
    <row r="2442" spans="3:12" x14ac:dyDescent="0.25">
      <c r="D2442" s="780" t="s">
        <v>8</v>
      </c>
      <c r="E2442" s="780"/>
      <c r="F2442" s="836" t="s">
        <v>3</v>
      </c>
      <c r="G2442" s="782">
        <f>G2443*0.65</f>
        <v>7.6050000000000006E-3</v>
      </c>
      <c r="H2442" s="842"/>
      <c r="J2442" s="864"/>
      <c r="L2442" s="746"/>
    </row>
    <row r="2443" spans="3:12" x14ac:dyDescent="0.25">
      <c r="D2443" s="780" t="s">
        <v>5543</v>
      </c>
      <c r="E2443" s="780"/>
      <c r="F2443" s="836" t="s">
        <v>3</v>
      </c>
      <c r="G2443" s="782">
        <f>0.15*0.03*2*1.3</f>
        <v>1.17E-2</v>
      </c>
      <c r="H2443" s="842"/>
      <c r="J2443" s="864"/>
      <c r="L2443" s="746"/>
    </row>
    <row r="2444" spans="3:12" x14ac:dyDescent="0.25">
      <c r="D2444" s="780" t="s">
        <v>12</v>
      </c>
      <c r="E2444" s="780"/>
      <c r="F2444" s="836" t="s">
        <v>3</v>
      </c>
      <c r="G2444" s="782">
        <f>0.3*(G2443+G2442)</f>
        <v>5.7915000000000006E-3</v>
      </c>
      <c r="H2444" s="842"/>
      <c r="J2444" s="864"/>
      <c r="L2444" s="746"/>
    </row>
    <row r="2445" spans="3:12" x14ac:dyDescent="0.25">
      <c r="E2445" s="610" t="s">
        <v>5666</v>
      </c>
      <c r="G2445" s="777"/>
      <c r="H2445" s="842"/>
      <c r="J2445" s="864"/>
      <c r="L2445" s="746"/>
    </row>
    <row r="2446" spans="3:12" x14ac:dyDescent="0.25">
      <c r="E2446" s="901" t="s">
        <v>10652</v>
      </c>
      <c r="F2446" s="775" t="s">
        <v>3</v>
      </c>
      <c r="G2446" s="777">
        <f>0.228*L2446</f>
        <v>2.2800000000000001E-2</v>
      </c>
      <c r="H2446" s="842"/>
      <c r="I2446" s="874" t="s">
        <v>10149</v>
      </c>
      <c r="J2446" s="864">
        <v>0.06</v>
      </c>
      <c r="K2446" s="874" t="s">
        <v>10150</v>
      </c>
      <c r="L2446" s="824">
        <v>0.1</v>
      </c>
    </row>
    <row r="2447" spans="3:12" x14ac:dyDescent="0.25">
      <c r="E2447" s="610" t="s">
        <v>5668</v>
      </c>
      <c r="G2447" s="777"/>
      <c r="H2447" s="842"/>
      <c r="J2447" s="864"/>
      <c r="L2447" s="746"/>
    </row>
    <row r="2448" spans="3:12" x14ac:dyDescent="0.25">
      <c r="E2448" s="901" t="s">
        <v>10652</v>
      </c>
      <c r="F2448" s="775" t="s">
        <v>3</v>
      </c>
      <c r="G2448" s="777">
        <f>0.228*L2448</f>
        <v>2.2800000000000001E-2</v>
      </c>
      <c r="H2448" s="842"/>
      <c r="I2448" s="874" t="s">
        <v>10149</v>
      </c>
      <c r="J2448" s="864">
        <v>5.6000000000000001E-2</v>
      </c>
      <c r="K2448" s="874" t="s">
        <v>10150</v>
      </c>
      <c r="L2448" s="824">
        <v>0.1</v>
      </c>
    </row>
    <row r="2449" spans="3:12" x14ac:dyDescent="0.25">
      <c r="E2449" s="901"/>
      <c r="F2449" s="775"/>
      <c r="G2449" s="777"/>
      <c r="H2449" s="842"/>
      <c r="I2449" s="874"/>
      <c r="J2449" s="864"/>
      <c r="K2449" s="874"/>
      <c r="L2449" s="824"/>
    </row>
    <row r="2450" spans="3:12" x14ac:dyDescent="0.25">
      <c r="C2450" s="610" t="s">
        <v>11295</v>
      </c>
      <c r="F2450" s="746"/>
      <c r="G2450" s="746"/>
      <c r="H2450" s="842"/>
      <c r="J2450" s="864"/>
      <c r="L2450" s="746"/>
    </row>
    <row r="2451" spans="3:12" x14ac:dyDescent="0.25">
      <c r="C2451" s="834" t="s">
        <v>39</v>
      </c>
      <c r="D2451" s="619"/>
      <c r="F2451" s="827" t="s">
        <v>3</v>
      </c>
      <c r="G2451" s="785">
        <f>0.04*3.14*2*0.08*1.2</f>
        <v>2.4115200000000003E-2</v>
      </c>
      <c r="H2451" s="842"/>
      <c r="J2451" s="864"/>
      <c r="L2451" s="746"/>
    </row>
    <row r="2452" spans="3:12" ht="17.25" x14ac:dyDescent="0.25">
      <c r="C2452" s="834" t="s">
        <v>1055</v>
      </c>
      <c r="D2452" s="619"/>
      <c r="F2452" s="827" t="s">
        <v>596</v>
      </c>
      <c r="G2452" s="777">
        <f>1.5*G2451+0.001</f>
        <v>3.7172800000000006E-2</v>
      </c>
      <c r="H2452" s="842"/>
      <c r="J2452" s="864"/>
      <c r="L2452" s="746"/>
    </row>
    <row r="2453" spans="3:12" x14ac:dyDescent="0.25">
      <c r="D2453" s="610" t="s">
        <v>11296</v>
      </c>
      <c r="F2453" s="746"/>
      <c r="G2453" s="897"/>
      <c r="H2453" s="842"/>
      <c r="J2453" s="864"/>
      <c r="L2453" s="746"/>
    </row>
    <row r="2454" spans="3:12" x14ac:dyDescent="0.25">
      <c r="D2454" s="901" t="s">
        <v>11298</v>
      </c>
      <c r="F2454" s="827" t="s">
        <v>3</v>
      </c>
      <c r="G2454" s="897">
        <f>1.35*L2454</f>
        <v>0.40500000000000003</v>
      </c>
      <c r="H2454" s="842"/>
      <c r="I2454" s="962" t="s">
        <v>10149</v>
      </c>
      <c r="J2454" s="864">
        <v>0.25</v>
      </c>
      <c r="K2454" s="874" t="s">
        <v>10150</v>
      </c>
      <c r="L2454" s="824">
        <v>0.3</v>
      </c>
    </row>
    <row r="2455" spans="3:12" x14ac:dyDescent="0.25">
      <c r="D2455" s="610" t="s">
        <v>11297</v>
      </c>
      <c r="G2455" s="777"/>
      <c r="H2455" s="842"/>
      <c r="J2455" s="864"/>
      <c r="L2455" s="746"/>
    </row>
    <row r="2456" spans="3:12" x14ac:dyDescent="0.25">
      <c r="D2456" s="901" t="s">
        <v>9845</v>
      </c>
      <c r="F2456" s="775" t="s">
        <v>3</v>
      </c>
      <c r="G2456" s="777">
        <f>0.15*0.06*1.5*8*1.155</f>
        <v>0.12473999999999999</v>
      </c>
      <c r="H2456" s="842"/>
      <c r="J2456" s="864"/>
      <c r="L2456" s="746"/>
    </row>
    <row r="2457" spans="3:12" x14ac:dyDescent="0.25">
      <c r="G2457" s="777"/>
      <c r="H2457" s="842"/>
      <c r="J2457" s="864"/>
      <c r="L2457" s="746"/>
    </row>
    <row r="2458" spans="3:12" x14ac:dyDescent="0.25">
      <c r="C2458" s="610" t="s">
        <v>11299</v>
      </c>
      <c r="G2458" s="777"/>
      <c r="H2458" s="842"/>
      <c r="J2458" s="864"/>
      <c r="L2458" s="746"/>
    </row>
    <row r="2459" spans="3:12" x14ac:dyDescent="0.25">
      <c r="C2459" s="834" t="s">
        <v>39</v>
      </c>
      <c r="D2459" s="619"/>
      <c r="F2459" s="827" t="s">
        <v>3</v>
      </c>
      <c r="G2459" s="785">
        <f>0.04*3.14*2*0.08*1.3</f>
        <v>2.6124800000000004E-2</v>
      </c>
      <c r="H2459" s="842"/>
      <c r="J2459" s="864"/>
      <c r="L2459" s="746"/>
    </row>
    <row r="2460" spans="3:12" ht="17.25" x14ac:dyDescent="0.25">
      <c r="C2460" s="834" t="s">
        <v>1055</v>
      </c>
      <c r="D2460" s="619"/>
      <c r="F2460" s="827" t="s">
        <v>596</v>
      </c>
      <c r="G2460" s="777">
        <f>1.5*G2459+0.001</f>
        <v>4.0187200000000006E-2</v>
      </c>
      <c r="H2460" s="842"/>
      <c r="J2460" s="864"/>
      <c r="L2460" s="746"/>
    </row>
    <row r="2461" spans="3:12" x14ac:dyDescent="0.25">
      <c r="D2461" s="610" t="s">
        <v>11300</v>
      </c>
      <c r="G2461" s="777"/>
      <c r="H2461" s="842"/>
      <c r="J2461" s="864"/>
      <c r="L2461" s="746"/>
    </row>
    <row r="2462" spans="3:12" x14ac:dyDescent="0.25">
      <c r="D2462" s="858" t="s">
        <v>140</v>
      </c>
      <c r="E2462" s="858"/>
      <c r="F2462" s="859" t="s">
        <v>3</v>
      </c>
      <c r="G2462" s="860">
        <f>0.008*3.14*0.08*1.2</f>
        <v>2.4115199999999999E-3</v>
      </c>
      <c r="H2462" s="842"/>
      <c r="J2462" s="864"/>
      <c r="L2462" s="746"/>
    </row>
    <row r="2463" spans="3:12" ht="17.25" x14ac:dyDescent="0.25">
      <c r="D2463" s="858" t="s">
        <v>23</v>
      </c>
      <c r="E2463" s="858"/>
      <c r="F2463" s="859" t="s">
        <v>10569</v>
      </c>
      <c r="G2463" s="860">
        <f>G2462*2</f>
        <v>4.8230399999999998E-3</v>
      </c>
      <c r="H2463" s="842"/>
      <c r="J2463" s="864"/>
      <c r="L2463" s="746"/>
    </row>
    <row r="2464" spans="3:12" x14ac:dyDescent="0.25">
      <c r="D2464" s="858" t="s">
        <v>142</v>
      </c>
      <c r="E2464" s="858"/>
      <c r="F2464" s="859" t="s">
        <v>3</v>
      </c>
      <c r="G2464" s="860">
        <f>G2462/4</f>
        <v>6.0287999999999997E-4</v>
      </c>
      <c r="H2464" s="842"/>
      <c r="J2464" s="864"/>
      <c r="L2464" s="746"/>
    </row>
    <row r="2465" spans="3:12" x14ac:dyDescent="0.25">
      <c r="E2465" s="610" t="s">
        <v>11301</v>
      </c>
      <c r="G2465" s="777"/>
      <c r="H2465" s="842"/>
      <c r="J2465" s="864"/>
      <c r="L2465" s="746"/>
    </row>
    <row r="2466" spans="3:12" x14ac:dyDescent="0.25">
      <c r="E2466" s="901" t="s">
        <v>10557</v>
      </c>
      <c r="F2466" s="775" t="s">
        <v>3</v>
      </c>
      <c r="G2466" s="777">
        <f>0.228*L2466</f>
        <v>2.2800000000000001E-2</v>
      </c>
      <c r="H2466" s="842"/>
      <c r="I2466" s="962" t="s">
        <v>10149</v>
      </c>
      <c r="J2466" s="864">
        <v>6.5000000000000002E-2</v>
      </c>
      <c r="K2466" s="874" t="s">
        <v>10150</v>
      </c>
      <c r="L2466" s="824">
        <v>0.1</v>
      </c>
    </row>
    <row r="2467" spans="3:12" x14ac:dyDescent="0.25">
      <c r="D2467" s="610" t="s">
        <v>11302</v>
      </c>
      <c r="G2467" s="777"/>
      <c r="H2467" s="842"/>
      <c r="J2467" s="864"/>
      <c r="L2467" s="746"/>
    </row>
    <row r="2468" spans="3:12" x14ac:dyDescent="0.25">
      <c r="D2468" s="901" t="s">
        <v>9845</v>
      </c>
      <c r="F2468" s="775" t="s">
        <v>3</v>
      </c>
      <c r="G2468" s="777">
        <f>0.15*0.06*1.5*8*1.155</f>
        <v>0.12473999999999999</v>
      </c>
      <c r="H2468" s="842"/>
      <c r="J2468" s="864"/>
      <c r="L2468" s="746"/>
    </row>
    <row r="2469" spans="3:12" x14ac:dyDescent="0.25">
      <c r="G2469" s="777"/>
      <c r="H2469" s="842"/>
      <c r="J2469" s="864"/>
      <c r="L2469" s="746"/>
    </row>
    <row r="2470" spans="3:12" x14ac:dyDescent="0.25">
      <c r="C2470" s="610" t="s">
        <v>11303</v>
      </c>
      <c r="G2470" s="777"/>
      <c r="H2470" s="842"/>
      <c r="J2470" s="864"/>
      <c r="L2470" s="746"/>
    </row>
    <row r="2471" spans="3:12" x14ac:dyDescent="0.25">
      <c r="C2471" s="834" t="s">
        <v>39</v>
      </c>
      <c r="D2471" s="619"/>
      <c r="F2471" s="827" t="s">
        <v>3</v>
      </c>
      <c r="G2471" s="785">
        <v>5.0000000000000001E-3</v>
      </c>
      <c r="H2471" s="842"/>
      <c r="J2471" s="864"/>
      <c r="L2471" s="746"/>
    </row>
    <row r="2472" spans="3:12" ht="17.25" x14ac:dyDescent="0.25">
      <c r="C2472" s="834" t="s">
        <v>1055</v>
      </c>
      <c r="D2472" s="619"/>
      <c r="F2472" s="827" t="s">
        <v>596</v>
      </c>
      <c r="G2472" s="777">
        <f>1.5*G2471+0.001</f>
        <v>8.5000000000000006E-3</v>
      </c>
      <c r="H2472" s="842"/>
      <c r="J2472" s="864"/>
      <c r="L2472" s="746"/>
    </row>
    <row r="2473" spans="3:12" x14ac:dyDescent="0.25">
      <c r="D2473" s="610" t="s">
        <v>11304</v>
      </c>
      <c r="G2473" s="777"/>
      <c r="H2473" s="842"/>
      <c r="J2473" s="864"/>
      <c r="L2473" s="746"/>
    </row>
    <row r="2474" spans="3:12" x14ac:dyDescent="0.25">
      <c r="D2474" s="901" t="s">
        <v>4960</v>
      </c>
      <c r="F2474" s="775" t="s">
        <v>3</v>
      </c>
      <c r="G2474" s="777">
        <f>0.03*0.015*3*8*1.12</f>
        <v>1.2096000000000003E-2</v>
      </c>
      <c r="H2474" s="842"/>
      <c r="J2474" s="864"/>
      <c r="L2474" s="746"/>
    </row>
    <row r="2475" spans="3:12" x14ac:dyDescent="0.25">
      <c r="G2475" s="777"/>
      <c r="H2475" s="842"/>
      <c r="J2475" s="864"/>
      <c r="L2475" s="746"/>
    </row>
    <row r="2476" spans="3:12" x14ac:dyDescent="0.25">
      <c r="C2476" s="610" t="s">
        <v>11305</v>
      </c>
      <c r="G2476" s="777"/>
      <c r="H2476" s="842"/>
      <c r="J2476" s="864"/>
      <c r="L2476" s="746"/>
    </row>
    <row r="2477" spans="3:12" x14ac:dyDescent="0.25">
      <c r="C2477" s="834" t="s">
        <v>39</v>
      </c>
      <c r="D2477" s="619"/>
      <c r="F2477" s="827" t="s">
        <v>3</v>
      </c>
      <c r="G2477" s="785">
        <f>1.1*0.08*1.25</f>
        <v>0.11000000000000001</v>
      </c>
      <c r="H2477" s="842"/>
      <c r="J2477" s="864"/>
      <c r="L2477" s="746"/>
    </row>
    <row r="2478" spans="3:12" ht="17.25" x14ac:dyDescent="0.25">
      <c r="C2478" s="834" t="s">
        <v>1055</v>
      </c>
      <c r="D2478" s="619"/>
      <c r="F2478" s="827" t="s">
        <v>596</v>
      </c>
      <c r="G2478" s="777">
        <f>1.5*G2477+0.001</f>
        <v>0.16600000000000004</v>
      </c>
      <c r="H2478" s="842"/>
      <c r="J2478" s="864"/>
      <c r="L2478" s="746"/>
    </row>
    <row r="2479" spans="3:12" x14ac:dyDescent="0.25">
      <c r="C2479" s="780" t="s">
        <v>8</v>
      </c>
      <c r="D2479" s="780"/>
      <c r="F2479" s="836" t="s">
        <v>3</v>
      </c>
      <c r="G2479" s="782">
        <f>G2480*0.65</f>
        <v>5.5660800000000003E-2</v>
      </c>
      <c r="H2479" s="842"/>
      <c r="J2479" s="864"/>
      <c r="L2479" s="746"/>
    </row>
    <row r="2480" spans="3:12" x14ac:dyDescent="0.25">
      <c r="C2480" s="815" t="s">
        <v>8297</v>
      </c>
      <c r="D2480" s="780"/>
      <c r="F2480" s="836" t="s">
        <v>3</v>
      </c>
      <c r="G2480" s="782">
        <f>1.4*0.011*2*1.2+(0.13*0.26*2*0.15*2)*2*1.2</f>
        <v>8.5632E-2</v>
      </c>
      <c r="H2480" s="842"/>
      <c r="J2480" s="864"/>
      <c r="L2480" s="746"/>
    </row>
    <row r="2481" spans="3:12" x14ac:dyDescent="0.25">
      <c r="C2481" s="780" t="s">
        <v>12</v>
      </c>
      <c r="D2481" s="780"/>
      <c r="F2481" s="836" t="s">
        <v>3</v>
      </c>
      <c r="G2481" s="782">
        <f>0.3*(G2480+G2479)</f>
        <v>4.2387839999999996E-2</v>
      </c>
      <c r="H2481" s="842"/>
      <c r="J2481" s="864"/>
      <c r="L2481" s="746"/>
    </row>
    <row r="2482" spans="3:12" x14ac:dyDescent="0.25">
      <c r="D2482" s="610" t="s">
        <v>11306</v>
      </c>
      <c r="G2482" s="777"/>
      <c r="H2482" s="842"/>
      <c r="J2482" s="864"/>
      <c r="L2482" s="746"/>
    </row>
    <row r="2483" spans="3:12" x14ac:dyDescent="0.25">
      <c r="D2483" s="901" t="s">
        <v>9845</v>
      </c>
      <c r="F2483" s="775" t="s">
        <v>3</v>
      </c>
      <c r="G2483" s="777">
        <f>0.265*0.15*1.5*8*1.152</f>
        <v>0.54950399999999988</v>
      </c>
      <c r="H2483" s="842"/>
      <c r="J2483" s="864"/>
      <c r="L2483" s="746"/>
    </row>
    <row r="2484" spans="3:12" x14ac:dyDescent="0.25">
      <c r="G2484" s="777"/>
      <c r="H2484" s="842"/>
      <c r="J2484" s="864"/>
      <c r="L2484" s="746"/>
    </row>
    <row r="2485" spans="3:12" x14ac:dyDescent="0.25">
      <c r="C2485" s="610" t="s">
        <v>11307</v>
      </c>
      <c r="G2485" s="777"/>
      <c r="H2485" s="842"/>
      <c r="J2485" s="864"/>
      <c r="L2485" s="746"/>
    </row>
    <row r="2486" spans="3:12" x14ac:dyDescent="0.25">
      <c r="C2486" s="901" t="s">
        <v>11308</v>
      </c>
      <c r="F2486" s="775" t="s">
        <v>3</v>
      </c>
      <c r="G2486" s="777">
        <f>1.147*L2486</f>
        <v>0.45994700000000005</v>
      </c>
      <c r="H2486" s="842"/>
      <c r="I2486" s="962" t="s">
        <v>10149</v>
      </c>
      <c r="J2486" s="864">
        <v>0.36599999999999999</v>
      </c>
      <c r="K2486" s="874" t="s">
        <v>10150</v>
      </c>
      <c r="L2486" s="824">
        <v>0.40100000000000002</v>
      </c>
    </row>
    <row r="2487" spans="3:12" x14ac:dyDescent="0.25">
      <c r="G2487" s="777"/>
      <c r="H2487" s="842"/>
      <c r="J2487" s="864"/>
      <c r="L2487" s="746"/>
    </row>
    <row r="2488" spans="3:12" x14ac:dyDescent="0.25">
      <c r="C2488" s="610" t="s">
        <v>11309</v>
      </c>
      <c r="G2488" s="777"/>
      <c r="H2488" s="842"/>
      <c r="J2488" s="864"/>
      <c r="L2488" s="746"/>
    </row>
    <row r="2489" spans="3:12" x14ac:dyDescent="0.25">
      <c r="C2489" s="858" t="s">
        <v>140</v>
      </c>
      <c r="D2489" s="858"/>
      <c r="F2489" s="859" t="s">
        <v>3</v>
      </c>
      <c r="G2489" s="860">
        <f>0.008*3.14*2*0.08*1.2</f>
        <v>4.8230399999999998E-3</v>
      </c>
      <c r="H2489" s="842"/>
      <c r="J2489" s="864"/>
      <c r="L2489" s="746"/>
    </row>
    <row r="2490" spans="3:12" ht="17.25" x14ac:dyDescent="0.25">
      <c r="C2490" s="858" t="s">
        <v>23</v>
      </c>
      <c r="D2490" s="858"/>
      <c r="F2490" s="859" t="s">
        <v>10569</v>
      </c>
      <c r="G2490" s="860">
        <f>G2489*2</f>
        <v>9.6460799999999996E-3</v>
      </c>
      <c r="H2490" s="842"/>
      <c r="J2490" s="864"/>
      <c r="L2490" s="746"/>
    </row>
    <row r="2491" spans="3:12" x14ac:dyDescent="0.25">
      <c r="C2491" s="858" t="s">
        <v>142</v>
      </c>
      <c r="D2491" s="858"/>
      <c r="F2491" s="859" t="s">
        <v>3</v>
      </c>
      <c r="G2491" s="860">
        <f>G2489/4</f>
        <v>1.2057599999999999E-3</v>
      </c>
      <c r="H2491" s="842"/>
      <c r="J2491" s="864"/>
      <c r="L2491" s="746"/>
    </row>
    <row r="2492" spans="3:12" x14ac:dyDescent="0.25">
      <c r="D2492" s="610" t="s">
        <v>11310</v>
      </c>
      <c r="G2492" s="777"/>
      <c r="H2492" s="842"/>
      <c r="J2492" s="864"/>
      <c r="L2492" s="746"/>
    </row>
    <row r="2493" spans="3:12" x14ac:dyDescent="0.25">
      <c r="D2493" s="901" t="s">
        <v>11311</v>
      </c>
      <c r="F2493" s="775" t="s">
        <v>3</v>
      </c>
      <c r="G2493" s="777">
        <f>0.252*L2493</f>
        <v>1.1339999999999999E-2</v>
      </c>
      <c r="H2493" s="842"/>
      <c r="I2493" s="962" t="s">
        <v>10149</v>
      </c>
      <c r="J2493" s="864">
        <v>3.5000000000000003E-2</v>
      </c>
      <c r="K2493" s="874" t="s">
        <v>10150</v>
      </c>
      <c r="L2493" s="824">
        <v>4.4999999999999998E-2</v>
      </c>
    </row>
    <row r="2494" spans="3:12" x14ac:dyDescent="0.25">
      <c r="D2494" s="610" t="s">
        <v>5780</v>
      </c>
      <c r="G2494" s="777"/>
      <c r="H2494" s="842"/>
      <c r="J2494" s="864"/>
      <c r="L2494" s="746"/>
    </row>
    <row r="2495" spans="3:12" x14ac:dyDescent="0.25">
      <c r="D2495" s="858" t="s">
        <v>140</v>
      </c>
      <c r="E2495" s="858"/>
      <c r="F2495" s="859" t="s">
        <v>3</v>
      </c>
      <c r="G2495" s="860">
        <f>0.008*3.14*0.08*1.2</f>
        <v>2.4115199999999999E-3</v>
      </c>
      <c r="H2495" s="842"/>
      <c r="J2495" s="864"/>
      <c r="L2495" s="746"/>
    </row>
    <row r="2496" spans="3:12" ht="17.25" x14ac:dyDescent="0.25">
      <c r="D2496" s="858" t="s">
        <v>23</v>
      </c>
      <c r="E2496" s="858"/>
      <c r="F2496" s="859" t="s">
        <v>10569</v>
      </c>
      <c r="G2496" s="860">
        <f>G2495*2</f>
        <v>4.8230399999999998E-3</v>
      </c>
      <c r="H2496" s="842"/>
      <c r="J2496" s="864"/>
      <c r="L2496" s="746"/>
    </row>
    <row r="2497" spans="3:12" x14ac:dyDescent="0.25">
      <c r="D2497" s="858" t="s">
        <v>142</v>
      </c>
      <c r="E2497" s="858"/>
      <c r="F2497" s="859" t="s">
        <v>3</v>
      </c>
      <c r="G2497" s="860">
        <f>G2495/4</f>
        <v>6.0287999999999997E-4</v>
      </c>
      <c r="H2497" s="842"/>
      <c r="J2497" s="864"/>
      <c r="L2497" s="746"/>
    </row>
    <row r="2498" spans="3:12" x14ac:dyDescent="0.25">
      <c r="E2498" s="610" t="s">
        <v>5782</v>
      </c>
      <c r="F2498" s="777"/>
      <c r="G2498" s="746"/>
      <c r="H2498" s="842"/>
      <c r="J2498" s="864"/>
      <c r="L2498" s="746"/>
    </row>
    <row r="2499" spans="3:12" x14ac:dyDescent="0.25">
      <c r="E2499" s="901" t="s">
        <v>11312</v>
      </c>
      <c r="F2499" s="775" t="s">
        <v>3</v>
      </c>
      <c r="G2499" s="777">
        <f>0.113*L2499</f>
        <v>1.3559999999999999E-2</v>
      </c>
      <c r="H2499" s="842"/>
      <c r="I2499" s="962" t="s">
        <v>10149</v>
      </c>
      <c r="J2499" s="864">
        <v>0.11</v>
      </c>
      <c r="K2499" s="874" t="s">
        <v>10150</v>
      </c>
      <c r="L2499" s="824">
        <v>0.12</v>
      </c>
    </row>
    <row r="2500" spans="3:12" x14ac:dyDescent="0.25">
      <c r="G2500" s="777"/>
      <c r="H2500" s="842"/>
      <c r="J2500" s="864"/>
      <c r="L2500" s="746"/>
    </row>
    <row r="2501" spans="3:12" x14ac:dyDescent="0.25">
      <c r="C2501" s="610" t="s">
        <v>11313</v>
      </c>
      <c r="G2501" s="777"/>
      <c r="H2501" s="842"/>
      <c r="J2501" s="864"/>
      <c r="L2501" s="746"/>
    </row>
    <row r="2502" spans="3:12" x14ac:dyDescent="0.25">
      <c r="C2502" s="858" t="s">
        <v>140</v>
      </c>
      <c r="D2502" s="858"/>
      <c r="F2502" s="859" t="s">
        <v>3</v>
      </c>
      <c r="G2502" s="860">
        <f>0.05*0.08*1.2</f>
        <v>4.7999999999999996E-3</v>
      </c>
      <c r="H2502" s="842"/>
      <c r="J2502" s="864"/>
      <c r="L2502" s="746"/>
    </row>
    <row r="2503" spans="3:12" ht="17.25" x14ac:dyDescent="0.25">
      <c r="C2503" s="858" t="s">
        <v>23</v>
      </c>
      <c r="D2503" s="858"/>
      <c r="F2503" s="859" t="s">
        <v>10569</v>
      </c>
      <c r="G2503" s="860">
        <f>G2502*2</f>
        <v>9.5999999999999992E-3</v>
      </c>
      <c r="H2503" s="842"/>
      <c r="J2503" s="864"/>
      <c r="L2503" s="746"/>
    </row>
    <row r="2504" spans="3:12" x14ac:dyDescent="0.25">
      <c r="C2504" s="858" t="s">
        <v>142</v>
      </c>
      <c r="D2504" s="858"/>
      <c r="F2504" s="859" t="s">
        <v>3</v>
      </c>
      <c r="G2504" s="860">
        <f>G2502/4</f>
        <v>1.1999999999999999E-3</v>
      </c>
      <c r="H2504" s="842"/>
      <c r="J2504" s="864"/>
      <c r="L2504" s="746"/>
    </row>
    <row r="2505" spans="3:12" x14ac:dyDescent="0.25">
      <c r="C2505" s="746" t="s">
        <v>8</v>
      </c>
      <c r="F2505" s="859" t="s">
        <v>3</v>
      </c>
      <c r="G2505" s="777">
        <f>G2507*0.7</f>
        <v>4.244239999999999E-3</v>
      </c>
      <c r="H2505" s="842"/>
      <c r="J2505" s="864"/>
      <c r="L2505" s="746"/>
    </row>
    <row r="2506" spans="3:12" x14ac:dyDescent="0.25">
      <c r="C2506" s="746" t="s">
        <v>12</v>
      </c>
      <c r="F2506" s="859" t="s">
        <v>3</v>
      </c>
      <c r="G2506" s="777">
        <f>0.3*G2505</f>
        <v>1.2732719999999996E-3</v>
      </c>
      <c r="H2506" s="842"/>
      <c r="J2506" s="864"/>
      <c r="L2506" s="746"/>
    </row>
    <row r="2507" spans="3:12" x14ac:dyDescent="0.25">
      <c r="C2507" s="746" t="s">
        <v>10300</v>
      </c>
      <c r="F2507" s="859" t="s">
        <v>3</v>
      </c>
      <c r="G2507" s="777">
        <f>J2512*0.011*2*1.3</f>
        <v>6.0631999999999995E-3</v>
      </c>
      <c r="H2507" s="842"/>
      <c r="J2507" s="864"/>
      <c r="L2507" s="746"/>
    </row>
    <row r="2508" spans="3:12" x14ac:dyDescent="0.25">
      <c r="C2508" s="746" t="s">
        <v>11</v>
      </c>
      <c r="F2508" s="859" t="s">
        <v>3</v>
      </c>
      <c r="G2508" s="777">
        <f>0.3*G2507</f>
        <v>1.8189599999999997E-3</v>
      </c>
      <c r="H2508" s="842"/>
      <c r="J2508" s="864"/>
      <c r="L2508" s="746"/>
    </row>
    <row r="2509" spans="3:12" x14ac:dyDescent="0.25">
      <c r="C2509" s="610"/>
      <c r="D2509" s="610" t="s">
        <v>11314</v>
      </c>
      <c r="G2509" s="777"/>
      <c r="H2509" s="842"/>
      <c r="J2509" s="864"/>
      <c r="L2509" s="746"/>
    </row>
    <row r="2510" spans="3:12" x14ac:dyDescent="0.25">
      <c r="C2510" s="610"/>
      <c r="D2510" s="901" t="s">
        <v>4514</v>
      </c>
      <c r="F2510" s="775" t="s">
        <v>3</v>
      </c>
      <c r="G2510" s="777">
        <f>0.035*0.012*1.5*8*1.12</f>
        <v>5.6448000000000019E-3</v>
      </c>
      <c r="H2510" s="842"/>
      <c r="J2510" s="864"/>
      <c r="L2510" s="746"/>
    </row>
    <row r="2511" spans="3:12" x14ac:dyDescent="0.25">
      <c r="C2511" s="610"/>
      <c r="D2511" s="610" t="s">
        <v>5801</v>
      </c>
      <c r="G2511" s="777"/>
      <c r="H2511" s="842"/>
      <c r="J2511" s="864"/>
      <c r="L2511" s="746"/>
    </row>
    <row r="2512" spans="3:12" x14ac:dyDescent="0.25">
      <c r="C2512" s="610"/>
      <c r="D2512" s="901" t="s">
        <v>11311</v>
      </c>
      <c r="F2512" s="775" t="s">
        <v>3</v>
      </c>
      <c r="G2512" s="777">
        <f>0.252*L2512</f>
        <v>6.0479999999999999E-2</v>
      </c>
      <c r="H2512" s="842"/>
      <c r="I2512" s="962" t="s">
        <v>10149</v>
      </c>
      <c r="J2512" s="864">
        <v>0.21199999999999999</v>
      </c>
      <c r="K2512" s="874" t="s">
        <v>10150</v>
      </c>
      <c r="L2512" s="824">
        <v>0.24</v>
      </c>
    </row>
    <row r="2513" spans="3:12" x14ac:dyDescent="0.25">
      <c r="C2513" s="610"/>
      <c r="G2513" s="777"/>
      <c r="H2513" s="842"/>
      <c r="J2513" s="864"/>
      <c r="L2513" s="746"/>
    </row>
    <row r="2514" spans="3:12" x14ac:dyDescent="0.25">
      <c r="C2514" s="610" t="s">
        <v>11315</v>
      </c>
      <c r="G2514" s="777"/>
      <c r="H2514" s="842"/>
      <c r="J2514" s="864"/>
      <c r="L2514" s="746"/>
    </row>
    <row r="2515" spans="3:12" x14ac:dyDescent="0.25">
      <c r="C2515" s="858" t="s">
        <v>140</v>
      </c>
      <c r="D2515" s="858"/>
      <c r="F2515" s="859" t="s">
        <v>3</v>
      </c>
      <c r="G2515" s="860">
        <f>0.008*3.14*2*0.08*1.2</f>
        <v>4.8230399999999998E-3</v>
      </c>
      <c r="H2515" s="842"/>
      <c r="J2515" s="864"/>
      <c r="L2515" s="746"/>
    </row>
    <row r="2516" spans="3:12" ht="17.25" x14ac:dyDescent="0.25">
      <c r="C2516" s="858" t="s">
        <v>23</v>
      </c>
      <c r="D2516" s="858"/>
      <c r="F2516" s="859" t="s">
        <v>10569</v>
      </c>
      <c r="G2516" s="860">
        <f>G2515*2</f>
        <v>9.6460799999999996E-3</v>
      </c>
      <c r="H2516" s="842"/>
      <c r="J2516" s="864"/>
      <c r="L2516" s="746"/>
    </row>
    <row r="2517" spans="3:12" x14ac:dyDescent="0.25">
      <c r="C2517" s="858" t="s">
        <v>142</v>
      </c>
      <c r="D2517" s="858"/>
      <c r="F2517" s="859" t="s">
        <v>3</v>
      </c>
      <c r="G2517" s="860">
        <f>G2515/4</f>
        <v>1.2057599999999999E-3</v>
      </c>
      <c r="H2517" s="842"/>
      <c r="J2517" s="864"/>
      <c r="L2517" s="746"/>
    </row>
    <row r="2518" spans="3:12" x14ac:dyDescent="0.25">
      <c r="C2518" s="746" t="s">
        <v>5794</v>
      </c>
      <c r="F2518" s="859" t="s">
        <v>3</v>
      </c>
      <c r="G2518" s="777">
        <f>J2523*0.011*2*2</f>
        <v>3.96E-3</v>
      </c>
      <c r="H2518" s="842"/>
      <c r="J2518" s="864"/>
      <c r="L2518" s="746"/>
    </row>
    <row r="2519" spans="3:12" x14ac:dyDescent="0.25">
      <c r="C2519" s="746" t="s">
        <v>8</v>
      </c>
      <c r="F2519" s="859" t="s">
        <v>3</v>
      </c>
      <c r="G2519" s="777">
        <f>G2518*0.7</f>
        <v>2.7719999999999997E-3</v>
      </c>
      <c r="H2519" s="842"/>
      <c r="J2519" s="864"/>
      <c r="L2519" s="746"/>
    </row>
    <row r="2520" spans="3:12" x14ac:dyDescent="0.25">
      <c r="C2520" s="746" t="s">
        <v>143</v>
      </c>
      <c r="F2520" s="859" t="s">
        <v>3</v>
      </c>
      <c r="G2520" s="777">
        <f>G2518*0.7</f>
        <v>2.7719999999999997E-3</v>
      </c>
      <c r="H2520" s="842"/>
      <c r="J2520" s="864"/>
      <c r="L2520" s="746"/>
    </row>
    <row r="2521" spans="3:12" x14ac:dyDescent="0.25">
      <c r="C2521" s="746" t="s">
        <v>12</v>
      </c>
      <c r="F2521" s="859" t="s">
        <v>3</v>
      </c>
      <c r="G2521" s="777">
        <f>0.3*(G2520+G2519+G2518)</f>
        <v>2.8511999999999995E-3</v>
      </c>
      <c r="H2521" s="842"/>
      <c r="J2521" s="864"/>
      <c r="L2521" s="746"/>
    </row>
    <row r="2522" spans="3:12" x14ac:dyDescent="0.25">
      <c r="D2522" s="610" t="s">
        <v>11316</v>
      </c>
      <c r="G2522" s="777"/>
      <c r="H2522" s="842"/>
      <c r="J2522" s="864"/>
      <c r="L2522" s="746"/>
    </row>
    <row r="2523" spans="3:12" x14ac:dyDescent="0.25">
      <c r="D2523" s="901" t="s">
        <v>11317</v>
      </c>
      <c r="F2523" s="775" t="s">
        <v>3</v>
      </c>
      <c r="G2523" s="777">
        <f>0.173*L2523</f>
        <v>2.0759999999999997E-2</v>
      </c>
      <c r="H2523" s="842"/>
      <c r="I2523" s="962" t="s">
        <v>10149</v>
      </c>
      <c r="J2523" s="864">
        <v>0.09</v>
      </c>
      <c r="K2523" s="874" t="s">
        <v>10150</v>
      </c>
      <c r="L2523" s="824">
        <v>0.12</v>
      </c>
    </row>
    <row r="2524" spans="3:12" x14ac:dyDescent="0.25">
      <c r="G2524" s="777"/>
      <c r="H2524" s="842"/>
      <c r="J2524" s="864"/>
      <c r="L2524" s="746"/>
    </row>
    <row r="2525" spans="3:12" x14ac:dyDescent="0.25">
      <c r="C2525" s="610" t="s">
        <v>11318</v>
      </c>
      <c r="G2525" s="777"/>
      <c r="H2525" s="842"/>
      <c r="J2525" s="864"/>
      <c r="L2525" s="746"/>
    </row>
    <row r="2526" spans="3:12" x14ac:dyDescent="0.25">
      <c r="C2526" s="858" t="s">
        <v>140</v>
      </c>
      <c r="D2526" s="858"/>
      <c r="F2526" s="859" t="s">
        <v>3</v>
      </c>
      <c r="G2526" s="860">
        <f>0.008*3.14*2*0.08*1.2</f>
        <v>4.8230399999999998E-3</v>
      </c>
      <c r="H2526" s="842"/>
      <c r="J2526" s="864"/>
      <c r="L2526" s="746"/>
    </row>
    <row r="2527" spans="3:12" ht="17.25" x14ac:dyDescent="0.25">
      <c r="C2527" s="858" t="s">
        <v>23</v>
      </c>
      <c r="D2527" s="858"/>
      <c r="F2527" s="859" t="s">
        <v>10569</v>
      </c>
      <c r="G2527" s="860">
        <f>G2526*2</f>
        <v>9.6460799999999996E-3</v>
      </c>
      <c r="H2527" s="842"/>
      <c r="J2527" s="864"/>
      <c r="L2527" s="746"/>
    </row>
    <row r="2528" spans="3:12" x14ac:dyDescent="0.25">
      <c r="C2528" s="858" t="s">
        <v>142</v>
      </c>
      <c r="D2528" s="858"/>
      <c r="F2528" s="859" t="s">
        <v>3</v>
      </c>
      <c r="G2528" s="860">
        <f>G2526/4</f>
        <v>1.2057599999999999E-3</v>
      </c>
      <c r="H2528" s="842"/>
      <c r="J2528" s="864"/>
      <c r="L2528" s="746"/>
    </row>
    <row r="2529" spans="3:12" x14ac:dyDescent="0.25">
      <c r="C2529" s="746" t="s">
        <v>5794</v>
      </c>
      <c r="F2529" s="859" t="s">
        <v>3</v>
      </c>
      <c r="G2529" s="777">
        <f>J2534*0.011*2*2</f>
        <v>1.2979999999999998E-2</v>
      </c>
      <c r="H2529" s="842"/>
      <c r="J2529" s="864"/>
      <c r="L2529" s="746"/>
    </row>
    <row r="2530" spans="3:12" x14ac:dyDescent="0.25">
      <c r="C2530" s="746" t="s">
        <v>8</v>
      </c>
      <c r="F2530" s="859" t="s">
        <v>3</v>
      </c>
      <c r="G2530" s="777">
        <f>G2529*0.7</f>
        <v>9.0859999999999986E-3</v>
      </c>
      <c r="H2530" s="842"/>
      <c r="J2530" s="864"/>
      <c r="L2530" s="746"/>
    </row>
    <row r="2531" spans="3:12" x14ac:dyDescent="0.25">
      <c r="C2531" s="746" t="s">
        <v>143</v>
      </c>
      <c r="F2531" s="859" t="s">
        <v>3</v>
      </c>
      <c r="G2531" s="777">
        <f>G2529*0.7</f>
        <v>9.0859999999999986E-3</v>
      </c>
      <c r="H2531" s="842"/>
      <c r="J2531" s="864"/>
      <c r="L2531" s="746"/>
    </row>
    <row r="2532" spans="3:12" x14ac:dyDescent="0.25">
      <c r="C2532" s="746" t="s">
        <v>12</v>
      </c>
      <c r="F2532" s="859" t="s">
        <v>3</v>
      </c>
      <c r="G2532" s="777">
        <f>0.3*(G2531+G2530+G2529)</f>
        <v>9.345599999999999E-3</v>
      </c>
      <c r="H2532" s="842"/>
      <c r="J2532" s="864"/>
      <c r="L2532" s="746"/>
    </row>
    <row r="2533" spans="3:12" x14ac:dyDescent="0.25">
      <c r="D2533" s="610" t="s">
        <v>11319</v>
      </c>
      <c r="G2533" s="777"/>
      <c r="H2533" s="842"/>
      <c r="J2533" s="864"/>
      <c r="L2533" s="746"/>
    </row>
    <row r="2534" spans="3:12" x14ac:dyDescent="0.25">
      <c r="D2534" s="901" t="s">
        <v>11317</v>
      </c>
      <c r="F2534" s="775" t="s">
        <v>3</v>
      </c>
      <c r="G2534" s="777">
        <f>0.173*L2534</f>
        <v>6.0549999999999993E-2</v>
      </c>
      <c r="H2534" s="842"/>
      <c r="I2534" s="962" t="s">
        <v>10149</v>
      </c>
      <c r="J2534" s="864">
        <v>0.29499999999999998</v>
      </c>
      <c r="K2534" s="874" t="s">
        <v>10150</v>
      </c>
      <c r="L2534" s="824">
        <v>0.35</v>
      </c>
    </row>
    <row r="2535" spans="3:12" x14ac:dyDescent="0.25">
      <c r="C2535" s="610"/>
      <c r="G2535" s="777"/>
      <c r="H2535" s="842"/>
      <c r="J2535" s="864"/>
      <c r="L2535" s="746"/>
    </row>
    <row r="2536" spans="3:12" x14ac:dyDescent="0.25">
      <c r="C2536" s="610" t="s">
        <v>11320</v>
      </c>
      <c r="G2536" s="777"/>
      <c r="H2536" s="842"/>
      <c r="J2536" s="864"/>
      <c r="L2536" s="746"/>
    </row>
    <row r="2537" spans="3:12" x14ac:dyDescent="0.25">
      <c r="C2537" s="746" t="s">
        <v>11321</v>
      </c>
      <c r="F2537" s="775" t="s">
        <v>3</v>
      </c>
      <c r="G2537" s="777">
        <v>5.0000000000000001E-3</v>
      </c>
      <c r="H2537" s="842"/>
      <c r="J2537" s="864"/>
      <c r="L2537" s="746"/>
    </row>
    <row r="2538" spans="3:12" x14ac:dyDescent="0.25">
      <c r="C2538" s="610"/>
      <c r="D2538" s="610" t="s">
        <v>11322</v>
      </c>
      <c r="G2538" s="777"/>
      <c r="H2538" s="842"/>
      <c r="J2538" s="864"/>
      <c r="L2538" s="746"/>
    </row>
    <row r="2539" spans="3:12" x14ac:dyDescent="0.25">
      <c r="C2539" s="610"/>
      <c r="D2539" s="858" t="s">
        <v>140</v>
      </c>
      <c r="E2539" s="858"/>
      <c r="F2539" s="859" t="s">
        <v>3</v>
      </c>
      <c r="G2539" s="860">
        <f>0.008*3.14*2*0.08*1.2</f>
        <v>4.8230399999999998E-3</v>
      </c>
      <c r="H2539" s="842"/>
      <c r="J2539" s="864"/>
      <c r="L2539" s="746"/>
    </row>
    <row r="2540" spans="3:12" ht="17.25" x14ac:dyDescent="0.25">
      <c r="C2540" s="610"/>
      <c r="D2540" s="858" t="s">
        <v>23</v>
      </c>
      <c r="E2540" s="858"/>
      <c r="F2540" s="859" t="s">
        <v>10569</v>
      </c>
      <c r="G2540" s="860">
        <f>G2539*2</f>
        <v>9.6460799999999996E-3</v>
      </c>
      <c r="H2540" s="842"/>
      <c r="J2540" s="864"/>
      <c r="L2540" s="746"/>
    </row>
    <row r="2541" spans="3:12" x14ac:dyDescent="0.25">
      <c r="C2541" s="610"/>
      <c r="D2541" s="858" t="s">
        <v>142</v>
      </c>
      <c r="E2541" s="858"/>
      <c r="F2541" s="859" t="s">
        <v>3</v>
      </c>
      <c r="G2541" s="860">
        <f>G2539/4</f>
        <v>1.2057599999999999E-3</v>
      </c>
      <c r="H2541" s="842"/>
      <c r="J2541" s="864"/>
      <c r="L2541" s="746"/>
    </row>
    <row r="2542" spans="3:12" x14ac:dyDescent="0.25">
      <c r="C2542" s="610"/>
      <c r="E2542" s="610" t="s">
        <v>11323</v>
      </c>
      <c r="G2542" s="777"/>
      <c r="H2542" s="842"/>
      <c r="J2542" s="864"/>
      <c r="L2542" s="746"/>
    </row>
    <row r="2543" spans="3:12" x14ac:dyDescent="0.25">
      <c r="C2543" s="610"/>
      <c r="E2543" s="901" t="s">
        <v>11325</v>
      </c>
      <c r="F2543" s="775" t="s">
        <v>3</v>
      </c>
      <c r="G2543" s="777">
        <f>0.173*L2543</f>
        <v>6.0550000000000005E-3</v>
      </c>
      <c r="H2543" s="842"/>
      <c r="I2543" s="962" t="s">
        <v>10149</v>
      </c>
      <c r="J2543" s="864">
        <v>2.9000000000000001E-2</v>
      </c>
      <c r="K2543" s="874" t="s">
        <v>10150</v>
      </c>
      <c r="L2543" s="824">
        <v>3.5000000000000003E-2</v>
      </c>
    </row>
    <row r="2544" spans="3:12" x14ac:dyDescent="0.25">
      <c r="C2544" s="610"/>
      <c r="E2544" s="610" t="s">
        <v>11324</v>
      </c>
      <c r="G2544" s="777"/>
      <c r="H2544" s="842"/>
      <c r="J2544" s="864"/>
      <c r="L2544" s="746"/>
    </row>
    <row r="2545" spans="3:12" x14ac:dyDescent="0.25">
      <c r="C2545" s="610"/>
      <c r="E2545" s="901" t="s">
        <v>11325</v>
      </c>
      <c r="F2545" s="775" t="s">
        <v>3</v>
      </c>
      <c r="G2545" s="777">
        <f>0.173*L2545+0.002</f>
        <v>4.5249999999999999E-2</v>
      </c>
      <c r="H2545" s="842"/>
      <c r="I2545" s="962" t="s">
        <v>10149</v>
      </c>
      <c r="J2545" s="864">
        <v>0.2</v>
      </c>
      <c r="K2545" s="874" t="s">
        <v>10150</v>
      </c>
      <c r="L2545" s="824">
        <v>0.25</v>
      </c>
    </row>
    <row r="2546" spans="3:12" x14ac:dyDescent="0.25">
      <c r="C2546" s="610"/>
      <c r="G2546" s="777"/>
      <c r="H2546" s="842"/>
      <c r="J2546" s="864"/>
      <c r="L2546" s="746"/>
    </row>
    <row r="2547" spans="3:12" x14ac:dyDescent="0.25">
      <c r="C2547" s="610" t="s">
        <v>11326</v>
      </c>
      <c r="G2547" s="777"/>
      <c r="H2547" s="842"/>
      <c r="J2547" s="864"/>
      <c r="L2547" s="746"/>
    </row>
    <row r="2548" spans="3:12" x14ac:dyDescent="0.25">
      <c r="C2548" s="746" t="s">
        <v>10410</v>
      </c>
      <c r="F2548" s="775" t="s">
        <v>3</v>
      </c>
      <c r="G2548" s="777">
        <f>0.0089*L2548</f>
        <v>1.7800000000000001E-3</v>
      </c>
      <c r="H2548" s="842"/>
      <c r="I2548" s="962" t="s">
        <v>10149</v>
      </c>
      <c r="J2548" s="864">
        <f>0.075*2</f>
        <v>0.15</v>
      </c>
      <c r="K2548" s="874" t="s">
        <v>10150</v>
      </c>
      <c r="L2548" s="824">
        <v>0.2</v>
      </c>
    </row>
    <row r="2549" spans="3:12" x14ac:dyDescent="0.25">
      <c r="D2549" s="610" t="s">
        <v>11327</v>
      </c>
      <c r="G2549" s="777"/>
      <c r="H2549" s="842"/>
      <c r="J2549" s="864"/>
      <c r="L2549" s="746"/>
    </row>
    <row r="2550" spans="3:12" x14ac:dyDescent="0.25">
      <c r="D2550" s="746" t="s">
        <v>10410</v>
      </c>
      <c r="F2550" s="775" t="s">
        <v>3</v>
      </c>
      <c r="G2550" s="777">
        <f>0.0089*L2550</f>
        <v>1.7800000000000001E-3</v>
      </c>
      <c r="H2550" s="842"/>
      <c r="I2550" s="962" t="s">
        <v>10149</v>
      </c>
      <c r="J2550" s="864">
        <f>0.075*2</f>
        <v>0.15</v>
      </c>
      <c r="K2550" s="874" t="s">
        <v>10150</v>
      </c>
      <c r="L2550" s="824">
        <v>0.2</v>
      </c>
    </row>
    <row r="2551" spans="3:12" x14ac:dyDescent="0.25">
      <c r="G2551" s="777"/>
      <c r="H2551" s="842"/>
      <c r="J2551" s="864"/>
      <c r="L2551" s="746"/>
    </row>
    <row r="2552" spans="3:12" x14ac:dyDescent="0.25">
      <c r="C2552" s="610" t="s">
        <v>11328</v>
      </c>
      <c r="G2552" s="777"/>
      <c r="H2552" s="842"/>
      <c r="J2552" s="864"/>
      <c r="L2552" s="746"/>
    </row>
    <row r="2553" spans="3:12" x14ac:dyDescent="0.25">
      <c r="C2553" s="858" t="s">
        <v>140</v>
      </c>
      <c r="D2553" s="858"/>
      <c r="F2553" s="859" t="s">
        <v>3</v>
      </c>
      <c r="G2553" s="860">
        <f>0.05*0.08*1.2</f>
        <v>4.7999999999999996E-3</v>
      </c>
      <c r="H2553" s="842"/>
      <c r="J2553" s="864"/>
      <c r="L2553" s="746"/>
    </row>
    <row r="2554" spans="3:12" ht="17.25" x14ac:dyDescent="0.25">
      <c r="C2554" s="858" t="s">
        <v>23</v>
      </c>
      <c r="D2554" s="858"/>
      <c r="F2554" s="859" t="s">
        <v>10569</v>
      </c>
      <c r="G2554" s="860">
        <f>G2553*2</f>
        <v>9.5999999999999992E-3</v>
      </c>
      <c r="H2554" s="842"/>
      <c r="J2554" s="864"/>
      <c r="L2554" s="746"/>
    </row>
    <row r="2555" spans="3:12" x14ac:dyDescent="0.25">
      <c r="C2555" s="858" t="s">
        <v>142</v>
      </c>
      <c r="D2555" s="858"/>
      <c r="F2555" s="859" t="s">
        <v>3</v>
      </c>
      <c r="G2555" s="860">
        <f>G2553/4</f>
        <v>1.1999999999999999E-3</v>
      </c>
      <c r="H2555" s="842"/>
      <c r="J2555" s="864"/>
      <c r="L2555" s="746"/>
    </row>
    <row r="2556" spans="3:12" x14ac:dyDescent="0.25">
      <c r="C2556" s="746" t="s">
        <v>8</v>
      </c>
      <c r="F2556" s="859" t="s">
        <v>3</v>
      </c>
      <c r="G2556" s="777">
        <f>G2558*0.7</f>
        <v>5.0049999999999999E-3</v>
      </c>
      <c r="H2556" s="842"/>
      <c r="J2556" s="864"/>
      <c r="L2556" s="746"/>
    </row>
    <row r="2557" spans="3:12" x14ac:dyDescent="0.25">
      <c r="C2557" s="746" t="s">
        <v>12</v>
      </c>
      <c r="F2557" s="859" t="s">
        <v>3</v>
      </c>
      <c r="G2557" s="777">
        <f>0.3*G2556</f>
        <v>1.5015E-3</v>
      </c>
      <c r="H2557" s="842"/>
      <c r="J2557" s="864"/>
      <c r="L2557" s="746"/>
    </row>
    <row r="2558" spans="3:12" x14ac:dyDescent="0.25">
      <c r="C2558" s="746" t="s">
        <v>10300</v>
      </c>
      <c r="F2558" s="859" t="s">
        <v>3</v>
      </c>
      <c r="G2558" s="777">
        <f>J2563*0.011*2*1.3</f>
        <v>7.1500000000000001E-3</v>
      </c>
      <c r="H2558" s="842"/>
      <c r="J2558" s="864"/>
      <c r="L2558" s="746"/>
    </row>
    <row r="2559" spans="3:12" x14ac:dyDescent="0.25">
      <c r="C2559" s="746" t="s">
        <v>11</v>
      </c>
      <c r="F2559" s="859" t="s">
        <v>3</v>
      </c>
      <c r="G2559" s="777">
        <f>0.3*G2558</f>
        <v>2.1449999999999998E-3</v>
      </c>
      <c r="H2559" s="842"/>
      <c r="J2559" s="864"/>
      <c r="L2559" s="746"/>
    </row>
    <row r="2560" spans="3:12" x14ac:dyDescent="0.25">
      <c r="C2560" s="610"/>
      <c r="D2560" s="610" t="s">
        <v>11330</v>
      </c>
      <c r="G2560" s="777"/>
      <c r="H2560" s="842"/>
      <c r="J2560" s="864"/>
      <c r="L2560" s="746"/>
    </row>
    <row r="2561" spans="3:12" x14ac:dyDescent="0.25">
      <c r="C2561" s="610"/>
      <c r="D2561" s="901" t="s">
        <v>4514</v>
      </c>
      <c r="F2561" s="775" t="s">
        <v>3</v>
      </c>
      <c r="G2561" s="777">
        <f>0.032*0.012*1.5*8*1.12</f>
        <v>5.1609600000000009E-3</v>
      </c>
      <c r="H2561" s="842"/>
      <c r="J2561" s="864"/>
      <c r="L2561" s="746"/>
    </row>
    <row r="2562" spans="3:12" x14ac:dyDescent="0.25">
      <c r="C2562" s="610"/>
      <c r="D2562" s="610" t="s">
        <v>11329</v>
      </c>
      <c r="G2562" s="777"/>
      <c r="H2562" s="842"/>
      <c r="J2562" s="864"/>
      <c r="L2562" s="746"/>
    </row>
    <row r="2563" spans="3:12" x14ac:dyDescent="0.25">
      <c r="C2563" s="610"/>
      <c r="D2563" s="901" t="s">
        <v>11311</v>
      </c>
      <c r="F2563" s="775" t="s">
        <v>3</v>
      </c>
      <c r="G2563" s="777">
        <f>0.252*L2563</f>
        <v>6.8040000000000003E-2</v>
      </c>
      <c r="H2563" s="842"/>
      <c r="I2563" s="962" t="s">
        <v>10149</v>
      </c>
      <c r="J2563" s="864">
        <v>0.25</v>
      </c>
      <c r="K2563" s="874" t="s">
        <v>10150</v>
      </c>
      <c r="L2563" s="824">
        <v>0.27</v>
      </c>
    </row>
    <row r="2564" spans="3:12" x14ac:dyDescent="0.25">
      <c r="G2564" s="777"/>
      <c r="H2564" s="842"/>
      <c r="J2564" s="864"/>
      <c r="L2564" s="746"/>
    </row>
    <row r="2565" spans="3:12" x14ac:dyDescent="0.25">
      <c r="C2565" s="610" t="s">
        <v>11331</v>
      </c>
      <c r="G2565" s="777"/>
      <c r="H2565" s="842"/>
      <c r="J2565" s="864"/>
      <c r="L2565" s="746"/>
    </row>
    <row r="2566" spans="3:12" x14ac:dyDescent="0.25">
      <c r="C2566" s="901" t="s">
        <v>10550</v>
      </c>
      <c r="F2566" s="775" t="s">
        <v>3</v>
      </c>
      <c r="G2566" s="777">
        <f>0.222*L2566</f>
        <v>2.664E-2</v>
      </c>
      <c r="H2566" s="842"/>
      <c r="I2566" s="962" t="s">
        <v>10149</v>
      </c>
      <c r="J2566" s="864">
        <v>0.1</v>
      </c>
      <c r="K2566" s="874" t="s">
        <v>10150</v>
      </c>
      <c r="L2566" s="824">
        <v>0.12</v>
      </c>
    </row>
    <row r="2567" spans="3:12" x14ac:dyDescent="0.25">
      <c r="G2567" s="777"/>
      <c r="H2567" s="842"/>
      <c r="J2567" s="864"/>
      <c r="L2567" s="746"/>
    </row>
    <row r="2568" spans="3:12" x14ac:dyDescent="0.25">
      <c r="C2568" s="610" t="s">
        <v>11332</v>
      </c>
      <c r="F2568" s="775" t="s">
        <v>2180</v>
      </c>
      <c r="G2568" s="777"/>
      <c r="H2568" s="842"/>
      <c r="J2568" s="864"/>
      <c r="L2568" s="746"/>
    </row>
    <row r="2569" spans="3:12" x14ac:dyDescent="0.25">
      <c r="D2569" s="610" t="s">
        <v>11333</v>
      </c>
      <c r="G2569" s="777"/>
      <c r="H2569" s="842"/>
      <c r="J2569" s="864"/>
      <c r="L2569" s="746"/>
    </row>
    <row r="2570" spans="3:12" x14ac:dyDescent="0.25">
      <c r="D2570" s="858" t="s">
        <v>140</v>
      </c>
      <c r="E2570" s="858"/>
      <c r="F2570" s="859" t="s">
        <v>3</v>
      </c>
      <c r="G2570" s="860">
        <f>0.008*3.14*2*0.08*1.2</f>
        <v>4.8230399999999998E-3</v>
      </c>
      <c r="H2570" s="842"/>
      <c r="J2570" s="864"/>
      <c r="L2570" s="746"/>
    </row>
    <row r="2571" spans="3:12" ht="17.25" x14ac:dyDescent="0.25">
      <c r="D2571" s="858" t="s">
        <v>23</v>
      </c>
      <c r="E2571" s="858"/>
      <c r="F2571" s="859" t="s">
        <v>10569</v>
      </c>
      <c r="G2571" s="860">
        <f>G2570*2</f>
        <v>9.6460799999999996E-3</v>
      </c>
      <c r="H2571" s="842"/>
      <c r="J2571" s="864"/>
      <c r="L2571" s="746"/>
    </row>
    <row r="2572" spans="3:12" x14ac:dyDescent="0.25">
      <c r="D2572" s="858" t="s">
        <v>142</v>
      </c>
      <c r="E2572" s="858"/>
      <c r="F2572" s="859" t="s">
        <v>3</v>
      </c>
      <c r="G2572" s="860">
        <f>G2570/4</f>
        <v>1.2057599999999999E-3</v>
      </c>
      <c r="H2572" s="842"/>
      <c r="J2572" s="864"/>
      <c r="L2572" s="746"/>
    </row>
    <row r="2573" spans="3:12" x14ac:dyDescent="0.25">
      <c r="D2573" s="746" t="s">
        <v>5794</v>
      </c>
      <c r="F2573" s="859" t="s">
        <v>3</v>
      </c>
      <c r="G2573" s="777">
        <f>L2578*0.011*2*2</f>
        <v>8.8000000000000005E-3</v>
      </c>
      <c r="H2573" s="842"/>
      <c r="J2573" s="864"/>
      <c r="L2573" s="746"/>
    </row>
    <row r="2574" spans="3:12" x14ac:dyDescent="0.25">
      <c r="D2574" s="746" t="s">
        <v>8</v>
      </c>
      <c r="F2574" s="859" t="s">
        <v>3</v>
      </c>
      <c r="G2574" s="777">
        <f>G2573*0.7</f>
        <v>6.1599999999999997E-3</v>
      </c>
      <c r="H2574" s="842"/>
      <c r="J2574" s="864"/>
      <c r="L2574" s="746"/>
    </row>
    <row r="2575" spans="3:12" x14ac:dyDescent="0.25">
      <c r="D2575" s="746" t="s">
        <v>143</v>
      </c>
      <c r="F2575" s="859" t="s">
        <v>3</v>
      </c>
      <c r="G2575" s="777">
        <f>G2573*0.7</f>
        <v>6.1599999999999997E-3</v>
      </c>
      <c r="H2575" s="842"/>
      <c r="J2575" s="864"/>
      <c r="L2575" s="746"/>
    </row>
    <row r="2576" spans="3:12" x14ac:dyDescent="0.25">
      <c r="D2576" s="746" t="s">
        <v>12</v>
      </c>
      <c r="F2576" s="859" t="s">
        <v>3</v>
      </c>
      <c r="G2576" s="777">
        <f>0.3*(G2575+G2574+G2573)</f>
        <v>6.3359999999999996E-3</v>
      </c>
      <c r="H2576" s="842"/>
      <c r="J2576" s="864"/>
      <c r="L2576" s="746"/>
    </row>
    <row r="2577" spans="3:12" x14ac:dyDescent="0.25">
      <c r="E2577" s="610" t="s">
        <v>11336</v>
      </c>
      <c r="F2577" s="859"/>
      <c r="G2577" s="777"/>
      <c r="H2577" s="842"/>
      <c r="J2577" s="864"/>
      <c r="L2577" s="746"/>
    </row>
    <row r="2578" spans="3:12" x14ac:dyDescent="0.25">
      <c r="E2578" s="901" t="s">
        <v>11317</v>
      </c>
      <c r="F2578" s="91" t="s">
        <v>3</v>
      </c>
      <c r="G2578" s="777">
        <f>0.173*L2578</f>
        <v>3.4599999999999999E-2</v>
      </c>
      <c r="H2578" s="842"/>
      <c r="I2578" s="962" t="s">
        <v>10149</v>
      </c>
      <c r="J2578" s="864">
        <v>0.16600000000000001</v>
      </c>
      <c r="K2578" s="874" t="s">
        <v>10150</v>
      </c>
      <c r="L2578" s="824">
        <v>0.2</v>
      </c>
    </row>
    <row r="2579" spans="3:12" x14ac:dyDescent="0.25">
      <c r="D2579" s="610" t="s">
        <v>11334</v>
      </c>
      <c r="G2579" s="777"/>
      <c r="H2579" s="842"/>
      <c r="J2579" s="864"/>
      <c r="L2579" s="746"/>
    </row>
    <row r="2580" spans="3:12" x14ac:dyDescent="0.25">
      <c r="D2580" s="901" t="s">
        <v>11335</v>
      </c>
      <c r="F2580" s="775" t="s">
        <v>3</v>
      </c>
      <c r="G2580" s="777">
        <f>0.085*0.04*3*8*1.159</f>
        <v>9.4574400000000003E-2</v>
      </c>
      <c r="H2580" s="842"/>
      <c r="J2580" s="864"/>
      <c r="L2580" s="746"/>
    </row>
    <row r="2581" spans="3:12" x14ac:dyDescent="0.25">
      <c r="G2581" s="777"/>
      <c r="H2581" s="842"/>
      <c r="J2581" s="864"/>
      <c r="L2581" s="746"/>
    </row>
    <row r="2582" spans="3:12" x14ac:dyDescent="0.25">
      <c r="C2582" s="610" t="s">
        <v>11337</v>
      </c>
      <c r="G2582" s="777"/>
      <c r="H2582" s="842"/>
      <c r="J2582" s="864"/>
      <c r="L2582" s="746"/>
    </row>
    <row r="2583" spans="3:12" x14ac:dyDescent="0.25">
      <c r="C2583" s="746" t="s">
        <v>10410</v>
      </c>
      <c r="F2583" s="775" t="s">
        <v>3</v>
      </c>
      <c r="G2583" s="777">
        <f>0.0089*L2583</f>
        <v>2.6700000000000001E-3</v>
      </c>
      <c r="H2583" s="842"/>
      <c r="I2583" s="962" t="s">
        <v>10149</v>
      </c>
      <c r="J2583" s="864">
        <v>0.25</v>
      </c>
      <c r="K2583" s="874" t="s">
        <v>10150</v>
      </c>
      <c r="L2583" s="824">
        <v>0.3</v>
      </c>
    </row>
    <row r="2584" spans="3:12" x14ac:dyDescent="0.25">
      <c r="C2584" s="858" t="s">
        <v>140</v>
      </c>
      <c r="D2584" s="858"/>
      <c r="F2584" s="859" t="s">
        <v>3</v>
      </c>
      <c r="G2584" s="860">
        <f>0.008*3.14*2*0.08*1.2</f>
        <v>4.8230399999999998E-3</v>
      </c>
      <c r="H2584" s="842"/>
      <c r="J2584" s="864"/>
      <c r="L2584" s="746"/>
    </row>
    <row r="2585" spans="3:12" ht="17.25" x14ac:dyDescent="0.25">
      <c r="C2585" s="858" t="s">
        <v>23</v>
      </c>
      <c r="D2585" s="858"/>
      <c r="F2585" s="859" t="s">
        <v>10569</v>
      </c>
      <c r="G2585" s="860">
        <f>G2584*2</f>
        <v>9.6460799999999996E-3</v>
      </c>
      <c r="H2585" s="842"/>
      <c r="J2585" s="864"/>
      <c r="L2585" s="746"/>
    </row>
    <row r="2586" spans="3:12" x14ac:dyDescent="0.25">
      <c r="C2586" s="858" t="s">
        <v>142</v>
      </c>
      <c r="D2586" s="858"/>
      <c r="F2586" s="859" t="s">
        <v>3</v>
      </c>
      <c r="G2586" s="860">
        <f>G2584/4</f>
        <v>1.2057599999999999E-3</v>
      </c>
      <c r="H2586" s="842"/>
      <c r="J2586" s="864"/>
      <c r="L2586" s="746"/>
    </row>
    <row r="2587" spans="3:12" x14ac:dyDescent="0.25">
      <c r="C2587" s="746" t="s">
        <v>5794</v>
      </c>
      <c r="F2587" s="859" t="s">
        <v>3</v>
      </c>
      <c r="G2587" s="777">
        <f>J2593*0.011*2*2</f>
        <v>2.332E-2</v>
      </c>
      <c r="H2587" s="842"/>
      <c r="J2587" s="864"/>
      <c r="L2587" s="746"/>
    </row>
    <row r="2588" spans="3:12" x14ac:dyDescent="0.25">
      <c r="C2588" s="746" t="s">
        <v>8</v>
      </c>
      <c r="F2588" s="859" t="s">
        <v>3</v>
      </c>
      <c r="G2588" s="777">
        <f>G2587*0.7</f>
        <v>1.6323999999999998E-2</v>
      </c>
      <c r="H2588" s="842"/>
      <c r="J2588" s="864"/>
      <c r="L2588" s="746"/>
    </row>
    <row r="2589" spans="3:12" x14ac:dyDescent="0.25">
      <c r="C2589" s="746" t="s">
        <v>143</v>
      </c>
      <c r="F2589" s="859" t="s">
        <v>3</v>
      </c>
      <c r="G2589" s="777">
        <f>G2587*0.7</f>
        <v>1.6323999999999998E-2</v>
      </c>
      <c r="H2589" s="842"/>
      <c r="J2589" s="864"/>
      <c r="L2589" s="746"/>
    </row>
    <row r="2590" spans="3:12" x14ac:dyDescent="0.25">
      <c r="C2590" s="746" t="s">
        <v>12</v>
      </c>
      <c r="F2590" s="859" t="s">
        <v>3</v>
      </c>
      <c r="G2590" s="777">
        <f>0.3*(G2589+G2588+G2587)</f>
        <v>1.6790399999999997E-2</v>
      </c>
      <c r="H2590" s="842"/>
      <c r="J2590" s="864"/>
      <c r="L2590" s="746"/>
    </row>
    <row r="2591" spans="3:12" x14ac:dyDescent="0.25">
      <c r="C2591" s="746" t="s">
        <v>11338</v>
      </c>
      <c r="F2591" s="775" t="s">
        <v>195</v>
      </c>
      <c r="G2591" s="777">
        <f>L2591</f>
        <v>0.05</v>
      </c>
      <c r="H2591" s="842"/>
      <c r="I2591" s="962" t="s">
        <v>10149</v>
      </c>
      <c r="J2591" s="864">
        <v>0.04</v>
      </c>
      <c r="K2591" s="874" t="s">
        <v>10150</v>
      </c>
      <c r="L2591" s="824">
        <v>0.05</v>
      </c>
    </row>
    <row r="2592" spans="3:12" x14ac:dyDescent="0.25">
      <c r="C2592" s="610"/>
      <c r="D2592" s="610" t="s">
        <v>11339</v>
      </c>
      <c r="G2592" s="777"/>
      <c r="H2592" s="842"/>
      <c r="J2592" s="864"/>
      <c r="L2592" s="746"/>
    </row>
    <row r="2593" spans="3:12" x14ac:dyDescent="0.25">
      <c r="C2593" s="610"/>
      <c r="D2593" s="901" t="s">
        <v>10557</v>
      </c>
      <c r="F2593" s="775" t="s">
        <v>3</v>
      </c>
      <c r="G2593" s="777">
        <f>0.173*L2593+0.001</f>
        <v>0.10479999999999999</v>
      </c>
      <c r="H2593" s="842"/>
      <c r="I2593" s="962" t="s">
        <v>10149</v>
      </c>
      <c r="J2593" s="864">
        <v>0.53</v>
      </c>
      <c r="K2593" s="874" t="s">
        <v>10150</v>
      </c>
      <c r="L2593" s="824">
        <v>0.6</v>
      </c>
    </row>
    <row r="2594" spans="3:12" x14ac:dyDescent="0.25">
      <c r="C2594" s="610"/>
      <c r="G2594" s="777"/>
      <c r="H2594" s="842"/>
      <c r="J2594" s="864"/>
      <c r="L2594" s="746"/>
    </row>
    <row r="2595" spans="3:12" x14ac:dyDescent="0.25">
      <c r="C2595" s="610" t="s">
        <v>5840</v>
      </c>
      <c r="G2595" s="777"/>
      <c r="H2595" s="842"/>
      <c r="J2595" s="864"/>
      <c r="L2595" s="746"/>
    </row>
    <row r="2596" spans="3:12" x14ac:dyDescent="0.25">
      <c r="C2596" s="746" t="s">
        <v>10410</v>
      </c>
      <c r="F2596" s="775" t="s">
        <v>3</v>
      </c>
      <c r="G2596" s="777">
        <f>0.0089*L2596</f>
        <v>2.225E-3</v>
      </c>
      <c r="H2596" s="842"/>
      <c r="I2596" s="962" t="s">
        <v>10149</v>
      </c>
      <c r="J2596" s="864">
        <v>0.2</v>
      </c>
      <c r="K2596" s="874" t="s">
        <v>10150</v>
      </c>
      <c r="L2596" s="824">
        <v>0.25</v>
      </c>
    </row>
    <row r="2597" spans="3:12" x14ac:dyDescent="0.25">
      <c r="C2597" s="610"/>
      <c r="D2597" s="610" t="s">
        <v>5841</v>
      </c>
      <c r="G2597" s="777"/>
      <c r="H2597" s="842"/>
      <c r="J2597" s="864"/>
      <c r="L2597" s="746"/>
    </row>
    <row r="2598" spans="3:12" x14ac:dyDescent="0.25">
      <c r="C2598" s="610"/>
      <c r="D2598" s="73" t="s">
        <v>2755</v>
      </c>
      <c r="E2598" s="767"/>
      <c r="F2598" s="74" t="s">
        <v>3</v>
      </c>
      <c r="G2598" s="10">
        <f>0.05*0.08*1.2</f>
        <v>4.7999999999999996E-3</v>
      </c>
      <c r="H2598" s="842"/>
      <c r="J2598" s="864"/>
      <c r="L2598" s="746"/>
    </row>
    <row r="2599" spans="3:12" ht="17.25" x14ac:dyDescent="0.25">
      <c r="C2599" s="610"/>
      <c r="D2599" s="73" t="s">
        <v>1055</v>
      </c>
      <c r="E2599" s="767"/>
      <c r="F2599" s="74" t="s">
        <v>596</v>
      </c>
      <c r="G2599" s="10">
        <f>1.09*G2598</f>
        <v>5.2319999999999997E-3</v>
      </c>
      <c r="H2599" s="842"/>
      <c r="J2599" s="864"/>
      <c r="L2599" s="746"/>
    </row>
    <row r="2600" spans="3:12" x14ac:dyDescent="0.25">
      <c r="C2600" s="610"/>
      <c r="D2600" s="610" t="s">
        <v>5842</v>
      </c>
      <c r="G2600" s="777"/>
      <c r="H2600" s="842"/>
      <c r="J2600" s="864"/>
      <c r="L2600" s="746"/>
    </row>
    <row r="2601" spans="3:12" x14ac:dyDescent="0.25">
      <c r="C2601" s="610"/>
      <c r="D2601" s="858" t="s">
        <v>140</v>
      </c>
      <c r="E2601" s="858"/>
      <c r="F2601" s="859" t="s">
        <v>3</v>
      </c>
      <c r="G2601" s="860">
        <f>0.005*3.14*2*0.08*1.3</f>
        <v>3.2656000000000004E-3</v>
      </c>
      <c r="H2601" s="842"/>
      <c r="J2601" s="864"/>
      <c r="L2601" s="746"/>
    </row>
    <row r="2602" spans="3:12" ht="17.25" x14ac:dyDescent="0.25">
      <c r="C2602" s="610"/>
      <c r="D2602" s="858" t="s">
        <v>23</v>
      </c>
      <c r="E2602" s="858"/>
      <c r="F2602" s="859" t="s">
        <v>10569</v>
      </c>
      <c r="G2602" s="860">
        <f>G2601*2</f>
        <v>6.5312000000000009E-3</v>
      </c>
      <c r="H2602" s="842"/>
      <c r="J2602" s="864"/>
      <c r="L2602" s="746"/>
    </row>
    <row r="2603" spans="3:12" x14ac:dyDescent="0.25">
      <c r="C2603" s="610"/>
      <c r="D2603" s="858" t="s">
        <v>142</v>
      </c>
      <c r="E2603" s="858"/>
      <c r="F2603" s="859" t="s">
        <v>3</v>
      </c>
      <c r="G2603" s="860">
        <f>G2601/4</f>
        <v>8.1640000000000011E-4</v>
      </c>
      <c r="H2603" s="842"/>
      <c r="J2603" s="864"/>
      <c r="L2603" s="746"/>
    </row>
    <row r="2604" spans="3:12" x14ac:dyDescent="0.25">
      <c r="C2604" s="610"/>
      <c r="D2604" s="746" t="s">
        <v>5794</v>
      </c>
      <c r="F2604" s="859" t="s">
        <v>3</v>
      </c>
      <c r="G2604" s="777">
        <f>J2609*0.011*2*1.25</f>
        <v>1.9937499999999997E-2</v>
      </c>
      <c r="H2604" s="842"/>
      <c r="J2604" s="864"/>
      <c r="L2604" s="746"/>
    </row>
    <row r="2605" spans="3:12" x14ac:dyDescent="0.25">
      <c r="C2605" s="610"/>
      <c r="D2605" s="746" t="s">
        <v>8</v>
      </c>
      <c r="F2605" s="859" t="s">
        <v>3</v>
      </c>
      <c r="G2605" s="777">
        <f>G2604*0.7</f>
        <v>1.3956249999999996E-2</v>
      </c>
      <c r="H2605" s="842"/>
      <c r="J2605" s="864"/>
      <c r="L2605" s="746"/>
    </row>
    <row r="2606" spans="3:12" x14ac:dyDescent="0.25">
      <c r="C2606" s="610"/>
      <c r="D2606" s="746" t="s">
        <v>143</v>
      </c>
      <c r="F2606" s="859" t="s">
        <v>3</v>
      </c>
      <c r="G2606" s="777">
        <f>G2604*0.7</f>
        <v>1.3956249999999996E-2</v>
      </c>
      <c r="H2606" s="842"/>
      <c r="J2606" s="864"/>
      <c r="L2606" s="746"/>
    </row>
    <row r="2607" spans="3:12" x14ac:dyDescent="0.25">
      <c r="C2607" s="610"/>
      <c r="D2607" s="746" t="s">
        <v>12</v>
      </c>
      <c r="F2607" s="859" t="s">
        <v>3</v>
      </c>
      <c r="G2607" s="777">
        <f>0.3*(G2606+G2605+G2604)</f>
        <v>1.4354999999999996E-2</v>
      </c>
      <c r="H2607" s="842"/>
      <c r="J2607" s="864"/>
      <c r="L2607" s="746"/>
    </row>
    <row r="2608" spans="3:12" x14ac:dyDescent="0.25">
      <c r="C2608" s="610"/>
      <c r="E2608" s="610" t="s">
        <v>5844</v>
      </c>
      <c r="G2608" s="777"/>
      <c r="H2608" s="842"/>
      <c r="J2608" s="864"/>
      <c r="L2608" s="746"/>
    </row>
    <row r="2609" spans="3:12" x14ac:dyDescent="0.25">
      <c r="C2609" s="610"/>
      <c r="E2609" s="901" t="s">
        <v>5845</v>
      </c>
      <c r="F2609" s="775" t="s">
        <v>3</v>
      </c>
      <c r="G2609" s="940">
        <f>0.113*L2609</f>
        <v>9.0400000000000008E-2</v>
      </c>
      <c r="H2609" s="842"/>
      <c r="I2609" s="962" t="s">
        <v>10149</v>
      </c>
      <c r="J2609" s="864">
        <v>0.72499999999999998</v>
      </c>
      <c r="K2609" s="874" t="s">
        <v>10150</v>
      </c>
      <c r="L2609" s="824">
        <v>0.8</v>
      </c>
    </row>
    <row r="2610" spans="3:12" x14ac:dyDescent="0.25">
      <c r="C2610" s="610"/>
      <c r="G2610" s="777"/>
      <c r="H2610" s="842"/>
      <c r="J2610" s="864"/>
      <c r="L2610" s="746"/>
    </row>
    <row r="2611" spans="3:12" x14ac:dyDescent="0.25">
      <c r="C2611" s="610" t="s">
        <v>5847</v>
      </c>
      <c r="G2611" s="777"/>
      <c r="H2611" s="842"/>
      <c r="J2611" s="864"/>
      <c r="L2611" s="746"/>
    </row>
    <row r="2612" spans="3:12" x14ac:dyDescent="0.25">
      <c r="C2612" s="858" t="s">
        <v>140</v>
      </c>
      <c r="D2612" s="858"/>
      <c r="F2612" s="859" t="s">
        <v>3</v>
      </c>
      <c r="G2612" s="860">
        <f>0.006*3.14*2*0.08*1.3</f>
        <v>3.9187200000000005E-3</v>
      </c>
      <c r="H2612" s="842"/>
      <c r="J2612" s="864"/>
      <c r="L2612" s="746"/>
    </row>
    <row r="2613" spans="3:12" ht="17.25" x14ac:dyDescent="0.25">
      <c r="C2613" s="858" t="s">
        <v>23</v>
      </c>
      <c r="D2613" s="858"/>
      <c r="F2613" s="859" t="s">
        <v>10569</v>
      </c>
      <c r="G2613" s="860">
        <f>G2612*2</f>
        <v>7.8374400000000011E-3</v>
      </c>
      <c r="H2613" s="842"/>
      <c r="J2613" s="864"/>
      <c r="L2613" s="746"/>
    </row>
    <row r="2614" spans="3:12" x14ac:dyDescent="0.25">
      <c r="C2614" s="858" t="s">
        <v>142</v>
      </c>
      <c r="D2614" s="858"/>
      <c r="F2614" s="859" t="s">
        <v>3</v>
      </c>
      <c r="G2614" s="860">
        <f>G2612/4</f>
        <v>9.7968000000000013E-4</v>
      </c>
      <c r="H2614" s="842"/>
      <c r="J2614" s="864"/>
      <c r="L2614" s="746"/>
    </row>
    <row r="2615" spans="3:12" x14ac:dyDescent="0.25">
      <c r="C2615" s="746" t="s">
        <v>5794</v>
      </c>
      <c r="F2615" s="859" t="s">
        <v>3</v>
      </c>
      <c r="G2615" s="777">
        <f>J2620*0.011*2*1.25</f>
        <v>4.3999999999999994E-3</v>
      </c>
      <c r="H2615" s="842"/>
      <c r="J2615" s="864"/>
      <c r="L2615" s="746"/>
    </row>
    <row r="2616" spans="3:12" x14ac:dyDescent="0.25">
      <c r="C2616" s="746" t="s">
        <v>8</v>
      </c>
      <c r="F2616" s="859" t="s">
        <v>3</v>
      </c>
      <c r="G2616" s="777">
        <f>G2615*0.7</f>
        <v>3.0799999999999994E-3</v>
      </c>
      <c r="H2616" s="842"/>
      <c r="J2616" s="864"/>
      <c r="L2616" s="746"/>
    </row>
    <row r="2617" spans="3:12" x14ac:dyDescent="0.25">
      <c r="C2617" s="746" t="s">
        <v>143</v>
      </c>
      <c r="F2617" s="859" t="s">
        <v>3</v>
      </c>
      <c r="G2617" s="777">
        <f>G2615*0.7</f>
        <v>3.0799999999999994E-3</v>
      </c>
      <c r="H2617" s="842"/>
      <c r="J2617" s="864"/>
      <c r="L2617" s="746"/>
    </row>
    <row r="2618" spans="3:12" x14ac:dyDescent="0.25">
      <c r="C2618" s="746" t="s">
        <v>12</v>
      </c>
      <c r="F2618" s="859" t="s">
        <v>3</v>
      </c>
      <c r="G2618" s="777">
        <f>0.3*(G2617+G2616+G2615)</f>
        <v>3.1679999999999994E-3</v>
      </c>
      <c r="H2618" s="842"/>
      <c r="J2618" s="864"/>
      <c r="L2618" s="746"/>
    </row>
    <row r="2619" spans="3:12" x14ac:dyDescent="0.25">
      <c r="C2619" s="610"/>
      <c r="D2619" s="610" t="s">
        <v>11341</v>
      </c>
      <c r="G2619" s="777"/>
      <c r="H2619" s="842"/>
      <c r="J2619" s="864"/>
      <c r="L2619" s="746"/>
    </row>
    <row r="2620" spans="3:12" x14ac:dyDescent="0.25">
      <c r="C2620" s="610"/>
      <c r="D2620" s="901" t="s">
        <v>11342</v>
      </c>
      <c r="F2620" s="775" t="s">
        <v>3</v>
      </c>
      <c r="G2620" s="777">
        <f>0.123*L2620</f>
        <v>2.46E-2</v>
      </c>
      <c r="H2620" s="842"/>
      <c r="I2620" s="962" t="s">
        <v>10149</v>
      </c>
      <c r="J2620" s="864">
        <v>0.16</v>
      </c>
      <c r="K2620" s="874" t="s">
        <v>10150</v>
      </c>
      <c r="L2620" s="824">
        <v>0.2</v>
      </c>
    </row>
    <row r="2621" spans="3:12" x14ac:dyDescent="0.25">
      <c r="C2621" s="610"/>
      <c r="G2621" s="777"/>
      <c r="H2621" s="842"/>
      <c r="J2621" s="864"/>
      <c r="L2621" s="746"/>
    </row>
    <row r="2622" spans="3:12" x14ac:dyDescent="0.25">
      <c r="C2622" s="610" t="s">
        <v>11344</v>
      </c>
      <c r="G2622" s="777"/>
      <c r="H2622" s="842"/>
      <c r="J2622" s="864"/>
      <c r="L2622" s="746"/>
    </row>
    <row r="2623" spans="3:12" x14ac:dyDescent="0.25">
      <c r="C2623" s="858" t="s">
        <v>140</v>
      </c>
      <c r="D2623" s="858"/>
      <c r="F2623" s="859" t="s">
        <v>3</v>
      </c>
      <c r="G2623" s="860">
        <f>0.006*3.14*2*0.08*1.3</f>
        <v>3.9187200000000005E-3</v>
      </c>
      <c r="H2623" s="842"/>
      <c r="J2623" s="864"/>
      <c r="L2623" s="746"/>
    </row>
    <row r="2624" spans="3:12" ht="17.25" x14ac:dyDescent="0.25">
      <c r="C2624" s="858" t="s">
        <v>23</v>
      </c>
      <c r="D2624" s="858"/>
      <c r="F2624" s="859" t="s">
        <v>10569</v>
      </c>
      <c r="G2624" s="860">
        <f>G2623*2</f>
        <v>7.8374400000000011E-3</v>
      </c>
      <c r="H2624" s="842"/>
      <c r="J2624" s="864"/>
      <c r="L2624" s="746"/>
    </row>
    <row r="2625" spans="3:12" x14ac:dyDescent="0.25">
      <c r="C2625" s="858" t="s">
        <v>142</v>
      </c>
      <c r="D2625" s="858"/>
      <c r="F2625" s="859" t="s">
        <v>3</v>
      </c>
      <c r="G2625" s="860">
        <f>G2623/4</f>
        <v>9.7968000000000013E-4</v>
      </c>
      <c r="H2625" s="842"/>
      <c r="J2625" s="864"/>
      <c r="L2625" s="746"/>
    </row>
    <row r="2626" spans="3:12" x14ac:dyDescent="0.25">
      <c r="C2626" s="746" t="s">
        <v>5794</v>
      </c>
      <c r="F2626" s="859" t="s">
        <v>3</v>
      </c>
      <c r="G2626" s="777">
        <f>J2631*0.011*2*1.3</f>
        <v>4.7190000000000001E-3</v>
      </c>
      <c r="H2626" s="842"/>
      <c r="J2626" s="864"/>
      <c r="L2626" s="746"/>
    </row>
    <row r="2627" spans="3:12" x14ac:dyDescent="0.25">
      <c r="C2627" s="746" t="s">
        <v>8</v>
      </c>
      <c r="F2627" s="859" t="s">
        <v>3</v>
      </c>
      <c r="G2627" s="777">
        <f>G2626*0.7</f>
        <v>3.3032999999999999E-3</v>
      </c>
      <c r="H2627" s="842"/>
      <c r="J2627" s="864"/>
      <c r="L2627" s="746"/>
    </row>
    <row r="2628" spans="3:12" x14ac:dyDescent="0.25">
      <c r="C2628" s="746" t="s">
        <v>143</v>
      </c>
      <c r="F2628" s="859" t="s">
        <v>3</v>
      </c>
      <c r="G2628" s="777">
        <f>G2626*0.7</f>
        <v>3.3032999999999999E-3</v>
      </c>
      <c r="H2628" s="842"/>
      <c r="J2628" s="864"/>
      <c r="L2628" s="746"/>
    </row>
    <row r="2629" spans="3:12" x14ac:dyDescent="0.25">
      <c r="C2629" s="746" t="s">
        <v>12</v>
      </c>
      <c r="F2629" s="859" t="s">
        <v>3</v>
      </c>
      <c r="G2629" s="777">
        <f>0.3*(G2628+G2627+G2626)</f>
        <v>3.3976799999999997E-3</v>
      </c>
      <c r="H2629" s="842"/>
      <c r="J2629" s="864"/>
      <c r="L2629" s="746"/>
    </row>
    <row r="2630" spans="3:12" x14ac:dyDescent="0.25">
      <c r="C2630" s="610"/>
      <c r="D2630" s="610" t="s">
        <v>11343</v>
      </c>
      <c r="G2630" s="777"/>
      <c r="H2630" s="842"/>
      <c r="J2630" s="864"/>
      <c r="L2630" s="746"/>
    </row>
    <row r="2631" spans="3:12" x14ac:dyDescent="0.25">
      <c r="C2631" s="610"/>
      <c r="D2631" s="901" t="s">
        <v>11317</v>
      </c>
      <c r="F2631" s="775" t="s">
        <v>3</v>
      </c>
      <c r="G2631" s="777">
        <f>0.173* L2631</f>
        <v>3.4599999999999999E-2</v>
      </c>
      <c r="H2631" s="842"/>
      <c r="I2631" s="962" t="s">
        <v>10149</v>
      </c>
      <c r="J2631" s="864">
        <v>0.16500000000000001</v>
      </c>
      <c r="K2631" s="874" t="s">
        <v>10150</v>
      </c>
      <c r="L2631" s="824">
        <v>0.2</v>
      </c>
    </row>
    <row r="2632" spans="3:12" x14ac:dyDescent="0.25">
      <c r="C2632" s="610"/>
      <c r="G2632" s="777"/>
      <c r="H2632" s="842"/>
      <c r="J2632" s="864"/>
      <c r="L2632" s="746"/>
    </row>
    <row r="2633" spans="3:12" x14ac:dyDescent="0.25">
      <c r="C2633" s="54" t="s">
        <v>11345</v>
      </c>
      <c r="G2633" s="777"/>
      <c r="H2633" s="842"/>
      <c r="J2633" s="864"/>
      <c r="L2633" s="746"/>
    </row>
    <row r="2634" spans="3:12" x14ac:dyDescent="0.25">
      <c r="C2634" s="858" t="s">
        <v>140</v>
      </c>
      <c r="D2634" s="858"/>
      <c r="F2634" s="859" t="s">
        <v>3</v>
      </c>
      <c r="G2634" s="860">
        <f>0.008*3.14*2*0.08*1.3</f>
        <v>5.2249599999999998E-3</v>
      </c>
      <c r="H2634" s="842"/>
      <c r="J2634" s="864"/>
      <c r="L2634" s="746"/>
    </row>
    <row r="2635" spans="3:12" ht="17.25" x14ac:dyDescent="0.25">
      <c r="C2635" s="858" t="s">
        <v>23</v>
      </c>
      <c r="D2635" s="858"/>
      <c r="F2635" s="859" t="s">
        <v>10569</v>
      </c>
      <c r="G2635" s="860">
        <f>G2634*2</f>
        <v>1.044992E-2</v>
      </c>
      <c r="H2635" s="842"/>
      <c r="J2635" s="864"/>
      <c r="L2635" s="746"/>
    </row>
    <row r="2636" spans="3:12" x14ac:dyDescent="0.25">
      <c r="C2636" s="858" t="s">
        <v>142</v>
      </c>
      <c r="D2636" s="858"/>
      <c r="F2636" s="859" t="s">
        <v>3</v>
      </c>
      <c r="G2636" s="860">
        <f>G2634/4</f>
        <v>1.30624E-3</v>
      </c>
      <c r="H2636" s="842"/>
      <c r="J2636" s="864"/>
      <c r="L2636" s="746"/>
    </row>
    <row r="2637" spans="3:12" x14ac:dyDescent="0.25">
      <c r="C2637" s="746" t="s">
        <v>5794</v>
      </c>
      <c r="F2637" s="859" t="s">
        <v>3</v>
      </c>
      <c r="G2637" s="777">
        <f>J2642*0.011*2*1.2</f>
        <v>1.5311999999999997E-2</v>
      </c>
      <c r="H2637" s="842"/>
      <c r="J2637" s="864"/>
      <c r="L2637" s="746"/>
    </row>
    <row r="2638" spans="3:12" x14ac:dyDescent="0.25">
      <c r="C2638" s="746" t="s">
        <v>8</v>
      </c>
      <c r="F2638" s="859" t="s">
        <v>3</v>
      </c>
      <c r="G2638" s="777">
        <f>G2637*0.7</f>
        <v>1.0718399999999998E-2</v>
      </c>
      <c r="H2638" s="842"/>
      <c r="J2638" s="864"/>
      <c r="L2638" s="746"/>
    </row>
    <row r="2639" spans="3:12" x14ac:dyDescent="0.25">
      <c r="C2639" s="746" t="s">
        <v>143</v>
      </c>
      <c r="F2639" s="859" t="s">
        <v>3</v>
      </c>
      <c r="G2639" s="777">
        <f>G2637*0.7</f>
        <v>1.0718399999999998E-2</v>
      </c>
      <c r="H2639" s="842"/>
      <c r="J2639" s="864"/>
      <c r="L2639" s="746"/>
    </row>
    <row r="2640" spans="3:12" x14ac:dyDescent="0.25">
      <c r="C2640" s="746" t="s">
        <v>12</v>
      </c>
      <c r="F2640" s="859" t="s">
        <v>3</v>
      </c>
      <c r="G2640" s="777">
        <f>0.3*(G2639+G2638+G2637)</f>
        <v>1.1024639999999997E-2</v>
      </c>
      <c r="H2640" s="842"/>
      <c r="J2640" s="864"/>
      <c r="L2640" s="746"/>
    </row>
    <row r="2641" spans="3:12" x14ac:dyDescent="0.25">
      <c r="C2641" s="610"/>
      <c r="D2641" s="610" t="s">
        <v>11346</v>
      </c>
      <c r="G2641" s="777"/>
      <c r="H2641" s="842"/>
      <c r="J2641" s="864"/>
      <c r="L2641" s="746"/>
    </row>
    <row r="2642" spans="3:12" x14ac:dyDescent="0.25">
      <c r="C2642" s="610"/>
      <c r="D2642" s="901" t="s">
        <v>10557</v>
      </c>
      <c r="F2642" s="775" t="s">
        <v>3</v>
      </c>
      <c r="G2642" s="777">
        <f>0.228* L2642</f>
        <v>0.13908000000000001</v>
      </c>
      <c r="H2642" s="842"/>
      <c r="I2642" s="962" t="s">
        <v>10149</v>
      </c>
      <c r="J2642" s="864">
        <v>0.57999999999999996</v>
      </c>
      <c r="K2642" s="874" t="s">
        <v>10150</v>
      </c>
      <c r="L2642" s="824">
        <v>0.61</v>
      </c>
    </row>
    <row r="2643" spans="3:12" x14ac:dyDescent="0.25">
      <c r="C2643" s="610"/>
      <c r="H2643" s="842"/>
      <c r="J2643" s="864"/>
      <c r="L2643" s="746"/>
    </row>
    <row r="2644" spans="3:12" x14ac:dyDescent="0.25">
      <c r="C2644" s="610" t="s">
        <v>11347</v>
      </c>
      <c r="G2644" s="777"/>
      <c r="H2644" s="842"/>
      <c r="J2644" s="864"/>
      <c r="L2644" s="746"/>
    </row>
    <row r="2645" spans="3:12" x14ac:dyDescent="0.25">
      <c r="C2645" s="858" t="s">
        <v>140</v>
      </c>
      <c r="D2645" s="858"/>
      <c r="F2645" s="859" t="s">
        <v>3</v>
      </c>
      <c r="G2645" s="860">
        <f>0.006*3.14*2*0.08*1.3</f>
        <v>3.9187200000000005E-3</v>
      </c>
      <c r="H2645" s="842"/>
      <c r="J2645" s="864"/>
      <c r="L2645" s="746"/>
    </row>
    <row r="2646" spans="3:12" ht="17.25" x14ac:dyDescent="0.25">
      <c r="C2646" s="858" t="s">
        <v>23</v>
      </c>
      <c r="D2646" s="858"/>
      <c r="F2646" s="859" t="s">
        <v>10569</v>
      </c>
      <c r="G2646" s="860">
        <f>G2645*2</f>
        <v>7.8374400000000011E-3</v>
      </c>
      <c r="H2646" s="842"/>
      <c r="J2646" s="864"/>
      <c r="L2646" s="746"/>
    </row>
    <row r="2647" spans="3:12" x14ac:dyDescent="0.25">
      <c r="C2647" s="858" t="s">
        <v>142</v>
      </c>
      <c r="D2647" s="858"/>
      <c r="F2647" s="859" t="s">
        <v>3</v>
      </c>
      <c r="G2647" s="860">
        <f>G2645/4</f>
        <v>9.7968000000000013E-4</v>
      </c>
      <c r="H2647" s="842"/>
      <c r="J2647" s="864"/>
      <c r="L2647" s="746"/>
    </row>
    <row r="2648" spans="3:12" x14ac:dyDescent="0.25">
      <c r="C2648" s="746" t="s">
        <v>5794</v>
      </c>
      <c r="F2648" s="859" t="s">
        <v>3</v>
      </c>
      <c r="G2648" s="777">
        <f>J2652*0.011*2*1.2</f>
        <v>1.00056E-2</v>
      </c>
      <c r="H2648" s="842"/>
      <c r="J2648" s="864"/>
      <c r="L2648" s="746"/>
    </row>
    <row r="2649" spans="3:12" x14ac:dyDescent="0.25">
      <c r="C2649" s="746" t="s">
        <v>8</v>
      </c>
      <c r="F2649" s="859" t="s">
        <v>3</v>
      </c>
      <c r="G2649" s="777">
        <f>G2648*0.7</f>
        <v>7.0039199999999994E-3</v>
      </c>
      <c r="H2649" s="842"/>
      <c r="J2649" s="864"/>
      <c r="L2649" s="746"/>
    </row>
    <row r="2650" spans="3:12" x14ac:dyDescent="0.25">
      <c r="C2650" s="746" t="s">
        <v>12</v>
      </c>
      <c r="F2650" s="859" t="s">
        <v>3</v>
      </c>
      <c r="G2650" s="777">
        <f>0.3*(G2649+G2648)</f>
        <v>5.1028560000000002E-3</v>
      </c>
      <c r="H2650" s="842"/>
      <c r="J2650" s="864"/>
      <c r="L2650" s="746"/>
    </row>
    <row r="2651" spans="3:12" x14ac:dyDescent="0.25">
      <c r="C2651" s="610"/>
      <c r="D2651" s="610" t="s">
        <v>11348</v>
      </c>
      <c r="G2651" s="777"/>
      <c r="H2651" s="842"/>
      <c r="J2651" s="864"/>
      <c r="L2651" s="746"/>
    </row>
    <row r="2652" spans="3:12" x14ac:dyDescent="0.25">
      <c r="C2652" s="610"/>
      <c r="D2652" s="901" t="s">
        <v>11349</v>
      </c>
      <c r="F2652" s="775" t="s">
        <v>3</v>
      </c>
      <c r="G2652" s="777">
        <f>0.123*L2652</f>
        <v>5.4120000000000001E-2</v>
      </c>
      <c r="H2652" s="842"/>
      <c r="I2652" s="962" t="s">
        <v>10149</v>
      </c>
      <c r="J2652" s="864">
        <v>0.379</v>
      </c>
      <c r="K2652" s="874" t="s">
        <v>10150</v>
      </c>
      <c r="L2652" s="824">
        <v>0.44</v>
      </c>
    </row>
    <row r="2653" spans="3:12" x14ac:dyDescent="0.25">
      <c r="C2653" s="610"/>
      <c r="G2653" s="777"/>
      <c r="H2653" s="842"/>
      <c r="J2653" s="864"/>
      <c r="L2653" s="746"/>
    </row>
    <row r="2654" spans="3:12" x14ac:dyDescent="0.25">
      <c r="C2654" s="610" t="s">
        <v>11350</v>
      </c>
      <c r="G2654" s="777"/>
      <c r="H2654" s="842"/>
      <c r="J2654" s="864"/>
      <c r="L2654" s="746"/>
    </row>
    <row r="2655" spans="3:12" x14ac:dyDescent="0.25">
      <c r="C2655" s="858" t="s">
        <v>140</v>
      </c>
      <c r="D2655" s="858"/>
      <c r="F2655" s="859" t="s">
        <v>3</v>
      </c>
      <c r="G2655" s="860">
        <f>0.008*3.14*4*0.08*1.3</f>
        <v>1.044992E-2</v>
      </c>
      <c r="H2655" s="842"/>
      <c r="J2655" s="864"/>
      <c r="L2655" s="746"/>
    </row>
    <row r="2656" spans="3:12" ht="17.25" x14ac:dyDescent="0.25">
      <c r="C2656" s="858" t="s">
        <v>23</v>
      </c>
      <c r="D2656" s="858"/>
      <c r="F2656" s="859" t="s">
        <v>10569</v>
      </c>
      <c r="G2656" s="860">
        <f>G2655*2</f>
        <v>2.0899839999999999E-2</v>
      </c>
      <c r="H2656" s="842"/>
      <c r="J2656" s="864"/>
      <c r="L2656" s="746"/>
    </row>
    <row r="2657" spans="3:12" x14ac:dyDescent="0.25">
      <c r="C2657" s="858" t="s">
        <v>142</v>
      </c>
      <c r="D2657" s="858"/>
      <c r="F2657" s="859" t="s">
        <v>3</v>
      </c>
      <c r="G2657" s="860">
        <f>G2655/4</f>
        <v>2.6124799999999999E-3</v>
      </c>
      <c r="H2657" s="842"/>
      <c r="J2657" s="864"/>
      <c r="L2657" s="746"/>
    </row>
    <row r="2658" spans="3:12" x14ac:dyDescent="0.25">
      <c r="C2658" s="746" t="s">
        <v>5794</v>
      </c>
      <c r="F2658" s="859" t="s">
        <v>3</v>
      </c>
      <c r="G2658" s="777">
        <f>(J2663+J2665)*0.011*2*1.2</f>
        <v>1.6024799999999999E-2</v>
      </c>
      <c r="H2658" s="842"/>
      <c r="J2658" s="864"/>
      <c r="L2658" s="746"/>
    </row>
    <row r="2659" spans="3:12" x14ac:dyDescent="0.25">
      <c r="C2659" s="746" t="s">
        <v>8</v>
      </c>
      <c r="F2659" s="859" t="s">
        <v>3</v>
      </c>
      <c r="G2659" s="777">
        <f>G2658*0.7</f>
        <v>1.1217359999999999E-2</v>
      </c>
      <c r="H2659" s="842"/>
      <c r="J2659" s="864"/>
      <c r="L2659" s="746"/>
    </row>
    <row r="2660" spans="3:12" x14ac:dyDescent="0.25">
      <c r="C2660" s="746" t="s">
        <v>143</v>
      </c>
      <c r="F2660" s="859" t="s">
        <v>3</v>
      </c>
      <c r="G2660" s="777">
        <f>G2658*0.7</f>
        <v>1.1217359999999999E-2</v>
      </c>
      <c r="H2660" s="842"/>
      <c r="J2660" s="864"/>
      <c r="L2660" s="746"/>
    </row>
    <row r="2661" spans="3:12" x14ac:dyDescent="0.25">
      <c r="C2661" s="746" t="s">
        <v>12</v>
      </c>
      <c r="F2661" s="859" t="s">
        <v>3</v>
      </c>
      <c r="G2661" s="777">
        <f>0.3*(G2660+G2659+G2658)</f>
        <v>1.1537855999999999E-2</v>
      </c>
      <c r="H2661" s="842"/>
      <c r="J2661" s="864"/>
      <c r="L2661" s="746"/>
    </row>
    <row r="2662" spans="3:12" x14ac:dyDescent="0.25">
      <c r="C2662" s="610"/>
      <c r="D2662" s="610" t="s">
        <v>11351</v>
      </c>
      <c r="G2662" s="777"/>
      <c r="H2662" s="842"/>
      <c r="J2662" s="864"/>
      <c r="L2662" s="746"/>
    </row>
    <row r="2663" spans="3:12" x14ac:dyDescent="0.25">
      <c r="C2663" s="610"/>
      <c r="D2663" s="901" t="s">
        <v>10557</v>
      </c>
      <c r="F2663" s="775" t="s">
        <v>3</v>
      </c>
      <c r="G2663" s="777">
        <f>0.228* L2663</f>
        <v>7.2960000000000011E-2</v>
      </c>
      <c r="H2663" s="842"/>
      <c r="I2663" s="962" t="s">
        <v>10149</v>
      </c>
      <c r="J2663" s="864">
        <v>0.28199999999999997</v>
      </c>
      <c r="K2663" s="874" t="s">
        <v>10150</v>
      </c>
      <c r="L2663" s="824">
        <v>0.32</v>
      </c>
    </row>
    <row r="2664" spans="3:12" x14ac:dyDescent="0.25">
      <c r="C2664" s="610"/>
      <c r="D2664" s="610" t="s">
        <v>11352</v>
      </c>
      <c r="G2664" s="777"/>
      <c r="H2664" s="842"/>
      <c r="J2664" s="864"/>
      <c r="L2664" s="746"/>
    </row>
    <row r="2665" spans="3:12" x14ac:dyDescent="0.25">
      <c r="C2665" s="610"/>
      <c r="D2665" s="901" t="s">
        <v>10557</v>
      </c>
      <c r="F2665" s="775" t="s">
        <v>3</v>
      </c>
      <c r="G2665" s="777">
        <f>0.228* L2665</f>
        <v>9.1200000000000003E-2</v>
      </c>
      <c r="H2665" s="842"/>
      <c r="I2665" s="962" t="s">
        <v>10149</v>
      </c>
      <c r="J2665" s="864">
        <v>0.32500000000000001</v>
      </c>
      <c r="K2665" s="874" t="s">
        <v>10150</v>
      </c>
      <c r="L2665" s="824">
        <v>0.4</v>
      </c>
    </row>
    <row r="2666" spans="3:12" x14ac:dyDescent="0.25">
      <c r="C2666" s="610"/>
      <c r="G2666" s="777"/>
      <c r="H2666" s="842"/>
      <c r="J2666" s="864"/>
      <c r="L2666" s="746"/>
    </row>
    <row r="2667" spans="3:12" x14ac:dyDescent="0.25">
      <c r="C2667" s="610" t="s">
        <v>11353</v>
      </c>
      <c r="G2667" s="777"/>
      <c r="H2667" s="842"/>
      <c r="J2667" s="864"/>
      <c r="L2667" s="746"/>
    </row>
    <row r="2668" spans="3:12" x14ac:dyDescent="0.25">
      <c r="C2668" s="746" t="s">
        <v>11354</v>
      </c>
      <c r="F2668" s="775" t="s">
        <v>3</v>
      </c>
      <c r="G2668" s="777">
        <f>0.469*L2668</f>
        <v>0.189945</v>
      </c>
      <c r="H2668" s="842"/>
      <c r="I2668" s="962" t="s">
        <v>10149</v>
      </c>
      <c r="J2668" s="864">
        <v>0.36</v>
      </c>
      <c r="K2668" s="874" t="s">
        <v>10150</v>
      </c>
      <c r="L2668" s="824">
        <v>0.40500000000000003</v>
      </c>
    </row>
    <row r="2669" spans="3:12" x14ac:dyDescent="0.25">
      <c r="C2669" s="901" t="s">
        <v>9545</v>
      </c>
      <c r="F2669" s="859" t="s">
        <v>3</v>
      </c>
      <c r="G2669" s="777">
        <f>J2668*0.02*2*1.2</f>
        <v>1.728E-2</v>
      </c>
      <c r="H2669" s="842"/>
      <c r="J2669" s="864"/>
      <c r="L2669" s="746"/>
    </row>
    <row r="2670" spans="3:12" x14ac:dyDescent="0.25">
      <c r="C2670" s="746" t="s">
        <v>8</v>
      </c>
      <c r="F2670" s="859" t="s">
        <v>3</v>
      </c>
      <c r="G2670" s="777">
        <f>G2669*0.7</f>
        <v>1.2095999999999999E-2</v>
      </c>
      <c r="H2670" s="842"/>
      <c r="J2670" s="864"/>
      <c r="L2670" s="746"/>
    </row>
    <row r="2671" spans="3:12" x14ac:dyDescent="0.25">
      <c r="C2671" s="746" t="s">
        <v>143</v>
      </c>
      <c r="F2671" s="859" t="s">
        <v>3</v>
      </c>
      <c r="G2671" s="777">
        <f>G2669*0.7</f>
        <v>1.2095999999999999E-2</v>
      </c>
      <c r="H2671" s="842"/>
      <c r="J2671" s="864"/>
      <c r="L2671" s="746"/>
    </row>
    <row r="2672" spans="3:12" x14ac:dyDescent="0.25">
      <c r="C2672" s="746" t="s">
        <v>12</v>
      </c>
      <c r="F2672" s="859" t="s">
        <v>3</v>
      </c>
      <c r="G2672" s="777">
        <f>0.3*(G2671+G2670+G2669)</f>
        <v>1.2441599999999999E-2</v>
      </c>
      <c r="H2672" s="842"/>
      <c r="J2672" s="864"/>
      <c r="L2672" s="746"/>
    </row>
    <row r="2673" spans="3:12" x14ac:dyDescent="0.25">
      <c r="C2673" s="610"/>
      <c r="G2673" s="777"/>
      <c r="H2673" s="842"/>
      <c r="J2673" s="864"/>
      <c r="L2673" s="746"/>
    </row>
    <row r="2674" spans="3:12" x14ac:dyDescent="0.25">
      <c r="C2674" s="610" t="s">
        <v>11355</v>
      </c>
      <c r="G2674" s="777"/>
      <c r="H2674" s="842"/>
      <c r="J2674" s="864"/>
      <c r="L2674" s="746"/>
    </row>
    <row r="2675" spans="3:12" x14ac:dyDescent="0.25">
      <c r="C2675" s="834" t="s">
        <v>39</v>
      </c>
      <c r="D2675" s="619"/>
      <c r="E2675" s="619"/>
      <c r="F2675" s="827" t="s">
        <v>3</v>
      </c>
      <c r="G2675" s="785">
        <f>0.03*0.08*1.18</f>
        <v>2.8319999999999994E-3</v>
      </c>
      <c r="H2675" s="842"/>
      <c r="J2675" s="864"/>
      <c r="L2675" s="746"/>
    </row>
    <row r="2676" spans="3:12" ht="17.25" x14ac:dyDescent="0.25">
      <c r="C2676" s="834" t="s">
        <v>1055</v>
      </c>
      <c r="D2676" s="619"/>
      <c r="E2676" s="619"/>
      <c r="F2676" s="827" t="s">
        <v>596</v>
      </c>
      <c r="G2676" s="777">
        <f>1.5*G2675+0.001</f>
        <v>5.2479999999999992E-3</v>
      </c>
      <c r="H2676" s="842"/>
      <c r="J2676" s="864"/>
      <c r="L2676" s="746"/>
    </row>
    <row r="2677" spans="3:12" x14ac:dyDescent="0.25">
      <c r="C2677" s="901" t="s">
        <v>11356</v>
      </c>
      <c r="F2677" s="859" t="s">
        <v>3</v>
      </c>
      <c r="G2677" s="777">
        <f>0.15*0.011*2*1.39</f>
        <v>4.5869999999999991E-3</v>
      </c>
      <c r="H2677" s="842"/>
      <c r="J2677" s="864"/>
      <c r="L2677" s="746"/>
    </row>
    <row r="2678" spans="3:12" x14ac:dyDescent="0.25">
      <c r="C2678" s="746" t="s">
        <v>8</v>
      </c>
      <c r="F2678" s="859" t="s">
        <v>3</v>
      </c>
      <c r="G2678" s="777">
        <f>G2677*0.7</f>
        <v>3.2108999999999992E-3</v>
      </c>
      <c r="H2678" s="842"/>
      <c r="J2678" s="864"/>
      <c r="L2678" s="746"/>
    </row>
    <row r="2679" spans="3:12" x14ac:dyDescent="0.25">
      <c r="C2679" s="901" t="s">
        <v>12</v>
      </c>
      <c r="F2679" s="859" t="s">
        <v>3</v>
      </c>
      <c r="G2679" s="777">
        <f>0.3*(G2678+G2677)</f>
        <v>2.3393699999999995E-3</v>
      </c>
      <c r="H2679" s="842"/>
      <c r="J2679" s="864"/>
      <c r="L2679" s="746"/>
    </row>
    <row r="2680" spans="3:12" x14ac:dyDescent="0.25">
      <c r="C2680" s="610"/>
      <c r="D2680" s="610" t="s">
        <v>11357</v>
      </c>
      <c r="G2680" s="777"/>
      <c r="H2680" s="842"/>
      <c r="J2680" s="864"/>
      <c r="L2680" s="746"/>
    </row>
    <row r="2681" spans="3:12" x14ac:dyDescent="0.25">
      <c r="C2681" s="610"/>
      <c r="D2681" s="901" t="s">
        <v>9839</v>
      </c>
      <c r="F2681" s="775" t="s">
        <v>3</v>
      </c>
      <c r="G2681" s="777">
        <f>0.085*0.02*5*8*1.12</f>
        <v>7.6160000000000019E-2</v>
      </c>
      <c r="H2681" s="842"/>
      <c r="J2681" s="864"/>
      <c r="L2681" s="746"/>
    </row>
    <row r="2682" spans="3:12" x14ac:dyDescent="0.25">
      <c r="C2682" s="610"/>
      <c r="D2682" s="610" t="s">
        <v>11358</v>
      </c>
      <c r="G2682" s="777"/>
      <c r="H2682" s="842"/>
      <c r="J2682" s="864"/>
      <c r="L2682" s="746"/>
    </row>
    <row r="2683" spans="3:12" x14ac:dyDescent="0.25">
      <c r="C2683" s="610"/>
      <c r="D2683" s="901" t="s">
        <v>9839</v>
      </c>
      <c r="F2683" s="775" t="s">
        <v>3</v>
      </c>
      <c r="G2683" s="777">
        <f>0.063*0.02*5*8*1.12</f>
        <v>5.6448000000000005E-2</v>
      </c>
      <c r="H2683" s="842"/>
      <c r="J2683" s="864"/>
      <c r="L2683" s="746"/>
    </row>
    <row r="2684" spans="3:12" x14ac:dyDescent="0.25">
      <c r="C2684" s="610"/>
      <c r="G2684" s="777"/>
      <c r="H2684" s="842"/>
      <c r="J2684" s="864"/>
      <c r="L2684" s="746"/>
    </row>
    <row r="2685" spans="3:12" x14ac:dyDescent="0.25">
      <c r="C2685" s="610" t="s">
        <v>11359</v>
      </c>
      <c r="G2685" s="777"/>
      <c r="H2685" s="842"/>
      <c r="J2685" s="864"/>
      <c r="L2685" s="746"/>
    </row>
    <row r="2686" spans="3:12" x14ac:dyDescent="0.25">
      <c r="C2686" s="901" t="s">
        <v>9545</v>
      </c>
      <c r="F2686" s="859" t="s">
        <v>3</v>
      </c>
      <c r="G2686" s="777">
        <f>0.15*0.011*2*1.39</f>
        <v>4.5869999999999991E-3</v>
      </c>
      <c r="H2686" s="842"/>
      <c r="J2686" s="864"/>
      <c r="L2686" s="746"/>
    </row>
    <row r="2687" spans="3:12" x14ac:dyDescent="0.25">
      <c r="C2687" s="746" t="s">
        <v>8</v>
      </c>
      <c r="F2687" s="859" t="s">
        <v>3</v>
      </c>
      <c r="G2687" s="777">
        <f>G2686*0.7</f>
        <v>3.2108999999999992E-3</v>
      </c>
      <c r="H2687" s="842"/>
      <c r="J2687" s="864"/>
      <c r="L2687" s="746"/>
    </row>
    <row r="2688" spans="3:12" x14ac:dyDescent="0.25">
      <c r="C2688" s="901" t="s">
        <v>12</v>
      </c>
      <c r="F2688" s="859" t="s">
        <v>3</v>
      </c>
      <c r="G2688" s="777">
        <f>0.3*(G2687+G2686)</f>
        <v>2.3393699999999995E-3</v>
      </c>
      <c r="H2688" s="842"/>
      <c r="J2688" s="864"/>
      <c r="L2688" s="746"/>
    </row>
    <row r="2689" spans="3:12" x14ac:dyDescent="0.25">
      <c r="C2689" s="610"/>
      <c r="D2689" s="610" t="s">
        <v>11360</v>
      </c>
      <c r="G2689" s="777"/>
      <c r="H2689" s="842"/>
      <c r="J2689" s="864"/>
      <c r="L2689" s="746"/>
    </row>
    <row r="2690" spans="3:12" x14ac:dyDescent="0.25">
      <c r="C2690" s="610"/>
      <c r="D2690" s="901" t="s">
        <v>11361</v>
      </c>
      <c r="F2690" s="775" t="s">
        <v>195</v>
      </c>
      <c r="G2690" s="777">
        <f>L2690</f>
        <v>1</v>
      </c>
      <c r="H2690" s="842"/>
      <c r="I2690" s="962" t="s">
        <v>10149</v>
      </c>
      <c r="J2690" s="864">
        <v>0.9</v>
      </c>
      <c r="K2690" s="874" t="s">
        <v>10150</v>
      </c>
      <c r="L2690" s="824">
        <v>1</v>
      </c>
    </row>
    <row r="2691" spans="3:12" x14ac:dyDescent="0.25">
      <c r="C2691" s="610"/>
      <c r="G2691" s="777"/>
      <c r="H2691" s="842"/>
      <c r="J2691" s="864"/>
      <c r="L2691" s="746"/>
    </row>
    <row r="2692" spans="3:12" x14ac:dyDescent="0.25">
      <c r="C2692" s="54" t="s">
        <v>11365</v>
      </c>
      <c r="F2692" s="775" t="s">
        <v>2180</v>
      </c>
      <c r="G2692" s="777"/>
      <c r="H2692" s="842"/>
      <c r="J2692" s="864"/>
      <c r="L2692" s="746"/>
    </row>
    <row r="2693" spans="3:12" x14ac:dyDescent="0.25">
      <c r="D2693" s="610" t="s">
        <v>11362</v>
      </c>
      <c r="G2693" s="777"/>
      <c r="H2693" s="842"/>
      <c r="J2693" s="864"/>
      <c r="L2693" s="746"/>
    </row>
    <row r="2694" spans="3:12" x14ac:dyDescent="0.25">
      <c r="D2694" s="901" t="s">
        <v>9845</v>
      </c>
      <c r="F2694" s="775" t="s">
        <v>3</v>
      </c>
      <c r="G2694" s="963">
        <f>0.27*0.07*1.5*8*1.102</f>
        <v>0.24993360000000009</v>
      </c>
      <c r="H2694" s="842"/>
      <c r="J2694" s="864"/>
      <c r="L2694" s="746"/>
    </row>
    <row r="2695" spans="3:12" x14ac:dyDescent="0.25">
      <c r="D2695" s="610" t="s">
        <v>11363</v>
      </c>
      <c r="G2695" s="777"/>
      <c r="H2695" s="842"/>
      <c r="J2695" s="864"/>
      <c r="L2695" s="746"/>
    </row>
    <row r="2696" spans="3:12" x14ac:dyDescent="0.25">
      <c r="D2696" s="746" t="s">
        <v>11364</v>
      </c>
      <c r="F2696" s="775" t="s">
        <v>3</v>
      </c>
      <c r="G2696" s="777">
        <f>0.03*0.06*1*8</f>
        <v>1.44E-2</v>
      </c>
      <c r="H2696" s="842"/>
      <c r="J2696" s="864"/>
      <c r="L2696" s="746"/>
    </row>
    <row r="2697" spans="3:12" x14ac:dyDescent="0.25">
      <c r="C2697" s="610"/>
      <c r="G2697" s="777"/>
      <c r="H2697" s="842"/>
      <c r="J2697" s="864"/>
      <c r="L2697" s="746"/>
    </row>
    <row r="2698" spans="3:12" x14ac:dyDescent="0.25">
      <c r="C2698" s="3" t="s">
        <v>11366</v>
      </c>
      <c r="D2698" s="767"/>
      <c r="E2698" s="767"/>
      <c r="F2698" s="941"/>
      <c r="G2698" s="10"/>
      <c r="H2698" s="842"/>
      <c r="J2698" s="864"/>
      <c r="L2698" s="746"/>
    </row>
    <row r="2699" spans="3:12" x14ac:dyDescent="0.25">
      <c r="C2699" s="767" t="s">
        <v>11367</v>
      </c>
      <c r="D2699" s="767"/>
      <c r="E2699" s="767"/>
      <c r="F2699" s="941" t="s">
        <v>3</v>
      </c>
      <c r="G2699" s="10">
        <f>0.16*0.05*1.48*1.1</f>
        <v>1.3024000000000001E-2</v>
      </c>
      <c r="H2699" s="842"/>
      <c r="J2699" s="864"/>
      <c r="L2699" s="746"/>
    </row>
    <row r="2700" spans="3:12" x14ac:dyDescent="0.25">
      <c r="C2700" s="610"/>
      <c r="G2700" s="777"/>
      <c r="H2700" s="842"/>
      <c r="J2700" s="864"/>
      <c r="L2700" s="746"/>
    </row>
    <row r="2701" spans="3:12" x14ac:dyDescent="0.25">
      <c r="C2701" s="610" t="s">
        <v>11368</v>
      </c>
      <c r="G2701" s="777"/>
      <c r="H2701" s="842"/>
      <c r="J2701" s="864"/>
      <c r="L2701" s="746"/>
    </row>
    <row r="2702" spans="3:12" x14ac:dyDescent="0.25">
      <c r="C2702" s="858" t="s">
        <v>140</v>
      </c>
      <c r="D2702" s="858"/>
      <c r="F2702" s="859" t="s">
        <v>3</v>
      </c>
      <c r="G2702" s="860">
        <f>0.048*3.14*2*0.08*1.3</f>
        <v>3.1349760000000004E-2</v>
      </c>
      <c r="H2702" s="842"/>
      <c r="J2702" s="864"/>
      <c r="L2702" s="746"/>
    </row>
    <row r="2703" spans="3:12" ht="17.25" x14ac:dyDescent="0.25">
      <c r="C2703" s="858" t="s">
        <v>23</v>
      </c>
      <c r="D2703" s="858"/>
      <c r="F2703" s="859" t="s">
        <v>10569</v>
      </c>
      <c r="G2703" s="860">
        <f>G2702*2</f>
        <v>6.2699520000000009E-2</v>
      </c>
      <c r="H2703" s="842"/>
      <c r="J2703" s="864"/>
      <c r="L2703" s="746"/>
    </row>
    <row r="2704" spans="3:12" x14ac:dyDescent="0.25">
      <c r="C2704" s="858" t="s">
        <v>142</v>
      </c>
      <c r="D2704" s="858"/>
      <c r="F2704" s="859" t="s">
        <v>3</v>
      </c>
      <c r="G2704" s="860">
        <f>G2702/4</f>
        <v>7.8374400000000011E-3</v>
      </c>
      <c r="H2704" s="842"/>
      <c r="J2704" s="864"/>
      <c r="L2704" s="746"/>
    </row>
    <row r="2705" spans="3:12" x14ac:dyDescent="0.25">
      <c r="C2705" s="901" t="s">
        <v>5441</v>
      </c>
      <c r="F2705" s="859" t="s">
        <v>3</v>
      </c>
      <c r="G2705" s="777">
        <f>J2712*0.03*2*1.25</f>
        <v>1.9875E-2</v>
      </c>
      <c r="H2705" s="842"/>
      <c r="J2705" s="864"/>
      <c r="L2705" s="746"/>
    </row>
    <row r="2706" spans="3:12" x14ac:dyDescent="0.25">
      <c r="C2706" s="746" t="s">
        <v>8</v>
      </c>
      <c r="F2706" s="859" t="s">
        <v>3</v>
      </c>
      <c r="G2706" s="777">
        <f>G2705*0.75</f>
        <v>1.4906249999999999E-2</v>
      </c>
      <c r="H2706" s="842"/>
      <c r="J2706" s="864"/>
      <c r="L2706" s="746"/>
    </row>
    <row r="2707" spans="3:12" x14ac:dyDescent="0.25">
      <c r="C2707" s="901" t="s">
        <v>12</v>
      </c>
      <c r="F2707" s="91" t="s">
        <v>3</v>
      </c>
      <c r="G2707" s="777">
        <f>0.3*(G2706+G2705)</f>
        <v>1.0434374999999999E-2</v>
      </c>
      <c r="H2707" s="842"/>
      <c r="J2707" s="864"/>
      <c r="L2707" s="746"/>
    </row>
    <row r="2708" spans="3:12" x14ac:dyDescent="0.25">
      <c r="C2708" s="73" t="s">
        <v>1021</v>
      </c>
      <c r="D2708" s="73"/>
      <c r="E2708" s="73"/>
      <c r="F2708" s="74" t="s">
        <v>3</v>
      </c>
      <c r="G2708" s="153">
        <f>G2706</f>
        <v>1.4906249999999999E-2</v>
      </c>
      <c r="H2708" s="842"/>
      <c r="J2708" s="864"/>
      <c r="L2708" s="746"/>
    </row>
    <row r="2709" spans="3:12" x14ac:dyDescent="0.25">
      <c r="C2709" s="73" t="s">
        <v>661</v>
      </c>
      <c r="D2709" s="73"/>
      <c r="E2709" s="73"/>
      <c r="F2709" s="74" t="s">
        <v>3</v>
      </c>
      <c r="G2709" s="153">
        <f>G2708*0.3*0.66</f>
        <v>2.9514374999999996E-3</v>
      </c>
      <c r="H2709" s="842"/>
      <c r="J2709" s="864"/>
      <c r="L2709" s="746"/>
    </row>
    <row r="2710" spans="3:12" x14ac:dyDescent="0.25">
      <c r="C2710" s="73" t="s">
        <v>1993</v>
      </c>
      <c r="D2710" s="73"/>
      <c r="E2710" s="73"/>
      <c r="F2710" s="74" t="s">
        <v>3</v>
      </c>
      <c r="G2710" s="153">
        <f>G2709/2</f>
        <v>1.4757187499999998E-3</v>
      </c>
      <c r="H2710" s="842"/>
      <c r="J2710" s="864"/>
      <c r="L2710" s="746"/>
    </row>
    <row r="2711" spans="3:12" x14ac:dyDescent="0.25">
      <c r="C2711" s="610"/>
      <c r="D2711" s="610" t="s">
        <v>11369</v>
      </c>
      <c r="G2711" s="777"/>
      <c r="H2711" s="842"/>
      <c r="J2711" s="864"/>
      <c r="L2711" s="746"/>
    </row>
    <row r="2712" spans="3:12" x14ac:dyDescent="0.25">
      <c r="C2712" s="610"/>
      <c r="D2712" s="901" t="s">
        <v>10564</v>
      </c>
      <c r="F2712" s="775" t="s">
        <v>3</v>
      </c>
      <c r="G2712" s="777">
        <f>1.72*L2712+0.002</f>
        <v>0.69000000000000006</v>
      </c>
      <c r="H2712" s="842"/>
      <c r="I2712" s="962" t="s">
        <v>10149</v>
      </c>
      <c r="J2712" s="864">
        <v>0.26500000000000001</v>
      </c>
      <c r="K2712" s="874" t="s">
        <v>10150</v>
      </c>
      <c r="L2712" s="824">
        <v>0.4</v>
      </c>
    </row>
    <row r="2713" spans="3:12" x14ac:dyDescent="0.25">
      <c r="C2713" s="610"/>
      <c r="G2713" s="777"/>
      <c r="H2713" s="842"/>
      <c r="J2713" s="864"/>
      <c r="L2713" s="746"/>
    </row>
    <row r="2714" spans="3:12" x14ac:dyDescent="0.25">
      <c r="C2714" s="610" t="s">
        <v>11370</v>
      </c>
      <c r="G2714" s="777"/>
      <c r="H2714" s="842"/>
      <c r="J2714" s="864"/>
      <c r="L2714" s="746"/>
    </row>
    <row r="2715" spans="3:12" x14ac:dyDescent="0.25">
      <c r="C2715" s="942" t="s">
        <v>10058</v>
      </c>
      <c r="D2715" s="619"/>
      <c r="E2715" s="619"/>
      <c r="F2715" s="827" t="s">
        <v>3</v>
      </c>
      <c r="G2715" s="777">
        <f>0.185*3.14*0.08*1.18</f>
        <v>5.4836959999999997E-2</v>
      </c>
      <c r="H2715" s="842"/>
      <c r="J2715" s="864"/>
      <c r="L2715" s="746"/>
    </row>
    <row r="2716" spans="3:12" ht="17.25" x14ac:dyDescent="0.25">
      <c r="C2716" s="834" t="s">
        <v>121</v>
      </c>
      <c r="D2716" s="619"/>
      <c r="E2716" s="619"/>
      <c r="F2716" s="827" t="s">
        <v>596</v>
      </c>
      <c r="G2716" s="777">
        <f>G2715*1.1</f>
        <v>6.0320656E-2</v>
      </c>
      <c r="H2716" s="842"/>
      <c r="J2716" s="864"/>
      <c r="L2716" s="746"/>
    </row>
    <row r="2717" spans="3:12" x14ac:dyDescent="0.25">
      <c r="C2717" s="610"/>
      <c r="D2717" s="610" t="s">
        <v>11371</v>
      </c>
      <c r="G2717" s="777"/>
      <c r="H2717" s="842"/>
      <c r="J2717" s="864"/>
      <c r="L2717" s="746"/>
    </row>
    <row r="2718" spans="3:12" x14ac:dyDescent="0.25">
      <c r="C2718" s="610"/>
      <c r="D2718" s="901" t="s">
        <v>11372</v>
      </c>
      <c r="F2718" s="775" t="s">
        <v>3</v>
      </c>
      <c r="G2718" s="777">
        <f>(0.09*3.14/2)*0.125*2*8*1.1-0.001</f>
        <v>0.30986000000000002</v>
      </c>
      <c r="H2718" s="842"/>
      <c r="J2718" s="864"/>
      <c r="L2718" s="746"/>
    </row>
    <row r="2719" spans="3:12" x14ac:dyDescent="0.25">
      <c r="C2719" s="610"/>
      <c r="G2719" s="777"/>
      <c r="H2719" s="842"/>
      <c r="J2719" s="864"/>
      <c r="L2719" s="746"/>
    </row>
    <row r="2720" spans="3:12" x14ac:dyDescent="0.25">
      <c r="C2720" s="610" t="s">
        <v>11373</v>
      </c>
      <c r="G2720" s="777"/>
      <c r="H2720" s="842"/>
      <c r="J2720" s="864"/>
      <c r="L2720" s="746"/>
    </row>
    <row r="2721" spans="3:12" x14ac:dyDescent="0.25">
      <c r="C2721" s="901" t="s">
        <v>10573</v>
      </c>
      <c r="F2721" s="775" t="s">
        <v>3</v>
      </c>
      <c r="G2721" s="940">
        <f>0.469*L2721</f>
        <v>0.30015999999999998</v>
      </c>
      <c r="H2721" s="842"/>
      <c r="I2721" s="962" t="s">
        <v>10149</v>
      </c>
      <c r="J2721" s="864">
        <v>0.57999999999999996</v>
      </c>
      <c r="K2721" s="874" t="s">
        <v>10150</v>
      </c>
      <c r="L2721" s="824">
        <v>0.64</v>
      </c>
    </row>
    <row r="2722" spans="3:12" x14ac:dyDescent="0.25">
      <c r="C2722" s="858" t="s">
        <v>140</v>
      </c>
      <c r="D2722" s="858"/>
      <c r="F2722" s="859" t="s">
        <v>3</v>
      </c>
      <c r="G2722" s="860">
        <f>0.02*3.14*0.08*1.3</f>
        <v>6.5312000000000009E-3</v>
      </c>
      <c r="H2722" s="842"/>
      <c r="J2722" s="864"/>
      <c r="L2722" s="746"/>
    </row>
    <row r="2723" spans="3:12" ht="17.25" x14ac:dyDescent="0.25">
      <c r="C2723" s="858" t="s">
        <v>23</v>
      </c>
      <c r="D2723" s="858"/>
      <c r="F2723" s="859" t="s">
        <v>10569</v>
      </c>
      <c r="G2723" s="860">
        <f>G2722*2</f>
        <v>1.3062400000000002E-2</v>
      </c>
      <c r="H2723" s="842"/>
      <c r="J2723" s="864"/>
      <c r="L2723" s="746"/>
    </row>
    <row r="2724" spans="3:12" x14ac:dyDescent="0.25">
      <c r="C2724" s="25" t="s">
        <v>142</v>
      </c>
      <c r="D2724" s="858"/>
      <c r="F2724" s="859" t="s">
        <v>3</v>
      </c>
      <c r="G2724" s="860">
        <f>G2722/4</f>
        <v>1.6328000000000002E-3</v>
      </c>
      <c r="H2724" s="842"/>
      <c r="J2724" s="864"/>
      <c r="L2724" s="746"/>
    </row>
    <row r="2725" spans="3:12" x14ac:dyDescent="0.25">
      <c r="C2725" s="746" t="s">
        <v>11374</v>
      </c>
      <c r="F2725" s="775" t="s">
        <v>3</v>
      </c>
      <c r="G2725" s="777">
        <f>0.02*J2721*2*1.1</f>
        <v>2.5520000000000001E-2</v>
      </c>
      <c r="H2725" s="842"/>
      <c r="J2725" s="864"/>
      <c r="L2725" s="746"/>
    </row>
    <row r="2726" spans="3:12" x14ac:dyDescent="0.25">
      <c r="C2726" s="746" t="s">
        <v>1453</v>
      </c>
      <c r="F2726" s="775" t="s">
        <v>3</v>
      </c>
      <c r="G2726" s="777">
        <f>0.3*G2725</f>
        <v>7.6559999999999996E-3</v>
      </c>
      <c r="H2726" s="842"/>
      <c r="J2726" s="864"/>
      <c r="L2726" s="746"/>
    </row>
    <row r="2727" spans="3:12" x14ac:dyDescent="0.25">
      <c r="C2727" s="610"/>
      <c r="G2727" s="777"/>
      <c r="H2727" s="842"/>
      <c r="J2727" s="864"/>
      <c r="L2727" s="746"/>
    </row>
    <row r="2728" spans="3:12" x14ac:dyDescent="0.25">
      <c r="C2728" s="610" t="s">
        <v>11375</v>
      </c>
      <c r="G2728" s="777"/>
      <c r="H2728" s="842"/>
      <c r="J2728" s="864"/>
      <c r="L2728" s="746"/>
    </row>
    <row r="2729" spans="3:12" x14ac:dyDescent="0.25">
      <c r="C2729" s="746" t="s">
        <v>10160</v>
      </c>
      <c r="F2729" s="775" t="s">
        <v>3</v>
      </c>
      <c r="G2729" s="777">
        <f>0.047*0.215*1*8*1.12</f>
        <v>9.0540800000000005E-2</v>
      </c>
      <c r="H2729" s="842"/>
      <c r="J2729" s="864"/>
      <c r="L2729" s="746"/>
    </row>
    <row r="2730" spans="3:12" x14ac:dyDescent="0.25">
      <c r="G2730" s="777"/>
      <c r="H2730" s="842"/>
      <c r="J2730" s="864"/>
      <c r="L2730" s="746"/>
    </row>
    <row r="2731" spans="3:12" x14ac:dyDescent="0.25">
      <c r="C2731" s="610" t="s">
        <v>11376</v>
      </c>
      <c r="G2731" s="777"/>
      <c r="H2731" s="842"/>
      <c r="J2731" s="864"/>
      <c r="L2731" s="746"/>
    </row>
    <row r="2732" spans="3:12" x14ac:dyDescent="0.25">
      <c r="C2732" s="901" t="s">
        <v>9867</v>
      </c>
      <c r="F2732" s="775" t="s">
        <v>3</v>
      </c>
      <c r="G2732" s="777">
        <f>0.215*0.07*0.5*8*1.12</f>
        <v>6.7424000000000012E-2</v>
      </c>
      <c r="H2732" s="842"/>
      <c r="J2732" s="864"/>
      <c r="L2732" s="746"/>
    </row>
    <row r="2733" spans="3:12" x14ac:dyDescent="0.25">
      <c r="G2733" s="777"/>
      <c r="H2733" s="842"/>
      <c r="J2733" s="864"/>
      <c r="L2733" s="746"/>
    </row>
    <row r="2734" spans="3:12" x14ac:dyDescent="0.25">
      <c r="C2734" s="610" t="s">
        <v>11377</v>
      </c>
      <c r="G2734" s="777"/>
      <c r="H2734" s="842"/>
      <c r="J2734" s="864"/>
      <c r="L2734" s="746"/>
    </row>
    <row r="2735" spans="3:12" x14ac:dyDescent="0.25">
      <c r="C2735" s="858" t="s">
        <v>140</v>
      </c>
      <c r="D2735" s="858"/>
      <c r="F2735" s="859" t="s">
        <v>3</v>
      </c>
      <c r="G2735" s="860">
        <f>0.014*3.14*2*0.08*1.3</f>
        <v>9.1436800000000013E-3</v>
      </c>
      <c r="H2735" s="842"/>
      <c r="J2735" s="864"/>
      <c r="L2735" s="746"/>
    </row>
    <row r="2736" spans="3:12" ht="17.25" x14ac:dyDescent="0.25">
      <c r="C2736" s="858" t="s">
        <v>23</v>
      </c>
      <c r="D2736" s="858"/>
      <c r="F2736" s="859" t="s">
        <v>10569</v>
      </c>
      <c r="G2736" s="860">
        <f>G2735*2</f>
        <v>1.8287360000000003E-2</v>
      </c>
      <c r="H2736" s="842"/>
      <c r="J2736" s="864"/>
      <c r="L2736" s="746"/>
    </row>
    <row r="2737" spans="3:12" x14ac:dyDescent="0.25">
      <c r="C2737" s="25" t="s">
        <v>142</v>
      </c>
      <c r="D2737" s="858"/>
      <c r="F2737" s="859" t="s">
        <v>3</v>
      </c>
      <c r="G2737" s="860">
        <f>G2735/4</f>
        <v>2.2859200000000003E-3</v>
      </c>
      <c r="H2737" s="842"/>
      <c r="J2737" s="864"/>
      <c r="L2737" s="746"/>
    </row>
    <row r="2738" spans="3:12" x14ac:dyDescent="0.25">
      <c r="C2738" s="901" t="s">
        <v>9545</v>
      </c>
      <c r="F2738" s="859" t="s">
        <v>3</v>
      </c>
      <c r="G2738" s="777">
        <f>(J2742)*0.011*2*1.2</f>
        <v>4.0655999999999999E-3</v>
      </c>
      <c r="H2738" s="842"/>
      <c r="J2738" s="864"/>
      <c r="L2738" s="746"/>
    </row>
    <row r="2739" spans="3:12" x14ac:dyDescent="0.25">
      <c r="C2739" s="746" t="s">
        <v>143</v>
      </c>
      <c r="F2739" s="859" t="s">
        <v>3</v>
      </c>
      <c r="G2739" s="777">
        <f>G2738*0.7</f>
        <v>2.8459199999999996E-3</v>
      </c>
      <c r="H2739" s="842"/>
      <c r="J2739" s="864"/>
      <c r="L2739" s="746"/>
    </row>
    <row r="2740" spans="3:12" x14ac:dyDescent="0.25">
      <c r="C2740" s="746" t="s">
        <v>12</v>
      </c>
      <c r="F2740" s="859" t="s">
        <v>3</v>
      </c>
      <c r="G2740" s="777">
        <f>0.3*(G2739+G2738)</f>
        <v>2.0734559999999996E-3</v>
      </c>
      <c r="H2740" s="842"/>
      <c r="J2740" s="864"/>
      <c r="L2740" s="746"/>
    </row>
    <row r="2741" spans="3:12" x14ac:dyDescent="0.25">
      <c r="D2741" s="610" t="s">
        <v>11380</v>
      </c>
      <c r="G2741" s="777"/>
      <c r="H2741" s="842"/>
      <c r="J2741" s="864"/>
      <c r="L2741" s="746"/>
    </row>
    <row r="2742" spans="3:12" x14ac:dyDescent="0.25">
      <c r="D2742" s="746" t="s">
        <v>10788</v>
      </c>
      <c r="F2742" s="775" t="s">
        <v>3</v>
      </c>
      <c r="G2742" s="777">
        <f>0.321*L2742</f>
        <v>5.6174999999999996E-2</v>
      </c>
      <c r="H2742" s="842"/>
      <c r="I2742" s="962" t="s">
        <v>10149</v>
      </c>
      <c r="J2742" s="864">
        <v>0.154</v>
      </c>
      <c r="K2742" s="874" t="s">
        <v>10150</v>
      </c>
      <c r="L2742" s="824">
        <v>0.17499999999999999</v>
      </c>
    </row>
    <row r="2743" spans="3:12" x14ac:dyDescent="0.25">
      <c r="G2743" s="777"/>
      <c r="H2743" s="842"/>
      <c r="J2743" s="864"/>
      <c r="L2743" s="746"/>
    </row>
    <row r="2744" spans="3:12" x14ac:dyDescent="0.25">
      <c r="C2744" s="610" t="s">
        <v>11378</v>
      </c>
      <c r="G2744" s="777"/>
      <c r="H2744" s="842"/>
      <c r="J2744" s="864"/>
      <c r="L2744" s="746"/>
    </row>
    <row r="2745" spans="3:12" x14ac:dyDescent="0.25">
      <c r="C2745" s="901" t="s">
        <v>11379</v>
      </c>
      <c r="F2745" s="775" t="s">
        <v>3</v>
      </c>
      <c r="G2745" s="777">
        <f>0.592*L2745</f>
        <v>0.38479999999999998</v>
      </c>
      <c r="H2745" s="842"/>
      <c r="I2745" s="962" t="s">
        <v>10149</v>
      </c>
      <c r="J2745" s="864">
        <v>0.6</v>
      </c>
      <c r="K2745" s="874" t="s">
        <v>10150</v>
      </c>
      <c r="L2745" s="824">
        <v>0.65</v>
      </c>
    </row>
    <row r="2746" spans="3:12" x14ac:dyDescent="0.25">
      <c r="C2746" s="901" t="s">
        <v>9545</v>
      </c>
      <c r="F2746" s="859" t="s">
        <v>3</v>
      </c>
      <c r="G2746" s="777">
        <f>(J2745)*0.02*2*1.25</f>
        <v>0.03</v>
      </c>
      <c r="H2746" s="842"/>
      <c r="J2746" s="864"/>
      <c r="L2746" s="746"/>
    </row>
    <row r="2747" spans="3:12" x14ac:dyDescent="0.25">
      <c r="C2747" s="746" t="s">
        <v>143</v>
      </c>
      <c r="F2747" s="859" t="s">
        <v>3</v>
      </c>
      <c r="G2747" s="777">
        <f>G2746*0.7-0.001</f>
        <v>1.9999999999999997E-2</v>
      </c>
      <c r="H2747" s="842"/>
      <c r="J2747" s="864"/>
      <c r="L2747" s="746"/>
    </row>
    <row r="2748" spans="3:12" x14ac:dyDescent="0.25">
      <c r="C2748" s="746" t="s">
        <v>12</v>
      </c>
      <c r="F2748" s="859" t="s">
        <v>3</v>
      </c>
      <c r="G2748" s="777">
        <f>0.3*(G2747+G2746)</f>
        <v>1.4999999999999998E-2</v>
      </c>
      <c r="H2748" s="842"/>
      <c r="J2748" s="864"/>
      <c r="L2748" s="746"/>
    </row>
    <row r="2749" spans="3:12" x14ac:dyDescent="0.25">
      <c r="G2749" s="777"/>
      <c r="H2749" s="842"/>
      <c r="J2749" s="864"/>
      <c r="L2749" s="746"/>
    </row>
    <row r="2750" spans="3:12" x14ac:dyDescent="0.25">
      <c r="C2750" s="610" t="s">
        <v>11381</v>
      </c>
      <c r="G2750" s="777"/>
      <c r="H2750" s="842"/>
      <c r="J2750" s="864"/>
      <c r="L2750" s="746"/>
    </row>
    <row r="2751" spans="3:12" x14ac:dyDescent="0.25">
      <c r="C2751" s="901" t="s">
        <v>11382</v>
      </c>
      <c r="F2751" s="775" t="s">
        <v>3</v>
      </c>
      <c r="G2751" s="777">
        <f>0.05*0.36*2*0.15*2*1.35</f>
        <v>1.4579999999999999E-2</v>
      </c>
      <c r="H2751" s="842"/>
      <c r="J2751" s="864"/>
      <c r="L2751" s="746"/>
    </row>
    <row r="2752" spans="3:12" x14ac:dyDescent="0.25">
      <c r="C2752" s="901" t="s">
        <v>12</v>
      </c>
      <c r="F2752" s="775" t="s">
        <v>3</v>
      </c>
      <c r="G2752" s="777">
        <f>0.3*G2751</f>
        <v>4.3739999999999994E-3</v>
      </c>
      <c r="H2752" s="842"/>
      <c r="J2752" s="864"/>
      <c r="L2752" s="746"/>
    </row>
    <row r="2753" spans="3:12" x14ac:dyDescent="0.25">
      <c r="D2753" s="610" t="s">
        <v>11383</v>
      </c>
      <c r="G2753" s="777"/>
      <c r="H2753" s="842"/>
      <c r="J2753" s="864"/>
      <c r="L2753" s="746"/>
    </row>
    <row r="2754" spans="3:12" x14ac:dyDescent="0.25">
      <c r="D2754" s="901" t="s">
        <v>4514</v>
      </c>
      <c r="F2754" s="775" t="s">
        <v>3</v>
      </c>
      <c r="G2754" s="777">
        <f>0.529*0.035*1.5*8*1.125</f>
        <v>0.24995250000000005</v>
      </c>
      <c r="H2754" s="842"/>
      <c r="J2754" s="864"/>
      <c r="L2754" s="746"/>
    </row>
    <row r="2755" spans="3:12" x14ac:dyDescent="0.25">
      <c r="G2755" s="777"/>
      <c r="H2755" s="842"/>
      <c r="J2755" s="864"/>
      <c r="L2755" s="746"/>
    </row>
    <row r="2756" spans="3:12" x14ac:dyDescent="0.25">
      <c r="C2756" s="610" t="s">
        <v>11384</v>
      </c>
      <c r="G2756" s="777"/>
      <c r="H2756" s="842"/>
      <c r="J2756" s="864"/>
      <c r="L2756" s="746"/>
    </row>
    <row r="2757" spans="3:12" x14ac:dyDescent="0.25">
      <c r="C2757" s="858" t="s">
        <v>140</v>
      </c>
      <c r="D2757" s="858"/>
      <c r="F2757" s="859" t="s">
        <v>3</v>
      </c>
      <c r="G2757" s="860">
        <f>0.025*3.14*0.08*1.3</f>
        <v>8.1640000000000011E-3</v>
      </c>
      <c r="H2757" s="842"/>
      <c r="J2757" s="864"/>
      <c r="L2757" s="746"/>
    </row>
    <row r="2758" spans="3:12" ht="17.25" x14ac:dyDescent="0.25">
      <c r="C2758" s="858" t="s">
        <v>23</v>
      </c>
      <c r="D2758" s="858"/>
      <c r="F2758" s="859" t="s">
        <v>10569</v>
      </c>
      <c r="G2758" s="860">
        <f>G2757*2</f>
        <v>1.6328000000000002E-2</v>
      </c>
      <c r="H2758" s="842"/>
      <c r="J2758" s="864"/>
      <c r="L2758" s="746"/>
    </row>
    <row r="2759" spans="3:12" x14ac:dyDescent="0.25">
      <c r="C2759" s="25" t="s">
        <v>142</v>
      </c>
      <c r="D2759" s="858"/>
      <c r="F2759" s="859" t="s">
        <v>3</v>
      </c>
      <c r="G2759" s="860">
        <f>G2757/4</f>
        <v>2.0410000000000003E-3</v>
      </c>
      <c r="H2759" s="842"/>
      <c r="J2759" s="864"/>
      <c r="L2759" s="746"/>
    </row>
    <row r="2760" spans="3:12" x14ac:dyDescent="0.25">
      <c r="C2760" s="901" t="s">
        <v>9545</v>
      </c>
      <c r="F2760" s="859" t="s">
        <v>3</v>
      </c>
      <c r="G2760" s="777">
        <f>(J2764)*0.02*2*1.25+0.001</f>
        <v>2.9499999999999998E-2</v>
      </c>
      <c r="H2760" s="842"/>
      <c r="J2760" s="864"/>
      <c r="L2760" s="746"/>
    </row>
    <row r="2761" spans="3:12" x14ac:dyDescent="0.25">
      <c r="C2761" s="746" t="s">
        <v>143</v>
      </c>
      <c r="F2761" s="859" t="s">
        <v>3</v>
      </c>
      <c r="G2761" s="777">
        <f>G2760*0.7</f>
        <v>2.0649999999999998E-2</v>
      </c>
      <c r="H2761" s="842"/>
      <c r="J2761" s="864"/>
      <c r="L2761" s="746"/>
    </row>
    <row r="2762" spans="3:12" x14ac:dyDescent="0.25">
      <c r="C2762" s="746" t="s">
        <v>12</v>
      </c>
      <c r="F2762" s="859" t="s">
        <v>3</v>
      </c>
      <c r="G2762" s="777">
        <f>0.3*(G2761+G2760)</f>
        <v>1.5044999999999999E-2</v>
      </c>
      <c r="H2762" s="842"/>
      <c r="J2762" s="864"/>
      <c r="L2762" s="746"/>
    </row>
    <row r="2763" spans="3:12" x14ac:dyDescent="0.25">
      <c r="D2763" s="610" t="s">
        <v>11385</v>
      </c>
      <c r="G2763" s="777"/>
      <c r="H2763" s="842"/>
      <c r="J2763" s="864"/>
      <c r="L2763" s="746"/>
    </row>
    <row r="2764" spans="3:12" x14ac:dyDescent="0.25">
      <c r="D2764" s="901" t="s">
        <v>11386</v>
      </c>
      <c r="F2764" s="775" t="s">
        <v>3</v>
      </c>
      <c r="G2764" s="777">
        <f>0.592*L2764</f>
        <v>0.38479999999999998</v>
      </c>
      <c r="H2764" s="842"/>
      <c r="I2764" s="962" t="s">
        <v>10149</v>
      </c>
      <c r="J2764" s="864">
        <v>0.56999999999999995</v>
      </c>
      <c r="K2764" s="874" t="s">
        <v>10150</v>
      </c>
      <c r="L2764" s="824">
        <v>0.65</v>
      </c>
    </row>
    <row r="2765" spans="3:12" x14ac:dyDescent="0.25">
      <c r="G2765" s="777"/>
      <c r="H2765" s="842"/>
    </row>
    <row r="2766" spans="3:12" x14ac:dyDescent="0.25">
      <c r="C2766" s="3" t="s">
        <v>11389</v>
      </c>
      <c r="D2766" s="767"/>
      <c r="E2766" s="941"/>
      <c r="F2766" s="6" t="s">
        <v>2180</v>
      </c>
      <c r="G2766" s="777"/>
      <c r="H2766" s="842"/>
      <c r="J2766" s="864"/>
      <c r="L2766" s="746"/>
    </row>
    <row r="2767" spans="3:12" x14ac:dyDescent="0.25">
      <c r="C2767" s="154"/>
      <c r="D2767" s="610" t="s">
        <v>11387</v>
      </c>
      <c r="F2767" s="941"/>
      <c r="G2767" s="10"/>
      <c r="H2767" s="842"/>
      <c r="J2767" s="864"/>
      <c r="L2767" s="746"/>
    </row>
    <row r="2768" spans="3:12" ht="17.25" x14ac:dyDescent="0.25">
      <c r="C2768" s="154"/>
      <c r="D2768" s="901" t="s">
        <v>11388</v>
      </c>
      <c r="F2768" s="775" t="s">
        <v>677</v>
      </c>
      <c r="G2768" s="777">
        <f>0.175*0.155</f>
        <v>2.7125E-2</v>
      </c>
      <c r="H2768" s="842"/>
      <c r="J2768" s="864"/>
      <c r="L2768" s="746"/>
    </row>
    <row r="2769" spans="3:12" x14ac:dyDescent="0.25">
      <c r="C2769" s="154"/>
      <c r="D2769" s="8" t="s">
        <v>5415</v>
      </c>
      <c r="F2769" s="941" t="s">
        <v>3</v>
      </c>
      <c r="G2769" s="10">
        <f>0.006</f>
        <v>6.0000000000000001E-3</v>
      </c>
      <c r="H2769" s="842"/>
      <c r="J2769" s="864"/>
      <c r="L2769" s="746"/>
    </row>
    <row r="2770" spans="3:12" x14ac:dyDescent="0.25">
      <c r="C2770" s="154"/>
      <c r="D2770" s="154" t="s">
        <v>104</v>
      </c>
      <c r="F2770" s="941" t="s">
        <v>3</v>
      </c>
      <c r="G2770" s="10">
        <f>2*G2769</f>
        <v>1.2E-2</v>
      </c>
      <c r="H2770" s="842"/>
      <c r="J2770" s="864"/>
      <c r="L2770" s="746"/>
    </row>
    <row r="2771" spans="3:12" x14ac:dyDescent="0.25">
      <c r="G2771" s="777"/>
      <c r="H2771" s="842"/>
      <c r="J2771" s="864"/>
      <c r="L2771" s="746"/>
    </row>
    <row r="2772" spans="3:12" x14ac:dyDescent="0.25">
      <c r="C2772" s="610" t="s">
        <v>11393</v>
      </c>
      <c r="G2772" s="777"/>
      <c r="H2772" s="842"/>
      <c r="J2772" s="864"/>
      <c r="L2772" s="746"/>
    </row>
    <row r="2773" spans="3:12" x14ac:dyDescent="0.25">
      <c r="C2773" s="834" t="s">
        <v>39</v>
      </c>
      <c r="D2773" s="619"/>
      <c r="E2773" s="619"/>
      <c r="F2773" s="827" t="s">
        <v>3</v>
      </c>
      <c r="G2773" s="785">
        <f>(0.04*3.14)*0.08*1.18</f>
        <v>1.1856640000000002E-2</v>
      </c>
      <c r="H2773" s="842"/>
      <c r="J2773" s="864"/>
      <c r="L2773" s="746"/>
    </row>
    <row r="2774" spans="3:12" ht="17.25" x14ac:dyDescent="0.25">
      <c r="C2774" s="834" t="s">
        <v>1055</v>
      </c>
      <c r="D2774" s="619"/>
      <c r="E2774" s="619"/>
      <c r="F2774" s="827" t="s">
        <v>596</v>
      </c>
      <c r="G2774" s="777">
        <f>1.5*G2773+0.001</f>
        <v>1.8784960000000003E-2</v>
      </c>
      <c r="H2774" s="842"/>
      <c r="J2774" s="864"/>
      <c r="L2774" s="746"/>
    </row>
    <row r="2775" spans="3:12" x14ac:dyDescent="0.25">
      <c r="D2775" s="610" t="s">
        <v>11394</v>
      </c>
      <c r="G2775" s="777"/>
      <c r="H2775" s="842"/>
      <c r="J2775" s="864"/>
      <c r="L2775" s="746"/>
    </row>
    <row r="2776" spans="3:12" x14ac:dyDescent="0.25">
      <c r="D2776" s="901" t="s">
        <v>11298</v>
      </c>
      <c r="F2776" s="775" t="s">
        <v>3</v>
      </c>
      <c r="G2776" s="777">
        <f>1.35*L2776</f>
        <v>0.40500000000000003</v>
      </c>
      <c r="H2776" s="842"/>
      <c r="I2776" s="962" t="s">
        <v>10149</v>
      </c>
      <c r="J2776" s="864">
        <v>0.21299999999999999</v>
      </c>
      <c r="K2776" s="874" t="s">
        <v>10150</v>
      </c>
      <c r="L2776" s="824">
        <v>0.3</v>
      </c>
    </row>
    <row r="2777" spans="3:12" x14ac:dyDescent="0.25">
      <c r="G2777" s="777"/>
      <c r="H2777" s="842"/>
      <c r="J2777" s="864"/>
      <c r="L2777" s="746"/>
    </row>
    <row r="2778" spans="3:12" x14ac:dyDescent="0.25">
      <c r="C2778" s="610" t="s">
        <v>11395</v>
      </c>
      <c r="G2778" s="777"/>
      <c r="H2778" s="842"/>
      <c r="J2778" s="864"/>
      <c r="L2778" s="746"/>
    </row>
    <row r="2779" spans="3:12" x14ac:dyDescent="0.25">
      <c r="C2779" s="901" t="s">
        <v>11396</v>
      </c>
      <c r="F2779" s="775" t="s">
        <v>3</v>
      </c>
      <c r="G2779" s="777">
        <f>1.147*L2779</f>
        <v>0.51615</v>
      </c>
      <c r="H2779" s="842"/>
      <c r="I2779" s="962" t="s">
        <v>10149</v>
      </c>
      <c r="J2779" s="864">
        <v>0.40300000000000002</v>
      </c>
      <c r="K2779" s="874" t="s">
        <v>10150</v>
      </c>
      <c r="L2779" s="824">
        <v>0.45</v>
      </c>
    </row>
    <row r="2780" spans="3:12" x14ac:dyDescent="0.25">
      <c r="G2780" s="777"/>
      <c r="H2780" s="842"/>
      <c r="J2780" s="864"/>
      <c r="L2780" s="746"/>
    </row>
    <row r="2781" spans="3:12" x14ac:dyDescent="0.25">
      <c r="C2781" s="610" t="s">
        <v>11397</v>
      </c>
      <c r="G2781" s="777"/>
      <c r="H2781" s="842"/>
      <c r="J2781" s="864"/>
      <c r="L2781" s="746"/>
    </row>
    <row r="2782" spans="3:12" x14ac:dyDescent="0.25">
      <c r="C2782" s="901" t="s">
        <v>10573</v>
      </c>
      <c r="F2782" s="775" t="s">
        <v>3</v>
      </c>
      <c r="G2782" s="777">
        <f>0.469*L2782</f>
        <v>0.37519999999999998</v>
      </c>
      <c r="H2782" s="842"/>
      <c r="I2782" s="962" t="s">
        <v>10149</v>
      </c>
      <c r="J2782" s="864">
        <v>0.73299999999999998</v>
      </c>
      <c r="K2782" s="874" t="s">
        <v>10150</v>
      </c>
      <c r="L2782" s="824">
        <v>0.8</v>
      </c>
    </row>
    <row r="2783" spans="3:12" x14ac:dyDescent="0.25">
      <c r="C2783" s="901" t="s">
        <v>6248</v>
      </c>
      <c r="F2783" s="859" t="s">
        <v>3</v>
      </c>
      <c r="G2783" s="777">
        <f>J2782*0.03*2*1.25</f>
        <v>5.4974999999999996E-2</v>
      </c>
      <c r="H2783" s="842"/>
      <c r="J2783" s="864"/>
      <c r="L2783" s="746"/>
    </row>
    <row r="2784" spans="3:12" x14ac:dyDescent="0.25">
      <c r="C2784" s="746" t="s">
        <v>8</v>
      </c>
      <c r="F2784" s="859" t="s">
        <v>3</v>
      </c>
      <c r="G2784" s="777">
        <f>G2783*0.75</f>
        <v>4.1231249999999997E-2</v>
      </c>
      <c r="H2784" s="842"/>
      <c r="J2784" s="864"/>
      <c r="L2784" s="746"/>
    </row>
    <row r="2785" spans="3:12" x14ac:dyDescent="0.25">
      <c r="C2785" s="901" t="s">
        <v>12</v>
      </c>
      <c r="F2785" s="91" t="s">
        <v>3</v>
      </c>
      <c r="G2785" s="777">
        <f>0.3*(G2784+G2783)</f>
        <v>2.8861874999999995E-2</v>
      </c>
      <c r="H2785" s="842"/>
      <c r="J2785" s="864"/>
      <c r="L2785" s="746"/>
    </row>
    <row r="2786" spans="3:12" x14ac:dyDescent="0.25">
      <c r="G2786" s="777"/>
      <c r="H2786" s="842"/>
      <c r="J2786" s="864"/>
      <c r="L2786" s="746"/>
    </row>
    <row r="2787" spans="3:12" x14ac:dyDescent="0.25">
      <c r="C2787" s="610" t="s">
        <v>11398</v>
      </c>
      <c r="G2787" s="777"/>
      <c r="H2787" s="842"/>
      <c r="J2787" s="864"/>
      <c r="L2787" s="746"/>
    </row>
    <row r="2788" spans="3:12" x14ac:dyDescent="0.25">
      <c r="C2788" s="834" t="s">
        <v>39</v>
      </c>
      <c r="D2788" s="619"/>
      <c r="E2788" s="619"/>
      <c r="F2788" s="827" t="s">
        <v>3</v>
      </c>
      <c r="G2788" s="785">
        <f>0.2*0.08*1.18</f>
        <v>1.8880000000000001E-2</v>
      </c>
      <c r="H2788" s="842"/>
      <c r="J2788" s="864"/>
      <c r="L2788" s="746"/>
    </row>
    <row r="2789" spans="3:12" ht="17.25" x14ac:dyDescent="0.25">
      <c r="C2789" s="834" t="s">
        <v>1055</v>
      </c>
      <c r="D2789" s="619"/>
      <c r="E2789" s="619"/>
      <c r="F2789" s="827" t="s">
        <v>596</v>
      </c>
      <c r="G2789" s="777">
        <f>1.5*G2788+0.001</f>
        <v>2.9320000000000002E-2</v>
      </c>
      <c r="H2789" s="842"/>
      <c r="J2789" s="864"/>
      <c r="L2789" s="746"/>
    </row>
    <row r="2790" spans="3:12" x14ac:dyDescent="0.25">
      <c r="D2790" s="610" t="s">
        <v>11399</v>
      </c>
      <c r="G2790" s="777"/>
      <c r="H2790" s="842"/>
      <c r="J2790" s="864"/>
      <c r="L2790" s="746"/>
    </row>
    <row r="2791" spans="3:12" x14ac:dyDescent="0.25">
      <c r="D2791" s="901" t="s">
        <v>4362</v>
      </c>
      <c r="F2791" s="775" t="s">
        <v>3</v>
      </c>
      <c r="G2791" s="940">
        <f>0.18*0.05*4*8*1.13</f>
        <v>0.32543999999999995</v>
      </c>
      <c r="H2791" s="842"/>
      <c r="J2791" s="864"/>
      <c r="L2791" s="746"/>
    </row>
    <row r="2792" spans="3:12" x14ac:dyDescent="0.25">
      <c r="G2792" s="777"/>
      <c r="H2792" s="842"/>
      <c r="J2792" s="864"/>
      <c r="L2792" s="746"/>
    </row>
    <row r="2793" spans="3:12" x14ac:dyDescent="0.25">
      <c r="C2793" s="610" t="s">
        <v>11400</v>
      </c>
      <c r="G2793" s="777"/>
      <c r="H2793" s="842"/>
      <c r="J2793" s="864"/>
      <c r="L2793" s="746"/>
    </row>
    <row r="2794" spans="3:12" x14ac:dyDescent="0.25">
      <c r="C2794" s="901" t="s">
        <v>6248</v>
      </c>
      <c r="F2794" s="859" t="s">
        <v>3</v>
      </c>
      <c r="G2794" s="777">
        <f>0.24*0.05*2*0.15*2*1.39</f>
        <v>1.0008E-2</v>
      </c>
      <c r="H2794" s="842"/>
      <c r="J2794" s="864"/>
      <c r="L2794" s="746"/>
    </row>
    <row r="2795" spans="3:12" x14ac:dyDescent="0.25">
      <c r="C2795" s="746" t="s">
        <v>8</v>
      </c>
      <c r="F2795" s="859" t="s">
        <v>3</v>
      </c>
      <c r="G2795" s="777">
        <f>G2794*0.75</f>
        <v>7.5059999999999997E-3</v>
      </c>
      <c r="H2795" s="842"/>
      <c r="J2795" s="864"/>
      <c r="L2795" s="746"/>
    </row>
    <row r="2796" spans="3:12" x14ac:dyDescent="0.25">
      <c r="C2796" s="901" t="s">
        <v>12</v>
      </c>
      <c r="F2796" s="91" t="s">
        <v>3</v>
      </c>
      <c r="G2796" s="777">
        <f>0.3*(G2795+G2794)</f>
        <v>5.2541999999999997E-3</v>
      </c>
      <c r="H2796" s="842"/>
      <c r="J2796" s="864"/>
      <c r="L2796" s="746"/>
    </row>
    <row r="2797" spans="3:12" x14ac:dyDescent="0.25">
      <c r="D2797" s="610" t="s">
        <v>11401</v>
      </c>
      <c r="G2797" s="777"/>
      <c r="H2797" s="842"/>
      <c r="J2797" s="864"/>
      <c r="L2797" s="746"/>
    </row>
    <row r="2798" spans="3:12" x14ac:dyDescent="0.25">
      <c r="D2798" s="901" t="s">
        <v>4516</v>
      </c>
      <c r="F2798" s="775" t="s">
        <v>3</v>
      </c>
      <c r="G2798" s="777">
        <f>0.545*0.04*2*8*1.148</f>
        <v>0.40042240000000001</v>
      </c>
      <c r="H2798" s="842"/>
      <c r="J2798" s="864"/>
      <c r="L2798" s="746"/>
    </row>
    <row r="2799" spans="3:12" x14ac:dyDescent="0.25">
      <c r="G2799" s="777"/>
      <c r="H2799" s="842"/>
      <c r="J2799" s="864"/>
      <c r="L2799" s="746"/>
    </row>
    <row r="2800" spans="3:12" x14ac:dyDescent="0.25">
      <c r="C2800" s="610" t="s">
        <v>11402</v>
      </c>
      <c r="G2800" s="777"/>
      <c r="H2800" s="842"/>
      <c r="J2800" s="864"/>
      <c r="L2800" s="746"/>
    </row>
    <row r="2801" spans="3:12" x14ac:dyDescent="0.25">
      <c r="C2801" s="834" t="s">
        <v>39</v>
      </c>
      <c r="D2801" s="619"/>
      <c r="E2801" s="619"/>
      <c r="F2801" s="827" t="s">
        <v>3</v>
      </c>
      <c r="G2801" s="785">
        <f>0.05*0.08*1.18</f>
        <v>4.7200000000000002E-3</v>
      </c>
      <c r="H2801" s="842"/>
      <c r="J2801" s="864"/>
      <c r="L2801" s="746"/>
    </row>
    <row r="2802" spans="3:12" ht="17.25" x14ac:dyDescent="0.25">
      <c r="C2802" s="834" t="s">
        <v>1055</v>
      </c>
      <c r="D2802" s="619"/>
      <c r="E2802" s="619"/>
      <c r="F2802" s="827" t="s">
        <v>596</v>
      </c>
      <c r="G2802" s="777">
        <f>1.5*G2801+0.001</f>
        <v>8.0800000000000004E-3</v>
      </c>
      <c r="H2802" s="842"/>
      <c r="J2802" s="864"/>
      <c r="L2802" s="746"/>
    </row>
    <row r="2803" spans="3:12" x14ac:dyDescent="0.25">
      <c r="D2803" s="610" t="s">
        <v>11403</v>
      </c>
      <c r="G2803" s="777"/>
      <c r="H2803" s="842"/>
      <c r="J2803" s="864"/>
      <c r="L2803" s="746"/>
    </row>
    <row r="2804" spans="3:12" x14ac:dyDescent="0.25">
      <c r="D2804" s="901" t="s">
        <v>11405</v>
      </c>
      <c r="F2804" s="775" t="s">
        <v>3</v>
      </c>
      <c r="G2804" s="777">
        <f>0.14*0.14*2*8*1.12-0.001</f>
        <v>0.3502320000000001</v>
      </c>
      <c r="H2804" s="842"/>
      <c r="J2804" s="864"/>
      <c r="L2804" s="746"/>
    </row>
    <row r="2805" spans="3:12" x14ac:dyDescent="0.25">
      <c r="D2805" s="610" t="s">
        <v>11404</v>
      </c>
      <c r="G2805" s="777"/>
      <c r="H2805" s="842"/>
      <c r="J2805" s="864"/>
      <c r="L2805" s="746"/>
    </row>
    <row r="2806" spans="3:12" x14ac:dyDescent="0.25">
      <c r="D2806" s="901" t="s">
        <v>4960</v>
      </c>
      <c r="F2806" s="775" t="s">
        <v>3</v>
      </c>
      <c r="G2806" s="777">
        <f>0.08*0.057*3*8*1.14</f>
        <v>0.1247616</v>
      </c>
      <c r="H2806" s="842"/>
      <c r="J2806" s="864"/>
      <c r="L2806" s="746"/>
    </row>
    <row r="2807" spans="3:12" x14ac:dyDescent="0.25">
      <c r="G2807" s="777"/>
      <c r="H2807" s="842"/>
      <c r="J2807" s="864"/>
      <c r="L2807" s="746"/>
    </row>
    <row r="2808" spans="3:12" x14ac:dyDescent="0.25">
      <c r="C2808" s="610" t="s">
        <v>11406</v>
      </c>
      <c r="G2808" s="777"/>
      <c r="H2808" s="842"/>
      <c r="J2808" s="864"/>
      <c r="L2808" s="746"/>
    </row>
    <row r="2809" spans="3:12" x14ac:dyDescent="0.25">
      <c r="C2809" s="834" t="s">
        <v>39</v>
      </c>
      <c r="D2809" s="619"/>
      <c r="E2809" s="619"/>
      <c r="F2809" s="827" t="s">
        <v>3</v>
      </c>
      <c r="G2809" s="785">
        <f>0.06*0.08*1.18</f>
        <v>5.6639999999999989E-3</v>
      </c>
      <c r="H2809" s="842"/>
      <c r="J2809" s="864"/>
      <c r="L2809" s="746"/>
    </row>
    <row r="2810" spans="3:12" ht="17.25" x14ac:dyDescent="0.25">
      <c r="C2810" s="834" t="s">
        <v>1055</v>
      </c>
      <c r="D2810" s="619"/>
      <c r="E2810" s="619"/>
      <c r="F2810" s="827" t="s">
        <v>596</v>
      </c>
      <c r="G2810" s="777">
        <f>1.5*G2809+0.001</f>
        <v>9.4959999999999975E-3</v>
      </c>
      <c r="H2810" s="842"/>
      <c r="J2810" s="864"/>
      <c r="L2810" s="746"/>
    </row>
    <row r="2811" spans="3:12" x14ac:dyDescent="0.25">
      <c r="D2811" s="610" t="s">
        <v>11407</v>
      </c>
      <c r="G2811" s="777"/>
      <c r="H2811" s="842"/>
      <c r="J2811" s="864"/>
      <c r="L2811" s="746"/>
    </row>
    <row r="2812" spans="3:12" x14ac:dyDescent="0.25">
      <c r="D2812" s="901" t="s">
        <v>11408</v>
      </c>
      <c r="F2812" s="775" t="s">
        <v>3</v>
      </c>
      <c r="G2812" s="777">
        <f>0.155*0.03*4*8*1.145</f>
        <v>0.170376</v>
      </c>
      <c r="H2812" s="842"/>
      <c r="J2812" s="864"/>
      <c r="L2812" s="746"/>
    </row>
    <row r="2813" spans="3:12" x14ac:dyDescent="0.25">
      <c r="G2813" s="777"/>
      <c r="H2813" s="842"/>
      <c r="J2813" s="864"/>
      <c r="L2813" s="746"/>
    </row>
    <row r="2814" spans="3:12" x14ac:dyDescent="0.25">
      <c r="C2814" s="610" t="s">
        <v>11409</v>
      </c>
      <c r="G2814" s="777"/>
      <c r="H2814" s="842"/>
      <c r="J2814" s="864"/>
      <c r="L2814" s="746"/>
    </row>
    <row r="2815" spans="3:12" x14ac:dyDescent="0.25">
      <c r="C2815" s="901" t="s">
        <v>9867</v>
      </c>
      <c r="F2815" s="775" t="s">
        <v>3</v>
      </c>
      <c r="G2815" s="777">
        <f>0.042*0.04*0.5*8</f>
        <v>6.7200000000000003E-3</v>
      </c>
      <c r="H2815" s="842"/>
      <c r="J2815" s="864"/>
      <c r="L2815" s="746"/>
    </row>
    <row r="2816" spans="3:12" x14ac:dyDescent="0.25">
      <c r="G2816" s="777"/>
      <c r="H2816" s="842"/>
      <c r="J2816" s="864"/>
      <c r="L2816" s="746"/>
    </row>
    <row r="2817" spans="1:12" x14ac:dyDescent="0.25">
      <c r="C2817" s="610" t="s">
        <v>11410</v>
      </c>
      <c r="G2817" s="777"/>
      <c r="H2817" s="842"/>
      <c r="J2817" s="864"/>
      <c r="L2817" s="746"/>
    </row>
    <row r="2818" spans="1:12" x14ac:dyDescent="0.25">
      <c r="C2818" s="901" t="s">
        <v>9772</v>
      </c>
      <c r="F2818" s="775" t="s">
        <v>3</v>
      </c>
      <c r="G2818" s="777">
        <f>0.04*0.04*2*8</f>
        <v>2.5600000000000001E-2</v>
      </c>
      <c r="H2818" s="842"/>
      <c r="J2818" s="864"/>
      <c r="L2818" s="746"/>
    </row>
    <row r="2819" spans="1:12" x14ac:dyDescent="0.25">
      <c r="G2819" s="777"/>
      <c r="H2819" s="842"/>
      <c r="J2819" s="864"/>
      <c r="L2819" s="746"/>
    </row>
    <row r="2820" spans="1:12" x14ac:dyDescent="0.25">
      <c r="C2820" s="610" t="s">
        <v>10831</v>
      </c>
      <c r="G2820" s="777"/>
      <c r="H2820" s="842"/>
      <c r="J2820" s="864"/>
      <c r="L2820" s="746"/>
    </row>
    <row r="2821" spans="1:12" x14ac:dyDescent="0.25">
      <c r="C2821" s="746" t="s">
        <v>4516</v>
      </c>
      <c r="F2821" s="775" t="s">
        <v>3</v>
      </c>
      <c r="G2821" s="777">
        <f>0.16*0.016*2*8*1.15</f>
        <v>4.7104E-2</v>
      </c>
      <c r="H2821" s="842"/>
      <c r="J2821" s="864"/>
      <c r="L2821" s="746"/>
    </row>
    <row r="2822" spans="1:12" x14ac:dyDescent="0.25">
      <c r="C2822" s="610"/>
      <c r="G2822" s="777"/>
      <c r="H2822" s="842"/>
      <c r="J2822" s="864"/>
      <c r="L2822" s="746"/>
    </row>
    <row r="2823" spans="1:12" x14ac:dyDescent="0.25">
      <c r="C2823" s="610" t="s">
        <v>11411</v>
      </c>
      <c r="G2823" s="777"/>
      <c r="H2823" s="842"/>
      <c r="J2823" s="864"/>
      <c r="L2823" s="746"/>
    </row>
    <row r="2824" spans="1:12" x14ac:dyDescent="0.25">
      <c r="C2824" s="746" t="s">
        <v>4516</v>
      </c>
      <c r="F2824" s="775" t="s">
        <v>3</v>
      </c>
      <c r="G2824" s="777">
        <f>0.185*0.016*2*8*1.15</f>
        <v>5.4463999999999992E-2</v>
      </c>
      <c r="H2824" s="842"/>
      <c r="J2824" s="864"/>
      <c r="L2824" s="746"/>
    </row>
    <row r="2825" spans="1:12" x14ac:dyDescent="0.25">
      <c r="C2825" s="610"/>
      <c r="G2825" s="777"/>
      <c r="H2825" s="842"/>
      <c r="J2825" s="864"/>
      <c r="L2825" s="746"/>
    </row>
    <row r="2826" spans="1:12" x14ac:dyDescent="0.25">
      <c r="C2826" s="610" t="s">
        <v>11412</v>
      </c>
      <c r="G2826" s="777"/>
      <c r="H2826" s="842"/>
      <c r="J2826" s="864"/>
      <c r="L2826" s="746"/>
    </row>
    <row r="2827" spans="1:12" x14ac:dyDescent="0.25">
      <c r="C2827" s="746" t="s">
        <v>11413</v>
      </c>
      <c r="F2827" s="775" t="s">
        <v>3</v>
      </c>
      <c r="G2827" s="777">
        <f>0.095*0.018*0.7*1.29</f>
        <v>1.5441299999999999E-3</v>
      </c>
      <c r="H2827" s="842"/>
      <c r="J2827" s="864"/>
      <c r="L2827" s="746"/>
    </row>
    <row r="2828" spans="1:12" x14ac:dyDescent="0.25">
      <c r="A2828" s="738"/>
      <c r="B2828" s="738"/>
      <c r="C2828" s="745"/>
      <c r="D2828" s="738"/>
      <c r="E2828" s="738"/>
      <c r="F2828" s="846"/>
      <c r="G2828" s="778"/>
      <c r="H2828" s="847"/>
      <c r="J2828" s="864"/>
      <c r="L2828" s="746"/>
    </row>
    <row r="2829" spans="1:12" x14ac:dyDescent="0.25">
      <c r="C2829" s="610"/>
      <c r="G2829" s="777"/>
      <c r="H2829" s="848" t="s">
        <v>12377</v>
      </c>
      <c r="J2829" s="864"/>
      <c r="L2829" s="746"/>
    </row>
    <row r="2830" spans="1:12" x14ac:dyDescent="0.25">
      <c r="C2830" s="610"/>
      <c r="G2830" s="777"/>
      <c r="H2830" s="842"/>
      <c r="J2830" s="864"/>
      <c r="L2830" s="746"/>
    </row>
    <row r="2831" spans="1:12" x14ac:dyDescent="0.25">
      <c r="C2831" s="610" t="s">
        <v>12361</v>
      </c>
      <c r="G2831" s="777"/>
      <c r="H2831" s="842"/>
      <c r="J2831" s="864"/>
      <c r="L2831" s="746"/>
    </row>
    <row r="2832" spans="1:12" x14ac:dyDescent="0.25">
      <c r="C2832" s="746" t="s">
        <v>6461</v>
      </c>
      <c r="F2832" s="775" t="s">
        <v>3</v>
      </c>
      <c r="G2832" s="777">
        <f>0.07*0.01*1*8*1.15</f>
        <v>6.4400000000000004E-3</v>
      </c>
      <c r="H2832" s="842"/>
      <c r="J2832" s="864"/>
      <c r="L2832" s="746"/>
    </row>
    <row r="2833" spans="3:12" x14ac:dyDescent="0.25">
      <c r="C2833" s="610"/>
      <c r="G2833" s="777"/>
      <c r="H2833" s="842"/>
      <c r="J2833" s="864"/>
      <c r="L2833" s="746"/>
    </row>
    <row r="2834" spans="3:12" x14ac:dyDescent="0.25">
      <c r="C2834" s="610" t="s">
        <v>12362</v>
      </c>
      <c r="G2834" s="777"/>
      <c r="H2834" s="842"/>
      <c r="J2834" s="864"/>
      <c r="L2834" s="746"/>
    </row>
    <row r="2835" spans="3:12" x14ac:dyDescent="0.25">
      <c r="C2835" s="746" t="s">
        <v>6461</v>
      </c>
      <c r="F2835" s="775" t="s">
        <v>3</v>
      </c>
      <c r="G2835" s="777">
        <f>0.092*0.01*1*8*1.15</f>
        <v>8.4639999999999993E-3</v>
      </c>
      <c r="H2835" s="842"/>
      <c r="J2835" s="864"/>
      <c r="L2835" s="746"/>
    </row>
    <row r="2836" spans="3:12" x14ac:dyDescent="0.25">
      <c r="C2836" s="610"/>
      <c r="G2836" s="777"/>
      <c r="H2836" s="842"/>
      <c r="J2836" s="864"/>
      <c r="L2836" s="746"/>
    </row>
    <row r="2837" spans="3:12" x14ac:dyDescent="0.25">
      <c r="C2837" s="610" t="s">
        <v>12363</v>
      </c>
      <c r="G2837" s="777"/>
      <c r="H2837" s="842"/>
      <c r="J2837" s="864"/>
      <c r="L2837" s="746"/>
    </row>
    <row r="2838" spans="3:12" x14ac:dyDescent="0.25">
      <c r="C2838" s="746" t="s">
        <v>6461</v>
      </c>
      <c r="F2838" s="775" t="s">
        <v>3</v>
      </c>
      <c r="G2838" s="777">
        <f>0.097*0.01*1*8*1.15</f>
        <v>8.9239999999999996E-3</v>
      </c>
      <c r="H2838" s="842"/>
      <c r="J2838" s="864"/>
      <c r="L2838" s="746"/>
    </row>
    <row r="2839" spans="3:12" x14ac:dyDescent="0.25">
      <c r="C2839" s="610"/>
      <c r="G2839" s="777"/>
      <c r="H2839" s="842"/>
      <c r="J2839" s="864"/>
      <c r="L2839" s="746"/>
    </row>
    <row r="2840" spans="3:12" x14ac:dyDescent="0.25">
      <c r="C2840" s="610" t="s">
        <v>12365</v>
      </c>
      <c r="G2840" s="777"/>
      <c r="H2840" s="842"/>
      <c r="J2840" s="864"/>
      <c r="L2840" s="746"/>
    </row>
    <row r="2841" spans="3:12" x14ac:dyDescent="0.25">
      <c r="C2841" s="746" t="s">
        <v>6461</v>
      </c>
      <c r="F2841" s="775" t="s">
        <v>3</v>
      </c>
      <c r="G2841" s="777">
        <f>0.114*0.01*1*8*1.15</f>
        <v>1.0488000000000001E-2</v>
      </c>
      <c r="H2841" s="842"/>
      <c r="J2841" s="864"/>
      <c r="L2841" s="746"/>
    </row>
    <row r="2842" spans="3:12" x14ac:dyDescent="0.25">
      <c r="C2842" s="610"/>
      <c r="G2842" s="777"/>
      <c r="H2842" s="842"/>
      <c r="J2842" s="864"/>
      <c r="L2842" s="746"/>
    </row>
    <row r="2843" spans="3:12" x14ac:dyDescent="0.25">
      <c r="C2843" s="610" t="s">
        <v>12364</v>
      </c>
      <c r="G2843" s="777"/>
      <c r="H2843" s="842"/>
      <c r="J2843" s="864"/>
      <c r="L2843" s="746"/>
    </row>
    <row r="2844" spans="3:12" x14ac:dyDescent="0.25">
      <c r="C2844" s="746" t="s">
        <v>6461</v>
      </c>
      <c r="F2844" s="775" t="s">
        <v>3</v>
      </c>
      <c r="G2844" s="777">
        <f>0.149*0.01*1*8*1.15</f>
        <v>1.3708E-2</v>
      </c>
      <c r="H2844" s="842"/>
      <c r="J2844" s="864"/>
      <c r="L2844" s="746"/>
    </row>
    <row r="2845" spans="3:12" x14ac:dyDescent="0.25">
      <c r="C2845" s="610"/>
      <c r="G2845" s="777"/>
      <c r="H2845" s="842"/>
      <c r="J2845" s="864"/>
      <c r="L2845" s="746"/>
    </row>
    <row r="2846" spans="3:12" x14ac:dyDescent="0.25">
      <c r="C2846" s="610" t="s">
        <v>12366</v>
      </c>
      <c r="G2846" s="777"/>
      <c r="H2846" s="842"/>
      <c r="J2846" s="864"/>
      <c r="L2846" s="746"/>
    </row>
    <row r="2847" spans="3:12" x14ac:dyDescent="0.25">
      <c r="C2847" s="746" t="s">
        <v>6461</v>
      </c>
      <c r="F2847" s="775" t="s">
        <v>3</v>
      </c>
      <c r="G2847" s="777">
        <f>0.19*0.01*1*8*1.15</f>
        <v>1.7479999999999999E-2</v>
      </c>
      <c r="H2847" s="842"/>
      <c r="J2847" s="864"/>
      <c r="L2847" s="746"/>
    </row>
    <row r="2848" spans="3:12" x14ac:dyDescent="0.25">
      <c r="C2848" s="610"/>
      <c r="G2848" s="777"/>
      <c r="H2848" s="842"/>
      <c r="J2848" s="864"/>
      <c r="L2848" s="746"/>
    </row>
    <row r="2849" spans="3:12" x14ac:dyDescent="0.25">
      <c r="C2849" s="610" t="s">
        <v>12367</v>
      </c>
      <c r="G2849" s="777"/>
      <c r="H2849" s="842"/>
      <c r="J2849" s="864"/>
      <c r="L2849" s="746"/>
    </row>
    <row r="2850" spans="3:12" x14ac:dyDescent="0.25">
      <c r="C2850" s="746" t="s">
        <v>6461</v>
      </c>
      <c r="F2850" s="775" t="s">
        <v>3</v>
      </c>
      <c r="G2850" s="777">
        <f>0.368*0.01*1*8*1.15</f>
        <v>3.3855999999999997E-2</v>
      </c>
      <c r="H2850" s="842"/>
      <c r="J2850" s="864"/>
      <c r="L2850" s="746"/>
    </row>
    <row r="2851" spans="3:12" x14ac:dyDescent="0.25">
      <c r="C2851" s="610"/>
      <c r="G2851" s="777"/>
      <c r="H2851" s="842"/>
      <c r="J2851" s="864"/>
      <c r="L2851" s="746"/>
    </row>
    <row r="2852" spans="3:12" x14ac:dyDescent="0.25">
      <c r="C2852" s="610" t="s">
        <v>12368</v>
      </c>
      <c r="G2852" s="777"/>
      <c r="H2852" s="842"/>
      <c r="J2852" s="864"/>
      <c r="L2852" s="746"/>
    </row>
    <row r="2853" spans="3:12" x14ac:dyDescent="0.25">
      <c r="C2853" s="901" t="s">
        <v>9848</v>
      </c>
      <c r="F2853" s="775" t="s">
        <v>3</v>
      </c>
      <c r="G2853" s="777">
        <f>0.07*0.01*2*8*1.15</f>
        <v>1.2880000000000001E-2</v>
      </c>
      <c r="H2853" s="842"/>
      <c r="J2853" s="864"/>
      <c r="L2853" s="746"/>
    </row>
    <row r="2854" spans="3:12" x14ac:dyDescent="0.25">
      <c r="C2854" s="610"/>
      <c r="G2854" s="777"/>
      <c r="H2854" s="842"/>
      <c r="J2854" s="864"/>
      <c r="L2854" s="746"/>
    </row>
    <row r="2855" spans="3:12" x14ac:dyDescent="0.25">
      <c r="C2855" s="610" t="s">
        <v>12369</v>
      </c>
      <c r="G2855" s="777"/>
      <c r="H2855" s="842"/>
      <c r="J2855" s="864"/>
      <c r="L2855" s="746"/>
    </row>
    <row r="2856" spans="3:12" x14ac:dyDescent="0.25">
      <c r="C2856" s="901" t="s">
        <v>9848</v>
      </c>
      <c r="F2856" s="775" t="s">
        <v>3</v>
      </c>
      <c r="G2856" s="777">
        <f>0.092*0.01*2*8*1.15</f>
        <v>1.6927999999999999E-2</v>
      </c>
      <c r="H2856" s="842"/>
      <c r="J2856" s="864"/>
      <c r="L2856" s="746"/>
    </row>
    <row r="2857" spans="3:12" x14ac:dyDescent="0.25">
      <c r="C2857" s="610"/>
      <c r="G2857" s="777"/>
      <c r="H2857" s="842"/>
      <c r="J2857" s="864"/>
      <c r="L2857" s="746"/>
    </row>
    <row r="2858" spans="3:12" x14ac:dyDescent="0.25">
      <c r="C2858" s="610" t="s">
        <v>12370</v>
      </c>
      <c r="G2858" s="777"/>
      <c r="H2858" s="842"/>
      <c r="J2858" s="864"/>
      <c r="L2858" s="746"/>
    </row>
    <row r="2859" spans="3:12" x14ac:dyDescent="0.25">
      <c r="C2859" s="901" t="s">
        <v>9848</v>
      </c>
      <c r="F2859" s="775" t="s">
        <v>3</v>
      </c>
      <c r="G2859" s="777">
        <f>0.097*0.01*2*8*1.15</f>
        <v>1.7847999999999999E-2</v>
      </c>
      <c r="H2859" s="842"/>
      <c r="J2859" s="864"/>
      <c r="L2859" s="746"/>
    </row>
    <row r="2860" spans="3:12" x14ac:dyDescent="0.25">
      <c r="C2860" s="610"/>
      <c r="G2860" s="777"/>
      <c r="H2860" s="842"/>
      <c r="J2860" s="864"/>
      <c r="L2860" s="746"/>
    </row>
    <row r="2861" spans="3:12" x14ac:dyDescent="0.25">
      <c r="C2861" s="610" t="s">
        <v>12371</v>
      </c>
      <c r="G2861" s="777"/>
      <c r="H2861" s="842"/>
      <c r="J2861" s="864"/>
      <c r="L2861" s="746"/>
    </row>
    <row r="2862" spans="3:12" x14ac:dyDescent="0.25">
      <c r="C2862" s="901" t="s">
        <v>9848</v>
      </c>
      <c r="F2862" s="775" t="s">
        <v>3</v>
      </c>
      <c r="G2862" s="777">
        <f>0.114*0.01*2*8*1.15</f>
        <v>2.0976000000000002E-2</v>
      </c>
      <c r="H2862" s="842"/>
      <c r="J2862" s="864"/>
      <c r="L2862" s="746"/>
    </row>
    <row r="2863" spans="3:12" x14ac:dyDescent="0.25">
      <c r="C2863" s="610"/>
      <c r="G2863" s="777"/>
      <c r="H2863" s="842"/>
      <c r="J2863" s="864"/>
      <c r="L2863" s="746"/>
    </row>
    <row r="2864" spans="3:12" x14ac:dyDescent="0.25">
      <c r="C2864" s="610" t="s">
        <v>12372</v>
      </c>
      <c r="G2864" s="777"/>
      <c r="H2864" s="842"/>
      <c r="J2864" s="864"/>
      <c r="L2864" s="746"/>
    </row>
    <row r="2865" spans="3:12" x14ac:dyDescent="0.25">
      <c r="C2865" s="901" t="s">
        <v>9848</v>
      </c>
      <c r="F2865" s="775" t="s">
        <v>3</v>
      </c>
      <c r="G2865" s="777">
        <f>0.149*0.01*2*8*1.15</f>
        <v>2.7415999999999999E-2</v>
      </c>
      <c r="H2865" s="842"/>
      <c r="J2865" s="864"/>
      <c r="L2865" s="746"/>
    </row>
    <row r="2866" spans="3:12" x14ac:dyDescent="0.25">
      <c r="C2866" s="610"/>
      <c r="G2866" s="777"/>
      <c r="H2866" s="842"/>
      <c r="J2866" s="864"/>
      <c r="L2866" s="746"/>
    </row>
    <row r="2867" spans="3:12" x14ac:dyDescent="0.25">
      <c r="C2867" s="610" t="s">
        <v>12373</v>
      </c>
      <c r="G2867" s="777"/>
      <c r="H2867" s="842"/>
      <c r="J2867" s="864"/>
      <c r="L2867" s="746"/>
    </row>
    <row r="2868" spans="3:12" x14ac:dyDescent="0.25">
      <c r="C2868" s="901" t="s">
        <v>9848</v>
      </c>
      <c r="F2868" s="775" t="s">
        <v>3</v>
      </c>
      <c r="G2868" s="777">
        <f>0.19*0.01*2*8*1.15</f>
        <v>3.4959999999999998E-2</v>
      </c>
      <c r="H2868" s="842"/>
      <c r="J2868" s="864"/>
      <c r="L2868" s="746"/>
    </row>
    <row r="2869" spans="3:12" x14ac:dyDescent="0.25">
      <c r="C2869" s="610"/>
      <c r="G2869" s="777"/>
      <c r="H2869" s="842"/>
      <c r="J2869" s="864"/>
      <c r="L2869" s="746"/>
    </row>
    <row r="2870" spans="3:12" x14ac:dyDescent="0.25">
      <c r="C2870" s="610" t="s">
        <v>12374</v>
      </c>
      <c r="G2870" s="777"/>
      <c r="H2870" s="842"/>
      <c r="J2870" s="864"/>
      <c r="L2870" s="746"/>
    </row>
    <row r="2871" spans="3:12" x14ac:dyDescent="0.25">
      <c r="C2871" s="901" t="s">
        <v>9848</v>
      </c>
      <c r="F2871" s="775" t="s">
        <v>3</v>
      </c>
      <c r="G2871" s="777">
        <f>0.368*0.01*2*8*1.15</f>
        <v>6.7711999999999994E-2</v>
      </c>
      <c r="H2871" s="842"/>
      <c r="J2871" s="864"/>
      <c r="L2871" s="746"/>
    </row>
    <row r="2872" spans="3:12" x14ac:dyDescent="0.25">
      <c r="C2872" s="610"/>
      <c r="G2872" s="777"/>
      <c r="H2872" s="842"/>
      <c r="J2872" s="864"/>
      <c r="L2872" s="746"/>
    </row>
    <row r="2873" spans="3:12" x14ac:dyDescent="0.25">
      <c r="C2873" s="610" t="s">
        <v>12375</v>
      </c>
      <c r="G2873" s="777"/>
      <c r="H2873" s="842"/>
      <c r="J2873" s="864"/>
      <c r="L2873" s="746"/>
    </row>
    <row r="2874" spans="3:12" x14ac:dyDescent="0.25">
      <c r="C2874" s="858" t="s">
        <v>140</v>
      </c>
      <c r="D2874" s="858"/>
      <c r="F2874" s="859" t="s">
        <v>3</v>
      </c>
      <c r="G2874" s="860">
        <f>0.03*3.14*2*0.08*1.3</f>
        <v>1.9593600000000003E-2</v>
      </c>
      <c r="H2874" s="842"/>
      <c r="J2874" s="864"/>
      <c r="L2874" s="746"/>
    </row>
    <row r="2875" spans="3:12" ht="17.25" x14ac:dyDescent="0.25">
      <c r="C2875" s="858" t="s">
        <v>23</v>
      </c>
      <c r="D2875" s="858"/>
      <c r="F2875" s="859" t="s">
        <v>10569</v>
      </c>
      <c r="G2875" s="860">
        <f>G2874*2</f>
        <v>3.9187200000000005E-2</v>
      </c>
      <c r="H2875" s="842"/>
      <c r="J2875" s="864"/>
      <c r="L2875" s="746"/>
    </row>
    <row r="2876" spans="3:12" x14ac:dyDescent="0.25">
      <c r="C2876" s="25" t="s">
        <v>142</v>
      </c>
      <c r="D2876" s="858"/>
      <c r="F2876" s="859" t="s">
        <v>3</v>
      </c>
      <c r="G2876" s="860">
        <f>G2874/4</f>
        <v>4.8984000000000007E-3</v>
      </c>
      <c r="H2876" s="842"/>
      <c r="J2876" s="864"/>
      <c r="L2876" s="746"/>
    </row>
    <row r="2877" spans="3:12" x14ac:dyDescent="0.25">
      <c r="C2877" s="746" t="s">
        <v>8</v>
      </c>
      <c r="F2877" s="775" t="s">
        <v>3</v>
      </c>
      <c r="G2877" s="777">
        <f>G2878*0.7</f>
        <v>3.6400000000000009E-2</v>
      </c>
      <c r="H2877" s="842"/>
      <c r="J2877" s="864"/>
      <c r="L2877" s="746"/>
    </row>
    <row r="2878" spans="3:12" x14ac:dyDescent="0.25">
      <c r="C2878" s="746" t="s">
        <v>500</v>
      </c>
      <c r="F2878" s="775" t="s">
        <v>3</v>
      </c>
      <c r="G2878" s="777">
        <f>J2884*0.025*2*1.3</f>
        <v>5.2000000000000011E-2</v>
      </c>
      <c r="H2878" s="842"/>
      <c r="J2878" s="864"/>
      <c r="L2878" s="746"/>
    </row>
    <row r="2879" spans="3:12" x14ac:dyDescent="0.25">
      <c r="C2879" s="746" t="s">
        <v>12</v>
      </c>
      <c r="F2879" s="775" t="s">
        <v>3</v>
      </c>
      <c r="G2879" s="777">
        <f>0.3*(G2878+G2877)</f>
        <v>2.6520000000000005E-2</v>
      </c>
      <c r="H2879" s="842"/>
      <c r="J2879" s="864"/>
      <c r="L2879" s="746"/>
    </row>
    <row r="2880" spans="3:12" x14ac:dyDescent="0.25">
      <c r="C2880" s="73" t="s">
        <v>1021</v>
      </c>
      <c r="D2880" s="73"/>
      <c r="E2880" s="73"/>
      <c r="F2880" s="74" t="s">
        <v>3</v>
      </c>
      <c r="G2880" s="153">
        <f>G2877</f>
        <v>3.6400000000000009E-2</v>
      </c>
      <c r="H2880" s="842"/>
      <c r="J2880" s="864"/>
      <c r="L2880" s="746"/>
    </row>
    <row r="2881" spans="1:12" x14ac:dyDescent="0.25">
      <c r="C2881" s="73" t="s">
        <v>661</v>
      </c>
      <c r="D2881" s="73"/>
      <c r="E2881" s="73"/>
      <c r="F2881" s="74" t="s">
        <v>3</v>
      </c>
      <c r="G2881" s="153">
        <f>G2880*0.3*0.66</f>
        <v>7.2072000000000021E-3</v>
      </c>
      <c r="H2881" s="842"/>
      <c r="J2881" s="864"/>
      <c r="L2881" s="746"/>
    </row>
    <row r="2882" spans="1:12" x14ac:dyDescent="0.25">
      <c r="C2882" s="73" t="s">
        <v>1993</v>
      </c>
      <c r="D2882" s="73"/>
      <c r="E2882" s="73"/>
      <c r="F2882" s="74" t="s">
        <v>3</v>
      </c>
      <c r="G2882" s="153">
        <f>G2881/2</f>
        <v>3.6036000000000011E-3</v>
      </c>
      <c r="H2882" s="842"/>
      <c r="J2882" s="864"/>
      <c r="L2882" s="746"/>
    </row>
    <row r="2883" spans="1:12" x14ac:dyDescent="0.25">
      <c r="C2883" s="610"/>
      <c r="D2883" s="610" t="s">
        <v>12376</v>
      </c>
      <c r="G2883" s="777"/>
      <c r="H2883" s="842"/>
      <c r="J2883" s="864"/>
      <c r="L2883" s="746"/>
    </row>
    <row r="2884" spans="1:12" x14ac:dyDescent="0.25">
      <c r="C2884" s="610"/>
      <c r="D2884" s="901" t="s">
        <v>10559</v>
      </c>
      <c r="F2884" s="775" t="s">
        <v>3</v>
      </c>
      <c r="G2884" s="777">
        <f>0.715*L2884</f>
        <v>0.6149</v>
      </c>
      <c r="H2884" s="842"/>
      <c r="I2884" s="962" t="s">
        <v>10149</v>
      </c>
      <c r="J2884" s="864">
        <v>0.8</v>
      </c>
      <c r="K2884" s="874" t="s">
        <v>10150</v>
      </c>
      <c r="L2884" s="824">
        <v>0.86</v>
      </c>
    </row>
    <row r="2885" spans="1:12" x14ac:dyDescent="0.25">
      <c r="A2885" s="738"/>
      <c r="B2885" s="738"/>
      <c r="C2885" s="745"/>
      <c r="D2885" s="738"/>
      <c r="E2885" s="738"/>
      <c r="F2885" s="846"/>
      <c r="G2885" s="778"/>
      <c r="H2885" s="847"/>
      <c r="J2885" s="864"/>
      <c r="L2885" s="746"/>
    </row>
    <row r="2886" spans="1:12" x14ac:dyDescent="0.25">
      <c r="C2886" s="610"/>
      <c r="G2886" s="777"/>
      <c r="J2886" s="864"/>
      <c r="L2886" s="746"/>
    </row>
    <row r="2887" spans="1:12" x14ac:dyDescent="0.25">
      <c r="C2887" s="610"/>
      <c r="G2887" s="777"/>
      <c r="J2887" s="864"/>
      <c r="L2887" s="746"/>
    </row>
    <row r="2888" spans="1:12" x14ac:dyDescent="0.25">
      <c r="C2888" s="610" t="s">
        <v>12415</v>
      </c>
      <c r="G2888" s="777"/>
      <c r="J2888" s="864"/>
      <c r="L2888" s="746"/>
    </row>
    <row r="2889" spans="1:12" x14ac:dyDescent="0.25">
      <c r="C2889" s="610"/>
      <c r="G2889" s="777"/>
      <c r="J2889" s="864"/>
      <c r="L2889" s="746"/>
    </row>
    <row r="2890" spans="1:12" x14ac:dyDescent="0.25">
      <c r="C2890" s="610"/>
      <c r="D2890" s="610" t="s">
        <v>12416</v>
      </c>
      <c r="G2890" s="777"/>
      <c r="J2890" s="864"/>
      <c r="L2890" s="746"/>
    </row>
    <row r="2891" spans="1:12" x14ac:dyDescent="0.25">
      <c r="C2891" s="610"/>
      <c r="E2891" s="610" t="s">
        <v>12418</v>
      </c>
      <c r="G2891" s="777"/>
      <c r="J2891" s="864"/>
      <c r="L2891" s="746"/>
    </row>
    <row r="2892" spans="1:12" x14ac:dyDescent="0.25">
      <c r="C2892" s="610"/>
      <c r="E2892" s="901" t="s">
        <v>4514</v>
      </c>
      <c r="F2892" s="775" t="s">
        <v>3</v>
      </c>
      <c r="G2892" s="777">
        <f>0.54*0.31*1.5*8*1.15</f>
        <v>2.3101200000000004</v>
      </c>
      <c r="J2892" s="864"/>
      <c r="L2892" s="746"/>
    </row>
    <row r="2893" spans="1:12" x14ac:dyDescent="0.25">
      <c r="C2893" s="610"/>
      <c r="E2893" s="610" t="s">
        <v>12440</v>
      </c>
      <c r="F2893" s="775"/>
      <c r="G2893" s="777"/>
      <c r="J2893" s="864"/>
      <c r="L2893" s="746"/>
    </row>
    <row r="2894" spans="1:12" x14ac:dyDescent="0.25">
      <c r="C2894" s="610"/>
      <c r="E2894" s="901" t="s">
        <v>4514</v>
      </c>
      <c r="F2894" s="775" t="s">
        <v>3</v>
      </c>
      <c r="G2894" s="777">
        <f>0.02*0.225*1.5*8*1.15</f>
        <v>6.2100000000000002E-2</v>
      </c>
      <c r="J2894" s="864">
        <f>G2894*2+G2896*2</f>
        <v>0.37536000000000003</v>
      </c>
      <c r="L2894" s="746"/>
    </row>
    <row r="2895" spans="1:12" x14ac:dyDescent="0.25">
      <c r="C2895" s="610"/>
      <c r="E2895" s="610" t="s">
        <v>12441</v>
      </c>
      <c r="F2895" s="775"/>
      <c r="G2895" s="777"/>
      <c r="J2895" s="864">
        <f>J2894*2</f>
        <v>0.75072000000000005</v>
      </c>
      <c r="L2895" s="746"/>
    </row>
    <row r="2896" spans="1:12" x14ac:dyDescent="0.25">
      <c r="C2896" s="610"/>
      <c r="E2896" s="901" t="s">
        <v>4514</v>
      </c>
      <c r="F2896" s="775" t="s">
        <v>3</v>
      </c>
      <c r="G2896" s="777">
        <f>0.02*0.455*1.5*8*1.15</f>
        <v>0.12558</v>
      </c>
      <c r="J2896" s="864"/>
      <c r="L2896" s="746"/>
    </row>
    <row r="2897" spans="3:12" x14ac:dyDescent="0.25">
      <c r="C2897" s="610"/>
      <c r="D2897" s="610" t="s">
        <v>12417</v>
      </c>
      <c r="G2897" s="777"/>
      <c r="J2897" s="864"/>
      <c r="L2897" s="746"/>
    </row>
    <row r="2898" spans="3:12" x14ac:dyDescent="0.25">
      <c r="C2898" s="610"/>
      <c r="D2898" s="901" t="s">
        <v>4514</v>
      </c>
      <c r="F2898" s="775" t="s">
        <v>3</v>
      </c>
      <c r="G2898" s="777">
        <f>0.466*(0.185*2+0.25+0.025)*1.5*8*1.1505</f>
        <v>4.1496694200000004</v>
      </c>
      <c r="J2898" s="864"/>
      <c r="L2898" s="746"/>
    </row>
    <row r="2899" spans="3:12" x14ac:dyDescent="0.25">
      <c r="C2899" s="610"/>
      <c r="D2899" s="610" t="s">
        <v>12431</v>
      </c>
      <c r="G2899" s="777"/>
      <c r="J2899" s="864"/>
      <c r="L2899" s="746"/>
    </row>
    <row r="2900" spans="3:12" x14ac:dyDescent="0.25">
      <c r="C2900" s="610"/>
      <c r="D2900" s="901" t="s">
        <v>4514</v>
      </c>
      <c r="F2900" s="775" t="s">
        <v>3</v>
      </c>
      <c r="G2900" s="777">
        <v>0.84499999999999997</v>
      </c>
      <c r="J2900" s="1018" t="s">
        <v>12432</v>
      </c>
      <c r="L2900" s="782">
        <f>G2900*4</f>
        <v>3.38</v>
      </c>
    </row>
    <row r="2901" spans="3:12" x14ac:dyDescent="0.25">
      <c r="C2901" s="610"/>
      <c r="J2901" s="864"/>
      <c r="L2901" s="746"/>
    </row>
    <row r="2902" spans="3:12" x14ac:dyDescent="0.25">
      <c r="C2902" s="610"/>
      <c r="J2902" s="864"/>
      <c r="L2902" s="746"/>
    </row>
    <row r="2903" spans="3:12" x14ac:dyDescent="0.25">
      <c r="C2903" s="610"/>
      <c r="G2903" s="777"/>
      <c r="J2903" s="864"/>
      <c r="L2903" s="746"/>
    </row>
    <row r="2904" spans="3:12" x14ac:dyDescent="0.25">
      <c r="C2904" s="610"/>
      <c r="G2904" s="777">
        <f>(G2892+G2898)*2</f>
        <v>12.919578840000002</v>
      </c>
      <c r="J2904" s="864"/>
      <c r="L2904" s="746"/>
    </row>
    <row r="2905" spans="3:12" x14ac:dyDescent="0.25">
      <c r="C2905" s="610"/>
      <c r="G2905" s="777"/>
      <c r="J2905" s="864"/>
      <c r="L2905" s="746"/>
    </row>
    <row r="2906" spans="3:12" x14ac:dyDescent="0.25">
      <c r="C2906" s="610"/>
      <c r="G2906" s="777"/>
      <c r="J2906" s="864"/>
      <c r="L2906" s="746"/>
    </row>
    <row r="2907" spans="3:12" x14ac:dyDescent="0.25">
      <c r="C2907" s="610"/>
      <c r="G2907" s="777"/>
      <c r="J2907" s="864"/>
      <c r="L2907" s="746"/>
    </row>
    <row r="2908" spans="3:12" x14ac:dyDescent="0.25">
      <c r="C2908" s="610"/>
      <c r="G2908" s="777"/>
      <c r="J2908" s="864"/>
      <c r="L2908" s="746"/>
    </row>
    <row r="2909" spans="3:12" x14ac:dyDescent="0.25">
      <c r="C2909" s="610"/>
      <c r="G2909" s="777"/>
      <c r="J2909" s="864"/>
      <c r="L2909" s="746"/>
    </row>
    <row r="2910" spans="3:12" x14ac:dyDescent="0.25">
      <c r="C2910" s="610"/>
      <c r="G2910" s="777"/>
      <c r="J2910" s="864"/>
      <c r="L2910" s="746"/>
    </row>
    <row r="2911" spans="3:12" x14ac:dyDescent="0.25">
      <c r="C2911" s="610"/>
      <c r="G2911" s="777"/>
      <c r="J2911" s="864"/>
      <c r="L2911" s="746"/>
    </row>
    <row r="2912" spans="3:12" x14ac:dyDescent="0.25">
      <c r="C2912" s="610"/>
      <c r="G2912" s="777"/>
      <c r="J2912" s="864"/>
      <c r="L2912" s="746"/>
    </row>
    <row r="2913" spans="3:12" x14ac:dyDescent="0.25">
      <c r="C2913" s="610"/>
      <c r="G2913" s="777"/>
      <c r="J2913" s="864"/>
      <c r="L2913" s="746"/>
    </row>
    <row r="2914" spans="3:12" x14ac:dyDescent="0.25">
      <c r="C2914" s="610"/>
      <c r="G2914" s="777"/>
      <c r="J2914" s="864"/>
      <c r="L2914" s="746"/>
    </row>
    <row r="2915" spans="3:12" x14ac:dyDescent="0.25">
      <c r="C2915" s="610"/>
      <c r="G2915" s="777"/>
      <c r="J2915" s="864"/>
      <c r="L2915" s="746"/>
    </row>
    <row r="2916" spans="3:12" x14ac:dyDescent="0.25">
      <c r="C2916" s="610"/>
      <c r="G2916" s="777"/>
      <c r="J2916" s="864"/>
      <c r="L2916" s="746"/>
    </row>
    <row r="2917" spans="3:12" x14ac:dyDescent="0.25">
      <c r="C2917" s="610"/>
      <c r="G2917" s="777"/>
      <c r="J2917" s="864"/>
      <c r="L2917" s="746"/>
    </row>
    <row r="2918" spans="3:12" x14ac:dyDescent="0.25">
      <c r="C2918" s="610"/>
      <c r="G2918" s="777"/>
      <c r="J2918" s="864"/>
      <c r="L2918" s="746"/>
    </row>
    <row r="2919" spans="3:12" x14ac:dyDescent="0.25">
      <c r="C2919" s="610"/>
      <c r="G2919" s="777"/>
      <c r="J2919" s="864"/>
      <c r="L2919" s="746"/>
    </row>
    <row r="2920" spans="3:12" x14ac:dyDescent="0.25">
      <c r="C2920" s="610"/>
      <c r="G2920" s="777"/>
      <c r="J2920" s="864"/>
      <c r="L2920" s="746"/>
    </row>
    <row r="2921" spans="3:12" x14ac:dyDescent="0.25">
      <c r="C2921" s="610"/>
      <c r="G2921" s="777"/>
      <c r="J2921" s="864"/>
      <c r="L2921" s="746"/>
    </row>
    <row r="2922" spans="3:12" x14ac:dyDescent="0.25">
      <c r="C2922" s="610"/>
      <c r="G2922" s="777"/>
      <c r="J2922" s="864"/>
      <c r="L2922" s="746"/>
    </row>
    <row r="2923" spans="3:12" x14ac:dyDescent="0.25">
      <c r="C2923" s="610"/>
      <c r="G2923" s="777"/>
      <c r="J2923" s="864"/>
      <c r="L2923" s="746"/>
    </row>
    <row r="2924" spans="3:12" x14ac:dyDescent="0.25">
      <c r="C2924" s="610" t="s">
        <v>11414</v>
      </c>
      <c r="G2924" s="777"/>
      <c r="J2924" s="864"/>
      <c r="L2924" s="746"/>
    </row>
    <row r="2925" spans="3:12" x14ac:dyDescent="0.25">
      <c r="C2925" s="834" t="s">
        <v>39</v>
      </c>
      <c r="D2925" s="619"/>
      <c r="E2925" s="619"/>
      <c r="F2925" s="827" t="s">
        <v>3</v>
      </c>
      <c r="G2925" s="785">
        <f>0.18*0.08*1.18</f>
        <v>1.6992E-2</v>
      </c>
      <c r="J2925" s="864"/>
      <c r="L2925" s="746"/>
    </row>
    <row r="2926" spans="3:12" ht="17.25" x14ac:dyDescent="0.25">
      <c r="C2926" s="834" t="s">
        <v>1055</v>
      </c>
      <c r="D2926" s="619"/>
      <c r="E2926" s="619"/>
      <c r="F2926" s="827" t="s">
        <v>596</v>
      </c>
      <c r="G2926" s="777">
        <f>1.5*G2925+0.001</f>
        <v>2.6488000000000001E-2</v>
      </c>
      <c r="J2926" s="864"/>
      <c r="L2926" s="746"/>
    </row>
    <row r="2927" spans="3:12" x14ac:dyDescent="0.25">
      <c r="C2927" s="901" t="s">
        <v>6248</v>
      </c>
      <c r="F2927" s="859" t="s">
        <v>3</v>
      </c>
      <c r="G2927" s="777">
        <f>0.32*0.05*2*0.15*2*1.3</f>
        <v>1.248E-2</v>
      </c>
      <c r="J2927" s="864"/>
      <c r="L2927" s="746"/>
    </row>
    <row r="2928" spans="3:12" x14ac:dyDescent="0.25">
      <c r="C2928" s="746" t="s">
        <v>8</v>
      </c>
      <c r="F2928" s="859" t="s">
        <v>3</v>
      </c>
      <c r="G2928" s="777">
        <f>G2927*0.75</f>
        <v>9.3600000000000003E-3</v>
      </c>
      <c r="J2928" s="864"/>
      <c r="L2928" s="746"/>
    </row>
    <row r="2929" spans="3:12" x14ac:dyDescent="0.25">
      <c r="C2929" s="901" t="s">
        <v>12</v>
      </c>
      <c r="F2929" s="91" t="s">
        <v>3</v>
      </c>
      <c r="G2929" s="777">
        <f>0.3*(G2928+G2927)</f>
        <v>6.5519999999999997E-3</v>
      </c>
      <c r="J2929" s="864"/>
      <c r="L2929" s="746"/>
    </row>
    <row r="2930" spans="3:12" x14ac:dyDescent="0.25">
      <c r="C2930" s="610"/>
      <c r="D2930" s="610" t="s">
        <v>11415</v>
      </c>
      <c r="G2930" s="777"/>
      <c r="J2930" s="864"/>
      <c r="L2930" s="746"/>
    </row>
    <row r="2931" spans="3:12" x14ac:dyDescent="0.25">
      <c r="C2931" s="610"/>
      <c r="D2931" s="901" t="s">
        <v>11416</v>
      </c>
      <c r="F2931" s="775" t="s">
        <v>3</v>
      </c>
      <c r="G2931" s="777">
        <f>0.306*0.03*1.5*8*1.135</f>
        <v>0.12503159999999996</v>
      </c>
      <c r="J2931" s="864"/>
      <c r="L2931" s="746"/>
    </row>
    <row r="2932" spans="3:12" x14ac:dyDescent="0.25">
      <c r="C2932" s="610"/>
      <c r="D2932" s="610" t="s">
        <v>11417</v>
      </c>
      <c r="G2932" s="777"/>
      <c r="J2932" s="864"/>
      <c r="L2932" s="746"/>
    </row>
    <row r="2933" spans="3:12" x14ac:dyDescent="0.25">
      <c r="C2933" s="610"/>
      <c r="D2933" s="901" t="s">
        <v>11408</v>
      </c>
      <c r="F2933" s="775" t="s">
        <v>3</v>
      </c>
      <c r="G2933" s="777">
        <f>0.04*0.02*3*8*1.12</f>
        <v>2.1504000000000006E-2</v>
      </c>
      <c r="J2933" s="864"/>
      <c r="L2933" s="746"/>
    </row>
    <row r="2934" spans="3:12" x14ac:dyDescent="0.25">
      <c r="C2934" s="610"/>
      <c r="G2934" s="777"/>
      <c r="J2934" s="864"/>
      <c r="L2934" s="746"/>
    </row>
    <row r="2935" spans="3:12" x14ac:dyDescent="0.25">
      <c r="C2935" s="610" t="s">
        <v>11418</v>
      </c>
      <c r="G2935" s="777"/>
      <c r="J2935" s="864"/>
      <c r="L2935" s="746"/>
    </row>
    <row r="2936" spans="3:12" x14ac:dyDescent="0.25">
      <c r="C2936" s="746" t="s">
        <v>10572</v>
      </c>
      <c r="F2936" s="775" t="s">
        <v>3</v>
      </c>
      <c r="G2936" s="777">
        <f>0.74*L2936</f>
        <v>0.14799999999999999</v>
      </c>
      <c r="I2936" s="962" t="s">
        <v>10149</v>
      </c>
      <c r="J2936" s="864">
        <v>0.16</v>
      </c>
      <c r="K2936" s="874" t="s">
        <v>10150</v>
      </c>
      <c r="L2936" s="824">
        <v>0.2</v>
      </c>
    </row>
    <row r="2937" spans="3:12" x14ac:dyDescent="0.25">
      <c r="C2937" s="610"/>
      <c r="G2937" s="777"/>
      <c r="J2937" s="864"/>
      <c r="L2937" s="746"/>
    </row>
    <row r="2938" spans="3:12" x14ac:dyDescent="0.25">
      <c r="C2938" s="610" t="s">
        <v>11419</v>
      </c>
      <c r="G2938" s="777"/>
      <c r="J2938" s="864"/>
      <c r="L2938" s="746"/>
    </row>
    <row r="2939" spans="3:12" x14ac:dyDescent="0.25">
      <c r="C2939" s="746" t="s">
        <v>4362</v>
      </c>
      <c r="F2939" s="775" t="s">
        <v>3</v>
      </c>
      <c r="G2939" s="777">
        <f>0.06*0.02*4*8*1.15</f>
        <v>4.4159999999999991E-2</v>
      </c>
      <c r="J2939" s="864"/>
      <c r="L2939" s="746"/>
    </row>
    <row r="2940" spans="3:12" x14ac:dyDescent="0.25">
      <c r="C2940" s="610"/>
      <c r="G2940" s="777"/>
      <c r="J2940" s="864"/>
      <c r="L2940" s="746"/>
    </row>
    <row r="2941" spans="3:12" x14ac:dyDescent="0.25">
      <c r="C2941" s="610" t="s">
        <v>11420</v>
      </c>
      <c r="G2941" s="777"/>
      <c r="J2941" s="864"/>
      <c r="L2941" s="746"/>
    </row>
    <row r="2942" spans="3:12" x14ac:dyDescent="0.25">
      <c r="C2942" s="746" t="s">
        <v>11426</v>
      </c>
      <c r="F2942" s="775" t="s">
        <v>1516</v>
      </c>
      <c r="G2942" s="777">
        <v>2</v>
      </c>
      <c r="J2942" s="864"/>
      <c r="L2942" s="746"/>
    </row>
    <row r="2943" spans="3:12" x14ac:dyDescent="0.25">
      <c r="C2943" s="746" t="s">
        <v>11427</v>
      </c>
      <c r="F2943" s="775" t="s">
        <v>1516</v>
      </c>
      <c r="G2943" s="777">
        <v>4</v>
      </c>
      <c r="J2943" s="864"/>
      <c r="L2943" s="746"/>
    </row>
    <row r="2944" spans="3:12" x14ac:dyDescent="0.25">
      <c r="C2944" s="746" t="s">
        <v>3724</v>
      </c>
      <c r="F2944" s="775" t="s">
        <v>3</v>
      </c>
      <c r="G2944" s="777">
        <f>0.15*0.12*0.2*2*1.3</f>
        <v>9.3600000000000003E-3</v>
      </c>
      <c r="J2944" s="864"/>
      <c r="L2944" s="746"/>
    </row>
    <row r="2945" spans="3:12" x14ac:dyDescent="0.25">
      <c r="C2945" s="901" t="s">
        <v>6248</v>
      </c>
      <c r="F2945" s="859" t="s">
        <v>3</v>
      </c>
      <c r="G2945" s="777">
        <f>0.265*0.22*2*0.15*2*1.2</f>
        <v>4.1976000000000006E-2</v>
      </c>
      <c r="J2945" s="864"/>
      <c r="L2945" s="746"/>
    </row>
    <row r="2946" spans="3:12" x14ac:dyDescent="0.25">
      <c r="C2946" s="746" t="s">
        <v>8</v>
      </c>
      <c r="F2946" s="859" t="s">
        <v>3</v>
      </c>
      <c r="G2946" s="777">
        <f>G2945*0.75</f>
        <v>3.1482000000000003E-2</v>
      </c>
      <c r="J2946" s="864"/>
      <c r="L2946" s="746"/>
    </row>
    <row r="2947" spans="3:12" x14ac:dyDescent="0.25">
      <c r="C2947" s="901" t="s">
        <v>12</v>
      </c>
      <c r="F2947" s="91" t="s">
        <v>3</v>
      </c>
      <c r="G2947" s="777">
        <f>0.3*(G2946+G2945)</f>
        <v>2.2037400000000002E-2</v>
      </c>
      <c r="J2947" s="864"/>
      <c r="L2947" s="746"/>
    </row>
    <row r="2948" spans="3:12" x14ac:dyDescent="0.25">
      <c r="C2948" s="610"/>
      <c r="D2948" s="610" t="s">
        <v>11421</v>
      </c>
      <c r="G2948" s="777"/>
      <c r="J2948" s="864"/>
      <c r="L2948" s="746"/>
    </row>
    <row r="2949" spans="3:12" x14ac:dyDescent="0.25">
      <c r="C2949" s="610"/>
      <c r="D2949" s="901" t="s">
        <v>9722</v>
      </c>
      <c r="F2949" s="775" t="s">
        <v>3</v>
      </c>
      <c r="G2949" s="777">
        <f>0.265*0.215*1*8*1.152</f>
        <v>0.52508160000000004</v>
      </c>
      <c r="J2949" s="864"/>
      <c r="L2949" s="746"/>
    </row>
    <row r="2950" spans="3:12" x14ac:dyDescent="0.25">
      <c r="C2950" s="610"/>
      <c r="D2950" s="610" t="s">
        <v>11422</v>
      </c>
      <c r="G2950" s="777"/>
      <c r="J2950" s="864"/>
      <c r="L2950" s="746"/>
    </row>
    <row r="2951" spans="3:12" x14ac:dyDescent="0.25">
      <c r="C2951" s="610"/>
      <c r="D2951" s="901" t="s">
        <v>4514</v>
      </c>
      <c r="F2951" s="775" t="s">
        <v>3</v>
      </c>
      <c r="G2951" s="777">
        <f>0.16*0.11*1.5*8*1.15</f>
        <v>0.24287999999999998</v>
      </c>
      <c r="J2951" s="864"/>
      <c r="L2951" s="746"/>
    </row>
    <row r="2952" spans="3:12" x14ac:dyDescent="0.25">
      <c r="C2952" s="610"/>
      <c r="D2952" s="610" t="s">
        <v>11423</v>
      </c>
      <c r="G2952" s="777"/>
      <c r="J2952" s="864"/>
      <c r="L2952" s="746"/>
    </row>
    <row r="2953" spans="3:12" x14ac:dyDescent="0.25">
      <c r="C2953" s="610"/>
      <c r="D2953" s="901" t="s">
        <v>11424</v>
      </c>
      <c r="F2953" s="775" t="s">
        <v>3</v>
      </c>
      <c r="G2953" s="777">
        <f>0.055*0.015*0.75*8*1.12</f>
        <v>5.5440000000000003E-3</v>
      </c>
      <c r="J2953" s="864"/>
      <c r="L2953" s="746"/>
    </row>
    <row r="2954" spans="3:12" x14ac:dyDescent="0.25">
      <c r="C2954" s="610"/>
      <c r="D2954" s="610" t="s">
        <v>11425</v>
      </c>
      <c r="G2954" s="777"/>
      <c r="J2954" s="864"/>
      <c r="L2954" s="746"/>
    </row>
    <row r="2955" spans="3:12" x14ac:dyDescent="0.25">
      <c r="C2955" s="610"/>
      <c r="D2955" s="901" t="s">
        <v>4516</v>
      </c>
      <c r="F2955" s="775" t="s">
        <v>3</v>
      </c>
      <c r="G2955" s="777">
        <f>0.035*0.02*2*8*1.15</f>
        <v>1.2880000000000001E-2</v>
      </c>
      <c r="J2955" s="864"/>
      <c r="L2955" s="746"/>
    </row>
    <row r="2956" spans="3:12" x14ac:dyDescent="0.25">
      <c r="C2956" s="610"/>
      <c r="G2956" s="777"/>
      <c r="J2956" s="864"/>
      <c r="L2956" s="746"/>
    </row>
    <row r="2957" spans="3:12" x14ac:dyDescent="0.25">
      <c r="C2957" s="610"/>
      <c r="G2957" s="777"/>
      <c r="J2957" s="864"/>
      <c r="L2957" s="746"/>
    </row>
    <row r="2958" spans="3:12" x14ac:dyDescent="0.25">
      <c r="C2958" s="610"/>
      <c r="G2958" s="777"/>
      <c r="J2958" s="864"/>
      <c r="L2958" s="746"/>
    </row>
    <row r="2959" spans="3:12" x14ac:dyDescent="0.25">
      <c r="G2959" s="777"/>
      <c r="J2959" s="864"/>
      <c r="L2959" s="746"/>
    </row>
    <row r="2960" spans="3:12" x14ac:dyDescent="0.25">
      <c r="C2960" s="943" t="s">
        <v>11280</v>
      </c>
      <c r="D2960" s="944"/>
      <c r="E2960" s="944"/>
      <c r="F2960" s="945"/>
      <c r="G2960" s="946"/>
      <c r="H2960" s="961" t="s">
        <v>11286</v>
      </c>
      <c r="I2960" s="947"/>
      <c r="J2960" s="948"/>
      <c r="K2960" s="944"/>
      <c r="L2960" s="949"/>
    </row>
    <row r="2961" spans="2:12" x14ac:dyDescent="0.25">
      <c r="C2961" s="950" t="s">
        <v>10058</v>
      </c>
      <c r="D2961" s="619"/>
      <c r="E2961" s="619"/>
      <c r="F2961" s="827" t="s">
        <v>3</v>
      </c>
      <c r="G2961" s="777">
        <f>(0.032*3.14*2+0.08)*0.08*1.1</f>
        <v>2.472448E-2</v>
      </c>
      <c r="H2961" s="619"/>
      <c r="I2961" s="834"/>
      <c r="J2961" s="951"/>
      <c r="K2961" s="619"/>
      <c r="L2961" s="842"/>
    </row>
    <row r="2962" spans="2:12" ht="17.25" x14ac:dyDescent="0.25">
      <c r="C2962" s="952" t="s">
        <v>121</v>
      </c>
      <c r="D2962" s="619"/>
      <c r="E2962" s="619"/>
      <c r="F2962" s="827" t="s">
        <v>596</v>
      </c>
      <c r="G2962" s="777">
        <f>G2961*1.1</f>
        <v>2.7196928000000002E-2</v>
      </c>
      <c r="H2962" s="619"/>
      <c r="I2962" s="834"/>
      <c r="J2962" s="951"/>
      <c r="K2962" s="619"/>
      <c r="L2962" s="842"/>
    </row>
    <row r="2963" spans="2:12" x14ac:dyDescent="0.25">
      <c r="C2963" s="953"/>
      <c r="D2963" s="615" t="s">
        <v>11281</v>
      </c>
      <c r="E2963" s="619"/>
      <c r="F2963" s="827"/>
      <c r="G2963" s="777"/>
      <c r="H2963" s="619"/>
      <c r="I2963" s="834"/>
      <c r="J2963" s="951"/>
      <c r="K2963" s="619"/>
      <c r="L2963" s="842"/>
    </row>
    <row r="2964" spans="2:12" x14ac:dyDescent="0.25">
      <c r="C2964" s="953"/>
      <c r="D2964" s="736" t="s">
        <v>11282</v>
      </c>
      <c r="E2964" s="619"/>
      <c r="F2964" s="954" t="s">
        <v>3</v>
      </c>
      <c r="G2964" s="777">
        <f>0.08*0.2*1*8*1.09</f>
        <v>0.13952000000000001</v>
      </c>
      <c r="H2964" s="619"/>
      <c r="I2964" s="834"/>
      <c r="J2964" s="951"/>
      <c r="K2964" s="619"/>
      <c r="L2964" s="842"/>
    </row>
    <row r="2965" spans="2:12" x14ac:dyDescent="0.25">
      <c r="C2965" s="953"/>
      <c r="D2965" s="942" t="s">
        <v>10058</v>
      </c>
      <c r="E2965" s="619"/>
      <c r="F2965" s="827" t="s">
        <v>3</v>
      </c>
      <c r="G2965" s="777">
        <f>0.07*0.08*1.1</f>
        <v>6.1600000000000014E-3</v>
      </c>
      <c r="H2965" s="619"/>
      <c r="I2965" s="834"/>
      <c r="J2965" s="951"/>
      <c r="K2965" s="619"/>
      <c r="L2965" s="842"/>
    </row>
    <row r="2966" spans="2:12" ht="17.25" x14ac:dyDescent="0.25">
      <c r="C2966" s="953"/>
      <c r="D2966" s="834" t="s">
        <v>121</v>
      </c>
      <c r="E2966" s="619"/>
      <c r="F2966" s="827" t="s">
        <v>596</v>
      </c>
      <c r="G2966" s="777">
        <f>G2965*1.1</f>
        <v>6.7760000000000025E-3</v>
      </c>
      <c r="H2966" s="619"/>
      <c r="I2966" s="834"/>
      <c r="J2966" s="951"/>
      <c r="K2966" s="619"/>
      <c r="L2966" s="842"/>
    </row>
    <row r="2967" spans="2:12" x14ac:dyDescent="0.25">
      <c r="C2967" s="953"/>
      <c r="D2967" s="615" t="s">
        <v>11283</v>
      </c>
      <c r="E2967" s="619"/>
      <c r="F2967" s="827"/>
      <c r="G2967" s="777"/>
      <c r="H2967" s="619"/>
      <c r="I2967" s="834"/>
      <c r="J2967" s="951"/>
      <c r="K2967" s="619"/>
      <c r="L2967" s="842"/>
    </row>
    <row r="2968" spans="2:12" x14ac:dyDescent="0.25">
      <c r="C2968" s="953"/>
      <c r="D2968" s="736" t="s">
        <v>11282</v>
      </c>
      <c r="E2968" s="619"/>
      <c r="F2968" s="954" t="s">
        <v>3</v>
      </c>
      <c r="G2968" s="777">
        <f>0.04*0.032*1*8*1.15</f>
        <v>1.1776E-2</v>
      </c>
      <c r="H2968" s="619"/>
      <c r="I2968" s="834"/>
      <c r="J2968" s="951"/>
      <c r="K2968" s="619"/>
      <c r="L2968" s="842"/>
    </row>
    <row r="2969" spans="2:12" x14ac:dyDescent="0.25">
      <c r="C2969" s="953"/>
      <c r="D2969" s="619"/>
      <c r="E2969" s="619"/>
      <c r="F2969" s="827"/>
      <c r="G2969" s="777"/>
      <c r="H2969" s="619"/>
      <c r="I2969" s="834"/>
      <c r="J2969" s="951"/>
      <c r="K2969" s="619"/>
      <c r="L2969" s="842"/>
    </row>
    <row r="2970" spans="2:12" x14ac:dyDescent="0.25">
      <c r="C2970" s="955" t="s">
        <v>11284</v>
      </c>
      <c r="D2970" s="619"/>
      <c r="E2970" s="619"/>
      <c r="F2970" s="827"/>
      <c r="G2970" s="777"/>
      <c r="H2970" s="619"/>
      <c r="I2970" s="834"/>
      <c r="J2970" s="951"/>
      <c r="K2970" s="619"/>
      <c r="L2970" s="842"/>
    </row>
    <row r="2971" spans="2:12" x14ac:dyDescent="0.25">
      <c r="C2971" s="956" t="s">
        <v>11285</v>
      </c>
      <c r="D2971" s="738"/>
      <c r="E2971" s="738"/>
      <c r="F2971" s="957" t="s">
        <v>3</v>
      </c>
      <c r="G2971" s="778">
        <f>1.72*L2971</f>
        <v>0.95460000000000012</v>
      </c>
      <c r="H2971" s="738"/>
      <c r="I2971" s="958" t="s">
        <v>10149</v>
      </c>
      <c r="J2971" s="959">
        <v>0.35</v>
      </c>
      <c r="K2971" s="958" t="s">
        <v>10150</v>
      </c>
      <c r="L2971" s="960">
        <v>0.55500000000000005</v>
      </c>
    </row>
    <row r="2972" spans="2:12" x14ac:dyDescent="0.25">
      <c r="G2972" s="777"/>
      <c r="J2972" s="864"/>
      <c r="L2972" s="746"/>
    </row>
    <row r="2973" spans="2:12" x14ac:dyDescent="0.25">
      <c r="G2973" s="777"/>
      <c r="J2973" s="864"/>
      <c r="L2973" s="746"/>
    </row>
    <row r="2974" spans="2:12" x14ac:dyDescent="0.25">
      <c r="G2974" s="777"/>
      <c r="J2974" s="864"/>
      <c r="L2974" s="746"/>
    </row>
    <row r="2975" spans="2:12" x14ac:dyDescent="0.25">
      <c r="B2975" s="73"/>
      <c r="C2975" s="78"/>
      <c r="D2975" s="77"/>
      <c r="E2975" s="77"/>
      <c r="F2975" s="152"/>
      <c r="G2975" s="427"/>
      <c r="H2975" s="427"/>
      <c r="J2975" s="864"/>
      <c r="L2975" s="746"/>
    </row>
    <row r="2976" spans="2:12" x14ac:dyDescent="0.25">
      <c r="B2976" s="73"/>
      <c r="C2976" s="78"/>
      <c r="D2976" s="77"/>
      <c r="E2976" s="77"/>
      <c r="F2976" s="152"/>
      <c r="G2976" s="427"/>
      <c r="H2976" s="427"/>
      <c r="J2976" s="864"/>
      <c r="L2976" s="746"/>
    </row>
    <row r="2977" spans="2:12" ht="18.75" x14ac:dyDescent="0.3">
      <c r="B2977" s="202"/>
      <c r="C2977" s="77"/>
      <c r="D2977" s="77"/>
      <c r="E2977" s="77"/>
      <c r="F2977" s="152"/>
      <c r="G2977" s="427"/>
      <c r="H2977" s="427"/>
      <c r="J2977" s="864"/>
      <c r="L2977" s="746"/>
    </row>
    <row r="2978" spans="2:12" ht="15.75" x14ac:dyDescent="0.25">
      <c r="B2978" s="73"/>
      <c r="C2978" s="78"/>
      <c r="D2978" s="77"/>
      <c r="E2978" s="816"/>
      <c r="F2978" s="152"/>
      <c r="G2978" s="427"/>
      <c r="H2978" s="427"/>
      <c r="J2978" s="864"/>
      <c r="L2978" s="746"/>
    </row>
    <row r="2979" spans="2:12" ht="15.75" x14ac:dyDescent="0.25">
      <c r="B2979" s="73"/>
      <c r="C2979" s="78"/>
      <c r="D2979" s="77"/>
      <c r="E2979" s="816"/>
      <c r="F2979" s="152"/>
      <c r="G2979" s="427"/>
      <c r="H2979" s="427"/>
      <c r="J2979" s="864"/>
      <c r="L2979" s="746"/>
    </row>
    <row r="2980" spans="2:12" x14ac:dyDescent="0.25">
      <c r="B2980" s="73"/>
      <c r="C2980" s="78"/>
      <c r="D2980" s="77"/>
      <c r="E2980" s="77"/>
      <c r="F2980" s="152"/>
      <c r="G2980" s="817"/>
      <c r="H2980" s="817"/>
      <c r="J2980" s="864"/>
      <c r="L2980" s="746"/>
    </row>
    <row r="2981" spans="2:12" x14ac:dyDescent="0.25">
      <c r="B2981" s="73"/>
      <c r="C2981" s="186"/>
      <c r="D2981" s="77"/>
      <c r="E2981" s="77"/>
      <c r="F2981" s="152"/>
      <c r="G2981" s="427"/>
      <c r="H2981" s="427"/>
      <c r="J2981" s="864"/>
      <c r="L2981" s="746"/>
    </row>
    <row r="2982" spans="2:12" x14ac:dyDescent="0.25">
      <c r="B2982" s="73"/>
      <c r="C2982" s="186"/>
      <c r="D2982" s="77"/>
      <c r="E2982" s="77"/>
      <c r="F2982" s="152"/>
      <c r="G2982" s="427"/>
      <c r="H2982" s="427"/>
      <c r="J2982" s="864"/>
      <c r="L2982" s="746"/>
    </row>
    <row r="2983" spans="2:12" x14ac:dyDescent="0.25">
      <c r="B2983" s="73"/>
      <c r="C2983" s="186"/>
      <c r="D2983" s="77"/>
      <c r="E2983" s="77"/>
      <c r="F2983" s="152"/>
      <c r="G2983" s="427"/>
      <c r="H2983" s="427"/>
      <c r="I2983" s="746"/>
      <c r="J2983" s="746"/>
      <c r="L2983" s="746"/>
    </row>
    <row r="2984" spans="2:12" x14ac:dyDescent="0.25">
      <c r="B2984" s="73"/>
      <c r="C2984" s="186"/>
      <c r="D2984" s="77"/>
      <c r="E2984" s="77"/>
      <c r="F2984" s="152"/>
      <c r="G2984" s="427"/>
      <c r="H2984" s="427"/>
      <c r="I2984" s="746"/>
      <c r="J2984" s="746"/>
      <c r="L2984" s="746"/>
    </row>
    <row r="2985" spans="2:12" x14ac:dyDescent="0.25">
      <c r="B2985" s="73"/>
      <c r="C2985" s="186"/>
      <c r="D2985" s="77"/>
      <c r="E2985" s="77"/>
      <c r="F2985" s="152"/>
      <c r="G2985" s="427"/>
      <c r="H2985" s="427"/>
      <c r="I2985" s="746"/>
      <c r="J2985" s="746"/>
      <c r="L2985" s="746"/>
    </row>
    <row r="2986" spans="2:12" x14ac:dyDescent="0.25">
      <c r="G2986" s="746"/>
      <c r="I2986" s="746"/>
      <c r="J2986" s="746"/>
      <c r="L2986" s="746"/>
    </row>
    <row r="2987" spans="2:12" x14ac:dyDescent="0.25">
      <c r="G2987" s="746"/>
      <c r="I2987" s="746"/>
      <c r="J2987" s="746"/>
      <c r="L2987" s="746"/>
    </row>
    <row r="2988" spans="2:12" x14ac:dyDescent="0.25">
      <c r="G2988" s="746"/>
      <c r="I2988" s="746"/>
      <c r="J2988" s="746"/>
      <c r="L2988" s="746"/>
    </row>
    <row r="2989" spans="2:12" x14ac:dyDescent="0.25">
      <c r="G2989" s="746"/>
      <c r="I2989" s="746"/>
      <c r="J2989" s="746"/>
      <c r="L2989" s="746"/>
    </row>
    <row r="2990" spans="2:12" x14ac:dyDescent="0.25">
      <c r="G2990" s="746"/>
      <c r="I2990" s="746"/>
      <c r="J2990" s="746"/>
      <c r="L2990" s="746"/>
    </row>
    <row r="2991" spans="2:12" x14ac:dyDescent="0.25">
      <c r="G2991" s="746"/>
      <c r="I2991" s="746"/>
      <c r="J2991" s="746"/>
      <c r="L2991" s="746"/>
    </row>
    <row r="2992" spans="2:12" x14ac:dyDescent="0.25">
      <c r="G2992" s="746"/>
      <c r="I2992" s="746"/>
      <c r="J2992" s="746"/>
      <c r="L2992" s="746"/>
    </row>
    <row r="2993" spans="6:12" x14ac:dyDescent="0.25">
      <c r="F2993" s="746"/>
      <c r="G2993" s="746"/>
      <c r="I2993" s="746"/>
      <c r="J2993" s="746"/>
      <c r="L2993" s="746"/>
    </row>
  </sheetData>
  <sortState ref="D1187:L1193">
    <sortCondition ref="L1803:L1809"/>
  </sortState>
  <pageMargins left="0.19685039370078741" right="0.70866141732283461" top="0.19685039370078741" bottom="0.19685039370078741" header="0.31496062992125984" footer="0.31496062992125984"/>
  <pageSetup paperSize="9" scale="37" fitToHeight="0" orientation="portrait" useFirstPageNumber="1" r:id="rId1"/>
  <cellWatches>
    <cellWatch r="G1609"/>
  </cellWatches>
  <ignoredErrors>
    <ignoredError sqref="G1565 G1549 G1557 G1541 G1533 G198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4"/>
  <sheetViews>
    <sheetView topLeftCell="A17" workbookViewId="0">
      <selection activeCell="C17" sqref="C17"/>
    </sheetView>
  </sheetViews>
  <sheetFormatPr defaultRowHeight="15" x14ac:dyDescent="0.25"/>
  <cols>
    <col min="1" max="1" width="3.85546875" customWidth="1"/>
    <col min="2" max="2" width="5.42578125" customWidth="1"/>
    <col min="3" max="3" width="2.140625" customWidth="1"/>
    <col min="4" max="4" width="2.42578125" customWidth="1"/>
    <col min="5" max="5" width="43.5703125" customWidth="1"/>
    <col min="6" max="6" width="4.85546875" style="537" customWidth="1"/>
    <col min="7" max="7" width="9.5703125" style="10" bestFit="1" customWidth="1"/>
    <col min="8" max="8" width="18.7109375" customWidth="1"/>
    <col min="9" max="9" width="22.42578125" customWidth="1"/>
    <col min="10" max="10" width="5" customWidth="1"/>
  </cols>
  <sheetData>
    <row r="1" spans="1:9" x14ac:dyDescent="0.25">
      <c r="A1" s="159"/>
      <c r="B1" s="93"/>
      <c r="C1" s="93"/>
      <c r="D1" s="93"/>
      <c r="E1" s="93"/>
      <c r="F1" s="175" t="s">
        <v>6442</v>
      </c>
      <c r="G1" s="176"/>
    </row>
    <row r="2" spans="1:9" ht="18.75" x14ac:dyDescent="0.25">
      <c r="A2" s="163"/>
      <c r="B2" s="73"/>
      <c r="C2" s="73"/>
      <c r="D2" s="73"/>
      <c r="E2" s="331" t="s">
        <v>6441</v>
      </c>
      <c r="F2" s="74"/>
      <c r="G2" s="72"/>
    </row>
    <row r="3" spans="1:9" x14ac:dyDescent="0.25">
      <c r="A3" s="163"/>
      <c r="B3" s="73"/>
      <c r="C3" s="75"/>
      <c r="D3" s="73"/>
      <c r="E3" s="73"/>
      <c r="F3" s="74"/>
      <c r="G3" s="72"/>
    </row>
    <row r="4" spans="1:9" ht="15.75" x14ac:dyDescent="0.25">
      <c r="A4" s="163"/>
      <c r="B4" s="73"/>
      <c r="C4" s="73"/>
      <c r="D4" s="73"/>
      <c r="E4" s="605" t="s">
        <v>6440</v>
      </c>
      <c r="F4" s="74"/>
      <c r="G4" s="72"/>
    </row>
    <row r="5" spans="1:9" x14ac:dyDescent="0.25">
      <c r="A5" s="163"/>
      <c r="B5" s="73"/>
      <c r="C5" s="73"/>
      <c r="D5" s="73"/>
      <c r="E5" s="73"/>
      <c r="F5" s="74"/>
      <c r="G5" s="72"/>
    </row>
    <row r="6" spans="1:9" x14ac:dyDescent="0.25">
      <c r="A6" s="163"/>
      <c r="B6" s="73"/>
      <c r="C6" s="75" t="s">
        <v>6439</v>
      </c>
      <c r="D6" s="73"/>
      <c r="E6" s="73"/>
      <c r="F6" s="74"/>
      <c r="G6" s="72"/>
    </row>
    <row r="7" spans="1:9" x14ac:dyDescent="0.25">
      <c r="A7" s="163"/>
      <c r="B7" s="73"/>
      <c r="C7" s="100" t="s">
        <v>140</v>
      </c>
      <c r="D7" s="75"/>
      <c r="E7" s="73"/>
      <c r="F7" s="74" t="s">
        <v>3</v>
      </c>
      <c r="G7" s="72">
        <f>0.01*3.14*2*0.08*1.2</f>
        <v>6.0288000000000008E-3</v>
      </c>
    </row>
    <row r="8" spans="1:9" ht="17.25" x14ac:dyDescent="0.25">
      <c r="A8" s="163"/>
      <c r="B8" s="73"/>
      <c r="C8" s="100" t="s">
        <v>23</v>
      </c>
      <c r="D8" s="75"/>
      <c r="E8" s="73"/>
      <c r="F8" s="74" t="s">
        <v>596</v>
      </c>
      <c r="G8" s="72">
        <f>G7*2</f>
        <v>1.2057600000000002E-2</v>
      </c>
    </row>
    <row r="9" spans="1:9" x14ac:dyDescent="0.25">
      <c r="A9" s="163"/>
      <c r="B9" s="73"/>
      <c r="C9" s="100" t="s">
        <v>142</v>
      </c>
      <c r="D9" s="75"/>
      <c r="E9" s="73"/>
      <c r="F9" s="74" t="s">
        <v>3</v>
      </c>
      <c r="G9" s="72">
        <f>G7/4</f>
        <v>1.5072000000000002E-3</v>
      </c>
    </row>
    <row r="10" spans="1:9" x14ac:dyDescent="0.25">
      <c r="A10" s="163"/>
      <c r="B10" s="73"/>
      <c r="C10" s="100" t="s">
        <v>143</v>
      </c>
      <c r="D10" s="73"/>
      <c r="E10" s="73"/>
      <c r="F10" s="74" t="s">
        <v>3</v>
      </c>
      <c r="G10" s="72">
        <f>G11</f>
        <v>8.4479999999999989E-3</v>
      </c>
    </row>
    <row r="11" spans="1:9" x14ac:dyDescent="0.25">
      <c r="A11" s="163"/>
      <c r="B11" s="73"/>
      <c r="C11" s="100" t="s">
        <v>8</v>
      </c>
      <c r="D11" s="73"/>
      <c r="E11" s="73"/>
      <c r="F11" s="74" t="s">
        <v>3</v>
      </c>
      <c r="G11" s="72">
        <f>G12</f>
        <v>8.4479999999999989E-3</v>
      </c>
    </row>
    <row r="12" spans="1:9" x14ac:dyDescent="0.25">
      <c r="A12" s="163"/>
      <c r="B12" s="73"/>
      <c r="C12" s="100" t="s">
        <v>115</v>
      </c>
      <c r="D12" s="73"/>
      <c r="E12" s="73"/>
      <c r="F12" s="74" t="s">
        <v>3</v>
      </c>
      <c r="G12" s="72">
        <f>0.32*0.011*2*1.2</f>
        <v>8.4479999999999989E-3</v>
      </c>
    </row>
    <row r="13" spans="1:9" x14ac:dyDescent="0.25">
      <c r="A13" s="163"/>
      <c r="B13" s="73"/>
      <c r="C13" s="100" t="s">
        <v>12</v>
      </c>
      <c r="D13" s="73"/>
      <c r="E13" s="73"/>
      <c r="F13" s="74" t="s">
        <v>3</v>
      </c>
      <c r="G13" s="72">
        <f>0.3*(G12+G11+G10)</f>
        <v>7.6031999999999992E-3</v>
      </c>
    </row>
    <row r="14" spans="1:9" x14ac:dyDescent="0.25">
      <c r="A14" s="163"/>
      <c r="B14" s="73"/>
      <c r="C14" s="73"/>
      <c r="D14" s="75" t="s">
        <v>6438</v>
      </c>
      <c r="E14" s="73"/>
      <c r="F14" s="74"/>
      <c r="G14" s="72"/>
    </row>
    <row r="15" spans="1:9" x14ac:dyDescent="0.25">
      <c r="A15" s="163"/>
      <c r="B15" s="73"/>
      <c r="C15" s="73"/>
      <c r="D15" s="73" t="s">
        <v>6391</v>
      </c>
      <c r="E15" s="73"/>
      <c r="F15" s="74" t="s">
        <v>3</v>
      </c>
      <c r="G15" s="72">
        <f>0.08</f>
        <v>0.08</v>
      </c>
      <c r="I15" t="s">
        <v>2003</v>
      </c>
    </row>
    <row r="16" spans="1:9" x14ac:dyDescent="0.25">
      <c r="A16" s="163"/>
      <c r="B16" s="73"/>
      <c r="C16" s="73"/>
      <c r="D16" s="73"/>
      <c r="E16" s="73"/>
      <c r="F16" s="74"/>
      <c r="G16" s="72"/>
    </row>
    <row r="17" spans="1:7" x14ac:dyDescent="0.25">
      <c r="A17" s="163"/>
      <c r="B17" s="73"/>
      <c r="C17" s="75" t="s">
        <v>6437</v>
      </c>
      <c r="D17" s="73"/>
      <c r="E17" s="73"/>
      <c r="F17" s="74"/>
      <c r="G17" s="72"/>
    </row>
    <row r="18" spans="1:7" x14ac:dyDescent="0.25">
      <c r="A18" s="163"/>
      <c r="B18" s="73"/>
      <c r="C18" s="73" t="s">
        <v>292</v>
      </c>
      <c r="D18" s="73"/>
      <c r="E18" s="73"/>
      <c r="F18" s="74" t="s">
        <v>3</v>
      </c>
      <c r="G18" s="72">
        <f>0.035*3.14*2*0.08*1.15</f>
        <v>2.0221600000000003E-2</v>
      </c>
    </row>
    <row r="19" spans="1:7" x14ac:dyDescent="0.25">
      <c r="A19" s="163"/>
      <c r="B19" s="73"/>
      <c r="C19" s="73" t="s">
        <v>293</v>
      </c>
      <c r="D19" s="73"/>
      <c r="E19" s="73"/>
      <c r="F19" s="74" t="s">
        <v>3</v>
      </c>
      <c r="G19" s="72">
        <f>G18*3</f>
        <v>6.0664800000000005E-2</v>
      </c>
    </row>
    <row r="20" spans="1:7" x14ac:dyDescent="0.25">
      <c r="A20" s="163"/>
      <c r="B20" s="73"/>
      <c r="C20" s="73"/>
      <c r="D20" s="75" t="s">
        <v>6436</v>
      </c>
      <c r="E20" s="73"/>
      <c r="F20" s="74"/>
      <c r="G20" s="72"/>
    </row>
    <row r="21" spans="1:7" x14ac:dyDescent="0.25">
      <c r="A21" s="163"/>
      <c r="B21" s="73"/>
      <c r="C21" s="73"/>
      <c r="D21" s="73" t="s">
        <v>6335</v>
      </c>
      <c r="E21" s="73"/>
      <c r="F21" s="74" t="s">
        <v>3</v>
      </c>
      <c r="G21" s="72">
        <f>0.1*0.095*1*8*1.05</f>
        <v>7.980000000000001E-2</v>
      </c>
    </row>
    <row r="22" spans="1:7" x14ac:dyDescent="0.25">
      <c r="A22" s="163"/>
      <c r="B22" s="73"/>
      <c r="C22" s="73"/>
      <c r="D22" s="75" t="s">
        <v>6435</v>
      </c>
      <c r="E22" s="73"/>
      <c r="F22" s="74"/>
      <c r="G22" s="72"/>
    </row>
    <row r="23" spans="1:7" ht="17.25" x14ac:dyDescent="0.25">
      <c r="A23" s="163"/>
      <c r="B23" s="73"/>
      <c r="C23" s="73"/>
      <c r="D23" s="73" t="s">
        <v>6434</v>
      </c>
      <c r="E23" s="73"/>
      <c r="F23" s="74" t="s">
        <v>677</v>
      </c>
      <c r="G23" s="72">
        <f>0.09*0.1</f>
        <v>8.9999999999999993E-3</v>
      </c>
    </row>
    <row r="24" spans="1:7" x14ac:dyDescent="0.25">
      <c r="A24" s="163"/>
      <c r="B24" s="73"/>
      <c r="C24" s="73"/>
      <c r="D24" s="100" t="s">
        <v>6433</v>
      </c>
      <c r="E24" s="73"/>
      <c r="F24" s="74" t="s">
        <v>3</v>
      </c>
      <c r="G24" s="72">
        <f>0.085*0.08*1.2</f>
        <v>8.1600000000000006E-3</v>
      </c>
    </row>
    <row r="25" spans="1:7" x14ac:dyDescent="0.25">
      <c r="A25" s="163"/>
      <c r="B25" s="73"/>
      <c r="C25" s="73"/>
      <c r="D25" s="100" t="s">
        <v>6432</v>
      </c>
      <c r="E25" s="73"/>
      <c r="F25" s="74" t="s">
        <v>3</v>
      </c>
      <c r="G25" s="72">
        <f>G24/3</f>
        <v>2.7200000000000002E-3</v>
      </c>
    </row>
    <row r="26" spans="1:7" x14ac:dyDescent="0.25">
      <c r="A26" s="163"/>
      <c r="B26" s="73"/>
      <c r="C26" s="73"/>
      <c r="D26" s="100" t="s">
        <v>1993</v>
      </c>
      <c r="E26" s="73"/>
      <c r="F26" s="74" t="s">
        <v>3</v>
      </c>
      <c r="G26" s="72">
        <f>G24/2</f>
        <v>4.0800000000000003E-3</v>
      </c>
    </row>
    <row r="27" spans="1:7" x14ac:dyDescent="0.25">
      <c r="A27" s="163"/>
      <c r="B27" s="73"/>
      <c r="C27" s="73"/>
      <c r="D27" s="75" t="s">
        <v>6431</v>
      </c>
      <c r="E27" s="73"/>
      <c r="F27" s="74"/>
      <c r="G27" s="72"/>
    </row>
    <row r="28" spans="1:7" x14ac:dyDescent="0.25">
      <c r="A28" s="163"/>
      <c r="B28" s="73"/>
      <c r="C28" s="73"/>
      <c r="D28" s="73" t="s">
        <v>6335</v>
      </c>
      <c r="E28" s="73"/>
      <c r="F28" s="74" t="s">
        <v>3</v>
      </c>
      <c r="G28" s="72">
        <f>0.03*0.03*1*8*1.05</f>
        <v>7.5599999999999999E-3</v>
      </c>
    </row>
    <row r="29" spans="1:7" x14ac:dyDescent="0.25">
      <c r="A29" s="163"/>
      <c r="B29" s="73"/>
      <c r="C29" s="73"/>
      <c r="D29" s="73"/>
      <c r="E29" s="73"/>
      <c r="F29" s="74"/>
      <c r="G29" s="72"/>
    </row>
    <row r="30" spans="1:7" x14ac:dyDescent="0.25">
      <c r="A30" s="163"/>
      <c r="B30" s="73"/>
      <c r="C30" s="75" t="s">
        <v>6138</v>
      </c>
      <c r="D30" s="73"/>
      <c r="E30" s="73"/>
      <c r="F30" s="74"/>
      <c r="G30" s="72"/>
    </row>
    <row r="31" spans="1:7" x14ac:dyDescent="0.25">
      <c r="A31" s="163"/>
      <c r="B31" s="73"/>
      <c r="C31" s="73" t="s">
        <v>6137</v>
      </c>
      <c r="D31" s="73"/>
      <c r="E31" s="73"/>
      <c r="F31" s="74" t="s">
        <v>3</v>
      </c>
      <c r="G31" s="72">
        <f>1*2*1.8*8/50-0.001</f>
        <v>0.57500000000000007</v>
      </c>
    </row>
    <row r="32" spans="1:7" x14ac:dyDescent="0.25">
      <c r="A32" s="163"/>
      <c r="B32" s="73"/>
      <c r="C32" s="73"/>
      <c r="D32" s="73"/>
      <c r="E32" s="73"/>
      <c r="F32" s="74"/>
      <c r="G32" s="72"/>
    </row>
    <row r="33" spans="1:7" x14ac:dyDescent="0.25">
      <c r="A33" s="163"/>
      <c r="B33" s="73"/>
      <c r="C33" s="75" t="s">
        <v>6430</v>
      </c>
      <c r="D33" s="73"/>
      <c r="E33" s="73"/>
      <c r="F33" s="74"/>
      <c r="G33" s="72"/>
    </row>
    <row r="34" spans="1:7" x14ac:dyDescent="0.25">
      <c r="A34" s="163"/>
      <c r="B34" s="73"/>
      <c r="C34" s="73" t="s">
        <v>6429</v>
      </c>
      <c r="D34" s="73"/>
      <c r="E34" s="73"/>
      <c r="F34" s="74" t="s">
        <v>3</v>
      </c>
      <c r="G34" s="72">
        <v>1E-3</v>
      </c>
    </row>
    <row r="35" spans="1:7" x14ac:dyDescent="0.25">
      <c r="A35" s="163"/>
      <c r="B35" s="73"/>
      <c r="C35" s="73" t="s">
        <v>6428</v>
      </c>
      <c r="D35" s="73"/>
      <c r="E35" s="73"/>
      <c r="F35" s="74" t="s">
        <v>3</v>
      </c>
      <c r="G35" s="72">
        <v>1.4999999999999999E-2</v>
      </c>
    </row>
    <row r="36" spans="1:7" x14ac:dyDescent="0.25">
      <c r="A36" s="163"/>
      <c r="B36" s="73"/>
      <c r="C36" s="73"/>
      <c r="D36" s="75" t="s">
        <v>6427</v>
      </c>
      <c r="E36" s="73"/>
      <c r="F36" s="74"/>
      <c r="G36" s="72"/>
    </row>
    <row r="37" spans="1:7" x14ac:dyDescent="0.25">
      <c r="A37" s="163"/>
      <c r="B37" s="73"/>
      <c r="C37" s="73"/>
      <c r="D37" s="73" t="s">
        <v>916</v>
      </c>
      <c r="E37" s="73"/>
      <c r="F37" s="74" t="s">
        <v>3</v>
      </c>
      <c r="G37" s="72">
        <f>0.03*0.03*1*2.71*1.1</f>
        <v>2.6828999999999998E-3</v>
      </c>
    </row>
    <row r="38" spans="1:7" x14ac:dyDescent="0.25">
      <c r="A38" s="163"/>
      <c r="B38" s="73"/>
      <c r="C38" s="73"/>
      <c r="D38" s="73"/>
      <c r="E38" s="73"/>
      <c r="F38" s="74"/>
      <c r="G38" s="72"/>
    </row>
    <row r="39" spans="1:7" x14ac:dyDescent="0.25">
      <c r="A39" s="163"/>
      <c r="B39" s="73"/>
      <c r="C39" s="75" t="s">
        <v>6426</v>
      </c>
      <c r="D39" s="73"/>
      <c r="E39" s="73"/>
      <c r="F39" s="74"/>
      <c r="G39" s="72"/>
    </row>
    <row r="40" spans="1:7" x14ac:dyDescent="0.25">
      <c r="A40" s="163"/>
      <c r="B40" s="73"/>
      <c r="C40" s="73" t="s">
        <v>6425</v>
      </c>
      <c r="D40" s="73"/>
      <c r="E40" s="73"/>
      <c r="F40" s="74" t="s">
        <v>3</v>
      </c>
      <c r="G40" s="72">
        <f>0.08*0.08*5*8*1.015</f>
        <v>0.25983999999999996</v>
      </c>
    </row>
    <row r="41" spans="1:7" x14ac:dyDescent="0.25">
      <c r="A41" s="163"/>
      <c r="B41" s="73"/>
      <c r="C41" s="73"/>
      <c r="D41" s="73"/>
      <c r="E41" s="73"/>
      <c r="F41" s="74"/>
      <c r="G41" s="72"/>
    </row>
    <row r="42" spans="1:7" x14ac:dyDescent="0.25">
      <c r="A42" s="163"/>
      <c r="B42" s="73"/>
      <c r="C42" s="75" t="s">
        <v>6424</v>
      </c>
      <c r="D42" s="73"/>
      <c r="E42" s="73"/>
      <c r="F42" s="74"/>
      <c r="G42" s="72"/>
    </row>
    <row r="43" spans="1:7" x14ac:dyDescent="0.25">
      <c r="A43" s="163"/>
      <c r="B43" s="73"/>
      <c r="C43" s="73" t="s">
        <v>6340</v>
      </c>
      <c r="D43" s="73"/>
      <c r="E43" s="73"/>
      <c r="F43" s="74" t="s">
        <v>3</v>
      </c>
      <c r="G43" s="72">
        <f>0.07*0.07*0.5*8</f>
        <v>1.9600000000000003E-2</v>
      </c>
    </row>
    <row r="44" spans="1:7" x14ac:dyDescent="0.25">
      <c r="A44" s="163"/>
      <c r="B44" s="73"/>
      <c r="C44" s="73"/>
      <c r="D44" s="73"/>
      <c r="E44" s="73"/>
      <c r="F44" s="74"/>
      <c r="G44" s="72"/>
    </row>
    <row r="45" spans="1:7" x14ac:dyDescent="0.25">
      <c r="A45" s="163"/>
      <c r="B45" s="73"/>
      <c r="C45" s="75" t="s">
        <v>6423</v>
      </c>
      <c r="D45" s="73"/>
      <c r="E45" s="73"/>
      <c r="F45" s="74"/>
      <c r="G45" s="72"/>
    </row>
    <row r="46" spans="1:7" x14ac:dyDescent="0.25">
      <c r="A46" s="163"/>
      <c r="B46" s="73"/>
      <c r="C46" s="73" t="s">
        <v>6406</v>
      </c>
      <c r="D46" s="73"/>
      <c r="E46" s="73"/>
      <c r="F46" s="74" t="s">
        <v>3</v>
      </c>
      <c r="G46" s="72">
        <f>0.07*0.07*1*8.1</f>
        <v>3.9690000000000003E-2</v>
      </c>
    </row>
    <row r="47" spans="1:7" x14ac:dyDescent="0.25">
      <c r="A47" s="163"/>
      <c r="B47" s="73"/>
      <c r="C47" s="73"/>
      <c r="D47" s="73"/>
      <c r="E47" s="73"/>
      <c r="F47" s="74"/>
      <c r="G47" s="72"/>
    </row>
    <row r="48" spans="1:7" x14ac:dyDescent="0.25">
      <c r="A48" s="163"/>
      <c r="B48" s="73"/>
      <c r="C48" s="75" t="s">
        <v>6422</v>
      </c>
      <c r="D48" s="73"/>
      <c r="E48" s="73"/>
      <c r="F48" s="74"/>
      <c r="G48" s="72"/>
    </row>
    <row r="49" spans="1:7" x14ac:dyDescent="0.25">
      <c r="A49" s="163"/>
      <c r="B49" s="73"/>
      <c r="C49" s="73" t="s">
        <v>6421</v>
      </c>
      <c r="D49" s="73"/>
      <c r="E49" s="73"/>
      <c r="F49" s="74" t="s">
        <v>3</v>
      </c>
      <c r="G49" s="72">
        <f>0.07*0.07*0.25*8</f>
        <v>9.8000000000000014E-3</v>
      </c>
    </row>
    <row r="50" spans="1:7" x14ac:dyDescent="0.25">
      <c r="A50" s="163"/>
      <c r="B50" s="73"/>
      <c r="C50" s="73"/>
      <c r="D50" s="73"/>
      <c r="E50" s="73"/>
      <c r="F50" s="74"/>
      <c r="G50" s="72"/>
    </row>
    <row r="51" spans="1:7" x14ac:dyDescent="0.25">
      <c r="A51" s="163"/>
      <c r="B51" s="73"/>
      <c r="C51" s="75" t="s">
        <v>6420</v>
      </c>
      <c r="D51" s="73"/>
      <c r="E51" s="73"/>
      <c r="F51" s="74"/>
      <c r="G51" s="72"/>
    </row>
    <row r="52" spans="1:7" x14ac:dyDescent="0.25">
      <c r="A52" s="163"/>
      <c r="B52" s="73"/>
      <c r="C52" s="73" t="s">
        <v>1143</v>
      </c>
      <c r="D52" s="73"/>
      <c r="E52" s="73"/>
      <c r="F52" s="74" t="s">
        <v>3</v>
      </c>
      <c r="G52" s="72">
        <f>0.1*0.1*3*8</f>
        <v>0.24000000000000005</v>
      </c>
    </row>
    <row r="53" spans="1:7" x14ac:dyDescent="0.25">
      <c r="A53" s="163"/>
      <c r="B53" s="73"/>
      <c r="C53" s="73"/>
      <c r="D53" s="73"/>
      <c r="E53" s="73"/>
      <c r="F53" s="74"/>
      <c r="G53" s="72"/>
    </row>
    <row r="54" spans="1:7" x14ac:dyDescent="0.25">
      <c r="A54" s="163"/>
      <c r="B54" s="73"/>
      <c r="C54" s="75" t="s">
        <v>6419</v>
      </c>
      <c r="D54" s="73"/>
      <c r="E54" s="73"/>
      <c r="F54" s="74"/>
      <c r="G54" s="72"/>
    </row>
    <row r="55" spans="1:7" x14ac:dyDescent="0.25">
      <c r="A55" s="163"/>
      <c r="B55" s="73"/>
      <c r="C55" s="73" t="s">
        <v>6418</v>
      </c>
      <c r="D55" s="73"/>
      <c r="E55" s="73"/>
      <c r="F55" s="74" t="s">
        <v>3</v>
      </c>
      <c r="G55" s="72">
        <f>0.185*0.185*0.5*8.19</f>
        <v>0.14015137499999999</v>
      </c>
    </row>
    <row r="56" spans="1:7" x14ac:dyDescent="0.25">
      <c r="A56" s="163"/>
      <c r="B56" s="73"/>
      <c r="C56" s="73"/>
      <c r="D56" s="73"/>
      <c r="E56" s="73"/>
      <c r="F56" s="74"/>
      <c r="G56" s="72"/>
    </row>
    <row r="57" spans="1:7" x14ac:dyDescent="0.25">
      <c r="A57" s="163"/>
      <c r="B57" s="73"/>
      <c r="C57" s="75" t="s">
        <v>6417</v>
      </c>
      <c r="D57" s="73"/>
      <c r="E57" s="73"/>
      <c r="F57" s="74"/>
      <c r="G57" s="72"/>
    </row>
    <row r="58" spans="1:7" x14ac:dyDescent="0.25">
      <c r="A58" s="163"/>
      <c r="B58" s="73"/>
      <c r="C58" s="73" t="s">
        <v>6416</v>
      </c>
      <c r="D58" s="73"/>
      <c r="E58" s="73"/>
      <c r="F58" s="74" t="s">
        <v>3</v>
      </c>
      <c r="G58" s="72">
        <f>0.185*0.185*1*8.04</f>
        <v>0.27516899999999994</v>
      </c>
    </row>
    <row r="59" spans="1:7" x14ac:dyDescent="0.25">
      <c r="A59" s="163"/>
      <c r="B59" s="73"/>
      <c r="C59" s="73"/>
      <c r="D59" s="73"/>
      <c r="E59" s="73"/>
      <c r="F59" s="74"/>
      <c r="G59" s="72"/>
    </row>
    <row r="60" spans="1:7" x14ac:dyDescent="0.25">
      <c r="A60" s="163"/>
      <c r="B60" s="73"/>
      <c r="C60" s="75" t="s">
        <v>6415</v>
      </c>
      <c r="D60" s="73"/>
      <c r="E60" s="73"/>
      <c r="F60" s="74"/>
      <c r="G60" s="72"/>
    </row>
    <row r="61" spans="1:7" x14ac:dyDescent="0.25">
      <c r="A61" s="163"/>
      <c r="B61" s="73"/>
      <c r="C61" s="73" t="s">
        <v>6414</v>
      </c>
      <c r="D61" s="73"/>
      <c r="E61" s="73"/>
      <c r="F61" s="74" t="s">
        <v>3</v>
      </c>
      <c r="G61" s="72">
        <f>0.2*0.2*2.5*8*1.1</f>
        <v>0.88000000000000023</v>
      </c>
    </row>
    <row r="62" spans="1:7" x14ac:dyDescent="0.25">
      <c r="A62" s="163"/>
      <c r="B62" s="73"/>
      <c r="C62" s="73"/>
      <c r="D62" s="73"/>
      <c r="E62" s="73"/>
      <c r="F62" s="74"/>
      <c r="G62" s="72"/>
    </row>
    <row r="63" spans="1:7" x14ac:dyDescent="0.25">
      <c r="A63" s="163"/>
      <c r="B63" s="73"/>
      <c r="C63" s="75" t="s">
        <v>6413</v>
      </c>
      <c r="D63" s="73"/>
      <c r="E63" s="73"/>
      <c r="F63" s="74"/>
      <c r="G63" s="72"/>
    </row>
    <row r="64" spans="1:7" x14ac:dyDescent="0.25">
      <c r="A64" s="163"/>
      <c r="B64" s="73"/>
      <c r="C64" s="73" t="s">
        <v>6411</v>
      </c>
      <c r="D64" s="73"/>
      <c r="E64" s="73"/>
      <c r="F64" s="74" t="s">
        <v>3</v>
      </c>
      <c r="G64" s="72">
        <f>0.115*0.115*2.5*8*1.1-0.001</f>
        <v>0.28995000000000004</v>
      </c>
    </row>
    <row r="65" spans="1:7" x14ac:dyDescent="0.25">
      <c r="A65" s="163"/>
      <c r="B65" s="73"/>
      <c r="C65" s="73"/>
      <c r="D65" s="73"/>
      <c r="E65" s="73"/>
      <c r="F65" s="74"/>
      <c r="G65" s="72"/>
    </row>
    <row r="66" spans="1:7" x14ac:dyDescent="0.25">
      <c r="A66" s="163"/>
      <c r="B66" s="73"/>
      <c r="C66" s="75" t="s">
        <v>6412</v>
      </c>
      <c r="D66" s="73"/>
      <c r="E66" s="73"/>
      <c r="F66" s="74"/>
      <c r="G66" s="72"/>
    </row>
    <row r="67" spans="1:7" x14ac:dyDescent="0.25">
      <c r="A67" s="163"/>
      <c r="B67" s="73"/>
      <c r="C67" s="73" t="s">
        <v>6411</v>
      </c>
      <c r="D67" s="73"/>
      <c r="E67" s="73"/>
      <c r="F67" s="74" t="s">
        <v>3</v>
      </c>
      <c r="G67" s="72">
        <f>0.09*0.09*2.5*8*1.1+0.002</f>
        <v>0.1802</v>
      </c>
    </row>
    <row r="68" spans="1:7" x14ac:dyDescent="0.25">
      <c r="A68" s="163"/>
      <c r="B68" s="73"/>
      <c r="C68" s="73"/>
      <c r="D68" s="73"/>
      <c r="E68" s="73"/>
      <c r="F68" s="74"/>
      <c r="G68" s="72"/>
    </row>
    <row r="69" spans="1:7" x14ac:dyDescent="0.25">
      <c r="A69" s="163"/>
      <c r="B69" s="73"/>
      <c r="C69" s="75" t="s">
        <v>6410</v>
      </c>
      <c r="D69" s="73"/>
      <c r="E69" s="73"/>
      <c r="F69" s="74"/>
      <c r="G69" s="72"/>
    </row>
    <row r="70" spans="1:7" x14ac:dyDescent="0.25">
      <c r="A70" s="163"/>
      <c r="B70" s="73"/>
      <c r="C70" s="73" t="s">
        <v>6409</v>
      </c>
      <c r="D70" s="73"/>
      <c r="E70" s="73"/>
      <c r="F70" s="74" t="s">
        <v>3</v>
      </c>
      <c r="G70" s="72">
        <f>0.025*0.025*2*8</f>
        <v>1.0000000000000002E-2</v>
      </c>
    </row>
    <row r="71" spans="1:7" x14ac:dyDescent="0.25">
      <c r="A71" s="163"/>
      <c r="B71" s="73"/>
      <c r="C71" s="73"/>
      <c r="D71" s="73"/>
      <c r="E71" s="73"/>
      <c r="F71" s="74"/>
      <c r="G71" s="72"/>
    </row>
    <row r="72" spans="1:7" x14ac:dyDescent="0.25">
      <c r="A72" s="163"/>
      <c r="B72" s="73"/>
      <c r="C72" s="75" t="s">
        <v>6408</v>
      </c>
      <c r="D72" s="73"/>
      <c r="E72" s="73"/>
      <c r="F72" s="74"/>
      <c r="G72" s="72"/>
    </row>
    <row r="73" spans="1:7" x14ac:dyDescent="0.25">
      <c r="A73" s="163"/>
      <c r="B73" s="73"/>
      <c r="C73" s="73" t="s">
        <v>6406</v>
      </c>
      <c r="D73" s="73"/>
      <c r="E73" s="73"/>
      <c r="F73" s="74" t="s">
        <v>3</v>
      </c>
      <c r="G73" s="72">
        <f>0.04*0.035*1*8*1.1</f>
        <v>1.2320000000000003E-2</v>
      </c>
    </row>
    <row r="74" spans="1:7" x14ac:dyDescent="0.25">
      <c r="A74" s="163"/>
      <c r="B74" s="73"/>
      <c r="C74" s="73"/>
      <c r="D74" s="73"/>
      <c r="E74" s="73"/>
      <c r="F74" s="74"/>
      <c r="G74" s="72"/>
    </row>
    <row r="75" spans="1:7" x14ac:dyDescent="0.25">
      <c r="A75" s="163"/>
      <c r="B75" s="73"/>
      <c r="C75" s="75" t="s">
        <v>6407</v>
      </c>
      <c r="D75" s="73"/>
      <c r="E75" s="73"/>
      <c r="F75" s="74"/>
      <c r="G75" s="72"/>
    </row>
    <row r="76" spans="1:7" x14ac:dyDescent="0.25">
      <c r="A76" s="163"/>
      <c r="B76" s="73"/>
      <c r="C76" s="73" t="s">
        <v>6406</v>
      </c>
      <c r="D76" s="73"/>
      <c r="E76" s="73"/>
      <c r="F76" s="74" t="s">
        <v>3</v>
      </c>
      <c r="G76" s="72">
        <f>0.03*0.025*1*8*1.1</f>
        <v>6.6000000000000008E-3</v>
      </c>
    </row>
    <row r="77" spans="1:7" x14ac:dyDescent="0.25">
      <c r="A77" s="163"/>
      <c r="B77" s="73"/>
      <c r="C77" s="73"/>
      <c r="D77" s="73"/>
      <c r="E77" s="73"/>
      <c r="F77" s="74"/>
      <c r="G77" s="72"/>
    </row>
    <row r="78" spans="1:7" x14ac:dyDescent="0.25">
      <c r="A78" s="163"/>
      <c r="B78" s="73"/>
      <c r="C78" s="75" t="s">
        <v>6405</v>
      </c>
      <c r="D78" s="73"/>
      <c r="E78" s="73"/>
      <c r="F78" s="74"/>
      <c r="G78" s="72"/>
    </row>
    <row r="79" spans="1:7" x14ac:dyDescent="0.25">
      <c r="A79" s="163"/>
      <c r="B79" s="73"/>
      <c r="C79" s="73" t="s">
        <v>2755</v>
      </c>
      <c r="D79" s="73"/>
      <c r="E79" s="73"/>
      <c r="F79" s="74" t="s">
        <v>3</v>
      </c>
      <c r="G79" s="72">
        <f>0.03*3.14*2*0.08*1.15+0.001</f>
        <v>1.8332800000000003E-2</v>
      </c>
    </row>
    <row r="80" spans="1:7" ht="17.25" x14ac:dyDescent="0.25">
      <c r="A80" s="163"/>
      <c r="B80" s="73"/>
      <c r="C80" s="73" t="s">
        <v>1055</v>
      </c>
      <c r="D80" s="73"/>
      <c r="E80" s="73"/>
      <c r="F80" s="74" t="s">
        <v>596</v>
      </c>
      <c r="G80" s="72">
        <f>1.09*G79</f>
        <v>1.9982752000000006E-2</v>
      </c>
    </row>
    <row r="81" spans="1:9" x14ac:dyDescent="0.25">
      <c r="A81" s="163"/>
      <c r="B81" s="73"/>
      <c r="C81" s="73"/>
      <c r="D81" s="75" t="s">
        <v>6404</v>
      </c>
      <c r="E81" s="73"/>
      <c r="F81" s="74"/>
      <c r="G81" s="72"/>
    </row>
    <row r="82" spans="1:9" x14ac:dyDescent="0.25">
      <c r="A82" s="163"/>
      <c r="B82" s="73"/>
      <c r="C82" s="73"/>
      <c r="D82" s="73" t="s">
        <v>6402</v>
      </c>
      <c r="E82" s="73"/>
      <c r="F82" s="74" t="s">
        <v>3</v>
      </c>
      <c r="G82" s="72">
        <v>0.14000000000000001</v>
      </c>
      <c r="I82" t="s">
        <v>1161</v>
      </c>
    </row>
    <row r="83" spans="1:9" x14ac:dyDescent="0.25">
      <c r="A83" s="163"/>
      <c r="B83" s="73"/>
      <c r="C83" s="73"/>
      <c r="D83" s="75" t="s">
        <v>6403</v>
      </c>
      <c r="E83" s="73"/>
      <c r="F83" s="74"/>
      <c r="G83" s="72"/>
    </row>
    <row r="84" spans="1:9" x14ac:dyDescent="0.25">
      <c r="A84" s="163"/>
      <c r="B84" s="73"/>
      <c r="C84" s="73"/>
      <c r="D84" s="73" t="s">
        <v>6402</v>
      </c>
      <c r="E84" s="73"/>
      <c r="F84" s="74" t="s">
        <v>3</v>
      </c>
      <c r="G84" s="72">
        <v>0.18</v>
      </c>
      <c r="I84" t="s">
        <v>6401</v>
      </c>
    </row>
    <row r="85" spans="1:9" x14ac:dyDescent="0.25">
      <c r="A85" s="163"/>
      <c r="B85" s="73"/>
      <c r="C85" s="73"/>
      <c r="D85" s="73"/>
      <c r="E85" s="73"/>
      <c r="F85" s="74"/>
      <c r="G85" s="72"/>
    </row>
    <row r="86" spans="1:9" x14ac:dyDescent="0.25">
      <c r="A86" s="163"/>
      <c r="B86" s="73"/>
      <c r="C86" s="75" t="s">
        <v>6400</v>
      </c>
      <c r="D86" s="73"/>
      <c r="E86" s="73"/>
      <c r="F86" s="74"/>
      <c r="G86" s="72"/>
    </row>
    <row r="87" spans="1:9" x14ac:dyDescent="0.25">
      <c r="A87" s="163"/>
      <c r="B87" s="73"/>
      <c r="C87" s="73" t="s">
        <v>6399</v>
      </c>
      <c r="D87" s="73"/>
      <c r="E87" s="73"/>
      <c r="F87" s="74" t="s">
        <v>3</v>
      </c>
      <c r="G87" s="72">
        <f>0.057*0.057*2*8</f>
        <v>5.1984000000000002E-2</v>
      </c>
    </row>
    <row r="88" spans="1:9" x14ac:dyDescent="0.25">
      <c r="A88" s="163"/>
      <c r="B88" s="73"/>
      <c r="C88" s="73"/>
      <c r="D88" s="73"/>
      <c r="E88" s="73"/>
      <c r="F88" s="74"/>
      <c r="G88" s="72"/>
    </row>
    <row r="89" spans="1:9" x14ac:dyDescent="0.25">
      <c r="A89" s="163"/>
      <c r="B89" s="73"/>
      <c r="C89" s="75" t="s">
        <v>6398</v>
      </c>
      <c r="D89" s="73"/>
      <c r="E89" s="73"/>
      <c r="F89" s="74"/>
      <c r="G89" s="72"/>
    </row>
    <row r="90" spans="1:9" x14ac:dyDescent="0.25">
      <c r="A90" s="163"/>
      <c r="B90" s="73"/>
      <c r="C90" s="73" t="s">
        <v>6397</v>
      </c>
      <c r="D90" s="73"/>
      <c r="E90" s="73"/>
      <c r="F90" s="74" t="s">
        <v>3</v>
      </c>
      <c r="G90" s="72">
        <f>0.04*0.04*2*8*1.18</f>
        <v>3.0207999999999999E-2</v>
      </c>
    </row>
    <row r="91" spans="1:9" x14ac:dyDescent="0.25">
      <c r="A91" s="163"/>
      <c r="B91" s="73"/>
      <c r="C91" s="73"/>
      <c r="D91" s="73"/>
      <c r="E91" s="73"/>
      <c r="F91" s="74"/>
      <c r="G91" s="72"/>
    </row>
    <row r="92" spans="1:9" x14ac:dyDescent="0.25">
      <c r="A92" s="163"/>
      <c r="B92" s="73"/>
      <c r="C92" s="75" t="s">
        <v>6396</v>
      </c>
      <c r="D92" s="73"/>
      <c r="E92" s="73"/>
      <c r="F92" s="74"/>
      <c r="G92" s="72"/>
    </row>
    <row r="93" spans="1:9" x14ac:dyDescent="0.25">
      <c r="A93" s="163"/>
      <c r="B93" s="73"/>
      <c r="C93" s="100" t="s">
        <v>140</v>
      </c>
      <c r="D93" s="75"/>
      <c r="E93" s="73"/>
      <c r="F93" s="74" t="s">
        <v>3</v>
      </c>
      <c r="G93" s="72">
        <f>0.016*3.14*0.08*1.2</f>
        <v>4.8230399999999998E-3</v>
      </c>
    </row>
    <row r="94" spans="1:9" ht="17.25" x14ac:dyDescent="0.25">
      <c r="A94" s="163"/>
      <c r="B94" s="73"/>
      <c r="C94" s="100" t="s">
        <v>23</v>
      </c>
      <c r="D94" s="75"/>
      <c r="E94" s="73"/>
      <c r="F94" s="74" t="s">
        <v>596</v>
      </c>
      <c r="G94" s="72">
        <f>G93*2</f>
        <v>9.6460799999999996E-3</v>
      </c>
    </row>
    <row r="95" spans="1:9" x14ac:dyDescent="0.25">
      <c r="A95" s="163"/>
      <c r="B95" s="73"/>
      <c r="C95" s="100" t="s">
        <v>142</v>
      </c>
      <c r="D95" s="75"/>
      <c r="E95" s="73"/>
      <c r="F95" s="74" t="s">
        <v>3</v>
      </c>
      <c r="G95" s="72">
        <f>G93/4</f>
        <v>1.2057599999999999E-3</v>
      </c>
    </row>
    <row r="96" spans="1:9" x14ac:dyDescent="0.25">
      <c r="A96" s="163"/>
      <c r="B96" s="73"/>
      <c r="C96" s="100"/>
      <c r="D96" s="75" t="s">
        <v>6395</v>
      </c>
      <c r="E96" s="73"/>
      <c r="F96" s="74"/>
      <c r="G96" s="72"/>
    </row>
    <row r="97" spans="1:9" x14ac:dyDescent="0.25">
      <c r="A97" s="163"/>
      <c r="B97" s="73"/>
      <c r="C97" s="100"/>
      <c r="D97" s="100" t="s">
        <v>6382</v>
      </c>
      <c r="E97" s="73"/>
      <c r="F97" s="74" t="s">
        <v>3</v>
      </c>
      <c r="G97" s="72">
        <v>0.03</v>
      </c>
      <c r="I97" t="s">
        <v>6394</v>
      </c>
    </row>
    <row r="98" spans="1:9" x14ac:dyDescent="0.25">
      <c r="A98" s="163"/>
      <c r="B98" s="73"/>
      <c r="C98" s="100"/>
      <c r="D98" s="75"/>
      <c r="E98" s="73"/>
      <c r="F98" s="74"/>
      <c r="G98" s="72"/>
    </row>
    <row r="99" spans="1:9" x14ac:dyDescent="0.25">
      <c r="A99" s="163"/>
      <c r="B99" s="73"/>
      <c r="C99" s="75" t="s">
        <v>6393</v>
      </c>
      <c r="D99" s="73"/>
      <c r="E99" s="73"/>
      <c r="F99" s="74"/>
      <c r="G99" s="72"/>
    </row>
    <row r="100" spans="1:9" x14ac:dyDescent="0.25">
      <c r="A100" s="163"/>
      <c r="B100" s="73"/>
      <c r="C100" s="100" t="s">
        <v>140</v>
      </c>
      <c r="D100" s="75"/>
      <c r="E100" s="73"/>
      <c r="F100" s="74" t="s">
        <v>3</v>
      </c>
      <c r="G100" s="72">
        <f>0.016*3.14*2*0.08*1.2</f>
        <v>9.6460799999999996E-3</v>
      </c>
    </row>
    <row r="101" spans="1:9" ht="17.25" x14ac:dyDescent="0.25">
      <c r="A101" s="163"/>
      <c r="B101" s="73"/>
      <c r="C101" s="100" t="s">
        <v>23</v>
      </c>
      <c r="D101" s="75"/>
      <c r="E101" s="73"/>
      <c r="F101" s="74" t="s">
        <v>596</v>
      </c>
      <c r="G101" s="72">
        <f>G100*2</f>
        <v>1.9292159999999999E-2</v>
      </c>
    </row>
    <row r="102" spans="1:9" x14ac:dyDescent="0.25">
      <c r="A102" s="163"/>
      <c r="B102" s="73"/>
      <c r="C102" s="100" t="s">
        <v>142</v>
      </c>
      <c r="D102" s="75"/>
      <c r="E102" s="73"/>
      <c r="F102" s="74" t="s">
        <v>3</v>
      </c>
      <c r="G102" s="72">
        <f>G100/4</f>
        <v>2.4115199999999999E-3</v>
      </c>
    </row>
    <row r="103" spans="1:9" x14ac:dyDescent="0.25">
      <c r="A103" s="163"/>
      <c r="B103" s="73"/>
      <c r="C103" s="100"/>
      <c r="D103" s="75" t="s">
        <v>6392</v>
      </c>
      <c r="E103" s="73"/>
      <c r="F103" s="74"/>
      <c r="G103" s="72"/>
    </row>
    <row r="104" spans="1:9" x14ac:dyDescent="0.25">
      <c r="A104" s="163"/>
      <c r="B104" s="73"/>
      <c r="C104" s="100"/>
      <c r="D104" s="73" t="s">
        <v>6391</v>
      </c>
      <c r="E104" s="73"/>
      <c r="F104" s="74" t="s">
        <v>3</v>
      </c>
      <c r="G104" s="72">
        <v>0.08</v>
      </c>
      <c r="I104" t="s">
        <v>2382</v>
      </c>
    </row>
    <row r="105" spans="1:9" x14ac:dyDescent="0.25">
      <c r="A105" s="163"/>
      <c r="B105" s="73"/>
      <c r="C105" s="100"/>
      <c r="D105" s="75"/>
      <c r="E105" s="73"/>
      <c r="F105" s="74"/>
      <c r="G105" s="72"/>
    </row>
    <row r="106" spans="1:9" x14ac:dyDescent="0.25">
      <c r="A106" s="163"/>
      <c r="B106" s="73"/>
      <c r="C106" s="75" t="s">
        <v>6390</v>
      </c>
      <c r="D106" s="73"/>
      <c r="E106" s="73"/>
      <c r="F106" s="74"/>
      <c r="G106" s="72"/>
    </row>
    <row r="107" spans="1:9" x14ac:dyDescent="0.25">
      <c r="A107" s="163"/>
      <c r="B107" s="73"/>
      <c r="C107" s="73" t="s">
        <v>6389</v>
      </c>
      <c r="D107" s="73"/>
      <c r="E107" s="73"/>
      <c r="F107" s="74" t="s">
        <v>1516</v>
      </c>
      <c r="G107" s="72">
        <v>5</v>
      </c>
    </row>
    <row r="108" spans="1:9" x14ac:dyDescent="0.25">
      <c r="A108" s="163"/>
      <c r="B108" s="73"/>
      <c r="C108" s="73"/>
      <c r="D108" s="75" t="s">
        <v>6388</v>
      </c>
      <c r="E108" s="73"/>
      <c r="F108" s="74"/>
      <c r="G108" s="72"/>
    </row>
    <row r="109" spans="1:9" x14ac:dyDescent="0.25">
      <c r="A109" s="163"/>
      <c r="B109" s="73"/>
      <c r="C109" s="73"/>
      <c r="D109" s="73" t="s">
        <v>6386</v>
      </c>
      <c r="E109" s="73"/>
      <c r="F109" s="74" t="s">
        <v>3</v>
      </c>
      <c r="G109" s="72">
        <f>0.05*0.235*1.5*8*1.135</f>
        <v>0.16003500000000001</v>
      </c>
    </row>
    <row r="110" spans="1:9" x14ac:dyDescent="0.25">
      <c r="A110" s="163"/>
      <c r="B110" s="73"/>
      <c r="C110" s="73"/>
      <c r="D110" s="75" t="s">
        <v>6387</v>
      </c>
      <c r="E110" s="73"/>
      <c r="F110" s="74"/>
      <c r="G110" s="72"/>
    </row>
    <row r="111" spans="1:9" x14ac:dyDescent="0.25">
      <c r="A111" s="163"/>
      <c r="B111" s="73"/>
      <c r="C111" s="73"/>
      <c r="D111" s="73" t="s">
        <v>6386</v>
      </c>
      <c r="E111" s="73"/>
      <c r="F111" s="74" t="s">
        <v>3</v>
      </c>
      <c r="G111" s="72">
        <f>0.22*0.016*1.5*8*1.12</f>
        <v>4.7308800000000005E-2</v>
      </c>
    </row>
    <row r="112" spans="1:9" x14ac:dyDescent="0.25">
      <c r="A112" s="163"/>
      <c r="B112" s="73"/>
      <c r="C112" s="73"/>
      <c r="D112" s="75"/>
      <c r="E112" s="73"/>
      <c r="F112" s="74"/>
      <c r="G112" s="72"/>
    </row>
    <row r="113" spans="1:9" x14ac:dyDescent="0.25">
      <c r="A113" s="163"/>
      <c r="B113" s="73"/>
      <c r="C113" s="75" t="s">
        <v>6385</v>
      </c>
      <c r="D113" s="73"/>
      <c r="E113" s="73"/>
      <c r="F113" s="74"/>
      <c r="G113" s="72"/>
    </row>
    <row r="114" spans="1:9" x14ac:dyDescent="0.25">
      <c r="A114" s="163"/>
      <c r="B114" s="73"/>
      <c r="C114" s="100" t="s">
        <v>140</v>
      </c>
      <c r="D114" s="75"/>
      <c r="E114" s="73"/>
      <c r="F114" s="74" t="s">
        <v>3</v>
      </c>
      <c r="G114" s="72">
        <f>0.016*3.14*2*0.08*1.2</f>
        <v>9.6460799999999996E-3</v>
      </c>
    </row>
    <row r="115" spans="1:9" ht="17.25" x14ac:dyDescent="0.25">
      <c r="A115" s="163"/>
      <c r="B115" s="73"/>
      <c r="C115" s="100" t="s">
        <v>23</v>
      </c>
      <c r="D115" s="75"/>
      <c r="E115" s="73"/>
      <c r="F115" s="74" t="s">
        <v>596</v>
      </c>
      <c r="G115" s="72">
        <f>G114*2</f>
        <v>1.9292159999999999E-2</v>
      </c>
    </row>
    <row r="116" spans="1:9" x14ac:dyDescent="0.25">
      <c r="A116" s="163"/>
      <c r="B116" s="73"/>
      <c r="C116" s="100" t="s">
        <v>142</v>
      </c>
      <c r="D116" s="75"/>
      <c r="E116" s="73"/>
      <c r="F116" s="74" t="s">
        <v>3</v>
      </c>
      <c r="G116" s="72">
        <f>G114/4</f>
        <v>2.4115199999999999E-3</v>
      </c>
    </row>
    <row r="117" spans="1:9" x14ac:dyDescent="0.25">
      <c r="A117" s="163"/>
      <c r="B117" s="73"/>
      <c r="C117" s="100"/>
      <c r="D117" s="75" t="s">
        <v>6384</v>
      </c>
      <c r="E117" s="73"/>
      <c r="F117" s="74"/>
      <c r="G117" s="72"/>
    </row>
    <row r="118" spans="1:9" x14ac:dyDescent="0.25">
      <c r="A118" s="163"/>
      <c r="B118" s="73"/>
      <c r="C118" s="100"/>
      <c r="D118" s="100" t="s">
        <v>6382</v>
      </c>
      <c r="E118" s="73"/>
      <c r="F118" s="74" t="s">
        <v>3</v>
      </c>
      <c r="G118" s="72">
        <v>2.1999999999999999E-2</v>
      </c>
      <c r="I118" t="s">
        <v>3324</v>
      </c>
    </row>
    <row r="119" spans="1:9" x14ac:dyDescent="0.25">
      <c r="A119" s="163"/>
      <c r="B119" s="73"/>
      <c r="C119" s="100"/>
      <c r="D119" s="75" t="s">
        <v>6383</v>
      </c>
      <c r="E119" s="73"/>
      <c r="F119" s="74"/>
      <c r="G119" s="72"/>
    </row>
    <row r="120" spans="1:9" x14ac:dyDescent="0.25">
      <c r="A120" s="163"/>
      <c r="B120" s="73"/>
      <c r="C120" s="100"/>
      <c r="D120" s="100" t="s">
        <v>6382</v>
      </c>
      <c r="E120" s="73"/>
      <c r="F120" s="74" t="s">
        <v>3</v>
      </c>
      <c r="G120" s="72">
        <v>2.5000000000000001E-2</v>
      </c>
      <c r="I120" t="s">
        <v>6381</v>
      </c>
    </row>
    <row r="121" spans="1:9" x14ac:dyDescent="0.25">
      <c r="A121" s="163"/>
      <c r="B121" s="73"/>
      <c r="C121" s="100"/>
      <c r="D121" s="75"/>
      <c r="E121" s="73"/>
      <c r="F121" s="74"/>
      <c r="G121" s="72"/>
    </row>
    <row r="122" spans="1:9" x14ac:dyDescent="0.25">
      <c r="A122" s="163"/>
      <c r="B122" s="73"/>
      <c r="C122" s="75" t="s">
        <v>6380</v>
      </c>
      <c r="D122" s="73"/>
      <c r="E122" s="73"/>
      <c r="F122" s="74"/>
      <c r="G122" s="72"/>
    </row>
    <row r="123" spans="1:9" x14ac:dyDescent="0.25">
      <c r="A123" s="163"/>
      <c r="B123" s="73"/>
      <c r="C123" s="100" t="s">
        <v>6379</v>
      </c>
      <c r="D123" s="73"/>
      <c r="E123" s="73"/>
      <c r="F123" s="74" t="s">
        <v>3</v>
      </c>
      <c r="G123" s="72">
        <v>2E-3</v>
      </c>
    </row>
    <row r="124" spans="1:9" x14ac:dyDescent="0.25">
      <c r="A124" s="163"/>
      <c r="B124" s="73"/>
      <c r="C124" s="78"/>
      <c r="D124" s="78" t="s">
        <v>6378</v>
      </c>
      <c r="E124" s="73"/>
      <c r="F124" s="74"/>
      <c r="G124" s="72"/>
    </row>
    <row r="125" spans="1:9" x14ac:dyDescent="0.25">
      <c r="A125" s="163"/>
      <c r="B125" s="73"/>
      <c r="C125" s="78"/>
      <c r="D125" s="73" t="s">
        <v>2755</v>
      </c>
      <c r="E125" s="73"/>
      <c r="F125" s="74" t="s">
        <v>3</v>
      </c>
      <c r="G125" s="72">
        <f>0.06*0.08*1.2</f>
        <v>5.7599999999999995E-3</v>
      </c>
    </row>
    <row r="126" spans="1:9" ht="17.25" x14ac:dyDescent="0.25">
      <c r="A126" s="163"/>
      <c r="B126" s="73"/>
      <c r="C126" s="78"/>
      <c r="D126" s="73" t="s">
        <v>1055</v>
      </c>
      <c r="E126" s="73"/>
      <c r="F126" s="74" t="s">
        <v>596</v>
      </c>
      <c r="G126" s="72">
        <f>1.09*G125</f>
        <v>6.2784E-3</v>
      </c>
    </row>
    <row r="127" spans="1:9" x14ac:dyDescent="0.25">
      <c r="A127" s="163"/>
      <c r="B127" s="73"/>
      <c r="C127" s="78"/>
      <c r="D127" s="77"/>
      <c r="E127" s="78" t="s">
        <v>6377</v>
      </c>
      <c r="F127" s="74"/>
      <c r="G127" s="72"/>
    </row>
    <row r="128" spans="1:9" x14ac:dyDescent="0.25">
      <c r="A128" s="163"/>
      <c r="B128" s="73"/>
      <c r="C128" s="78"/>
      <c r="D128" s="77"/>
      <c r="E128" s="73" t="s">
        <v>6376</v>
      </c>
      <c r="F128" s="74" t="s">
        <v>3</v>
      </c>
      <c r="G128" s="72">
        <f>(0.045*3.14/2+0.035)*0.016*2*8*1.12</f>
        <v>3.0291968000000006E-2</v>
      </c>
    </row>
    <row r="129" spans="1:9" x14ac:dyDescent="0.25">
      <c r="A129" s="163"/>
      <c r="B129" s="73"/>
      <c r="C129" s="73"/>
      <c r="D129" s="78" t="s">
        <v>6375</v>
      </c>
      <c r="E129" s="73"/>
      <c r="F129" s="74"/>
      <c r="G129" s="72"/>
    </row>
    <row r="130" spans="1:9" x14ac:dyDescent="0.25">
      <c r="A130" s="163"/>
      <c r="B130" s="73"/>
      <c r="C130" s="73"/>
      <c r="D130" s="73"/>
      <c r="E130" s="78" t="s">
        <v>6374</v>
      </c>
      <c r="F130" s="74"/>
      <c r="G130" s="72"/>
    </row>
    <row r="131" spans="1:9" x14ac:dyDescent="0.25">
      <c r="A131" s="163"/>
      <c r="B131" s="73"/>
      <c r="C131" s="73"/>
      <c r="D131" s="73"/>
      <c r="E131" s="73" t="s">
        <v>1997</v>
      </c>
      <c r="F131" s="74" t="s">
        <v>3</v>
      </c>
      <c r="G131" s="72">
        <v>3.1E-2</v>
      </c>
      <c r="I131" t="s">
        <v>2401</v>
      </c>
    </row>
    <row r="132" spans="1:9" x14ac:dyDescent="0.25">
      <c r="A132" s="163"/>
      <c r="B132" s="73"/>
      <c r="C132" s="73"/>
      <c r="D132" s="73"/>
      <c r="E132" s="73"/>
      <c r="F132" s="74"/>
      <c r="G132" s="72"/>
    </row>
    <row r="133" spans="1:9" x14ac:dyDescent="0.25">
      <c r="A133" s="163"/>
      <c r="B133" s="73"/>
      <c r="C133" s="75" t="s">
        <v>6373</v>
      </c>
      <c r="D133" s="73"/>
      <c r="E133" s="73"/>
      <c r="F133" s="74"/>
      <c r="G133" s="72"/>
    </row>
    <row r="134" spans="1:9" x14ac:dyDescent="0.25">
      <c r="A134" s="163"/>
      <c r="B134" s="73"/>
      <c r="C134" s="73" t="s">
        <v>410</v>
      </c>
      <c r="D134" s="73"/>
      <c r="E134" s="73"/>
      <c r="F134" s="74" t="s">
        <v>3</v>
      </c>
      <c r="G134" s="72">
        <f>0.1*0.1*5*2.7*1.12-0.001</f>
        <v>0.15020000000000006</v>
      </c>
    </row>
    <row r="135" spans="1:9" x14ac:dyDescent="0.25">
      <c r="A135" s="163"/>
      <c r="B135" s="73"/>
      <c r="C135" s="73"/>
      <c r="D135" s="73"/>
      <c r="E135" s="73"/>
      <c r="F135" s="74"/>
      <c r="G135" s="72"/>
    </row>
    <row r="136" spans="1:9" x14ac:dyDescent="0.25">
      <c r="A136" s="163"/>
      <c r="B136" s="73"/>
      <c r="C136" s="75" t="s">
        <v>6372</v>
      </c>
      <c r="D136" s="73"/>
      <c r="E136" s="73"/>
      <c r="F136" s="74"/>
      <c r="G136" s="72"/>
    </row>
    <row r="137" spans="1:9" x14ac:dyDescent="0.25">
      <c r="A137" s="163"/>
      <c r="B137" s="73"/>
      <c r="C137" s="73" t="s">
        <v>6371</v>
      </c>
      <c r="D137" s="73"/>
      <c r="E137" s="73"/>
      <c r="F137" s="74" t="s">
        <v>3</v>
      </c>
      <c r="G137" s="72">
        <f>0.12*0.12*0.15*8*1.15</f>
        <v>1.9871999999999997E-2</v>
      </c>
    </row>
    <row r="138" spans="1:9" x14ac:dyDescent="0.25">
      <c r="A138" s="163"/>
      <c r="B138" s="73"/>
      <c r="C138" s="73"/>
      <c r="D138" s="73"/>
      <c r="E138" s="73"/>
      <c r="F138" s="74"/>
      <c r="G138" s="72"/>
    </row>
    <row r="139" spans="1:9" x14ac:dyDescent="0.25">
      <c r="A139" s="163"/>
      <c r="B139" s="73"/>
      <c r="C139" s="75" t="s">
        <v>6370</v>
      </c>
      <c r="D139" s="73"/>
      <c r="E139" s="73"/>
      <c r="F139" s="74"/>
      <c r="G139" s="72"/>
    </row>
    <row r="140" spans="1:9" x14ac:dyDescent="0.25">
      <c r="A140" s="163"/>
      <c r="B140" s="73"/>
      <c r="C140" s="73" t="s">
        <v>6369</v>
      </c>
      <c r="D140" s="73"/>
      <c r="E140" s="73"/>
      <c r="F140" s="74" t="s">
        <v>3</v>
      </c>
      <c r="G140" s="72">
        <f>0.12*0.12*0.25*8*1.15</f>
        <v>3.3119999999999997E-2</v>
      </c>
    </row>
    <row r="141" spans="1:9" x14ac:dyDescent="0.25">
      <c r="A141" s="163"/>
      <c r="B141" s="73"/>
      <c r="C141" s="73"/>
      <c r="D141" s="73"/>
      <c r="E141" s="73"/>
      <c r="F141" s="74"/>
      <c r="G141" s="72"/>
    </row>
    <row r="142" spans="1:9" x14ac:dyDescent="0.25">
      <c r="A142" s="163"/>
      <c r="B142" s="73"/>
      <c r="C142" s="75" t="s">
        <v>6368</v>
      </c>
      <c r="D142" s="73"/>
      <c r="E142" s="73"/>
      <c r="F142" s="74"/>
      <c r="G142" s="72"/>
    </row>
    <row r="143" spans="1:9" x14ac:dyDescent="0.25">
      <c r="A143" s="163"/>
      <c r="B143" s="73"/>
      <c r="C143" s="73" t="s">
        <v>361</v>
      </c>
      <c r="D143" s="73"/>
      <c r="E143" s="73"/>
      <c r="F143" s="74" t="s">
        <v>3</v>
      </c>
      <c r="G143" s="72">
        <f>0.12*0.12*0.5*8*1.15-0.001</f>
        <v>6.5239999999999992E-2</v>
      </c>
    </row>
    <row r="144" spans="1:9" x14ac:dyDescent="0.25">
      <c r="A144" s="163"/>
      <c r="B144" s="73"/>
      <c r="C144" s="73"/>
      <c r="D144" s="73"/>
      <c r="E144" s="73"/>
      <c r="F144" s="74"/>
      <c r="G144" s="72"/>
    </row>
    <row r="145" spans="1:7" x14ac:dyDescent="0.25">
      <c r="A145" s="163"/>
      <c r="B145" s="73"/>
      <c r="C145" s="75" t="s">
        <v>6367</v>
      </c>
      <c r="D145" s="73"/>
      <c r="E145" s="73"/>
      <c r="F145" s="74"/>
      <c r="G145" s="72"/>
    </row>
    <row r="146" spans="1:7" x14ac:dyDescent="0.25">
      <c r="A146" s="163"/>
      <c r="B146" s="73"/>
      <c r="C146" s="73" t="s">
        <v>100</v>
      </c>
      <c r="D146" s="73"/>
      <c r="E146" s="73"/>
      <c r="F146" s="74" t="s">
        <v>3</v>
      </c>
      <c r="G146" s="72">
        <f>0.17*0.17*1.5*8*1.1-0.001</f>
        <v>0.3804800000000001</v>
      </c>
    </row>
    <row r="147" spans="1:7" x14ac:dyDescent="0.25">
      <c r="A147" s="163"/>
      <c r="B147" s="73"/>
      <c r="C147" s="73"/>
      <c r="D147" s="73"/>
      <c r="E147" s="73"/>
      <c r="F147" s="74"/>
      <c r="G147" s="72"/>
    </row>
    <row r="148" spans="1:7" x14ac:dyDescent="0.25">
      <c r="A148" s="163"/>
      <c r="B148" s="73"/>
      <c r="C148" s="75" t="s">
        <v>6366</v>
      </c>
      <c r="D148" s="73"/>
      <c r="E148" s="73"/>
      <c r="F148" s="74"/>
      <c r="G148" s="72"/>
    </row>
    <row r="149" spans="1:7" x14ac:dyDescent="0.25">
      <c r="A149" s="163"/>
      <c r="B149" s="73"/>
      <c r="C149" s="73" t="s">
        <v>1206</v>
      </c>
      <c r="D149" s="73"/>
      <c r="E149" s="73"/>
      <c r="F149" s="74" t="s">
        <v>3</v>
      </c>
      <c r="G149" s="72">
        <f>0.17*0.17*2*8*1.1+0.001</f>
        <v>0.50964000000000009</v>
      </c>
    </row>
    <row r="150" spans="1:7" x14ac:dyDescent="0.25">
      <c r="A150" s="163"/>
      <c r="B150" s="73"/>
      <c r="C150" s="73"/>
      <c r="D150" s="73"/>
      <c r="E150" s="73"/>
      <c r="F150" s="74"/>
      <c r="G150" s="72"/>
    </row>
    <row r="151" spans="1:7" x14ac:dyDescent="0.25">
      <c r="A151" s="163"/>
      <c r="B151" s="73"/>
      <c r="C151" s="75" t="s">
        <v>6365</v>
      </c>
      <c r="D151" s="73"/>
      <c r="E151" s="73"/>
      <c r="F151" s="73"/>
      <c r="G151" s="164"/>
    </row>
    <row r="152" spans="1:7" x14ac:dyDescent="0.25">
      <c r="A152" s="163"/>
      <c r="B152" s="73"/>
      <c r="C152" s="73" t="s">
        <v>6364</v>
      </c>
      <c r="D152" s="73"/>
      <c r="E152" s="73"/>
      <c r="F152" s="74" t="s">
        <v>3</v>
      </c>
      <c r="G152" s="72">
        <f>0.17*0.17*2.5*8*1.1-0.001</f>
        <v>0.63480000000000014</v>
      </c>
    </row>
    <row r="153" spans="1:7" x14ac:dyDescent="0.25">
      <c r="A153" s="163"/>
      <c r="B153" s="73"/>
      <c r="C153" s="73"/>
      <c r="D153" s="73"/>
      <c r="E153" s="73"/>
      <c r="F153" s="73"/>
      <c r="G153" s="164"/>
    </row>
    <row r="154" spans="1:7" x14ac:dyDescent="0.25">
      <c r="A154" s="163"/>
      <c r="B154" s="73"/>
      <c r="C154" s="75" t="s">
        <v>6363</v>
      </c>
      <c r="D154" s="73"/>
      <c r="E154" s="73"/>
      <c r="F154" s="73"/>
      <c r="G154" s="164"/>
    </row>
    <row r="155" spans="1:7" x14ac:dyDescent="0.25">
      <c r="A155" s="163"/>
      <c r="B155" s="73"/>
      <c r="C155" s="73" t="s">
        <v>6362</v>
      </c>
      <c r="D155" s="73"/>
      <c r="E155" s="73"/>
      <c r="F155" s="74" t="s">
        <v>3</v>
      </c>
      <c r="G155" s="72">
        <f>0.17*0.17*3*8*1.1+0.002</f>
        <v>0.7649600000000002</v>
      </c>
    </row>
    <row r="156" spans="1:7" x14ac:dyDescent="0.25">
      <c r="A156" s="163"/>
      <c r="B156" s="73"/>
      <c r="C156" s="73"/>
      <c r="D156" s="73"/>
      <c r="E156" s="73"/>
      <c r="F156" s="73"/>
      <c r="G156" s="164"/>
    </row>
    <row r="157" spans="1:7" x14ac:dyDescent="0.25">
      <c r="A157" s="163"/>
      <c r="B157" s="73"/>
      <c r="C157" s="75" t="s">
        <v>6361</v>
      </c>
      <c r="D157" s="73"/>
      <c r="E157" s="73"/>
      <c r="F157" s="73"/>
      <c r="G157" s="164"/>
    </row>
    <row r="158" spans="1:7" x14ac:dyDescent="0.25">
      <c r="A158" s="163"/>
      <c r="B158" s="73"/>
      <c r="C158" s="73" t="s">
        <v>6360</v>
      </c>
      <c r="D158" s="73"/>
      <c r="E158" s="73"/>
      <c r="F158" s="74" t="s">
        <v>3</v>
      </c>
      <c r="G158" s="72">
        <f>0.17*0.17*3.5*8*1.1</f>
        <v>0.89012000000000024</v>
      </c>
    </row>
    <row r="159" spans="1:7" x14ac:dyDescent="0.25">
      <c r="A159" s="163"/>
      <c r="B159" s="73"/>
      <c r="C159" s="73"/>
      <c r="D159" s="73"/>
      <c r="E159" s="73"/>
      <c r="F159" s="74"/>
      <c r="G159" s="72"/>
    </row>
    <row r="160" spans="1:7" x14ac:dyDescent="0.25">
      <c r="A160" s="163"/>
      <c r="B160" s="73"/>
      <c r="C160" s="75" t="s">
        <v>6359</v>
      </c>
      <c r="D160" s="73"/>
      <c r="E160" s="73"/>
      <c r="F160" s="74"/>
      <c r="G160" s="72"/>
    </row>
    <row r="161" spans="1:7" x14ac:dyDescent="0.25">
      <c r="A161" s="163"/>
      <c r="B161" s="73"/>
      <c r="C161" s="73" t="s">
        <v>6358</v>
      </c>
      <c r="D161" s="73"/>
      <c r="E161" s="73"/>
      <c r="F161" s="74" t="s">
        <v>3</v>
      </c>
      <c r="G161" s="72">
        <f>0.07*0.07*4*8*1.115</f>
        <v>0.17483200000000002</v>
      </c>
    </row>
    <row r="162" spans="1:7" x14ac:dyDescent="0.25">
      <c r="A162" s="163"/>
      <c r="B162" s="73"/>
      <c r="C162" s="73"/>
      <c r="D162" s="73"/>
      <c r="E162" s="73"/>
      <c r="F162" s="74"/>
      <c r="G162" s="72"/>
    </row>
    <row r="163" spans="1:7" x14ac:dyDescent="0.25">
      <c r="A163" s="163"/>
      <c r="B163" s="73"/>
      <c r="C163" s="75" t="s">
        <v>6357</v>
      </c>
      <c r="D163" s="73"/>
      <c r="E163" s="73"/>
      <c r="F163" s="74"/>
      <c r="G163" s="72"/>
    </row>
    <row r="164" spans="1:7" x14ac:dyDescent="0.25">
      <c r="A164" s="163"/>
      <c r="B164" s="73"/>
      <c r="C164" s="73" t="s">
        <v>6356</v>
      </c>
      <c r="D164" s="73"/>
      <c r="E164" s="73"/>
      <c r="F164" s="74" t="s">
        <v>3</v>
      </c>
      <c r="G164" s="72">
        <f>0.14*0.14*1.5*8*1.105</f>
        <v>0.25989600000000002</v>
      </c>
    </row>
    <row r="165" spans="1:7" x14ac:dyDescent="0.25">
      <c r="A165" s="163"/>
      <c r="B165" s="73"/>
      <c r="C165" s="73"/>
      <c r="D165" s="73"/>
      <c r="E165" s="73"/>
      <c r="F165" s="74"/>
      <c r="G165" s="72"/>
    </row>
    <row r="166" spans="1:7" x14ac:dyDescent="0.25">
      <c r="A166" s="163"/>
      <c r="B166" s="73"/>
      <c r="C166" s="73"/>
      <c r="D166" s="73"/>
      <c r="E166" s="73"/>
      <c r="F166" s="74"/>
      <c r="G166" s="72"/>
    </row>
    <row r="167" spans="1:7" x14ac:dyDescent="0.25">
      <c r="A167" s="163"/>
      <c r="B167" s="73"/>
      <c r="C167" s="75" t="s">
        <v>6355</v>
      </c>
      <c r="D167" s="73"/>
      <c r="E167" s="73"/>
      <c r="F167" s="74"/>
      <c r="G167" s="72"/>
    </row>
    <row r="168" spans="1:7" x14ac:dyDescent="0.25">
      <c r="A168" s="163"/>
      <c r="B168" s="73"/>
      <c r="C168" s="73" t="s">
        <v>6354</v>
      </c>
      <c r="D168" s="73"/>
      <c r="E168" s="73"/>
      <c r="F168" s="74" t="s">
        <v>3</v>
      </c>
      <c r="G168" s="72">
        <f>0.14*0.14*2*8*1.105+0.003</f>
        <v>0.34952800000000006</v>
      </c>
    </row>
    <row r="169" spans="1:7" x14ac:dyDescent="0.25">
      <c r="A169" s="163"/>
      <c r="B169" s="73"/>
      <c r="C169" s="73"/>
      <c r="D169" s="73"/>
      <c r="E169" s="73"/>
      <c r="F169" s="74"/>
      <c r="G169" s="72"/>
    </row>
    <row r="170" spans="1:7" x14ac:dyDescent="0.25">
      <c r="A170" s="163"/>
      <c r="B170" s="73"/>
      <c r="C170" s="75" t="s">
        <v>6353</v>
      </c>
      <c r="D170" s="73"/>
      <c r="E170" s="73"/>
      <c r="F170" s="74"/>
      <c r="G170" s="72"/>
    </row>
    <row r="171" spans="1:7" x14ac:dyDescent="0.25">
      <c r="A171" s="163"/>
      <c r="B171" s="73"/>
      <c r="C171" s="73" t="s">
        <v>6352</v>
      </c>
      <c r="D171" s="73"/>
      <c r="E171" s="73"/>
      <c r="F171" s="74" t="s">
        <v>3</v>
      </c>
      <c r="G171" s="72">
        <f>0.14*0.14*2.5*8*1.105+0.002</f>
        <v>0.43516000000000005</v>
      </c>
    </row>
    <row r="172" spans="1:7" x14ac:dyDescent="0.25">
      <c r="A172" s="163"/>
      <c r="B172" s="73"/>
      <c r="C172" s="73"/>
      <c r="D172" s="73"/>
      <c r="E172" s="73"/>
      <c r="F172" s="74"/>
      <c r="G172" s="72"/>
    </row>
    <row r="173" spans="1:7" x14ac:dyDescent="0.25">
      <c r="A173" s="163"/>
      <c r="B173" s="73"/>
      <c r="C173" s="75" t="s">
        <v>6351</v>
      </c>
      <c r="D173" s="73"/>
      <c r="E173" s="73"/>
      <c r="F173" s="74"/>
      <c r="G173" s="72"/>
    </row>
    <row r="174" spans="1:7" x14ac:dyDescent="0.25">
      <c r="A174" s="163"/>
      <c r="B174" s="73"/>
      <c r="C174" s="73" t="s">
        <v>6350</v>
      </c>
      <c r="D174" s="73"/>
      <c r="E174" s="73"/>
      <c r="F174" s="74" t="s">
        <v>3</v>
      </c>
      <c r="G174" s="72">
        <f>0.14*0.14*3*8*1.105</f>
        <v>0.51979200000000003</v>
      </c>
    </row>
    <row r="175" spans="1:7" x14ac:dyDescent="0.25">
      <c r="A175" s="163"/>
      <c r="B175" s="73"/>
      <c r="C175" s="73"/>
      <c r="D175" s="73"/>
      <c r="E175" s="73"/>
      <c r="F175" s="74"/>
      <c r="G175" s="72"/>
    </row>
    <row r="176" spans="1:7" x14ac:dyDescent="0.25">
      <c r="A176" s="163"/>
      <c r="B176" s="73"/>
      <c r="C176" s="75" t="s">
        <v>6349</v>
      </c>
      <c r="D176" s="73"/>
      <c r="E176" s="73"/>
      <c r="F176" s="74"/>
      <c r="G176" s="72"/>
    </row>
    <row r="177" spans="1:7" x14ac:dyDescent="0.25">
      <c r="A177" s="163"/>
      <c r="B177" s="73"/>
      <c r="C177" s="73" t="s">
        <v>6348</v>
      </c>
      <c r="D177" s="73"/>
      <c r="E177" s="73"/>
      <c r="F177" s="74" t="s">
        <v>3</v>
      </c>
      <c r="G177" s="72">
        <f>0.14*0.14*3.5*8*1.105-0.001</f>
        <v>0.60542400000000007</v>
      </c>
    </row>
    <row r="178" spans="1:7" x14ac:dyDescent="0.25">
      <c r="A178" s="163"/>
      <c r="B178" s="73"/>
      <c r="C178" s="75"/>
      <c r="D178" s="73"/>
      <c r="E178" s="73"/>
      <c r="F178" s="74"/>
      <c r="G178" s="72"/>
    </row>
    <row r="179" spans="1:7" x14ac:dyDescent="0.25">
      <c r="A179" s="163"/>
      <c r="B179" s="73"/>
      <c r="C179" s="75" t="s">
        <v>6347</v>
      </c>
      <c r="D179" s="73"/>
      <c r="E179" s="73"/>
      <c r="F179" s="74"/>
      <c r="G179" s="72"/>
    </row>
    <row r="180" spans="1:7" x14ac:dyDescent="0.25">
      <c r="A180" s="163"/>
      <c r="B180" s="73"/>
      <c r="C180" s="100" t="s">
        <v>6346</v>
      </c>
      <c r="D180" s="73"/>
      <c r="E180" s="73"/>
      <c r="F180" s="74" t="s">
        <v>3</v>
      </c>
      <c r="G180" s="72">
        <f>0.02*0.02*1*8</f>
        <v>3.2000000000000002E-3</v>
      </c>
    </row>
    <row r="181" spans="1:7" x14ac:dyDescent="0.25">
      <c r="A181" s="163"/>
      <c r="B181" s="73"/>
      <c r="C181" s="75"/>
      <c r="D181" s="73"/>
      <c r="E181" s="73"/>
      <c r="F181" s="74"/>
      <c r="G181" s="72"/>
    </row>
    <row r="182" spans="1:7" x14ac:dyDescent="0.25">
      <c r="A182" s="163"/>
      <c r="B182" s="73"/>
      <c r="C182" s="75" t="s">
        <v>6345</v>
      </c>
      <c r="D182" s="73"/>
      <c r="E182" s="73"/>
      <c r="F182" s="74"/>
      <c r="G182" s="72"/>
    </row>
    <row r="183" spans="1:7" x14ac:dyDescent="0.25">
      <c r="A183" s="163"/>
      <c r="B183" s="73"/>
      <c r="C183" s="100" t="s">
        <v>6344</v>
      </c>
      <c r="D183" s="73"/>
      <c r="E183" s="73"/>
      <c r="F183" s="74" t="s">
        <v>3</v>
      </c>
      <c r="G183" s="72">
        <f>0.075*0.075*3.5*8*1.08</f>
        <v>0.1701</v>
      </c>
    </row>
    <row r="184" spans="1:7" x14ac:dyDescent="0.25">
      <c r="A184" s="163"/>
      <c r="B184" s="73"/>
      <c r="C184" s="100"/>
      <c r="D184" s="73"/>
      <c r="E184" s="73"/>
      <c r="F184" s="74"/>
      <c r="G184" s="72"/>
    </row>
    <row r="185" spans="1:7" x14ac:dyDescent="0.25">
      <c r="A185" s="163"/>
      <c r="B185" s="73"/>
      <c r="C185" s="75" t="s">
        <v>6343</v>
      </c>
      <c r="D185" s="73"/>
      <c r="E185" s="73"/>
      <c r="F185" s="73"/>
      <c r="G185" s="164"/>
    </row>
    <row r="186" spans="1:7" x14ac:dyDescent="0.25">
      <c r="A186" s="163"/>
      <c r="B186" s="73"/>
      <c r="C186" s="100" t="s">
        <v>6342</v>
      </c>
      <c r="D186" s="73"/>
      <c r="E186" s="73"/>
      <c r="F186" s="74" t="s">
        <v>3</v>
      </c>
      <c r="G186" s="72">
        <f>0.02*0.02*0.5*8</f>
        <v>1.6000000000000001E-3</v>
      </c>
    </row>
    <row r="187" spans="1:7" x14ac:dyDescent="0.25">
      <c r="A187" s="163"/>
      <c r="B187" s="73"/>
      <c r="C187" s="73"/>
      <c r="D187" s="73"/>
      <c r="E187" s="73"/>
      <c r="F187" s="74"/>
      <c r="G187" s="72"/>
    </row>
    <row r="188" spans="1:7" x14ac:dyDescent="0.25">
      <c r="A188" s="163"/>
      <c r="B188" s="73"/>
      <c r="C188" s="75" t="s">
        <v>6341</v>
      </c>
      <c r="D188" s="73"/>
      <c r="E188" s="73"/>
      <c r="F188" s="74"/>
      <c r="G188" s="72"/>
    </row>
    <row r="189" spans="1:7" x14ac:dyDescent="0.25">
      <c r="A189" s="163"/>
      <c r="B189" s="73"/>
      <c r="C189" s="73" t="s">
        <v>6340</v>
      </c>
      <c r="D189" s="73"/>
      <c r="E189" s="73"/>
      <c r="F189" s="74" t="s">
        <v>3</v>
      </c>
      <c r="G189" s="72">
        <f>0.02*0.02*0.5*8</f>
        <v>1.6000000000000001E-3</v>
      </c>
    </row>
    <row r="190" spans="1:7" x14ac:dyDescent="0.25">
      <c r="A190" s="163"/>
      <c r="B190" s="73"/>
      <c r="C190" s="73"/>
      <c r="D190" s="73"/>
      <c r="E190" s="73"/>
      <c r="F190" s="74"/>
      <c r="G190" s="72"/>
    </row>
    <row r="191" spans="1:7" x14ac:dyDescent="0.25">
      <c r="A191" s="163"/>
      <c r="B191" s="73"/>
      <c r="C191" s="75" t="s">
        <v>6339</v>
      </c>
      <c r="D191" s="73"/>
      <c r="E191" s="73"/>
      <c r="F191" s="74"/>
      <c r="G191" s="72"/>
    </row>
    <row r="192" spans="1:7" x14ac:dyDescent="0.25">
      <c r="A192" s="163"/>
      <c r="B192" s="73"/>
      <c r="C192" s="73" t="s">
        <v>6338</v>
      </c>
      <c r="D192" s="73"/>
      <c r="E192" s="73"/>
      <c r="F192" s="74" t="s">
        <v>3</v>
      </c>
      <c r="G192" s="72">
        <f>0.045*0.045*3*1.25</f>
        <v>7.5937499999999998E-3</v>
      </c>
    </row>
    <row r="193" spans="1:9" x14ac:dyDescent="0.25">
      <c r="A193" s="163"/>
      <c r="B193" s="73"/>
      <c r="C193" s="73"/>
      <c r="D193" s="73"/>
      <c r="E193" s="73"/>
      <c r="F193" s="74"/>
      <c r="G193" s="72"/>
    </row>
    <row r="194" spans="1:9" x14ac:dyDescent="0.25">
      <c r="A194" s="163"/>
      <c r="B194" s="73"/>
      <c r="C194" s="75" t="s">
        <v>6337</v>
      </c>
      <c r="D194" s="73"/>
      <c r="E194" s="73"/>
      <c r="F194" s="74"/>
      <c r="G194" s="72"/>
    </row>
    <row r="195" spans="1:9" x14ac:dyDescent="0.25">
      <c r="A195" s="163"/>
      <c r="B195" s="73"/>
      <c r="C195" s="73" t="s">
        <v>1534</v>
      </c>
      <c r="D195" s="73"/>
      <c r="E195" s="73"/>
      <c r="F195" s="74" t="s">
        <v>3</v>
      </c>
      <c r="G195" s="72">
        <f>0.03*0.03*2*8</f>
        <v>1.44E-2</v>
      </c>
    </row>
    <row r="196" spans="1:9" x14ac:dyDescent="0.25">
      <c r="A196" s="163"/>
      <c r="B196" s="73"/>
      <c r="C196" s="73"/>
      <c r="D196" s="73"/>
      <c r="E196" s="73"/>
      <c r="F196" s="74"/>
      <c r="G196" s="72"/>
    </row>
    <row r="197" spans="1:9" x14ac:dyDescent="0.25">
      <c r="A197" s="163"/>
      <c r="B197" s="73"/>
      <c r="C197" s="75" t="s">
        <v>6336</v>
      </c>
      <c r="D197" s="73"/>
      <c r="E197" s="73"/>
      <c r="F197" s="74"/>
      <c r="G197" s="72"/>
    </row>
    <row r="198" spans="1:9" x14ac:dyDescent="0.25">
      <c r="A198" s="163"/>
      <c r="B198" s="73"/>
      <c r="C198" s="73" t="s">
        <v>6335</v>
      </c>
      <c r="D198" s="73"/>
      <c r="E198" s="73"/>
      <c r="F198" s="74" t="s">
        <v>3</v>
      </c>
      <c r="G198" s="72">
        <f>0.025*0.025*1*8</f>
        <v>5.000000000000001E-3</v>
      </c>
    </row>
    <row r="199" spans="1:9" x14ac:dyDescent="0.25">
      <c r="A199" s="163"/>
      <c r="B199" s="73"/>
      <c r="C199" s="73"/>
      <c r="D199" s="73"/>
      <c r="E199" s="73"/>
      <c r="F199" s="74"/>
      <c r="G199" s="72"/>
    </row>
    <row r="200" spans="1:9" x14ac:dyDescent="0.25">
      <c r="A200" s="163"/>
      <c r="B200" s="73"/>
      <c r="C200" s="75" t="s">
        <v>6334</v>
      </c>
      <c r="D200" s="73"/>
      <c r="E200" s="73"/>
      <c r="F200" s="74"/>
      <c r="G200" s="72"/>
    </row>
    <row r="201" spans="1:9" x14ac:dyDescent="0.25">
      <c r="A201" s="163"/>
      <c r="B201" s="73"/>
      <c r="C201" s="100" t="s">
        <v>140</v>
      </c>
      <c r="D201" s="75"/>
      <c r="E201" s="73"/>
      <c r="F201" s="74" t="s">
        <v>3</v>
      </c>
      <c r="G201" s="72">
        <f>0.01*3.14*3*0.08*1.2</f>
        <v>9.0432000000000012E-3</v>
      </c>
    </row>
    <row r="202" spans="1:9" ht="17.25" x14ac:dyDescent="0.25">
      <c r="A202" s="163"/>
      <c r="B202" s="73"/>
      <c r="C202" s="100" t="s">
        <v>23</v>
      </c>
      <c r="D202" s="75"/>
      <c r="E202" s="73"/>
      <c r="F202" s="74" t="s">
        <v>596</v>
      </c>
      <c r="G202" s="72">
        <f>G201*2</f>
        <v>1.8086400000000002E-2</v>
      </c>
    </row>
    <row r="203" spans="1:9" x14ac:dyDescent="0.25">
      <c r="A203" s="163"/>
      <c r="B203" s="73"/>
      <c r="C203" s="100" t="s">
        <v>142</v>
      </c>
      <c r="D203" s="75"/>
      <c r="E203" s="73"/>
      <c r="F203" s="74" t="s">
        <v>3</v>
      </c>
      <c r="G203" s="72">
        <f>G201/4</f>
        <v>2.2608000000000003E-3</v>
      </c>
    </row>
    <row r="204" spans="1:9" x14ac:dyDescent="0.25">
      <c r="A204" s="163"/>
      <c r="B204" s="73"/>
      <c r="C204" s="73"/>
      <c r="D204" s="75"/>
      <c r="E204" s="73"/>
      <c r="F204" s="74"/>
      <c r="G204" s="72"/>
    </row>
    <row r="205" spans="1:9" x14ac:dyDescent="0.25">
      <c r="A205" s="163"/>
      <c r="B205" s="73"/>
      <c r="C205" s="320" t="s">
        <v>6333</v>
      </c>
      <c r="D205" s="73"/>
      <c r="E205" s="73"/>
      <c r="F205" s="74"/>
      <c r="G205" s="72"/>
    </row>
    <row r="206" spans="1:9" x14ac:dyDescent="0.25">
      <c r="A206" s="163"/>
      <c r="B206" s="73"/>
      <c r="C206" s="73"/>
      <c r="D206" s="75" t="s">
        <v>6332</v>
      </c>
      <c r="E206" s="73"/>
      <c r="F206" s="74"/>
      <c r="G206" s="72"/>
    </row>
    <row r="207" spans="1:9" x14ac:dyDescent="0.25">
      <c r="A207" s="163"/>
      <c r="B207" s="73"/>
      <c r="C207" s="73"/>
      <c r="D207" s="73" t="s">
        <v>6329</v>
      </c>
      <c r="E207" s="73"/>
      <c r="F207" s="74" t="s">
        <v>3</v>
      </c>
      <c r="G207" s="72">
        <v>0.04</v>
      </c>
      <c r="I207" t="s">
        <v>4122</v>
      </c>
    </row>
    <row r="208" spans="1:9" x14ac:dyDescent="0.25">
      <c r="A208" s="163"/>
      <c r="B208" s="73"/>
      <c r="C208" s="73"/>
      <c r="D208" s="73"/>
      <c r="E208" s="73"/>
      <c r="F208" s="74"/>
      <c r="G208" s="72"/>
    </row>
    <row r="209" spans="1:9" x14ac:dyDescent="0.25">
      <c r="A209" s="163"/>
      <c r="B209" s="73"/>
      <c r="C209" s="320" t="s">
        <v>6331</v>
      </c>
      <c r="D209" s="73"/>
      <c r="E209" s="73"/>
      <c r="F209" s="74"/>
      <c r="G209" s="72"/>
    </row>
    <row r="210" spans="1:9" x14ac:dyDescent="0.25">
      <c r="A210" s="163"/>
      <c r="B210" s="73"/>
      <c r="C210" s="73"/>
      <c r="D210" s="75" t="s">
        <v>6330</v>
      </c>
      <c r="E210" s="73"/>
      <c r="F210" s="74"/>
      <c r="G210" s="72"/>
    </row>
    <row r="211" spans="1:9" x14ac:dyDescent="0.25">
      <c r="A211" s="163"/>
      <c r="B211" s="73"/>
      <c r="C211" s="256"/>
      <c r="D211" s="73" t="s">
        <v>6329</v>
      </c>
      <c r="E211" s="73"/>
      <c r="F211" s="74" t="s">
        <v>3</v>
      </c>
      <c r="G211" s="72">
        <v>8.5000000000000006E-2</v>
      </c>
      <c r="I211" t="s">
        <v>6328</v>
      </c>
    </row>
    <row r="212" spans="1:9" x14ac:dyDescent="0.25">
      <c r="A212" s="163"/>
      <c r="B212" s="73"/>
      <c r="C212" s="73"/>
      <c r="D212" s="73"/>
      <c r="E212" s="73"/>
      <c r="F212" s="74"/>
      <c r="G212" s="72"/>
    </row>
    <row r="213" spans="1:9" x14ac:dyDescent="0.25">
      <c r="A213" s="163"/>
      <c r="B213" s="73"/>
      <c r="C213" s="75" t="s">
        <v>6327</v>
      </c>
      <c r="D213" s="73"/>
      <c r="E213" s="73"/>
      <c r="F213" s="74"/>
      <c r="G213" s="72"/>
    </row>
    <row r="214" spans="1:9" x14ac:dyDescent="0.25">
      <c r="A214" s="163"/>
      <c r="B214" s="73"/>
      <c r="C214" s="100" t="s">
        <v>140</v>
      </c>
      <c r="D214" s="75"/>
      <c r="E214" s="73"/>
      <c r="F214" s="74" t="s">
        <v>3</v>
      </c>
      <c r="G214" s="72">
        <f>0.01*3.14*5*0.08*1.2</f>
        <v>1.5072000000000002E-2</v>
      </c>
    </row>
    <row r="215" spans="1:9" ht="17.25" x14ac:dyDescent="0.25">
      <c r="A215" s="163"/>
      <c r="B215" s="73"/>
      <c r="C215" s="100" t="s">
        <v>23</v>
      </c>
      <c r="D215" s="75"/>
      <c r="E215" s="73"/>
      <c r="F215" s="74" t="s">
        <v>596</v>
      </c>
      <c r="G215" s="72">
        <f>G214*2</f>
        <v>3.0144000000000004E-2</v>
      </c>
    </row>
    <row r="216" spans="1:9" x14ac:dyDescent="0.25">
      <c r="A216" s="163"/>
      <c r="B216" s="73"/>
      <c r="C216" s="100" t="s">
        <v>142</v>
      </c>
      <c r="D216" s="75"/>
      <c r="E216" s="73"/>
      <c r="F216" s="74" t="s">
        <v>3</v>
      </c>
      <c r="G216" s="72">
        <f>G214/4</f>
        <v>3.7680000000000005E-3</v>
      </c>
    </row>
    <row r="217" spans="1:9" x14ac:dyDescent="0.25">
      <c r="A217" s="163"/>
      <c r="B217" s="73"/>
      <c r="C217" s="186" t="s">
        <v>143</v>
      </c>
      <c r="D217" s="75"/>
      <c r="E217" s="73"/>
      <c r="F217" s="74" t="s">
        <v>3</v>
      </c>
      <c r="G217" s="72">
        <f>G219</f>
        <v>1.4255999999999998E-2</v>
      </c>
    </row>
    <row r="218" spans="1:9" x14ac:dyDescent="0.25">
      <c r="A218" s="163"/>
      <c r="B218" s="73"/>
      <c r="C218" s="186" t="s">
        <v>115</v>
      </c>
      <c r="D218" s="75"/>
      <c r="E218" s="73"/>
      <c r="F218" s="74" t="s">
        <v>3</v>
      </c>
      <c r="G218" s="72">
        <f>0.6*0.011*2*1.2</f>
        <v>1.5839999999999996E-2</v>
      </c>
    </row>
    <row r="219" spans="1:9" x14ac:dyDescent="0.25">
      <c r="A219" s="163"/>
      <c r="B219" s="73"/>
      <c r="C219" s="186" t="s">
        <v>8</v>
      </c>
      <c r="D219" s="75"/>
      <c r="E219" s="73"/>
      <c r="F219" s="74" t="s">
        <v>3</v>
      </c>
      <c r="G219" s="72">
        <f>G218*0.9</f>
        <v>1.4255999999999998E-2</v>
      </c>
    </row>
    <row r="220" spans="1:9" x14ac:dyDescent="0.25">
      <c r="A220" s="163"/>
      <c r="B220" s="73"/>
      <c r="C220" s="186" t="s">
        <v>12</v>
      </c>
      <c r="D220" s="75"/>
      <c r="E220" s="73"/>
      <c r="F220" s="74" t="s">
        <v>3</v>
      </c>
      <c r="G220" s="72">
        <f>0.3*(G219+G218+G217)</f>
        <v>1.3305599999999996E-2</v>
      </c>
    </row>
    <row r="221" spans="1:9" x14ac:dyDescent="0.25">
      <c r="A221" s="163"/>
      <c r="B221" s="73"/>
      <c r="C221" s="100"/>
      <c r="D221" s="75" t="s">
        <v>6326</v>
      </c>
      <c r="E221" s="73"/>
      <c r="F221" s="74"/>
      <c r="G221" s="72"/>
    </row>
    <row r="222" spans="1:9" x14ac:dyDescent="0.25">
      <c r="A222" s="163"/>
      <c r="B222" s="73"/>
      <c r="C222" s="100"/>
      <c r="D222" s="73" t="s">
        <v>928</v>
      </c>
      <c r="E222" s="73"/>
      <c r="F222" s="74" t="s">
        <v>3</v>
      </c>
      <c r="G222" s="72">
        <v>0.111</v>
      </c>
      <c r="I222" t="s">
        <v>6325</v>
      </c>
    </row>
    <row r="223" spans="1:9" x14ac:dyDescent="0.25">
      <c r="A223" s="163"/>
      <c r="B223" s="73"/>
      <c r="C223" s="100"/>
      <c r="D223" s="75" t="s">
        <v>6324</v>
      </c>
      <c r="E223" s="73"/>
      <c r="F223" s="74"/>
      <c r="G223" s="72"/>
    </row>
    <row r="224" spans="1:9" x14ac:dyDescent="0.25">
      <c r="A224" s="163"/>
      <c r="B224" s="73"/>
      <c r="C224" s="100"/>
      <c r="D224" s="73" t="s">
        <v>928</v>
      </c>
      <c r="E224" s="73"/>
      <c r="F224" s="74" t="s">
        <v>3</v>
      </c>
      <c r="G224" s="72">
        <v>4.4999999999999998E-2</v>
      </c>
      <c r="I224" t="s">
        <v>6323</v>
      </c>
    </row>
    <row r="225" spans="1:7" x14ac:dyDescent="0.25">
      <c r="A225" s="163"/>
      <c r="B225" s="73"/>
      <c r="C225" s="100"/>
      <c r="D225" s="75"/>
      <c r="E225" s="73"/>
      <c r="F225" s="74"/>
      <c r="G225" s="72"/>
    </row>
    <row r="226" spans="1:7" x14ac:dyDescent="0.25">
      <c r="A226" s="163"/>
      <c r="B226" s="73"/>
      <c r="C226" s="75" t="s">
        <v>6322</v>
      </c>
      <c r="D226" s="75"/>
      <c r="E226" s="73"/>
      <c r="F226" s="74"/>
      <c r="G226" s="72"/>
    </row>
    <row r="227" spans="1:7" x14ac:dyDescent="0.25">
      <c r="A227" s="163"/>
      <c r="B227" s="73"/>
      <c r="C227" s="73" t="s">
        <v>6321</v>
      </c>
      <c r="D227" s="75"/>
      <c r="E227" s="73"/>
      <c r="F227" s="74" t="s">
        <v>3</v>
      </c>
      <c r="G227" s="72">
        <f>0.18*0.09*3*8*1.12</f>
        <v>0.43545600000000001</v>
      </c>
    </row>
    <row r="228" spans="1:7" x14ac:dyDescent="0.25">
      <c r="A228" s="163"/>
      <c r="B228" s="73"/>
      <c r="C228" s="100"/>
      <c r="D228" s="75"/>
      <c r="E228" s="73"/>
      <c r="F228" s="74"/>
      <c r="G228" s="72"/>
    </row>
    <row r="229" spans="1:7" x14ac:dyDescent="0.25">
      <c r="A229" s="163"/>
      <c r="B229" s="73"/>
      <c r="C229" s="75" t="s">
        <v>6320</v>
      </c>
      <c r="D229" s="75"/>
      <c r="E229" s="73"/>
      <c r="F229" s="74"/>
      <c r="G229" s="72"/>
    </row>
    <row r="230" spans="1:7" x14ac:dyDescent="0.25">
      <c r="A230" s="163"/>
      <c r="B230" s="73"/>
      <c r="C230" s="186" t="s">
        <v>6319</v>
      </c>
      <c r="D230" s="75"/>
      <c r="E230" s="73"/>
      <c r="F230" s="74" t="s">
        <v>3</v>
      </c>
      <c r="G230" s="72">
        <f>0.2*0.2*2*8*1.015</f>
        <v>0.64960000000000007</v>
      </c>
    </row>
    <row r="231" spans="1:7" x14ac:dyDescent="0.25">
      <c r="A231" s="163"/>
      <c r="B231" s="73"/>
      <c r="C231" s="100"/>
      <c r="D231" s="75"/>
      <c r="E231" s="73"/>
      <c r="F231" s="74"/>
      <c r="G231" s="72"/>
    </row>
    <row r="232" spans="1:7" x14ac:dyDescent="0.25">
      <c r="A232" s="163"/>
      <c r="B232" s="73"/>
      <c r="C232" s="75" t="s">
        <v>6318</v>
      </c>
      <c r="D232" s="75"/>
      <c r="E232" s="73"/>
      <c r="F232" s="74"/>
      <c r="G232" s="72"/>
    </row>
    <row r="233" spans="1:7" x14ac:dyDescent="0.25">
      <c r="A233" s="163"/>
      <c r="B233" s="73"/>
      <c r="C233" s="186" t="s">
        <v>6317</v>
      </c>
      <c r="D233" s="75"/>
      <c r="E233" s="73"/>
      <c r="F233" s="74" t="s">
        <v>3</v>
      </c>
      <c r="G233" s="72">
        <f>0.05*0.065*1.5*8*1.15</f>
        <v>4.4850000000000008E-2</v>
      </c>
    </row>
    <row r="234" spans="1:7" x14ac:dyDescent="0.25">
      <c r="A234" s="163"/>
      <c r="B234" s="73"/>
      <c r="C234" s="100"/>
      <c r="D234" s="75"/>
      <c r="E234" s="73"/>
      <c r="F234" s="74"/>
      <c r="G234" s="72"/>
    </row>
    <row r="235" spans="1:7" x14ac:dyDescent="0.25">
      <c r="A235" s="163"/>
      <c r="B235" s="73"/>
      <c r="C235" s="78" t="s">
        <v>6316</v>
      </c>
      <c r="D235" s="75"/>
      <c r="E235" s="73"/>
      <c r="F235" s="74"/>
      <c r="G235" s="72"/>
    </row>
    <row r="236" spans="1:7" x14ac:dyDescent="0.25">
      <c r="A236" s="163"/>
      <c r="B236" s="73"/>
      <c r="C236" s="77" t="s">
        <v>6315</v>
      </c>
      <c r="D236" s="75"/>
      <c r="E236" s="73"/>
      <c r="F236" s="74" t="s">
        <v>3</v>
      </c>
      <c r="G236" s="72">
        <f>0.06*0.016*1*8*1.12</f>
        <v>8.6016000000000009E-3</v>
      </c>
    </row>
    <row r="237" spans="1:7" ht="15.75" thickBot="1" x14ac:dyDescent="0.3">
      <c r="A237" s="67"/>
      <c r="B237" s="376"/>
      <c r="C237" s="607"/>
      <c r="D237" s="375"/>
      <c r="E237" s="376"/>
      <c r="F237" s="377"/>
      <c r="G237" s="386"/>
    </row>
    <row r="238" spans="1:7" x14ac:dyDescent="0.25">
      <c r="C238" s="100"/>
      <c r="D238" s="75"/>
      <c r="E238" s="73"/>
      <c r="F238" s="74"/>
    </row>
    <row r="239" spans="1:7" ht="15.75" x14ac:dyDescent="0.25">
      <c r="C239" s="100"/>
      <c r="D239" s="75"/>
      <c r="E239" s="605" t="s">
        <v>6314</v>
      </c>
      <c r="F239" s="74"/>
    </row>
    <row r="240" spans="1:7" x14ac:dyDescent="0.25">
      <c r="C240" s="100"/>
      <c r="D240" s="75"/>
      <c r="E240" s="73"/>
      <c r="F240" s="74"/>
    </row>
    <row r="241" spans="2:7" x14ac:dyDescent="0.25">
      <c r="B241" s="8"/>
      <c r="C241" s="75" t="s">
        <v>6313</v>
      </c>
      <c r="D241" s="75"/>
      <c r="E241" s="73"/>
      <c r="F241" s="74"/>
    </row>
    <row r="242" spans="2:7" x14ac:dyDescent="0.25">
      <c r="C242" s="73" t="s">
        <v>55</v>
      </c>
      <c r="D242" s="75"/>
      <c r="E242" s="73"/>
      <c r="F242" s="74" t="s">
        <v>3</v>
      </c>
      <c r="G242" s="10">
        <f>0.04*0.02*3*8*1.12</f>
        <v>2.1504000000000006E-2</v>
      </c>
    </row>
    <row r="243" spans="2:7" x14ac:dyDescent="0.25">
      <c r="C243" s="100"/>
      <c r="D243" s="75"/>
      <c r="E243" s="73"/>
      <c r="F243" s="74"/>
    </row>
    <row r="244" spans="2:7" x14ac:dyDescent="0.25">
      <c r="C244" s="75" t="s">
        <v>3411</v>
      </c>
      <c r="D244" s="75"/>
      <c r="E244" s="73"/>
      <c r="F244" s="74"/>
    </row>
    <row r="245" spans="2:7" x14ac:dyDescent="0.25">
      <c r="C245" s="73" t="s">
        <v>951</v>
      </c>
      <c r="D245" s="75"/>
      <c r="E245" s="73"/>
      <c r="F245" s="74" t="s">
        <v>3</v>
      </c>
      <c r="G245" s="10">
        <f>1*0.05</f>
        <v>0.05</v>
      </c>
    </row>
    <row r="246" spans="2:7" x14ac:dyDescent="0.25">
      <c r="C246" s="77" t="s">
        <v>672</v>
      </c>
      <c r="D246" s="75"/>
      <c r="E246" s="73"/>
      <c r="F246" s="74" t="s">
        <v>3</v>
      </c>
      <c r="G246" s="10">
        <f>G245</f>
        <v>0.05</v>
      </c>
    </row>
    <row r="247" spans="2:7" x14ac:dyDescent="0.25">
      <c r="C247" s="100"/>
      <c r="D247" s="75" t="s">
        <v>3412</v>
      </c>
      <c r="E247" s="73"/>
      <c r="F247" s="74"/>
    </row>
    <row r="248" spans="2:7" x14ac:dyDescent="0.25">
      <c r="C248" s="100"/>
      <c r="D248" s="100" t="s">
        <v>6312</v>
      </c>
      <c r="E248" s="73"/>
      <c r="F248" s="74" t="s">
        <v>3</v>
      </c>
      <c r="G248" s="10">
        <f>0.957*0.072*0.3*9*1.075</f>
        <v>0.19999385999999997</v>
      </c>
    </row>
    <row r="249" spans="2:7" x14ac:dyDescent="0.25">
      <c r="C249" s="100"/>
      <c r="D249" s="75" t="s">
        <v>3410</v>
      </c>
      <c r="E249" s="73"/>
      <c r="F249" s="74"/>
    </row>
    <row r="250" spans="2:7" x14ac:dyDescent="0.25">
      <c r="C250" s="100"/>
      <c r="D250" s="73" t="s">
        <v>6311</v>
      </c>
      <c r="E250" s="73"/>
      <c r="F250" s="74" t="s">
        <v>3</v>
      </c>
      <c r="G250" s="10">
        <f>0.95*0.02*8*1.3*1.01</f>
        <v>0.199576</v>
      </c>
    </row>
    <row r="251" spans="2:7" x14ac:dyDescent="0.25">
      <c r="C251" s="100"/>
      <c r="D251" s="75"/>
      <c r="E251" s="73"/>
      <c r="F251" s="74"/>
    </row>
    <row r="252" spans="2:7" x14ac:dyDescent="0.25">
      <c r="C252" s="75" t="s">
        <v>3128</v>
      </c>
      <c r="D252" s="75"/>
      <c r="E252" s="73"/>
      <c r="F252" s="74"/>
    </row>
    <row r="253" spans="2:7" x14ac:dyDescent="0.25">
      <c r="C253" s="73" t="s">
        <v>2755</v>
      </c>
      <c r="D253" s="73"/>
      <c r="F253" s="74" t="s">
        <v>3</v>
      </c>
      <c r="G253" s="10">
        <f>0.25*0.08*1.01</f>
        <v>2.0199999999999999E-2</v>
      </c>
    </row>
    <row r="254" spans="2:7" ht="17.25" x14ac:dyDescent="0.25">
      <c r="C254" s="73" t="s">
        <v>1055</v>
      </c>
      <c r="D254" s="73"/>
      <c r="F254" s="74" t="s">
        <v>596</v>
      </c>
      <c r="G254" s="10">
        <f>1.09*G253</f>
        <v>2.2017999999999999E-2</v>
      </c>
    </row>
    <row r="255" spans="2:7" x14ac:dyDescent="0.25">
      <c r="C255" s="77" t="s">
        <v>8</v>
      </c>
      <c r="D255" s="75"/>
      <c r="E255" s="73"/>
      <c r="F255" s="74" t="s">
        <v>3</v>
      </c>
      <c r="G255" s="10">
        <f>G257*0.88</f>
        <v>7.0290000000000005E-2</v>
      </c>
    </row>
    <row r="256" spans="2:7" x14ac:dyDescent="0.25">
      <c r="C256" s="77" t="s">
        <v>6310</v>
      </c>
      <c r="D256" s="75"/>
      <c r="E256" s="73"/>
      <c r="F256" s="74" t="s">
        <v>3</v>
      </c>
      <c r="G256" s="10">
        <f>0.3*G255-0.001</f>
        <v>2.0087000000000001E-2</v>
      </c>
    </row>
    <row r="257" spans="1:9" x14ac:dyDescent="0.25">
      <c r="C257" s="77" t="s">
        <v>72</v>
      </c>
      <c r="D257" s="75"/>
      <c r="E257" s="73"/>
      <c r="F257" s="74" t="s">
        <v>3</v>
      </c>
      <c r="G257" s="10">
        <f>0.15*0.71*2*0.15*2*1.25</f>
        <v>7.9875000000000002E-2</v>
      </c>
    </row>
    <row r="258" spans="1:9" x14ac:dyDescent="0.25">
      <c r="C258" s="77" t="s">
        <v>11</v>
      </c>
      <c r="D258" s="75"/>
      <c r="E258" s="73"/>
      <c r="F258" s="74" t="s">
        <v>3</v>
      </c>
      <c r="G258" s="10">
        <f>0.3*G257+0.001</f>
        <v>2.4962500000000002E-2</v>
      </c>
    </row>
    <row r="259" spans="1:9" x14ac:dyDescent="0.25">
      <c r="C259" s="77" t="s">
        <v>147</v>
      </c>
      <c r="D259" s="75"/>
      <c r="E259" s="73"/>
      <c r="F259" s="74" t="s">
        <v>3</v>
      </c>
      <c r="G259" s="10">
        <v>0.02</v>
      </c>
    </row>
    <row r="260" spans="1:9" x14ac:dyDescent="0.25">
      <c r="C260" s="100"/>
      <c r="D260" s="75" t="s">
        <v>3129</v>
      </c>
      <c r="E260" s="73"/>
      <c r="F260" s="74"/>
    </row>
    <row r="261" spans="1:9" x14ac:dyDescent="0.25">
      <c r="C261" s="100"/>
      <c r="D261" s="73" t="s">
        <v>272</v>
      </c>
      <c r="E261" s="73"/>
      <c r="F261" s="74" t="s">
        <v>3</v>
      </c>
      <c r="G261" s="10">
        <f>0.13*0.71*2*8*1.151</f>
        <v>1.6997967999999999</v>
      </c>
      <c r="H261" s="10"/>
    </row>
    <row r="262" spans="1:9" x14ac:dyDescent="0.25">
      <c r="C262" s="100"/>
      <c r="D262" s="75" t="s">
        <v>6309</v>
      </c>
      <c r="E262" s="73"/>
      <c r="F262" s="74"/>
    </row>
    <row r="263" spans="1:9" x14ac:dyDescent="0.25">
      <c r="C263" s="100"/>
      <c r="D263" s="100" t="s">
        <v>6308</v>
      </c>
      <c r="E263" s="73"/>
      <c r="F263" s="74" t="s">
        <v>3</v>
      </c>
      <c r="G263" s="10">
        <f>0.125*0.015*3*8*1.12</f>
        <v>5.04E-2</v>
      </c>
    </row>
    <row r="264" spans="1:9" x14ac:dyDescent="0.25">
      <c r="C264" s="100"/>
      <c r="D264" s="100"/>
      <c r="E264" s="73"/>
      <c r="F264" s="74"/>
    </row>
    <row r="265" spans="1:9" x14ac:dyDescent="0.25">
      <c r="C265" s="75" t="s">
        <v>6307</v>
      </c>
      <c r="D265" s="100"/>
      <c r="E265" s="73"/>
      <c r="F265" s="74"/>
    </row>
    <row r="266" spans="1:9" x14ac:dyDescent="0.25">
      <c r="C266" s="73" t="s">
        <v>461</v>
      </c>
      <c r="D266" s="100"/>
      <c r="E266" s="73"/>
      <c r="F266" s="74" t="s">
        <v>3</v>
      </c>
      <c r="G266" s="10">
        <v>0.4</v>
      </c>
      <c r="I266" t="s">
        <v>6306</v>
      </c>
    </row>
    <row r="267" spans="1:9" x14ac:dyDescent="0.25">
      <c r="C267" s="100"/>
      <c r="D267" s="100"/>
      <c r="E267" s="73"/>
      <c r="F267" s="74"/>
    </row>
    <row r="268" spans="1:9" ht="15.75" x14ac:dyDescent="0.25">
      <c r="C268" s="100"/>
      <c r="D268" s="100"/>
      <c r="E268" s="605" t="s">
        <v>6305</v>
      </c>
      <c r="F268" s="74"/>
    </row>
    <row r="269" spans="1:9" x14ac:dyDescent="0.25">
      <c r="C269" s="100"/>
      <c r="D269" s="100"/>
      <c r="E269" s="73"/>
      <c r="F269" s="74"/>
    </row>
    <row r="270" spans="1:9" x14ac:dyDescent="0.25">
      <c r="A270" s="217"/>
      <c r="C270" s="3" t="s">
        <v>6304</v>
      </c>
      <c r="D270" s="100"/>
      <c r="E270" s="73"/>
      <c r="F270" s="74"/>
    </row>
    <row r="271" spans="1:9" x14ac:dyDescent="0.25">
      <c r="C271" s="25" t="s">
        <v>6303</v>
      </c>
      <c r="D271" s="100"/>
      <c r="E271" s="73"/>
      <c r="F271" s="74" t="s">
        <v>3</v>
      </c>
      <c r="G271" s="10">
        <v>0.01</v>
      </c>
    </row>
    <row r="272" spans="1:9" x14ac:dyDescent="0.25">
      <c r="C272" s="100"/>
      <c r="D272" s="100"/>
      <c r="E272" s="73"/>
      <c r="F272" s="74"/>
    </row>
    <row r="273" spans="1:7" x14ac:dyDescent="0.25">
      <c r="A273" s="217"/>
      <c r="C273" s="78" t="s">
        <v>6302</v>
      </c>
      <c r="D273" s="100"/>
      <c r="E273" s="73"/>
      <c r="F273" s="74"/>
    </row>
    <row r="274" spans="1:7" x14ac:dyDescent="0.25">
      <c r="C274" s="186" t="s">
        <v>150</v>
      </c>
      <c r="D274" s="100"/>
      <c r="E274" s="73"/>
      <c r="F274" s="74" t="s">
        <v>3</v>
      </c>
      <c r="G274" s="10">
        <f>0.15*0.015*2*8*1.18</f>
        <v>4.2479999999999997E-2</v>
      </c>
    </row>
    <row r="275" spans="1:7" x14ac:dyDescent="0.25">
      <c r="C275" s="100"/>
      <c r="D275" s="100"/>
      <c r="E275" s="73"/>
      <c r="F275" s="74"/>
    </row>
    <row r="276" spans="1:7" x14ac:dyDescent="0.25">
      <c r="A276" s="217"/>
      <c r="C276" s="78" t="s">
        <v>6301</v>
      </c>
      <c r="D276" s="100"/>
      <c r="E276" s="73"/>
      <c r="F276" s="74"/>
    </row>
    <row r="277" spans="1:7" x14ac:dyDescent="0.25">
      <c r="C277" s="186" t="s">
        <v>150</v>
      </c>
      <c r="D277" s="100"/>
      <c r="E277" s="73"/>
      <c r="F277" s="74" t="s">
        <v>3</v>
      </c>
      <c r="G277" s="10">
        <f>0.15*0.26*2*8*1.121</f>
        <v>0.69950400000000001</v>
      </c>
    </row>
    <row r="278" spans="1:7" x14ac:dyDescent="0.25">
      <c r="C278" s="100"/>
      <c r="D278" s="100"/>
      <c r="E278" s="73"/>
      <c r="F278" s="74"/>
    </row>
    <row r="279" spans="1:7" x14ac:dyDescent="0.25">
      <c r="A279" s="217"/>
      <c r="C279" s="78" t="s">
        <v>6300</v>
      </c>
      <c r="D279" s="100"/>
      <c r="E279" s="73"/>
      <c r="F279" s="74"/>
    </row>
    <row r="280" spans="1:7" x14ac:dyDescent="0.25">
      <c r="C280" s="100"/>
      <c r="D280" s="75" t="s">
        <v>6299</v>
      </c>
      <c r="E280" s="73"/>
      <c r="F280" s="74"/>
    </row>
    <row r="281" spans="1:7" x14ac:dyDescent="0.25">
      <c r="C281" s="100"/>
      <c r="D281" s="73" t="s">
        <v>55</v>
      </c>
      <c r="E281" s="73"/>
      <c r="F281" s="74" t="s">
        <v>3</v>
      </c>
      <c r="G281" s="10">
        <f>0.05*0.085*3*8*1.03</f>
        <v>0.10506000000000001</v>
      </c>
    </row>
    <row r="282" spans="1:7" x14ac:dyDescent="0.25">
      <c r="C282" s="100"/>
      <c r="D282" s="100"/>
      <c r="E282" s="73"/>
      <c r="F282" s="74"/>
    </row>
    <row r="283" spans="1:7" x14ac:dyDescent="0.25">
      <c r="A283" s="217"/>
      <c r="C283" s="3" t="s">
        <v>6298</v>
      </c>
      <c r="D283" s="100"/>
      <c r="E283" s="73"/>
      <c r="F283" s="74"/>
    </row>
    <row r="284" spans="1:7" x14ac:dyDescent="0.25">
      <c r="C284" t="s">
        <v>275</v>
      </c>
      <c r="D284" s="100"/>
      <c r="E284" s="73"/>
      <c r="F284" s="74" t="s">
        <v>3</v>
      </c>
      <c r="G284" s="10">
        <f>0.08*0.02*1.5*8*1.12</f>
        <v>2.1504000000000006E-2</v>
      </c>
    </row>
    <row r="285" spans="1:7" x14ac:dyDescent="0.25">
      <c r="C285" s="100"/>
      <c r="D285" s="100"/>
      <c r="E285" s="73"/>
      <c r="F285" s="74"/>
    </row>
    <row r="286" spans="1:7" x14ac:dyDescent="0.25">
      <c r="A286" s="217"/>
      <c r="C286" s="75" t="s">
        <v>6297</v>
      </c>
      <c r="D286" s="100"/>
      <c r="E286" s="73"/>
      <c r="F286" s="74"/>
    </row>
    <row r="287" spans="1:7" x14ac:dyDescent="0.25">
      <c r="C287" s="77" t="s">
        <v>6296</v>
      </c>
      <c r="D287" s="100"/>
      <c r="E287" s="73"/>
      <c r="F287" s="74" t="s">
        <v>3</v>
      </c>
      <c r="G287" s="10">
        <f>0.04*0.032*5*8*1.08</f>
        <v>5.5296000000000005E-2</v>
      </c>
    </row>
    <row r="288" spans="1:7" x14ac:dyDescent="0.25">
      <c r="C288" s="100"/>
      <c r="D288" s="100"/>
      <c r="E288" s="73"/>
      <c r="F288" s="74"/>
    </row>
    <row r="289" spans="1:9" x14ac:dyDescent="0.25">
      <c r="A289" s="217"/>
      <c r="C289" s="78" t="s">
        <v>3933</v>
      </c>
      <c r="D289" s="100"/>
      <c r="E289" s="73"/>
      <c r="F289" s="74"/>
    </row>
    <row r="290" spans="1:9" x14ac:dyDescent="0.25">
      <c r="C290" s="186" t="s">
        <v>853</v>
      </c>
      <c r="D290" s="100"/>
      <c r="E290" s="73"/>
      <c r="F290" s="74" t="s">
        <v>3</v>
      </c>
      <c r="G290" s="10">
        <f>0.223*0.1*1*8*1.12</f>
        <v>0.19980800000000001</v>
      </c>
    </row>
    <row r="291" spans="1:9" x14ac:dyDescent="0.25">
      <c r="C291" s="100"/>
      <c r="D291" s="100"/>
      <c r="E291" s="73"/>
      <c r="F291" s="74"/>
    </row>
    <row r="292" spans="1:9" x14ac:dyDescent="0.25">
      <c r="A292" s="217"/>
      <c r="C292" s="78" t="s">
        <v>6295</v>
      </c>
      <c r="D292" s="100"/>
      <c r="E292" s="73"/>
      <c r="F292" s="74"/>
    </row>
    <row r="293" spans="1:9" x14ac:dyDescent="0.25">
      <c r="C293" s="186" t="s">
        <v>6294</v>
      </c>
      <c r="D293" s="100"/>
      <c r="E293" s="73"/>
      <c r="F293" s="74" t="s">
        <v>3</v>
      </c>
      <c r="G293" s="10">
        <f>0.22*0.09*3.5*1.25*1.1</f>
        <v>9.5287500000000011E-2</v>
      </c>
    </row>
    <row r="294" spans="1:9" x14ac:dyDescent="0.25">
      <c r="D294" s="100"/>
      <c r="E294" s="73"/>
      <c r="F294" s="74"/>
    </row>
    <row r="295" spans="1:9" x14ac:dyDescent="0.25">
      <c r="A295" s="217"/>
      <c r="C295" s="3" t="s">
        <v>6293</v>
      </c>
      <c r="D295" s="100"/>
      <c r="E295" s="73"/>
      <c r="F295" s="74"/>
    </row>
    <row r="296" spans="1:9" x14ac:dyDescent="0.25">
      <c r="C296" s="73" t="s">
        <v>722</v>
      </c>
      <c r="D296" s="100"/>
      <c r="E296" s="73"/>
      <c r="F296" s="74" t="s">
        <v>3</v>
      </c>
      <c r="G296" s="10">
        <f>0.058*0.45*1.5*8*1.118</f>
        <v>0.35015760000000007</v>
      </c>
      <c r="I296">
        <f>40*46</f>
        <v>1840</v>
      </c>
    </row>
    <row r="297" spans="1:9" x14ac:dyDescent="0.25">
      <c r="C297" s="100"/>
      <c r="D297" s="100"/>
      <c r="E297" s="73"/>
      <c r="F297" s="74"/>
    </row>
    <row r="298" spans="1:9" x14ac:dyDescent="0.25">
      <c r="A298" s="217"/>
      <c r="C298" s="3" t="s">
        <v>6292</v>
      </c>
      <c r="D298" s="100"/>
      <c r="E298" s="73"/>
      <c r="F298" s="74"/>
    </row>
    <row r="299" spans="1:9" x14ac:dyDescent="0.25">
      <c r="C299" s="77" t="s">
        <v>722</v>
      </c>
      <c r="D299" s="75"/>
      <c r="E299" s="73"/>
      <c r="F299" s="74" t="s">
        <v>3</v>
      </c>
      <c r="G299" s="10">
        <f>0.05*0.02*1.5*8*1.1</f>
        <v>1.3200000000000002E-2</v>
      </c>
    </row>
    <row r="300" spans="1:9" x14ac:dyDescent="0.25">
      <c r="C300" s="100"/>
      <c r="D300" s="75"/>
      <c r="E300" s="73"/>
      <c r="F300" s="74"/>
    </row>
    <row r="301" spans="1:9" ht="15.75" x14ac:dyDescent="0.25">
      <c r="C301" s="100"/>
      <c r="D301" s="75"/>
      <c r="E301" s="605" t="s">
        <v>6291</v>
      </c>
      <c r="F301" s="74"/>
    </row>
    <row r="302" spans="1:9" x14ac:dyDescent="0.25">
      <c r="C302" s="100"/>
      <c r="D302" s="75"/>
      <c r="E302" s="73"/>
      <c r="F302" s="74"/>
    </row>
    <row r="303" spans="1:9" x14ac:dyDescent="0.25">
      <c r="A303" s="217"/>
      <c r="C303" s="78" t="s">
        <v>6290</v>
      </c>
      <c r="D303" s="75"/>
      <c r="E303" s="73"/>
      <c r="F303" s="74"/>
    </row>
    <row r="304" spans="1:9" x14ac:dyDescent="0.25">
      <c r="C304" s="73" t="s">
        <v>2755</v>
      </c>
      <c r="D304" s="73"/>
      <c r="F304" s="74" t="s">
        <v>3</v>
      </c>
      <c r="G304" s="32">
        <f>0.22*2*0.08*1.29</f>
        <v>4.5408000000000004E-2</v>
      </c>
    </row>
    <row r="305" spans="1:7" ht="17.25" x14ac:dyDescent="0.25">
      <c r="C305" s="73" t="s">
        <v>1055</v>
      </c>
      <c r="D305" s="73"/>
      <c r="F305" s="74" t="s">
        <v>596</v>
      </c>
      <c r="G305" s="10">
        <f>1.09*G304</f>
        <v>4.9494720000000006E-2</v>
      </c>
    </row>
    <row r="306" spans="1:7" x14ac:dyDescent="0.25">
      <c r="C306" s="3"/>
      <c r="D306" s="3" t="s">
        <v>6289</v>
      </c>
    </row>
    <row r="307" spans="1:7" x14ac:dyDescent="0.25">
      <c r="D307" t="s">
        <v>150</v>
      </c>
      <c r="F307" s="537" t="s">
        <v>3</v>
      </c>
      <c r="G307" s="10">
        <f>(0.042*0.55+0.2*0.17)*2*8*1.204</f>
        <v>1.0999744</v>
      </c>
    </row>
    <row r="308" spans="1:7" x14ac:dyDescent="0.25">
      <c r="D308" s="3" t="s">
        <v>6288</v>
      </c>
    </row>
    <row r="309" spans="1:7" x14ac:dyDescent="0.25">
      <c r="D309" t="s">
        <v>150</v>
      </c>
      <c r="F309" s="537" t="s">
        <v>3</v>
      </c>
      <c r="G309" s="32">
        <f>0.08*0.072*2*8*1.135</f>
        <v>0.10460159999999999</v>
      </c>
    </row>
    <row r="310" spans="1:7" x14ac:dyDescent="0.25">
      <c r="D310" s="3" t="s">
        <v>6287</v>
      </c>
    </row>
    <row r="311" spans="1:7" x14ac:dyDescent="0.25">
      <c r="D311" t="s">
        <v>1143</v>
      </c>
      <c r="F311" s="537" t="s">
        <v>3</v>
      </c>
      <c r="G311" s="32">
        <f>0.015*0.03*3*8*1.12</f>
        <v>1.2096000000000003E-2</v>
      </c>
    </row>
    <row r="313" spans="1:7" x14ac:dyDescent="0.25">
      <c r="A313" s="217"/>
      <c r="C313" s="3" t="s">
        <v>6286</v>
      </c>
    </row>
    <row r="314" spans="1:7" x14ac:dyDescent="0.25">
      <c r="C314" s="73" t="s">
        <v>2755</v>
      </c>
      <c r="D314" s="73"/>
      <c r="F314" s="74" t="s">
        <v>3</v>
      </c>
      <c r="G314" s="10">
        <f>0.016*3.14*0.08*1.2</f>
        <v>4.8230399999999998E-3</v>
      </c>
    </row>
    <row r="315" spans="1:7" ht="17.25" x14ac:dyDescent="0.25">
      <c r="C315" s="73" t="s">
        <v>1055</v>
      </c>
      <c r="D315" s="73"/>
      <c r="F315" s="74" t="s">
        <v>596</v>
      </c>
      <c r="G315" s="10">
        <f>1.09*G314</f>
        <v>5.2571136000000001E-3</v>
      </c>
    </row>
    <row r="316" spans="1:7" x14ac:dyDescent="0.25">
      <c r="D316" s="3" t="s">
        <v>6285</v>
      </c>
    </row>
    <row r="317" spans="1:7" x14ac:dyDescent="0.25">
      <c r="D317" t="s">
        <v>6284</v>
      </c>
      <c r="F317" s="537" t="s">
        <v>3</v>
      </c>
      <c r="G317" s="10">
        <f>0.075*0.03*3*8*1.12</f>
        <v>6.0479999999999999E-2</v>
      </c>
    </row>
    <row r="319" spans="1:7" x14ac:dyDescent="0.25">
      <c r="A319" s="217"/>
      <c r="C319" s="3" t="s">
        <v>6283</v>
      </c>
    </row>
    <row r="320" spans="1:7" x14ac:dyDescent="0.25">
      <c r="C320" t="s">
        <v>226</v>
      </c>
      <c r="F320" s="537" t="s">
        <v>3</v>
      </c>
      <c r="G320" s="32">
        <f>0.13*0.054*5*8*1.121</f>
        <v>0.31477679999999997</v>
      </c>
    </row>
    <row r="322" spans="1:9" x14ac:dyDescent="0.25">
      <c r="A322" s="217"/>
      <c r="C322" s="3" t="s">
        <v>6282</v>
      </c>
    </row>
    <row r="323" spans="1:9" x14ac:dyDescent="0.25">
      <c r="C323" t="s">
        <v>6281</v>
      </c>
      <c r="F323" s="537" t="s">
        <v>3</v>
      </c>
      <c r="G323" s="10">
        <f>0.1*0.055*2*8*1.02</f>
        <v>8.9760000000000006E-2</v>
      </c>
    </row>
    <row r="325" spans="1:9" x14ac:dyDescent="0.25">
      <c r="A325" s="217"/>
      <c r="C325" s="3" t="s">
        <v>6280</v>
      </c>
    </row>
    <row r="326" spans="1:9" x14ac:dyDescent="0.25">
      <c r="C326" t="s">
        <v>300</v>
      </c>
      <c r="F326" s="537" t="s">
        <v>3</v>
      </c>
      <c r="G326" s="10">
        <f>0.07*0.09*3*8*1.125</f>
        <v>0.1701</v>
      </c>
    </row>
    <row r="328" spans="1:9" x14ac:dyDescent="0.25">
      <c r="A328" s="217"/>
      <c r="C328" s="3" t="s">
        <v>6279</v>
      </c>
    </row>
    <row r="329" spans="1:9" x14ac:dyDescent="0.25">
      <c r="C329" t="s">
        <v>6278</v>
      </c>
      <c r="F329" s="537" t="s">
        <v>3</v>
      </c>
      <c r="G329" s="10">
        <v>0.17499999999999999</v>
      </c>
      <c r="I329" t="s">
        <v>2914</v>
      </c>
    </row>
    <row r="331" spans="1:9" x14ac:dyDescent="0.25">
      <c r="A331" s="217"/>
      <c r="C331" s="3" t="s">
        <v>6277</v>
      </c>
    </row>
    <row r="332" spans="1:9" x14ac:dyDescent="0.25">
      <c r="C332" t="s">
        <v>6276</v>
      </c>
      <c r="F332" s="119" t="s">
        <v>6275</v>
      </c>
      <c r="G332" s="606">
        <v>0.05</v>
      </c>
      <c r="I332" t="s">
        <v>6274</v>
      </c>
    </row>
    <row r="334" spans="1:9" x14ac:dyDescent="0.25">
      <c r="A334" s="217"/>
      <c r="C334" s="3" t="s">
        <v>2915</v>
      </c>
    </row>
    <row r="335" spans="1:9" x14ac:dyDescent="0.25">
      <c r="C335" t="s">
        <v>800</v>
      </c>
      <c r="F335" s="537" t="s">
        <v>3</v>
      </c>
      <c r="G335" s="10">
        <f>0.35*0.16*5*8*1.12-0.009</f>
        <v>2.4998</v>
      </c>
    </row>
    <row r="337" spans="1:7" x14ac:dyDescent="0.25">
      <c r="A337" s="217"/>
      <c r="C337" s="3" t="s">
        <v>6273</v>
      </c>
    </row>
    <row r="338" spans="1:7" x14ac:dyDescent="0.25">
      <c r="A338" s="8"/>
      <c r="C338" s="73" t="s">
        <v>2755</v>
      </c>
      <c r="D338" s="73"/>
      <c r="F338" s="74" t="s">
        <v>3</v>
      </c>
      <c r="G338" s="10">
        <f>0.7*0.08*1.16</f>
        <v>6.495999999999999E-2</v>
      </c>
    </row>
    <row r="339" spans="1:7" ht="17.25" x14ac:dyDescent="0.25">
      <c r="A339" s="8"/>
      <c r="C339" s="73" t="s">
        <v>1055</v>
      </c>
      <c r="D339" s="73"/>
      <c r="F339" s="74" t="s">
        <v>596</v>
      </c>
      <c r="G339" s="10">
        <f>1.09*G338</f>
        <v>7.0806399999999992E-2</v>
      </c>
    </row>
    <row r="340" spans="1:7" x14ac:dyDescent="0.25">
      <c r="A340" s="8"/>
      <c r="D340" s="3" t="s">
        <v>6272</v>
      </c>
    </row>
    <row r="341" spans="1:7" x14ac:dyDescent="0.25">
      <c r="D341" s="25" t="s">
        <v>150</v>
      </c>
      <c r="F341" s="537" t="s">
        <v>3</v>
      </c>
      <c r="G341" s="10">
        <f>0.3*0.23*2*8*1.132</f>
        <v>1.249728</v>
      </c>
    </row>
    <row r="342" spans="1:7" x14ac:dyDescent="0.25">
      <c r="D342" s="3" t="s">
        <v>6271</v>
      </c>
    </row>
    <row r="343" spans="1:7" x14ac:dyDescent="0.25">
      <c r="D343" s="25" t="s">
        <v>150</v>
      </c>
      <c r="F343" s="537" t="s">
        <v>3</v>
      </c>
      <c r="G343" s="10">
        <f>0.26*0.08*2*8*1.143</f>
        <v>0.38039040000000007</v>
      </c>
    </row>
    <row r="344" spans="1:7" x14ac:dyDescent="0.25">
      <c r="D344" s="3" t="s">
        <v>6270</v>
      </c>
    </row>
    <row r="345" spans="1:7" x14ac:dyDescent="0.25">
      <c r="D345" t="s">
        <v>6269</v>
      </c>
      <c r="F345" s="537" t="s">
        <v>3</v>
      </c>
      <c r="G345" s="10">
        <f>0.155*0.085*3*8*1.108</f>
        <v>0.35034960000000009</v>
      </c>
    </row>
    <row r="347" spans="1:7" x14ac:dyDescent="0.25">
      <c r="A347" s="217"/>
      <c r="C347" s="3" t="s">
        <v>6268</v>
      </c>
    </row>
    <row r="348" spans="1:7" x14ac:dyDescent="0.25">
      <c r="C348" t="s">
        <v>5961</v>
      </c>
      <c r="F348" s="537" t="s">
        <v>3</v>
      </c>
      <c r="G348" s="10">
        <f>0.14*0.13*4*8*1.134</f>
        <v>0.66044159999999996</v>
      </c>
    </row>
    <row r="350" spans="1:7" x14ac:dyDescent="0.25">
      <c r="A350" s="217"/>
      <c r="C350" s="3" t="s">
        <v>6267</v>
      </c>
    </row>
    <row r="351" spans="1:7" x14ac:dyDescent="0.25">
      <c r="C351" t="s">
        <v>6266</v>
      </c>
      <c r="F351" s="537" t="s">
        <v>3</v>
      </c>
      <c r="G351" s="10">
        <f>(0.28*0.1+0.22*0.045)*1.5*8*1.121</f>
        <v>0.50983080000000003</v>
      </c>
    </row>
    <row r="352" spans="1:7" x14ac:dyDescent="0.25">
      <c r="C352" s="73" t="s">
        <v>2755</v>
      </c>
      <c r="D352" s="73"/>
      <c r="F352" s="74" t="s">
        <v>3</v>
      </c>
      <c r="G352" s="10">
        <f>0.3*0.08*1.15</f>
        <v>2.76E-2</v>
      </c>
    </row>
    <row r="353" spans="1:7" ht="17.25" x14ac:dyDescent="0.25">
      <c r="C353" s="73" t="s">
        <v>1055</v>
      </c>
      <c r="D353" s="73"/>
      <c r="F353" s="74" t="s">
        <v>596</v>
      </c>
      <c r="G353" s="10">
        <f>1.09*G352</f>
        <v>3.0084000000000003E-2</v>
      </c>
    </row>
    <row r="355" spans="1:7" x14ac:dyDescent="0.25">
      <c r="A355" s="217"/>
      <c r="C355" s="3" t="s">
        <v>6265</v>
      </c>
    </row>
    <row r="356" spans="1:7" x14ac:dyDescent="0.25">
      <c r="C356" t="s">
        <v>260</v>
      </c>
      <c r="F356" s="537" t="s">
        <v>3</v>
      </c>
      <c r="G356" s="10">
        <f>0.065*0.06*4*8*1.12</f>
        <v>0.13977600000000001</v>
      </c>
    </row>
    <row r="358" spans="1:7" x14ac:dyDescent="0.25">
      <c r="A358" s="217"/>
      <c r="C358" s="3" t="s">
        <v>4281</v>
      </c>
    </row>
    <row r="359" spans="1:7" x14ac:dyDescent="0.25">
      <c r="C359" t="s">
        <v>828</v>
      </c>
      <c r="F359" s="537" t="s">
        <v>3</v>
      </c>
      <c r="G359" s="10">
        <f>0.045*0.025*3*8*1.12</f>
        <v>3.024E-2</v>
      </c>
    </row>
    <row r="361" spans="1:7" x14ac:dyDescent="0.25">
      <c r="A361" s="217"/>
      <c r="C361" s="3" t="s">
        <v>6264</v>
      </c>
    </row>
    <row r="362" spans="1:7" x14ac:dyDescent="0.25">
      <c r="C362" t="s">
        <v>55</v>
      </c>
      <c r="F362" s="537" t="s">
        <v>3</v>
      </c>
      <c r="G362" s="10">
        <f>0.28*0.014*3*8*1.12</f>
        <v>0.10536960000000004</v>
      </c>
    </row>
    <row r="364" spans="1:7" x14ac:dyDescent="0.25">
      <c r="A364" s="217"/>
      <c r="C364" s="3" t="s">
        <v>6263</v>
      </c>
    </row>
    <row r="365" spans="1:7" x14ac:dyDescent="0.25">
      <c r="C365" t="s">
        <v>6262</v>
      </c>
      <c r="F365" s="537" t="s">
        <v>3</v>
      </c>
      <c r="G365" s="10">
        <f>0.08*0.06*3*8*1.125</f>
        <v>0.12959999999999999</v>
      </c>
    </row>
    <row r="367" spans="1:7" x14ac:dyDescent="0.25">
      <c r="A367" s="217"/>
      <c r="C367" s="3" t="s">
        <v>6261</v>
      </c>
    </row>
    <row r="368" spans="1:7" x14ac:dyDescent="0.25">
      <c r="C368" t="s">
        <v>2546</v>
      </c>
      <c r="F368" s="537" t="s">
        <v>3</v>
      </c>
      <c r="G368" s="10">
        <f>0.09*0.003*3*8*1.12</f>
        <v>7.2576000000000003E-3</v>
      </c>
    </row>
    <row r="370" spans="1:7" x14ac:dyDescent="0.25">
      <c r="A370" s="217"/>
      <c r="C370" s="3" t="s">
        <v>6260</v>
      </c>
    </row>
    <row r="371" spans="1:7" x14ac:dyDescent="0.25">
      <c r="C371" t="s">
        <v>1143</v>
      </c>
      <c r="F371" s="537" t="s">
        <v>3</v>
      </c>
      <c r="G371" s="10">
        <f>0.555*0.155*3*8*1.114</f>
        <v>2.2999644000000004</v>
      </c>
    </row>
    <row r="373" spans="1:7" x14ac:dyDescent="0.25">
      <c r="A373" s="217"/>
      <c r="C373" s="3" t="s">
        <v>6259</v>
      </c>
    </row>
    <row r="374" spans="1:7" x14ac:dyDescent="0.25">
      <c r="C374" s="73" t="s">
        <v>6258</v>
      </c>
      <c r="D374" s="73"/>
      <c r="F374" s="74" t="s">
        <v>3</v>
      </c>
      <c r="G374" s="32">
        <f>0.05*3.14*2*0.08*1.2</f>
        <v>3.0144000000000004E-2</v>
      </c>
    </row>
    <row r="375" spans="1:7" ht="17.25" x14ac:dyDescent="0.25">
      <c r="C375" s="73" t="s">
        <v>168</v>
      </c>
      <c r="D375" s="73"/>
      <c r="F375" s="74" t="s">
        <v>596</v>
      </c>
      <c r="G375" s="10">
        <f>1.09*G374</f>
        <v>3.2856960000000004E-2</v>
      </c>
    </row>
    <row r="376" spans="1:7" x14ac:dyDescent="0.25">
      <c r="D376" s="3" t="s">
        <v>6257</v>
      </c>
    </row>
    <row r="377" spans="1:7" x14ac:dyDescent="0.25">
      <c r="D377" t="s">
        <v>89</v>
      </c>
      <c r="F377" s="537" t="s">
        <v>3</v>
      </c>
      <c r="G377" s="10">
        <f>0.18*0.1*4*8*1.129</f>
        <v>0.65030399999999999</v>
      </c>
    </row>
    <row r="379" spans="1:7" x14ac:dyDescent="0.25">
      <c r="A379" s="217"/>
      <c r="C379" s="3" t="s">
        <v>6256</v>
      </c>
    </row>
    <row r="380" spans="1:7" x14ac:dyDescent="0.25">
      <c r="C380" s="73" t="s">
        <v>2755</v>
      </c>
      <c r="D380" s="73"/>
      <c r="F380" s="74" t="s">
        <v>3</v>
      </c>
      <c r="G380" s="10">
        <f>0.16*0.08*1.2</f>
        <v>1.536E-2</v>
      </c>
    </row>
    <row r="381" spans="1:7" ht="17.25" x14ac:dyDescent="0.25">
      <c r="C381" s="73" t="s">
        <v>1055</v>
      </c>
      <c r="D381" s="73"/>
      <c r="F381" s="74" t="s">
        <v>596</v>
      </c>
      <c r="G381" s="10">
        <f>1.09*G380</f>
        <v>1.6742400000000001E-2</v>
      </c>
    </row>
    <row r="382" spans="1:7" x14ac:dyDescent="0.25">
      <c r="D382" s="3" t="s">
        <v>6255</v>
      </c>
    </row>
    <row r="383" spans="1:7" x14ac:dyDescent="0.25">
      <c r="D383" t="s">
        <v>226</v>
      </c>
      <c r="F383" s="537" t="s">
        <v>3</v>
      </c>
      <c r="G383" s="10">
        <f>0.11*0.045*5*8*1.135</f>
        <v>0.22472999999999999</v>
      </c>
    </row>
    <row r="384" spans="1:7" x14ac:dyDescent="0.25">
      <c r="D384" s="3" t="s">
        <v>6254</v>
      </c>
    </row>
    <row r="385" spans="1:7" x14ac:dyDescent="0.25">
      <c r="D385" t="s">
        <v>6253</v>
      </c>
      <c r="F385" s="537" t="s">
        <v>3</v>
      </c>
      <c r="G385" s="10">
        <f>0.15*0.065*3.9*8*1.119</f>
        <v>0.34039979999999997</v>
      </c>
    </row>
    <row r="387" spans="1:7" x14ac:dyDescent="0.25">
      <c r="A387" s="217"/>
      <c r="C387" s="3" t="s">
        <v>6252</v>
      </c>
    </row>
    <row r="388" spans="1:7" x14ac:dyDescent="0.25">
      <c r="C388" t="s">
        <v>853</v>
      </c>
      <c r="F388" s="537" t="s">
        <v>3</v>
      </c>
      <c r="G388" s="10">
        <f>0.12*0.06*1*8*1.12</f>
        <v>6.4512E-2</v>
      </c>
    </row>
    <row r="390" spans="1:7" x14ac:dyDescent="0.25">
      <c r="A390" s="217"/>
      <c r="C390" s="3" t="s">
        <v>6251</v>
      </c>
    </row>
    <row r="391" spans="1:7" x14ac:dyDescent="0.25">
      <c r="C391" t="s">
        <v>722</v>
      </c>
      <c r="F391" s="537" t="s">
        <v>3</v>
      </c>
      <c r="G391" s="10">
        <f>0.12*0.06*1.5*8*1.155</f>
        <v>9.9792000000000006E-2</v>
      </c>
    </row>
    <row r="393" spans="1:7" ht="15.75" x14ac:dyDescent="0.25">
      <c r="E393" s="605" t="s">
        <v>6250</v>
      </c>
    </row>
    <row r="395" spans="1:7" x14ac:dyDescent="0.25">
      <c r="A395" s="217"/>
      <c r="C395" s="3" t="s">
        <v>6249</v>
      </c>
    </row>
    <row r="396" spans="1:7" x14ac:dyDescent="0.25">
      <c r="C396" s="73" t="s">
        <v>2755</v>
      </c>
      <c r="D396" s="73"/>
      <c r="F396" s="74" t="s">
        <v>3</v>
      </c>
      <c r="G396" s="10">
        <f>0.02*0.08*1.2</f>
        <v>1.92E-3</v>
      </c>
    </row>
    <row r="397" spans="1:7" ht="17.25" x14ac:dyDescent="0.25">
      <c r="C397" s="73" t="s">
        <v>1055</v>
      </c>
      <c r="D397" s="73"/>
      <c r="F397" s="74" t="s">
        <v>596</v>
      </c>
      <c r="G397" s="10">
        <f>1.09*G396</f>
        <v>2.0928000000000001E-3</v>
      </c>
    </row>
    <row r="398" spans="1:7" x14ac:dyDescent="0.25">
      <c r="C398" s="77" t="s">
        <v>8</v>
      </c>
      <c r="D398" s="73"/>
      <c r="F398" s="74" t="s">
        <v>3</v>
      </c>
      <c r="G398" s="10">
        <f>G399</f>
        <v>9.0000000000000011E-3</v>
      </c>
    </row>
    <row r="399" spans="1:7" x14ac:dyDescent="0.25">
      <c r="C399" s="77" t="s">
        <v>6248</v>
      </c>
      <c r="D399" s="73"/>
      <c r="F399" s="74" t="s">
        <v>3</v>
      </c>
      <c r="G399" s="10">
        <f>0.1*0.1*2*0.15*2*1.5</f>
        <v>9.0000000000000011E-3</v>
      </c>
    </row>
    <row r="400" spans="1:7" x14ac:dyDescent="0.25">
      <c r="C400" s="77" t="s">
        <v>12</v>
      </c>
      <c r="D400" s="73"/>
      <c r="F400" s="74" t="s">
        <v>3</v>
      </c>
      <c r="G400" s="10">
        <f>0.3*(G399+G398)</f>
        <v>5.4000000000000003E-3</v>
      </c>
    </row>
    <row r="401" spans="1:9" x14ac:dyDescent="0.25">
      <c r="D401" s="3" t="s">
        <v>6247</v>
      </c>
    </row>
    <row r="402" spans="1:9" x14ac:dyDescent="0.25">
      <c r="D402" t="s">
        <v>89</v>
      </c>
      <c r="F402" s="537" t="s">
        <v>3</v>
      </c>
      <c r="G402" s="10">
        <f>0.06*0.055*4*8*1.18</f>
        <v>0.124608</v>
      </c>
    </row>
    <row r="403" spans="1:9" x14ac:dyDescent="0.25">
      <c r="D403" s="3" t="s">
        <v>6246</v>
      </c>
    </row>
    <row r="404" spans="1:9" x14ac:dyDescent="0.25">
      <c r="D404" t="s">
        <v>89</v>
      </c>
      <c r="F404" s="537" t="s">
        <v>3</v>
      </c>
      <c r="G404" s="10">
        <f>0.04*0.02*4*8*1.18</f>
        <v>3.0207999999999999E-2</v>
      </c>
    </row>
    <row r="406" spans="1:9" x14ac:dyDescent="0.25">
      <c r="A406" s="217"/>
      <c r="C406" s="3" t="s">
        <v>6245</v>
      </c>
    </row>
    <row r="407" spans="1:9" x14ac:dyDescent="0.25">
      <c r="D407" t="s">
        <v>6242</v>
      </c>
      <c r="F407" s="537" t="s">
        <v>3</v>
      </c>
      <c r="G407" s="10">
        <v>0.24</v>
      </c>
      <c r="I407" t="s">
        <v>6244</v>
      </c>
    </row>
    <row r="409" spans="1:9" x14ac:dyDescent="0.25">
      <c r="A409" s="217"/>
      <c r="C409" s="3" t="s">
        <v>4391</v>
      </c>
    </row>
    <row r="410" spans="1:9" x14ac:dyDescent="0.25">
      <c r="D410" t="s">
        <v>2062</v>
      </c>
      <c r="F410" s="537" t="s">
        <v>3</v>
      </c>
      <c r="G410" s="10">
        <f>0.05*0.06*4*8*1.145</f>
        <v>0.10992</v>
      </c>
    </row>
    <row r="412" spans="1:9" x14ac:dyDescent="0.25">
      <c r="A412" s="217"/>
      <c r="C412" s="3" t="s">
        <v>6243</v>
      </c>
    </row>
    <row r="413" spans="1:9" x14ac:dyDescent="0.25">
      <c r="C413" t="s">
        <v>6242</v>
      </c>
      <c r="F413" s="537" t="s">
        <v>3</v>
      </c>
      <c r="G413" s="10">
        <v>2.11</v>
      </c>
      <c r="I413" t="s">
        <v>6241</v>
      </c>
    </row>
    <row r="415" spans="1:9" x14ac:dyDescent="0.25">
      <c r="A415" s="217"/>
      <c r="C415" s="3" t="s">
        <v>4393</v>
      </c>
    </row>
    <row r="416" spans="1:9" x14ac:dyDescent="0.25">
      <c r="C416" t="s">
        <v>2062</v>
      </c>
      <c r="F416" s="537" t="s">
        <v>3</v>
      </c>
      <c r="G416" s="10">
        <f>0.07*0.03*4*8*1.12</f>
        <v>7.5264000000000011E-2</v>
      </c>
    </row>
    <row r="418" spans="1:9" x14ac:dyDescent="0.25">
      <c r="A418" s="217"/>
      <c r="C418" s="3" t="s">
        <v>4396</v>
      </c>
    </row>
    <row r="419" spans="1:9" x14ac:dyDescent="0.25">
      <c r="C419" t="s">
        <v>384</v>
      </c>
      <c r="F419" s="537" t="s">
        <v>3</v>
      </c>
      <c r="G419" s="10">
        <v>0.12</v>
      </c>
      <c r="I419" t="s">
        <v>6240</v>
      </c>
    </row>
    <row r="421" spans="1:9" x14ac:dyDescent="0.25">
      <c r="A421" s="217"/>
      <c r="C421" s="3" t="s">
        <v>1072</v>
      </c>
    </row>
    <row r="422" spans="1:9" x14ac:dyDescent="0.25">
      <c r="C422" t="s">
        <v>55</v>
      </c>
      <c r="F422" s="537" t="s">
        <v>3</v>
      </c>
      <c r="G422" s="10">
        <f>0.027*0.01*3*8*1.12</f>
        <v>7.2576000000000003E-3</v>
      </c>
    </row>
    <row r="424" spans="1:9" x14ac:dyDescent="0.25">
      <c r="A424" s="217"/>
      <c r="C424" s="3" t="s">
        <v>6239</v>
      </c>
    </row>
    <row r="425" spans="1:9" x14ac:dyDescent="0.25">
      <c r="C425" s="73" t="s">
        <v>2755</v>
      </c>
      <c r="D425" s="73"/>
      <c r="F425" s="74" t="s">
        <v>3</v>
      </c>
      <c r="G425" s="10">
        <f>0.05*0.08*1.15</f>
        <v>4.5999999999999999E-3</v>
      </c>
    </row>
    <row r="426" spans="1:9" ht="17.25" x14ac:dyDescent="0.25">
      <c r="C426" s="73" t="s">
        <v>1055</v>
      </c>
      <c r="D426" s="73"/>
      <c r="F426" s="74" t="s">
        <v>596</v>
      </c>
      <c r="G426" s="10">
        <f>1.09*G425</f>
        <v>5.0140000000000002E-3</v>
      </c>
    </row>
    <row r="427" spans="1:9" x14ac:dyDescent="0.25">
      <c r="C427" s="77" t="s">
        <v>8</v>
      </c>
      <c r="F427" s="537" t="s">
        <v>3</v>
      </c>
      <c r="G427" s="10">
        <f>G428</f>
        <v>3.1199999999999999E-3</v>
      </c>
    </row>
    <row r="428" spans="1:9" x14ac:dyDescent="0.25">
      <c r="C428" s="77" t="s">
        <v>115</v>
      </c>
      <c r="F428" s="537" t="s">
        <v>3</v>
      </c>
      <c r="G428" s="10">
        <f>0.08*0.025*2*0.15*2*1.3*2</f>
        <v>3.1199999999999999E-3</v>
      </c>
    </row>
    <row r="429" spans="1:9" x14ac:dyDescent="0.25">
      <c r="C429" s="77" t="s">
        <v>12</v>
      </c>
      <c r="F429" s="537" t="s">
        <v>3</v>
      </c>
      <c r="G429" s="10">
        <f>0.3*(G428+G427)</f>
        <v>1.872E-3</v>
      </c>
    </row>
    <row r="430" spans="1:9" x14ac:dyDescent="0.25">
      <c r="D430" s="3" t="s">
        <v>6238</v>
      </c>
    </row>
    <row r="431" spans="1:9" x14ac:dyDescent="0.25">
      <c r="D431" t="s">
        <v>54</v>
      </c>
      <c r="F431" s="537" t="s">
        <v>3</v>
      </c>
      <c r="G431" s="10">
        <f>0.076*0.022*4*8*1.12</f>
        <v>5.9924480000000002E-2</v>
      </c>
    </row>
    <row r="433" spans="1:9" x14ac:dyDescent="0.25">
      <c r="A433" s="217"/>
      <c r="C433" s="3" t="s">
        <v>6237</v>
      </c>
    </row>
    <row r="434" spans="1:9" x14ac:dyDescent="0.25">
      <c r="C434" s="73" t="s">
        <v>2755</v>
      </c>
      <c r="D434" s="73"/>
      <c r="F434" s="74" t="s">
        <v>3</v>
      </c>
      <c r="G434" s="10">
        <f>0.022*3.14*0.08*1.2</f>
        <v>6.63168E-3</v>
      </c>
    </row>
    <row r="435" spans="1:9" ht="17.25" x14ac:dyDescent="0.25">
      <c r="C435" s="73" t="s">
        <v>1055</v>
      </c>
      <c r="D435" s="73"/>
      <c r="F435" s="74" t="s">
        <v>596</v>
      </c>
      <c r="G435" s="10">
        <f>1.09*G434</f>
        <v>7.2285312000000008E-3</v>
      </c>
    </row>
    <row r="436" spans="1:9" x14ac:dyDescent="0.25">
      <c r="D436" s="3" t="s">
        <v>6236</v>
      </c>
    </row>
    <row r="437" spans="1:9" x14ac:dyDescent="0.25">
      <c r="D437" t="s">
        <v>6235</v>
      </c>
      <c r="F437" s="537" t="s">
        <v>3</v>
      </c>
      <c r="G437" s="10">
        <v>0.14499999999999999</v>
      </c>
      <c r="I437" t="s">
        <v>6234</v>
      </c>
    </row>
    <row r="439" spans="1:9" x14ac:dyDescent="0.25">
      <c r="A439" s="217"/>
      <c r="C439" s="3" t="s">
        <v>6233</v>
      </c>
    </row>
    <row r="440" spans="1:9" x14ac:dyDescent="0.25">
      <c r="C440" t="s">
        <v>89</v>
      </c>
      <c r="F440" s="537" t="s">
        <v>3</v>
      </c>
      <c r="G440" s="10">
        <f>0.05*0.075*4*8*1.165</f>
        <v>0.13980000000000001</v>
      </c>
    </row>
    <row r="442" spans="1:9" x14ac:dyDescent="0.25">
      <c r="A442" s="217"/>
      <c r="C442" s="3" t="s">
        <v>6232</v>
      </c>
    </row>
    <row r="443" spans="1:9" x14ac:dyDescent="0.25">
      <c r="C443" t="s">
        <v>55</v>
      </c>
      <c r="F443" s="537" t="s">
        <v>3</v>
      </c>
      <c r="G443" s="10">
        <f>0.615*0.02*3*8*1.12-0.001</f>
        <v>0.32962400000000003</v>
      </c>
    </row>
    <row r="445" spans="1:9" x14ac:dyDescent="0.25">
      <c r="A445" s="217"/>
      <c r="C445" s="3" t="s">
        <v>6231</v>
      </c>
    </row>
    <row r="446" spans="1:9" x14ac:dyDescent="0.25">
      <c r="C446" t="s">
        <v>2891</v>
      </c>
      <c r="F446" s="537" t="s">
        <v>3</v>
      </c>
      <c r="G446" s="10">
        <f>0.018*0.05*2*8*1.12</f>
        <v>1.6128E-2</v>
      </c>
    </row>
    <row r="448" spans="1:9" x14ac:dyDescent="0.25">
      <c r="A448" s="217"/>
      <c r="C448" s="3" t="s">
        <v>6230</v>
      </c>
    </row>
    <row r="449" spans="1:9" x14ac:dyDescent="0.25">
      <c r="C449" t="s">
        <v>55</v>
      </c>
      <c r="F449" s="537" t="s">
        <v>3</v>
      </c>
      <c r="G449" s="10">
        <f>0.31*0.02*3*8*1.14</f>
        <v>0.16963199999999998</v>
      </c>
    </row>
    <row r="451" spans="1:9" x14ac:dyDescent="0.25">
      <c r="A451" s="217"/>
      <c r="C451" s="3" t="s">
        <v>6229</v>
      </c>
    </row>
    <row r="452" spans="1:9" x14ac:dyDescent="0.25">
      <c r="C452" t="s">
        <v>55</v>
      </c>
      <c r="F452" s="537" t="s">
        <v>3</v>
      </c>
      <c r="G452" s="10">
        <f>0.635*0.02*3*8*1.15-0.001</f>
        <v>0.34952</v>
      </c>
    </row>
    <row r="454" spans="1:9" x14ac:dyDescent="0.25">
      <c r="A454" s="217"/>
      <c r="C454" s="3" t="s">
        <v>6228</v>
      </c>
    </row>
    <row r="455" spans="1:9" x14ac:dyDescent="0.25">
      <c r="C455" t="s">
        <v>6227</v>
      </c>
      <c r="F455" s="537" t="s">
        <v>3</v>
      </c>
      <c r="G455" s="10">
        <f>3.37*0.025</f>
        <v>8.4250000000000005E-2</v>
      </c>
      <c r="I455" t="s">
        <v>6226</v>
      </c>
    </row>
    <row r="457" spans="1:9" x14ac:dyDescent="0.25">
      <c r="A457" s="217"/>
      <c r="C457" s="3" t="s">
        <v>6225</v>
      </c>
    </row>
    <row r="458" spans="1:9" x14ac:dyDescent="0.25">
      <c r="C458" t="s">
        <v>272</v>
      </c>
      <c r="F458" s="537" t="s">
        <v>3</v>
      </c>
      <c r="G458" s="10">
        <f>0.05*0.03*2*8*1.12</f>
        <v>2.6880000000000005E-2</v>
      </c>
    </row>
    <row r="460" spans="1:9" x14ac:dyDescent="0.25">
      <c r="A460" s="217"/>
      <c r="C460" s="3" t="s">
        <v>6224</v>
      </c>
    </row>
    <row r="461" spans="1:9" x14ac:dyDescent="0.25">
      <c r="C461" t="s">
        <v>853</v>
      </c>
      <c r="F461" s="537" t="s">
        <v>3</v>
      </c>
      <c r="G461" s="10">
        <f>0.05*0.035*1*8*1.1</f>
        <v>1.5400000000000004E-2</v>
      </c>
    </row>
    <row r="463" spans="1:9" x14ac:dyDescent="0.25">
      <c r="A463" s="217"/>
      <c r="C463" s="3" t="s">
        <v>6223</v>
      </c>
    </row>
    <row r="464" spans="1:9" x14ac:dyDescent="0.25">
      <c r="C464" t="s">
        <v>853</v>
      </c>
      <c r="F464" s="537" t="s">
        <v>3</v>
      </c>
      <c r="G464" s="10">
        <f>0.1*0.045*1*8*1.12</f>
        <v>4.0320000000000002E-2</v>
      </c>
    </row>
    <row r="466" spans="1:7" x14ac:dyDescent="0.25">
      <c r="A466" s="217"/>
      <c r="C466" s="3" t="s">
        <v>6222</v>
      </c>
    </row>
    <row r="467" spans="1:7" ht="15.75" thickBot="1" x14ac:dyDescent="0.3">
      <c r="C467" t="s">
        <v>150</v>
      </c>
      <c r="F467" s="537" t="s">
        <v>3</v>
      </c>
      <c r="G467" s="10">
        <f>0.1*0.045*2*8*1.12-0.001</f>
        <v>7.9640000000000002E-2</v>
      </c>
    </row>
    <row r="468" spans="1:7" x14ac:dyDescent="0.25">
      <c r="A468" s="159"/>
      <c r="B468" s="93"/>
      <c r="C468" s="93"/>
      <c r="D468" s="93"/>
      <c r="E468" s="93"/>
      <c r="F468" s="175" t="s">
        <v>6221</v>
      </c>
      <c r="G468" s="176"/>
    </row>
    <row r="469" spans="1:7" ht="15.75" x14ac:dyDescent="0.25">
      <c r="A469" s="163"/>
      <c r="B469" s="73"/>
      <c r="C469" s="73"/>
      <c r="D469" s="73"/>
      <c r="E469" s="605" t="s">
        <v>6220</v>
      </c>
      <c r="F469" s="74"/>
      <c r="G469" s="72"/>
    </row>
    <row r="470" spans="1:7" x14ac:dyDescent="0.25">
      <c r="A470" s="163"/>
      <c r="B470" s="73"/>
      <c r="C470" s="73"/>
      <c r="D470" s="73"/>
      <c r="E470" s="73"/>
      <c r="F470" s="74"/>
      <c r="G470" s="72"/>
    </row>
    <row r="471" spans="1:7" x14ac:dyDescent="0.25">
      <c r="A471" s="193"/>
      <c r="B471" s="73"/>
      <c r="C471" s="75" t="s">
        <v>6219</v>
      </c>
      <c r="D471" s="73"/>
      <c r="E471" s="73"/>
      <c r="F471" s="74"/>
      <c r="G471" s="72"/>
    </row>
    <row r="472" spans="1:7" x14ac:dyDescent="0.25">
      <c r="A472" s="163"/>
      <c r="B472" s="73"/>
      <c r="C472" s="73" t="s">
        <v>6218</v>
      </c>
      <c r="D472" s="73"/>
      <c r="E472" s="73"/>
      <c r="F472" s="74" t="s">
        <v>3</v>
      </c>
      <c r="G472" s="72">
        <f>0.11*0.11*0.25*8*1.08</f>
        <v>2.6136E-2</v>
      </c>
    </row>
    <row r="473" spans="1:7" x14ac:dyDescent="0.25">
      <c r="A473" s="163"/>
      <c r="B473" s="73"/>
      <c r="C473" s="73"/>
      <c r="D473" s="73"/>
      <c r="E473" s="73"/>
      <c r="F473" s="74"/>
      <c r="G473" s="72"/>
    </row>
    <row r="474" spans="1:7" x14ac:dyDescent="0.25">
      <c r="A474" s="193"/>
      <c r="B474" s="73"/>
      <c r="C474" s="75" t="s">
        <v>6217</v>
      </c>
      <c r="D474" s="73"/>
      <c r="E474" s="73"/>
      <c r="F474" s="74"/>
      <c r="G474" s="72"/>
    </row>
    <row r="475" spans="1:7" x14ac:dyDescent="0.25">
      <c r="A475" s="163"/>
      <c r="B475" s="73"/>
      <c r="C475" s="73" t="s">
        <v>6205</v>
      </c>
      <c r="D475" s="73"/>
      <c r="E475" s="73"/>
      <c r="F475" s="74" t="s">
        <v>3</v>
      </c>
      <c r="G475" s="72">
        <f>0.11*0.11*0.5*8*1.08</f>
        <v>5.2271999999999999E-2</v>
      </c>
    </row>
    <row r="476" spans="1:7" x14ac:dyDescent="0.25">
      <c r="A476" s="163"/>
      <c r="B476" s="73"/>
      <c r="C476" s="73"/>
      <c r="D476" s="73"/>
      <c r="E476" s="73"/>
      <c r="F476" s="74"/>
      <c r="G476" s="72"/>
    </row>
    <row r="477" spans="1:7" x14ac:dyDescent="0.25">
      <c r="A477" s="193"/>
      <c r="B477" s="73"/>
      <c r="C477" s="75" t="s">
        <v>6216</v>
      </c>
      <c r="D477" s="73"/>
      <c r="E477" s="73"/>
      <c r="F477" s="74"/>
      <c r="G477" s="72"/>
    </row>
    <row r="478" spans="1:7" x14ac:dyDescent="0.25">
      <c r="A478" s="163"/>
      <c r="B478" s="73"/>
      <c r="C478" s="73" t="s">
        <v>6203</v>
      </c>
      <c r="D478" s="73"/>
      <c r="E478" s="73"/>
      <c r="F478" s="74" t="s">
        <v>3</v>
      </c>
      <c r="G478" s="72">
        <f>0.11*0.11*1*8*1.08</f>
        <v>0.104544</v>
      </c>
    </row>
    <row r="479" spans="1:7" x14ac:dyDescent="0.25">
      <c r="A479" s="163"/>
      <c r="B479" s="73"/>
      <c r="C479" s="73"/>
      <c r="D479" s="73"/>
      <c r="E479" s="73"/>
      <c r="F479" s="74"/>
      <c r="G479" s="72"/>
    </row>
    <row r="480" spans="1:7" x14ac:dyDescent="0.25">
      <c r="A480" s="193"/>
      <c r="B480" s="73"/>
      <c r="C480" s="75" t="s">
        <v>6215</v>
      </c>
      <c r="D480" s="73"/>
      <c r="E480" s="73"/>
      <c r="F480" s="74"/>
      <c r="G480" s="72"/>
    </row>
    <row r="481" spans="1:7" x14ac:dyDescent="0.25">
      <c r="A481" s="163"/>
      <c r="B481" s="73"/>
      <c r="C481" s="73" t="s">
        <v>6214</v>
      </c>
      <c r="D481" s="73"/>
      <c r="E481" s="73"/>
      <c r="F481" s="74" t="s">
        <v>3</v>
      </c>
      <c r="G481" s="72">
        <f>0.11*0.11*2*8*1.035</f>
        <v>0.20037599999999997</v>
      </c>
    </row>
    <row r="482" spans="1:7" x14ac:dyDescent="0.25">
      <c r="A482" s="163"/>
      <c r="B482" s="73"/>
      <c r="C482" s="73"/>
      <c r="D482" s="73"/>
      <c r="E482" s="73"/>
      <c r="F482" s="74"/>
      <c r="G482" s="72"/>
    </row>
    <row r="483" spans="1:7" x14ac:dyDescent="0.25">
      <c r="A483" s="193"/>
      <c r="B483" s="73"/>
      <c r="C483" s="75" t="s">
        <v>6213</v>
      </c>
      <c r="D483" s="73"/>
      <c r="E483" s="73"/>
      <c r="F483" s="74"/>
      <c r="G483" s="72"/>
    </row>
    <row r="484" spans="1:7" x14ac:dyDescent="0.25">
      <c r="A484" s="163"/>
      <c r="B484" s="73"/>
      <c r="C484" s="73" t="s">
        <v>6207</v>
      </c>
      <c r="D484" s="73"/>
      <c r="E484" s="73"/>
      <c r="F484" s="74" t="s">
        <v>3</v>
      </c>
      <c r="G484" s="72">
        <f>0.06*0.06*0.15*8*1.08</f>
        <v>4.6656000000000006E-3</v>
      </c>
    </row>
    <row r="485" spans="1:7" x14ac:dyDescent="0.25">
      <c r="A485" s="163"/>
      <c r="B485" s="73"/>
      <c r="C485" s="73"/>
      <c r="D485" s="73"/>
      <c r="E485" s="73"/>
      <c r="F485" s="74"/>
      <c r="G485" s="72"/>
    </row>
    <row r="486" spans="1:7" x14ac:dyDescent="0.25">
      <c r="A486" s="193"/>
      <c r="B486" s="73"/>
      <c r="C486" s="75" t="s">
        <v>6212</v>
      </c>
      <c r="D486" s="73"/>
      <c r="E486" s="73"/>
      <c r="F486" s="74"/>
      <c r="G486" s="72"/>
    </row>
    <row r="487" spans="1:7" x14ac:dyDescent="0.25">
      <c r="A487" s="163"/>
      <c r="B487" s="73"/>
      <c r="C487" s="73" t="s">
        <v>6211</v>
      </c>
      <c r="D487" s="73"/>
      <c r="E487" s="73"/>
      <c r="F487" s="74" t="s">
        <v>3</v>
      </c>
      <c r="G487" s="72">
        <f>0.06*0.06*0.3*8*1.089</f>
        <v>9.4089599999999992E-3</v>
      </c>
    </row>
    <row r="488" spans="1:7" x14ac:dyDescent="0.25">
      <c r="A488" s="163"/>
      <c r="B488" s="73"/>
      <c r="C488" s="73"/>
      <c r="D488" s="73"/>
      <c r="E488" s="73"/>
      <c r="F488" s="74"/>
      <c r="G488" s="72"/>
    </row>
    <row r="489" spans="1:7" x14ac:dyDescent="0.25">
      <c r="A489" s="193"/>
      <c r="B489" s="73"/>
      <c r="C489" s="75" t="s">
        <v>6210</v>
      </c>
      <c r="D489" s="73"/>
      <c r="E489" s="73"/>
      <c r="F489" s="74"/>
      <c r="G489" s="72"/>
    </row>
    <row r="490" spans="1:7" x14ac:dyDescent="0.25">
      <c r="A490" s="163"/>
      <c r="B490" s="73"/>
      <c r="C490" s="73" t="s">
        <v>6209</v>
      </c>
      <c r="D490" s="73"/>
      <c r="E490" s="73"/>
      <c r="F490" s="74" t="s">
        <v>3</v>
      </c>
      <c r="G490" s="72">
        <f>0.06*0.06*0.5*8*1.089</f>
        <v>1.56816E-2</v>
      </c>
    </row>
    <row r="491" spans="1:7" x14ac:dyDescent="0.25">
      <c r="A491" s="163"/>
      <c r="B491" s="73"/>
      <c r="C491" s="73"/>
      <c r="D491" s="73"/>
      <c r="E491" s="73"/>
      <c r="F491" s="74"/>
      <c r="G491" s="72"/>
    </row>
    <row r="492" spans="1:7" x14ac:dyDescent="0.25">
      <c r="A492" s="193"/>
      <c r="B492" s="73"/>
      <c r="C492" s="75" t="s">
        <v>6208</v>
      </c>
      <c r="D492" s="73"/>
      <c r="E492" s="73"/>
      <c r="F492" s="74"/>
      <c r="G492" s="72"/>
    </row>
    <row r="493" spans="1:7" x14ac:dyDescent="0.25">
      <c r="A493" s="163"/>
      <c r="B493" s="73"/>
      <c r="C493" s="73" t="s">
        <v>6207</v>
      </c>
      <c r="D493" s="73"/>
      <c r="E493" s="73"/>
      <c r="F493" s="74" t="s">
        <v>3</v>
      </c>
      <c r="G493" s="72">
        <f>0.09*0.09*0.15*8*1.09</f>
        <v>1.05948E-2</v>
      </c>
    </row>
    <row r="494" spans="1:7" x14ac:dyDescent="0.25">
      <c r="A494" s="163"/>
      <c r="B494" s="73"/>
      <c r="C494" s="73"/>
      <c r="D494" s="73"/>
      <c r="E494" s="73"/>
      <c r="F494" s="74"/>
      <c r="G494" s="72"/>
    </row>
    <row r="495" spans="1:7" x14ac:dyDescent="0.25">
      <c r="A495" s="193"/>
      <c r="B495" s="73"/>
      <c r="C495" s="75" t="s">
        <v>6206</v>
      </c>
      <c r="D495" s="73"/>
      <c r="E495" s="73"/>
      <c r="F495" s="74"/>
      <c r="G495" s="72"/>
    </row>
    <row r="496" spans="1:7" x14ac:dyDescent="0.25">
      <c r="A496" s="163"/>
      <c r="B496" s="73"/>
      <c r="C496" s="73" t="s">
        <v>6205</v>
      </c>
      <c r="D496" s="73"/>
      <c r="E496" s="73"/>
      <c r="F496" s="74" t="s">
        <v>3</v>
      </c>
      <c r="G496" s="72">
        <f>0.09*0.09*0.5*8*1.09</f>
        <v>3.5316E-2</v>
      </c>
    </row>
    <row r="497" spans="1:7" x14ac:dyDescent="0.25">
      <c r="A497" s="163"/>
      <c r="B497" s="73"/>
      <c r="C497" s="73"/>
      <c r="D497" s="73"/>
      <c r="E497" s="73"/>
      <c r="F497" s="74"/>
      <c r="G497" s="72"/>
    </row>
    <row r="498" spans="1:7" x14ac:dyDescent="0.25">
      <c r="A498" s="193"/>
      <c r="B498" s="73"/>
      <c r="C498" s="75" t="s">
        <v>6204</v>
      </c>
      <c r="D498" s="73"/>
      <c r="E498" s="73"/>
      <c r="F498" s="74"/>
      <c r="G498" s="72"/>
    </row>
    <row r="499" spans="1:7" x14ac:dyDescent="0.25">
      <c r="A499" s="163"/>
      <c r="B499" s="73"/>
      <c r="C499" s="73" t="s">
        <v>6203</v>
      </c>
      <c r="D499" s="73"/>
      <c r="E499" s="73"/>
      <c r="F499" s="74" t="s">
        <v>3</v>
      </c>
      <c r="G499" s="72">
        <f>0.09*0.09*1*8*1.11</f>
        <v>7.1928000000000006E-2</v>
      </c>
    </row>
    <row r="500" spans="1:7" x14ac:dyDescent="0.25">
      <c r="A500" s="163"/>
      <c r="B500" s="73"/>
      <c r="C500" s="73"/>
      <c r="D500" s="73"/>
      <c r="E500" s="73"/>
      <c r="F500" s="74"/>
      <c r="G500" s="72"/>
    </row>
    <row r="501" spans="1:7" x14ac:dyDescent="0.25">
      <c r="A501" s="193"/>
      <c r="B501" s="73"/>
      <c r="C501" s="75" t="s">
        <v>6202</v>
      </c>
      <c r="D501" s="73"/>
      <c r="E501" s="73"/>
      <c r="F501" s="74"/>
      <c r="G501" s="72"/>
    </row>
    <row r="502" spans="1:7" x14ac:dyDescent="0.25">
      <c r="A502" s="163"/>
      <c r="B502" s="73"/>
      <c r="C502" s="73" t="s">
        <v>6201</v>
      </c>
      <c r="D502" s="73"/>
      <c r="E502" s="73"/>
      <c r="F502" s="74" t="s">
        <v>3</v>
      </c>
      <c r="G502" s="72">
        <f>0.065*0.065*1.5*8*1.08</f>
        <v>5.4756000000000013E-2</v>
      </c>
    </row>
    <row r="503" spans="1:7" x14ac:dyDescent="0.25">
      <c r="A503" s="163"/>
      <c r="B503" s="73"/>
      <c r="C503" s="73"/>
      <c r="D503" s="73"/>
      <c r="E503" s="73"/>
      <c r="F503" s="74"/>
      <c r="G503" s="72"/>
    </row>
    <row r="504" spans="1:7" x14ac:dyDescent="0.25">
      <c r="A504" s="193"/>
      <c r="B504" s="73"/>
      <c r="C504" s="75" t="s">
        <v>6200</v>
      </c>
      <c r="D504" s="73"/>
      <c r="E504" s="73"/>
      <c r="F504" s="74"/>
      <c r="G504" s="72"/>
    </row>
    <row r="505" spans="1:7" x14ac:dyDescent="0.25">
      <c r="A505" s="163"/>
      <c r="B505" s="73"/>
      <c r="C505" s="73" t="s">
        <v>6199</v>
      </c>
      <c r="D505" s="73"/>
      <c r="E505" s="73"/>
      <c r="F505" s="74" t="s">
        <v>3</v>
      </c>
      <c r="G505" s="72">
        <f>0.065*0.065*2*8*1.07</f>
        <v>7.2332000000000007E-2</v>
      </c>
    </row>
    <row r="506" spans="1:7" x14ac:dyDescent="0.25">
      <c r="A506" s="163"/>
      <c r="B506" s="73"/>
      <c r="C506" s="73"/>
      <c r="D506" s="73"/>
      <c r="E506" s="73"/>
      <c r="F506" s="74"/>
      <c r="G506" s="72"/>
    </row>
    <row r="507" spans="1:7" x14ac:dyDescent="0.25">
      <c r="A507" s="193"/>
      <c r="B507" s="73"/>
      <c r="C507" s="75" t="s">
        <v>6198</v>
      </c>
      <c r="D507" s="73"/>
      <c r="E507" s="73"/>
      <c r="F507" s="74"/>
      <c r="G507" s="72"/>
    </row>
    <row r="508" spans="1:7" x14ac:dyDescent="0.25">
      <c r="A508" s="163"/>
      <c r="B508" s="73"/>
      <c r="C508" s="73" t="s">
        <v>394</v>
      </c>
      <c r="D508" s="73"/>
      <c r="E508" s="73"/>
      <c r="F508" s="74" t="s">
        <v>3</v>
      </c>
      <c r="G508" s="72">
        <f>0.065*0.065*2.5*8*1.07</f>
        <v>9.0415000000000009E-2</v>
      </c>
    </row>
    <row r="509" spans="1:7" x14ac:dyDescent="0.25">
      <c r="A509" s="163"/>
      <c r="B509" s="73"/>
      <c r="C509" s="73"/>
      <c r="D509" s="73"/>
      <c r="E509" s="73"/>
      <c r="F509" s="74"/>
      <c r="G509" s="72"/>
    </row>
    <row r="510" spans="1:7" x14ac:dyDescent="0.25">
      <c r="A510" s="193"/>
      <c r="B510" s="73"/>
      <c r="C510" s="75" t="s">
        <v>6197</v>
      </c>
      <c r="D510" s="73"/>
      <c r="E510" s="73"/>
      <c r="F510" s="74"/>
      <c r="G510" s="72"/>
    </row>
    <row r="511" spans="1:7" x14ac:dyDescent="0.25">
      <c r="A511" s="163"/>
      <c r="B511" s="73"/>
      <c r="C511" s="73" t="s">
        <v>300</v>
      </c>
      <c r="D511" s="73"/>
      <c r="E511" s="73"/>
      <c r="F511" s="74" t="s">
        <v>3</v>
      </c>
      <c r="G511" s="72">
        <f>0.065*0.065*3*8*1.08</f>
        <v>0.10951200000000003</v>
      </c>
    </row>
    <row r="512" spans="1:7" x14ac:dyDescent="0.25">
      <c r="A512" s="163"/>
      <c r="B512" s="73"/>
      <c r="C512" s="73"/>
      <c r="D512" s="73"/>
      <c r="E512" s="73"/>
      <c r="F512" s="74"/>
      <c r="G512" s="72"/>
    </row>
    <row r="513" spans="1:7" x14ac:dyDescent="0.25">
      <c r="A513" s="193"/>
      <c r="B513" s="73"/>
      <c r="C513" s="75" t="s">
        <v>6196</v>
      </c>
      <c r="D513" s="73"/>
      <c r="E513" s="73"/>
      <c r="F513" s="74"/>
      <c r="G513" s="72"/>
    </row>
    <row r="514" spans="1:7" x14ac:dyDescent="0.25">
      <c r="A514" s="163"/>
      <c r="B514" s="73"/>
      <c r="C514" s="73" t="s">
        <v>6195</v>
      </c>
      <c r="D514" s="73"/>
      <c r="E514" s="73"/>
      <c r="F514" s="74" t="s">
        <v>3</v>
      </c>
      <c r="G514" s="72">
        <f>0.065*0.065*1.5*2*1.1</f>
        <v>1.3942500000000004E-2</v>
      </c>
    </row>
    <row r="515" spans="1:7" ht="15.75" thickBot="1" x14ac:dyDescent="0.3">
      <c r="A515" s="67"/>
      <c r="B515" s="68"/>
      <c r="C515" s="68"/>
      <c r="D515" s="68"/>
      <c r="E515" s="68"/>
      <c r="F515" s="82"/>
      <c r="G515" s="83"/>
    </row>
    <row r="516" spans="1:7" ht="15.75" x14ac:dyDescent="0.25">
      <c r="A516" s="159"/>
      <c r="B516" s="93"/>
      <c r="C516" s="93"/>
      <c r="D516" s="93"/>
      <c r="E516" s="416" t="s">
        <v>6140</v>
      </c>
      <c r="F516" s="192" t="s">
        <v>6194</v>
      </c>
      <c r="G516" s="90"/>
    </row>
    <row r="517" spans="1:7" x14ac:dyDescent="0.25">
      <c r="A517" s="163"/>
      <c r="B517" s="73"/>
      <c r="C517" s="73"/>
      <c r="D517" s="73"/>
      <c r="E517" s="604"/>
      <c r="F517" s="74"/>
      <c r="G517" s="72"/>
    </row>
    <row r="518" spans="1:7" x14ac:dyDescent="0.25">
      <c r="A518" s="163"/>
      <c r="B518" s="73"/>
      <c r="C518" s="75" t="s">
        <v>6193</v>
      </c>
      <c r="D518" s="73"/>
      <c r="E518" s="73"/>
      <c r="F518" s="74"/>
      <c r="G518" s="72"/>
    </row>
    <row r="519" spans="1:7" x14ac:dyDescent="0.25">
      <c r="A519" s="163"/>
      <c r="B519" s="73"/>
      <c r="C519" s="73" t="s">
        <v>8</v>
      </c>
      <c r="D519" s="73"/>
      <c r="E519" s="73"/>
      <c r="F519" s="74" t="s">
        <v>3</v>
      </c>
      <c r="G519" s="72">
        <f>G521*0.8</f>
        <v>0.19963276200000007</v>
      </c>
    </row>
    <row r="520" spans="1:7" x14ac:dyDescent="0.25">
      <c r="A520" s="163"/>
      <c r="B520" s="73"/>
      <c r="C520" s="73" t="s">
        <v>12</v>
      </c>
      <c r="D520" s="75"/>
      <c r="E520" s="73"/>
      <c r="F520" s="74" t="s">
        <v>3</v>
      </c>
      <c r="G520" s="72">
        <f>0.3*G519</f>
        <v>5.9889828600000021E-2</v>
      </c>
    </row>
    <row r="521" spans="1:7" x14ac:dyDescent="0.25">
      <c r="A521" s="163"/>
      <c r="B521" s="73"/>
      <c r="C521" s="73" t="s">
        <v>72</v>
      </c>
      <c r="D521" s="73"/>
      <c r="E521" s="73"/>
      <c r="F521" s="74" t="s">
        <v>3</v>
      </c>
      <c r="G521" s="72">
        <f>(0.77*(0.29+0.24+0.155+0.17)+0.28*0.15*2)*0.135*2*1.245</f>
        <v>0.24954095250000008</v>
      </c>
    </row>
    <row r="522" spans="1:7" x14ac:dyDescent="0.25">
      <c r="A522" s="163"/>
      <c r="B522" s="73"/>
      <c r="C522" s="73" t="s">
        <v>11</v>
      </c>
      <c r="D522" s="73"/>
      <c r="E522" s="73"/>
      <c r="F522" s="74" t="s">
        <v>3</v>
      </c>
      <c r="G522" s="72">
        <f>0.3*G521</f>
        <v>7.4862285750000021E-2</v>
      </c>
    </row>
    <row r="523" spans="1:7" x14ac:dyDescent="0.25">
      <c r="A523" s="163"/>
      <c r="B523" s="73"/>
      <c r="C523" s="73" t="s">
        <v>147</v>
      </c>
      <c r="D523" s="73"/>
      <c r="E523" s="73"/>
      <c r="F523" s="74" t="s">
        <v>3</v>
      </c>
      <c r="G523" s="72">
        <f>0.05</f>
        <v>0.05</v>
      </c>
    </row>
    <row r="524" spans="1:7" x14ac:dyDescent="0.25">
      <c r="A524" s="163"/>
      <c r="B524" s="73"/>
      <c r="C524" s="73" t="s">
        <v>2755</v>
      </c>
      <c r="D524" s="73"/>
      <c r="E524" s="73"/>
      <c r="F524" s="74" t="s">
        <v>3</v>
      </c>
      <c r="G524" s="72">
        <f>0.3*0.08*1.25</f>
        <v>0.03</v>
      </c>
    </row>
    <row r="525" spans="1:7" ht="17.25" x14ac:dyDescent="0.25">
      <c r="A525" s="163"/>
      <c r="B525" s="73"/>
      <c r="C525" s="73" t="s">
        <v>1055</v>
      </c>
      <c r="D525" s="73"/>
      <c r="E525" s="73"/>
      <c r="F525" s="74" t="s">
        <v>596</v>
      </c>
      <c r="G525" s="72">
        <f>1.09*G524</f>
        <v>3.27E-2</v>
      </c>
    </row>
    <row r="526" spans="1:7" x14ac:dyDescent="0.25">
      <c r="A526" s="163"/>
      <c r="B526" s="73"/>
      <c r="C526" s="77" t="s">
        <v>13</v>
      </c>
      <c r="D526" s="73"/>
      <c r="E526" s="73"/>
      <c r="F526" s="74" t="s">
        <v>3</v>
      </c>
      <c r="G526" s="72">
        <v>0.4</v>
      </c>
    </row>
    <row r="527" spans="1:7" x14ac:dyDescent="0.25">
      <c r="A527" s="163"/>
      <c r="B527" s="73"/>
      <c r="C527" s="73"/>
      <c r="D527" s="75" t="s">
        <v>6192</v>
      </c>
      <c r="E527" s="73"/>
      <c r="F527" s="74"/>
      <c r="G527" s="72"/>
    </row>
    <row r="528" spans="1:7" x14ac:dyDescent="0.25">
      <c r="A528" s="163"/>
      <c r="B528" s="73"/>
      <c r="C528" s="73"/>
      <c r="D528" s="100" t="s">
        <v>6162</v>
      </c>
      <c r="E528" s="73"/>
      <c r="F528" s="74" t="s">
        <v>3</v>
      </c>
      <c r="G528" s="72">
        <f>1*0.022*0.2*2*1.25</f>
        <v>1.1000000000000001E-2</v>
      </c>
    </row>
    <row r="529" spans="1:7" x14ac:dyDescent="0.25">
      <c r="A529" s="163"/>
      <c r="B529" s="73"/>
      <c r="C529" s="73"/>
      <c r="D529" s="73" t="s">
        <v>2755</v>
      </c>
      <c r="E529" s="73"/>
      <c r="F529" s="74" t="s">
        <v>3</v>
      </c>
      <c r="G529" s="72">
        <f>(0.25+0.15+0.05+0.1)*0.08*1.25</f>
        <v>5.5000000000000007E-2</v>
      </c>
    </row>
    <row r="530" spans="1:7" ht="17.25" x14ac:dyDescent="0.25">
      <c r="A530" s="163"/>
      <c r="B530" s="73"/>
      <c r="C530" s="73"/>
      <c r="D530" s="73" t="s">
        <v>1055</v>
      </c>
      <c r="E530" s="73"/>
      <c r="F530" s="74" t="s">
        <v>596</v>
      </c>
      <c r="G530" s="72">
        <f>1.09*G529</f>
        <v>5.995000000000001E-2</v>
      </c>
    </row>
    <row r="531" spans="1:7" x14ac:dyDescent="0.25">
      <c r="A531" s="163"/>
      <c r="B531" s="73"/>
      <c r="C531" s="73"/>
      <c r="D531" s="73"/>
      <c r="E531" s="75" t="s">
        <v>6191</v>
      </c>
      <c r="F531" s="74"/>
      <c r="G531" s="72"/>
    </row>
    <row r="532" spans="1:7" x14ac:dyDescent="0.25">
      <c r="A532" s="163"/>
      <c r="B532" s="73"/>
      <c r="C532" s="73"/>
      <c r="D532" s="73"/>
      <c r="E532" s="73" t="s">
        <v>2755</v>
      </c>
      <c r="F532" s="74" t="s">
        <v>3</v>
      </c>
      <c r="G532" s="72">
        <f>0.06*0.08*1.2</f>
        <v>5.7599999999999995E-3</v>
      </c>
    </row>
    <row r="533" spans="1:7" ht="17.25" x14ac:dyDescent="0.25">
      <c r="A533" s="163"/>
      <c r="B533" s="73"/>
      <c r="C533" s="73"/>
      <c r="D533" s="73"/>
      <c r="E533" s="73" t="s">
        <v>1055</v>
      </c>
      <c r="F533" s="74" t="s">
        <v>596</v>
      </c>
      <c r="G533" s="72">
        <f>1.09*G532</f>
        <v>6.2784E-3</v>
      </c>
    </row>
    <row r="534" spans="1:7" x14ac:dyDescent="0.25">
      <c r="A534" s="163"/>
      <c r="B534" s="73"/>
      <c r="C534" s="73"/>
      <c r="D534" s="73"/>
      <c r="E534" s="78" t="s">
        <v>6190</v>
      </c>
      <c r="F534" s="74"/>
      <c r="G534" s="72"/>
    </row>
    <row r="535" spans="1:7" x14ac:dyDescent="0.25">
      <c r="A535" s="163"/>
      <c r="B535" s="73"/>
      <c r="C535" s="73"/>
      <c r="D535" s="73"/>
      <c r="E535" s="73" t="s">
        <v>6182</v>
      </c>
      <c r="F535" s="74" t="s">
        <v>3</v>
      </c>
      <c r="G535" s="72">
        <f>0.03*0.012*4*8*1.12</f>
        <v>1.29024E-2</v>
      </c>
    </row>
    <row r="536" spans="1:7" x14ac:dyDescent="0.25">
      <c r="A536" s="163"/>
      <c r="B536" s="73"/>
      <c r="C536" s="73"/>
      <c r="D536" s="73"/>
      <c r="E536" s="75" t="s">
        <v>6189</v>
      </c>
      <c r="F536" s="74"/>
      <c r="G536" s="72"/>
    </row>
    <row r="537" spans="1:7" x14ac:dyDescent="0.25">
      <c r="A537" s="163"/>
      <c r="B537" s="73"/>
      <c r="C537" s="73"/>
      <c r="D537" s="73"/>
      <c r="E537" s="77" t="s">
        <v>6154</v>
      </c>
      <c r="F537" s="74" t="s">
        <v>3</v>
      </c>
      <c r="G537" s="72">
        <f>0.43*0.22*1.5*8*1.12-0.001</f>
        <v>1.2704240000000002</v>
      </c>
    </row>
    <row r="538" spans="1:7" x14ac:dyDescent="0.25">
      <c r="A538" s="163"/>
      <c r="B538" s="73"/>
      <c r="C538" s="73"/>
      <c r="D538" s="73"/>
      <c r="E538" s="75" t="s">
        <v>6188</v>
      </c>
      <c r="F538" s="74"/>
      <c r="G538" s="72"/>
    </row>
    <row r="539" spans="1:7" x14ac:dyDescent="0.25">
      <c r="A539" s="163"/>
      <c r="B539" s="73"/>
      <c r="C539" s="73"/>
      <c r="D539" s="73"/>
      <c r="E539" s="77" t="s">
        <v>6154</v>
      </c>
      <c r="F539" s="74" t="s">
        <v>3</v>
      </c>
      <c r="G539" s="72">
        <f>0.356*0.011*1.5*8*1.12</f>
        <v>5.2631039999999997E-2</v>
      </c>
    </row>
    <row r="540" spans="1:7" x14ac:dyDescent="0.25">
      <c r="A540" s="163"/>
      <c r="B540" s="73"/>
      <c r="C540" s="73"/>
      <c r="D540" s="73"/>
      <c r="E540" s="75" t="s">
        <v>6187</v>
      </c>
      <c r="F540" s="74"/>
      <c r="G540" s="72"/>
    </row>
    <row r="541" spans="1:7" x14ac:dyDescent="0.25">
      <c r="A541" s="163"/>
      <c r="B541" s="73"/>
      <c r="C541" s="73"/>
      <c r="D541" s="73"/>
      <c r="E541" s="77" t="s">
        <v>6154</v>
      </c>
      <c r="F541" s="74" t="s">
        <v>3</v>
      </c>
      <c r="G541" s="72">
        <f>0.147*0.011*1.5*8*1.12</f>
        <v>2.1732479999999998E-2</v>
      </c>
    </row>
    <row r="542" spans="1:7" x14ac:dyDescent="0.25">
      <c r="A542" s="163"/>
      <c r="B542" s="73"/>
      <c r="C542" s="73"/>
      <c r="D542" s="75" t="s">
        <v>6186</v>
      </c>
      <c r="E542" s="73"/>
      <c r="F542" s="74"/>
      <c r="G542" s="72"/>
    </row>
    <row r="543" spans="1:7" x14ac:dyDescent="0.25">
      <c r="A543" s="163"/>
      <c r="B543" s="73"/>
      <c r="C543" s="73"/>
      <c r="D543" s="73" t="s">
        <v>2755</v>
      </c>
      <c r="E543" s="73"/>
      <c r="F543" s="74" t="s">
        <v>3</v>
      </c>
      <c r="G543" s="72">
        <f>(0.8+0.04+0.3+0.77*4+0.28*2+0.25*2)*0.08*1.184</f>
        <v>0.50012160000000005</v>
      </c>
    </row>
    <row r="544" spans="1:7" ht="17.25" x14ac:dyDescent="0.25">
      <c r="A544" s="163"/>
      <c r="B544" s="73"/>
      <c r="C544" s="73"/>
      <c r="D544" s="73" t="s">
        <v>1055</v>
      </c>
      <c r="E544" s="73"/>
      <c r="F544" s="74" t="s">
        <v>596</v>
      </c>
      <c r="G544" s="72">
        <f>1.09*G543</f>
        <v>0.54513254400000011</v>
      </c>
    </row>
    <row r="545" spans="1:7" x14ac:dyDescent="0.25">
      <c r="A545" s="163"/>
      <c r="B545" s="73"/>
      <c r="C545" s="73"/>
      <c r="D545" s="73"/>
      <c r="E545" s="75" t="s">
        <v>6185</v>
      </c>
      <c r="F545" s="74"/>
      <c r="G545" s="72"/>
    </row>
    <row r="546" spans="1:7" x14ac:dyDescent="0.25">
      <c r="A546" s="163"/>
      <c r="B546" s="73"/>
      <c r="C546" s="73"/>
      <c r="D546" s="73"/>
      <c r="E546" s="73" t="s">
        <v>2755</v>
      </c>
      <c r="F546" s="74" t="s">
        <v>3</v>
      </c>
      <c r="G546" s="72">
        <f>0.1*0.08*1.2</f>
        <v>9.5999999999999992E-3</v>
      </c>
    </row>
    <row r="547" spans="1:7" ht="17.25" x14ac:dyDescent="0.25">
      <c r="A547" s="163"/>
      <c r="B547" s="73"/>
      <c r="C547" s="73"/>
      <c r="D547" s="73"/>
      <c r="E547" s="73" t="s">
        <v>1055</v>
      </c>
      <c r="F547" s="74" t="s">
        <v>596</v>
      </c>
      <c r="G547" s="72">
        <f>1.09*G546</f>
        <v>1.0463999999999999E-2</v>
      </c>
    </row>
    <row r="548" spans="1:7" x14ac:dyDescent="0.25">
      <c r="A548" s="163"/>
      <c r="B548" s="73"/>
      <c r="C548" s="73"/>
      <c r="D548" s="73"/>
      <c r="E548" s="78" t="s">
        <v>6184</v>
      </c>
      <c r="F548" s="74"/>
      <c r="G548" s="72"/>
    </row>
    <row r="549" spans="1:7" x14ac:dyDescent="0.25">
      <c r="A549" s="163"/>
      <c r="B549" s="73"/>
      <c r="C549" s="73"/>
      <c r="D549" s="73"/>
      <c r="E549" s="73" t="s">
        <v>6182</v>
      </c>
      <c r="F549" s="74" t="s">
        <v>3</v>
      </c>
      <c r="G549" s="72">
        <f>0.09*0.17*4*8*1.123</f>
        <v>0.5498208</v>
      </c>
    </row>
    <row r="550" spans="1:7" x14ac:dyDescent="0.25">
      <c r="A550" s="163"/>
      <c r="B550" s="73"/>
      <c r="C550" s="73"/>
      <c r="D550" s="73"/>
      <c r="E550" s="78" t="s">
        <v>6183</v>
      </c>
      <c r="F550" s="74"/>
      <c r="G550" s="72"/>
    </row>
    <row r="551" spans="1:7" x14ac:dyDescent="0.25">
      <c r="A551" s="163"/>
      <c r="B551" s="73"/>
      <c r="C551" s="73"/>
      <c r="D551" s="73"/>
      <c r="E551" s="73" t="s">
        <v>6182</v>
      </c>
      <c r="F551" s="74" t="s">
        <v>3</v>
      </c>
      <c r="G551" s="72">
        <f>0.035*0.05*4*8*1.12</f>
        <v>6.2720000000000012E-2</v>
      </c>
    </row>
    <row r="552" spans="1:7" x14ac:dyDescent="0.25">
      <c r="A552" s="163"/>
      <c r="B552" s="73"/>
      <c r="C552" s="73"/>
      <c r="D552" s="73"/>
      <c r="E552" s="75" t="s">
        <v>6181</v>
      </c>
      <c r="F552" s="74"/>
      <c r="G552" s="72"/>
    </row>
    <row r="553" spans="1:7" x14ac:dyDescent="0.25">
      <c r="A553" s="163"/>
      <c r="B553" s="73"/>
      <c r="C553" s="73"/>
      <c r="D553" s="73"/>
      <c r="E553" s="77" t="s">
        <v>6154</v>
      </c>
      <c r="F553" s="74" t="s">
        <v>3</v>
      </c>
      <c r="G553" s="72">
        <f>0.92*0.165*1.5*8*1.153</f>
        <v>2.1003048</v>
      </c>
    </row>
    <row r="554" spans="1:7" x14ac:dyDescent="0.25">
      <c r="A554" s="163"/>
      <c r="B554" s="73"/>
      <c r="C554" s="73"/>
      <c r="D554" s="73"/>
      <c r="E554" s="75" t="s">
        <v>6180</v>
      </c>
      <c r="F554" s="74"/>
      <c r="G554" s="72"/>
    </row>
    <row r="555" spans="1:7" x14ac:dyDescent="0.25">
      <c r="A555" s="163"/>
      <c r="B555" s="73"/>
      <c r="C555" s="73"/>
      <c r="D555" s="73"/>
      <c r="E555" s="77" t="s">
        <v>6154</v>
      </c>
      <c r="F555" s="74" t="s">
        <v>3</v>
      </c>
      <c r="G555" s="72">
        <f>0.765*0.245*1.5*8*1.1115</f>
        <v>2.4998746500000002</v>
      </c>
    </row>
    <row r="556" spans="1:7" x14ac:dyDescent="0.25">
      <c r="A556" s="163"/>
      <c r="B556" s="73"/>
      <c r="C556" s="73"/>
      <c r="D556" s="73"/>
      <c r="E556" s="75" t="s">
        <v>6179</v>
      </c>
      <c r="F556" s="74"/>
      <c r="G556" s="72"/>
    </row>
    <row r="557" spans="1:7" x14ac:dyDescent="0.25">
      <c r="A557" s="163"/>
      <c r="B557" s="73"/>
      <c r="C557" s="73"/>
      <c r="D557" s="73"/>
      <c r="E557" s="77" t="s">
        <v>6154</v>
      </c>
      <c r="F557" s="74" t="s">
        <v>3</v>
      </c>
      <c r="G557" s="72">
        <f>0.765*0.3*1.5*8*1.126-0.001</f>
        <v>3.1000039999999993</v>
      </c>
    </row>
    <row r="558" spans="1:7" x14ac:dyDescent="0.25">
      <c r="A558" s="163"/>
      <c r="B558" s="73"/>
      <c r="C558" s="73"/>
      <c r="D558" s="73"/>
      <c r="E558" s="75" t="s">
        <v>6178</v>
      </c>
      <c r="F558" s="74"/>
      <c r="G558" s="72"/>
    </row>
    <row r="559" spans="1:7" x14ac:dyDescent="0.25">
      <c r="A559" s="163"/>
      <c r="B559" s="73"/>
      <c r="C559" s="73"/>
      <c r="D559" s="73"/>
      <c r="E559" s="77" t="s">
        <v>6154</v>
      </c>
      <c r="F559" s="74" t="s">
        <v>3</v>
      </c>
      <c r="G559" s="72">
        <f>0.39*0.155*1.5*8*1.103</f>
        <v>0.80011620000000006</v>
      </c>
    </row>
    <row r="560" spans="1:7" x14ac:dyDescent="0.25">
      <c r="A560" s="163"/>
      <c r="B560" s="73"/>
      <c r="C560" s="73"/>
      <c r="D560" s="73"/>
      <c r="E560" s="75" t="s">
        <v>6177</v>
      </c>
      <c r="F560" s="74"/>
      <c r="G560" s="72"/>
    </row>
    <row r="561" spans="1:9" x14ac:dyDescent="0.25">
      <c r="A561" s="163"/>
      <c r="B561" s="73"/>
      <c r="C561" s="73"/>
      <c r="D561" s="73"/>
      <c r="E561" s="77" t="s">
        <v>6154</v>
      </c>
      <c r="F561" s="74" t="s">
        <v>3</v>
      </c>
      <c r="G561" s="72">
        <f>0.39*0.155*1.5*8*1.103</f>
        <v>0.80011620000000006</v>
      </c>
    </row>
    <row r="562" spans="1:9" x14ac:dyDescent="0.25">
      <c r="A562" s="163"/>
      <c r="B562" s="73"/>
      <c r="C562" s="73"/>
      <c r="D562" s="73"/>
      <c r="E562" s="75" t="s">
        <v>6176</v>
      </c>
      <c r="F562" s="74"/>
      <c r="G562" s="72"/>
    </row>
    <row r="563" spans="1:9" x14ac:dyDescent="0.25">
      <c r="A563" s="163"/>
      <c r="B563" s="73"/>
      <c r="C563" s="73"/>
      <c r="D563" s="73"/>
      <c r="E563" s="73" t="s">
        <v>6151</v>
      </c>
      <c r="F563" s="74" t="s">
        <v>3</v>
      </c>
      <c r="G563" s="72">
        <f>0.05*0.04*2.5*8*1.12</f>
        <v>4.4800000000000006E-2</v>
      </c>
    </row>
    <row r="564" spans="1:9" x14ac:dyDescent="0.25">
      <c r="A564" s="163"/>
      <c r="B564" s="73"/>
      <c r="C564" s="73"/>
      <c r="D564" s="75" t="s">
        <v>6175</v>
      </c>
      <c r="E564" s="73"/>
      <c r="F564" s="74"/>
      <c r="G564" s="72"/>
    </row>
    <row r="565" spans="1:9" x14ac:dyDescent="0.25">
      <c r="A565" s="163"/>
      <c r="B565" s="73"/>
      <c r="C565" s="73"/>
      <c r="D565" s="73" t="s">
        <v>6151</v>
      </c>
      <c r="E565" s="73"/>
      <c r="F565" s="74" t="s">
        <v>3</v>
      </c>
      <c r="G565" s="72">
        <f>0.04*0.04*2.5*8*1.12</f>
        <v>3.5840000000000004E-2</v>
      </c>
    </row>
    <row r="566" spans="1:9" x14ac:dyDescent="0.25">
      <c r="A566" s="163"/>
      <c r="B566" s="73"/>
      <c r="C566" s="73"/>
      <c r="D566" s="75" t="s">
        <v>6174</v>
      </c>
      <c r="E566" s="73"/>
      <c r="F566" s="74"/>
      <c r="G566" s="72"/>
    </row>
    <row r="567" spans="1:9" x14ac:dyDescent="0.25">
      <c r="A567" s="163"/>
      <c r="B567" s="73"/>
      <c r="C567" s="73"/>
      <c r="D567" s="73" t="s">
        <v>5961</v>
      </c>
      <c r="E567" s="73"/>
      <c r="F567" s="74" t="s">
        <v>3</v>
      </c>
      <c r="G567" s="72">
        <f>0.06*0.025*4*8*1.12</f>
        <v>5.3760000000000009E-2</v>
      </c>
    </row>
    <row r="568" spans="1:9" x14ac:dyDescent="0.25">
      <c r="A568" s="163"/>
      <c r="B568" s="73"/>
      <c r="C568" s="73"/>
      <c r="D568" s="73"/>
      <c r="E568" s="73"/>
      <c r="F568" s="74"/>
      <c r="G568" s="72"/>
    </row>
    <row r="569" spans="1:9" x14ac:dyDescent="0.25">
      <c r="A569" s="163"/>
      <c r="B569" s="73"/>
      <c r="C569" s="75" t="s">
        <v>6173</v>
      </c>
      <c r="D569" s="73"/>
      <c r="E569" s="73"/>
      <c r="F569" s="74"/>
      <c r="G569" s="72"/>
    </row>
    <row r="570" spans="1:9" x14ac:dyDescent="0.25">
      <c r="A570" s="163"/>
      <c r="B570" s="73"/>
      <c r="C570" s="73" t="s">
        <v>2755</v>
      </c>
      <c r="D570" s="580"/>
      <c r="E570" s="580"/>
      <c r="F570" s="74" t="s">
        <v>3</v>
      </c>
      <c r="G570" s="72">
        <f>0.5*0.08*1.2+0.002</f>
        <v>0.05</v>
      </c>
      <c r="H570" s="603"/>
      <c r="I570" s="12"/>
    </row>
    <row r="571" spans="1:9" ht="17.25" x14ac:dyDescent="0.25">
      <c r="A571" s="163"/>
      <c r="B571" s="73"/>
      <c r="C571" s="73" t="s">
        <v>1055</v>
      </c>
      <c r="D571" s="580"/>
      <c r="E571" s="580"/>
      <c r="F571" s="74" t="s">
        <v>596</v>
      </c>
      <c r="G571" s="72">
        <f>1.09*G570</f>
        <v>5.4500000000000007E-2</v>
      </c>
      <c r="H571" s="603"/>
      <c r="I571" s="12"/>
    </row>
    <row r="572" spans="1:9" x14ac:dyDescent="0.25">
      <c r="A572" s="163"/>
      <c r="B572" s="73"/>
      <c r="C572" s="73" t="s">
        <v>8</v>
      </c>
      <c r="D572" s="73"/>
      <c r="E572" s="73"/>
      <c r="F572" s="74" t="s">
        <v>3</v>
      </c>
      <c r="G572" s="72">
        <f>G574*0.77-0.001</f>
        <v>1.0000000000000002</v>
      </c>
      <c r="H572" s="603"/>
      <c r="I572" s="32"/>
    </row>
    <row r="573" spans="1:9" x14ac:dyDescent="0.25">
      <c r="A573" s="163"/>
      <c r="B573" s="73"/>
      <c r="C573" s="73" t="s">
        <v>12</v>
      </c>
      <c r="D573" s="73"/>
      <c r="E573" s="73"/>
      <c r="F573" s="74" t="s">
        <v>3</v>
      </c>
      <c r="G573" s="72">
        <f>0.3*G572</f>
        <v>0.30000000000000004</v>
      </c>
      <c r="H573" s="603"/>
      <c r="I573" s="32"/>
    </row>
    <row r="574" spans="1:9" x14ac:dyDescent="0.25">
      <c r="A574" s="163"/>
      <c r="B574" s="73"/>
      <c r="C574" s="73" t="s">
        <v>72</v>
      </c>
      <c r="D574" s="73"/>
      <c r="E574" s="73"/>
      <c r="F574" s="74" t="s">
        <v>3</v>
      </c>
      <c r="G574" s="72">
        <v>1.3</v>
      </c>
      <c r="H574" s="603"/>
      <c r="I574" s="32"/>
    </row>
    <row r="575" spans="1:9" x14ac:dyDescent="0.25">
      <c r="A575" s="163"/>
      <c r="B575" s="73"/>
      <c r="C575" s="73" t="s">
        <v>11</v>
      </c>
      <c r="D575" s="73"/>
      <c r="E575" s="73"/>
      <c r="F575" s="74" t="s">
        <v>3</v>
      </c>
      <c r="G575" s="72">
        <f>0.3*G574</f>
        <v>0.39</v>
      </c>
      <c r="H575" s="603"/>
      <c r="I575" s="32"/>
    </row>
    <row r="576" spans="1:9" x14ac:dyDescent="0.25">
      <c r="A576" s="163"/>
      <c r="B576" s="73"/>
      <c r="C576" s="73" t="s">
        <v>324</v>
      </c>
      <c r="D576" s="73"/>
      <c r="E576" s="73"/>
      <c r="F576" s="74" t="s">
        <v>3</v>
      </c>
      <c r="G576" s="72">
        <v>0.2</v>
      </c>
      <c r="H576" s="603"/>
      <c r="I576" s="32"/>
    </row>
    <row r="577" spans="1:9" x14ac:dyDescent="0.25">
      <c r="A577" s="163"/>
      <c r="B577" s="73"/>
      <c r="C577" s="73" t="s">
        <v>13</v>
      </c>
      <c r="D577" s="73"/>
      <c r="E577" s="73"/>
      <c r="F577" s="74" t="s">
        <v>3</v>
      </c>
      <c r="G577" s="72">
        <v>0.7</v>
      </c>
      <c r="H577" s="603"/>
      <c r="I577" s="32"/>
    </row>
    <row r="578" spans="1:9" x14ac:dyDescent="0.25">
      <c r="A578" s="163"/>
      <c r="B578" s="73"/>
      <c r="C578" s="73"/>
      <c r="D578" s="75" t="s">
        <v>6172</v>
      </c>
      <c r="E578" s="73"/>
      <c r="F578" s="74"/>
      <c r="G578" s="72"/>
    </row>
    <row r="579" spans="1:9" x14ac:dyDescent="0.25">
      <c r="A579" s="163"/>
      <c r="B579" s="73"/>
      <c r="C579" s="73"/>
      <c r="D579" s="73" t="s">
        <v>2755</v>
      </c>
      <c r="E579" s="580"/>
      <c r="F579" s="74" t="s">
        <v>3</v>
      </c>
      <c r="G579" s="72">
        <v>0.43</v>
      </c>
    </row>
    <row r="580" spans="1:9" ht="17.25" x14ac:dyDescent="0.25">
      <c r="A580" s="163"/>
      <c r="B580" s="73"/>
      <c r="C580" s="73"/>
      <c r="D580" s="73" t="s">
        <v>1055</v>
      </c>
      <c r="E580" s="580"/>
      <c r="F580" s="74" t="s">
        <v>596</v>
      </c>
      <c r="G580" s="72">
        <f>1.09*G579+0.001</f>
        <v>0.46970000000000001</v>
      </c>
    </row>
    <row r="581" spans="1:9" x14ac:dyDescent="0.25">
      <c r="A581" s="163"/>
      <c r="B581" s="73"/>
      <c r="C581" s="73"/>
      <c r="D581" s="73"/>
      <c r="E581" s="75" t="s">
        <v>6171</v>
      </c>
      <c r="F581" s="74"/>
      <c r="G581" s="72"/>
    </row>
    <row r="582" spans="1:9" x14ac:dyDescent="0.25">
      <c r="A582" s="163"/>
      <c r="B582" s="73"/>
      <c r="C582" s="73"/>
      <c r="D582" s="73"/>
      <c r="E582" s="77" t="s">
        <v>6154</v>
      </c>
      <c r="F582" s="74" t="s">
        <v>3</v>
      </c>
      <c r="G582" s="72">
        <f>(0.13*2+0.432*2+0.545)*1.32*1.8*8*1.119</f>
        <v>35.499549888000004</v>
      </c>
    </row>
    <row r="583" spans="1:9" x14ac:dyDescent="0.25">
      <c r="A583" s="163"/>
      <c r="B583" s="73"/>
      <c r="C583" s="73"/>
      <c r="D583" s="73"/>
      <c r="E583" s="75" t="s">
        <v>6170</v>
      </c>
      <c r="F583" s="74"/>
      <c r="G583" s="72"/>
    </row>
    <row r="584" spans="1:9" x14ac:dyDescent="0.25">
      <c r="A584" s="163"/>
      <c r="B584" s="73"/>
      <c r="C584" s="73"/>
      <c r="D584" s="73"/>
      <c r="E584" s="77" t="s">
        <v>6154</v>
      </c>
      <c r="F584" s="74" t="s">
        <v>3</v>
      </c>
      <c r="G584" s="72">
        <f>0.565*0.365*1.5*8*1.132-0.001</f>
        <v>2.8003603999999993</v>
      </c>
    </row>
    <row r="585" spans="1:9" x14ac:dyDescent="0.25">
      <c r="A585" s="163"/>
      <c r="B585" s="73"/>
      <c r="C585" s="73"/>
      <c r="D585" s="73"/>
      <c r="E585" s="75" t="s">
        <v>6169</v>
      </c>
      <c r="F585" s="74"/>
      <c r="G585" s="72"/>
    </row>
    <row r="586" spans="1:9" x14ac:dyDescent="0.25">
      <c r="A586" s="163"/>
      <c r="B586" s="73"/>
      <c r="C586" s="73"/>
      <c r="D586" s="73"/>
      <c r="E586" s="77" t="s">
        <v>6154</v>
      </c>
      <c r="F586" s="74" t="s">
        <v>3</v>
      </c>
      <c r="G586" s="72">
        <f>0.565*0.445*1.5*8*1.127</f>
        <v>3.4002716999999993</v>
      </c>
    </row>
    <row r="587" spans="1:9" x14ac:dyDescent="0.25">
      <c r="A587" s="163"/>
      <c r="B587" s="73"/>
      <c r="C587" s="73"/>
      <c r="D587" s="73"/>
      <c r="E587" s="75" t="s">
        <v>6168</v>
      </c>
      <c r="F587" s="74"/>
      <c r="G587" s="72"/>
    </row>
    <row r="588" spans="1:9" x14ac:dyDescent="0.25">
      <c r="A588" s="163"/>
      <c r="B588" s="73"/>
      <c r="C588" s="73"/>
      <c r="D588" s="73"/>
      <c r="E588" s="77" t="s">
        <v>6154</v>
      </c>
      <c r="F588" s="74" t="s">
        <v>3</v>
      </c>
      <c r="G588" s="72">
        <f>(1.13*0.07*2+0.385*0.11*2)*1.5*8*1.115</f>
        <v>3.2500019999999998</v>
      </c>
    </row>
    <row r="589" spans="1:9" x14ac:dyDescent="0.25">
      <c r="A589" s="163"/>
      <c r="B589" s="73"/>
      <c r="C589" s="73"/>
      <c r="D589" s="73"/>
      <c r="E589" s="73" t="s">
        <v>2755</v>
      </c>
      <c r="F589" s="74" t="s">
        <v>3</v>
      </c>
      <c r="G589" s="72">
        <f>0.2*0.08*1.12</f>
        <v>1.7920000000000002E-2</v>
      </c>
    </row>
    <row r="590" spans="1:9" ht="17.25" x14ac:dyDescent="0.25">
      <c r="A590" s="163"/>
      <c r="B590" s="73"/>
      <c r="C590" s="73"/>
      <c r="D590" s="73"/>
      <c r="E590" s="73" t="s">
        <v>1055</v>
      </c>
      <c r="F590" s="74" t="s">
        <v>596</v>
      </c>
      <c r="G590" s="72">
        <f>1.09*G589+0.001</f>
        <v>2.0532800000000004E-2</v>
      </c>
    </row>
    <row r="591" spans="1:9" x14ac:dyDescent="0.25">
      <c r="A591" s="163"/>
      <c r="B591" s="73"/>
      <c r="C591" s="73"/>
      <c r="D591" s="73"/>
      <c r="E591" s="75" t="s">
        <v>6167</v>
      </c>
      <c r="F591" s="74"/>
      <c r="G591" s="72"/>
    </row>
    <row r="592" spans="1:9" x14ac:dyDescent="0.25">
      <c r="A592" s="163"/>
      <c r="B592" s="73"/>
      <c r="C592" s="73"/>
      <c r="D592" s="73"/>
      <c r="E592" s="77" t="s">
        <v>6151</v>
      </c>
      <c r="F592" s="74" t="s">
        <v>3</v>
      </c>
      <c r="G592" s="80">
        <f>0.055*0.082*2.5*8*1.105</f>
        <v>9.9670999999999996E-2</v>
      </c>
    </row>
    <row r="593" spans="1:7" x14ac:dyDescent="0.25">
      <c r="A593" s="163"/>
      <c r="B593" s="73"/>
      <c r="C593" s="73"/>
      <c r="D593" s="73"/>
      <c r="E593" s="75" t="s">
        <v>6166</v>
      </c>
      <c r="F593" s="74"/>
      <c r="G593" s="72"/>
    </row>
    <row r="594" spans="1:7" x14ac:dyDescent="0.25">
      <c r="A594" s="163"/>
      <c r="B594" s="73"/>
      <c r="C594" s="73"/>
      <c r="D594" s="73"/>
      <c r="E594" s="77" t="s">
        <v>6154</v>
      </c>
      <c r="F594" s="74" t="s">
        <v>3</v>
      </c>
      <c r="G594" s="72">
        <f>0.58*0.29*1.5*8*1.11</f>
        <v>2.240424</v>
      </c>
    </row>
    <row r="595" spans="1:7" x14ac:dyDescent="0.25">
      <c r="A595" s="163"/>
      <c r="B595" s="73"/>
      <c r="C595" s="73"/>
      <c r="D595" s="73"/>
      <c r="E595" s="75" t="s">
        <v>6165</v>
      </c>
      <c r="F595" s="74"/>
      <c r="G595" s="72"/>
    </row>
    <row r="596" spans="1:7" x14ac:dyDescent="0.25">
      <c r="A596" s="163"/>
      <c r="B596" s="73"/>
      <c r="C596" s="73"/>
      <c r="D596" s="73"/>
      <c r="E596" s="77" t="s">
        <v>6154</v>
      </c>
      <c r="F596" s="74" t="s">
        <v>3</v>
      </c>
      <c r="G596" s="72">
        <f>0.855*0.29*1.5*8*1.11-0.003</f>
        <v>3.2996939999999997</v>
      </c>
    </row>
    <row r="597" spans="1:7" x14ac:dyDescent="0.25">
      <c r="A597" s="163"/>
      <c r="B597" s="73"/>
      <c r="C597" s="73"/>
      <c r="D597" s="73"/>
      <c r="E597" s="75" t="s">
        <v>6164</v>
      </c>
      <c r="F597" s="74"/>
      <c r="G597" s="72"/>
    </row>
    <row r="598" spans="1:7" x14ac:dyDescent="0.25">
      <c r="A598" s="163"/>
      <c r="B598" s="73"/>
      <c r="C598" s="73"/>
      <c r="D598" s="73"/>
      <c r="E598" s="77" t="s">
        <v>6154</v>
      </c>
      <c r="F598" s="74" t="s">
        <v>3</v>
      </c>
      <c r="G598" s="72">
        <f>0.391*0.17*1.5*8*1.128</f>
        <v>0.89973791999999997</v>
      </c>
    </row>
    <row r="599" spans="1:7" x14ac:dyDescent="0.25">
      <c r="A599" s="163"/>
      <c r="B599" s="73"/>
      <c r="C599" s="73"/>
      <c r="D599" s="75" t="s">
        <v>6163</v>
      </c>
      <c r="E599" s="73"/>
      <c r="F599" s="74"/>
      <c r="G599" s="72"/>
    </row>
    <row r="600" spans="1:7" x14ac:dyDescent="0.25">
      <c r="A600" s="163"/>
      <c r="B600" s="73"/>
      <c r="C600" s="73"/>
      <c r="D600" s="73" t="s">
        <v>2755</v>
      </c>
      <c r="E600" s="580"/>
      <c r="F600" s="74" t="s">
        <v>3</v>
      </c>
      <c r="G600" s="72">
        <v>0.05</v>
      </c>
    </row>
    <row r="601" spans="1:7" ht="17.25" x14ac:dyDescent="0.25">
      <c r="A601" s="163"/>
      <c r="B601" s="73"/>
      <c r="C601" s="73"/>
      <c r="D601" s="73" t="s">
        <v>1055</v>
      </c>
      <c r="E601" s="580"/>
      <c r="F601" s="74" t="s">
        <v>596</v>
      </c>
      <c r="G601" s="72">
        <f>1.09*G600+0.001</f>
        <v>5.5500000000000008E-2</v>
      </c>
    </row>
    <row r="602" spans="1:7" x14ac:dyDescent="0.25">
      <c r="A602" s="163"/>
      <c r="B602" s="73"/>
      <c r="C602" s="73"/>
      <c r="D602" s="100" t="s">
        <v>6162</v>
      </c>
      <c r="E602" s="73"/>
      <c r="F602" s="74" t="s">
        <v>3</v>
      </c>
      <c r="G602" s="72">
        <v>0.05</v>
      </c>
    </row>
    <row r="603" spans="1:7" x14ac:dyDescent="0.25">
      <c r="A603" s="163"/>
      <c r="B603" s="73"/>
      <c r="C603" s="73"/>
      <c r="D603" s="73"/>
      <c r="E603" s="75" t="s">
        <v>6161</v>
      </c>
      <c r="F603" s="74"/>
      <c r="G603" s="72"/>
    </row>
    <row r="604" spans="1:7" x14ac:dyDescent="0.25">
      <c r="A604" s="163"/>
      <c r="B604" s="73"/>
      <c r="C604" s="73"/>
      <c r="D604" s="73"/>
      <c r="E604" s="100" t="s">
        <v>6160</v>
      </c>
      <c r="F604" s="74" t="s">
        <v>1516</v>
      </c>
      <c r="G604" s="72">
        <v>8</v>
      </c>
    </row>
    <row r="605" spans="1:7" x14ac:dyDescent="0.25">
      <c r="A605" s="163"/>
      <c r="B605" s="73"/>
      <c r="C605" s="73"/>
      <c r="D605" s="73"/>
      <c r="E605" s="75" t="s">
        <v>6159</v>
      </c>
      <c r="F605" s="74"/>
      <c r="G605" s="72"/>
    </row>
    <row r="606" spans="1:7" x14ac:dyDescent="0.25">
      <c r="A606" s="163"/>
      <c r="B606" s="73"/>
      <c r="C606" s="73"/>
      <c r="D606" s="73"/>
      <c r="E606" s="73" t="s">
        <v>6158</v>
      </c>
      <c r="F606" s="74" t="s">
        <v>3</v>
      </c>
      <c r="G606" s="72">
        <f>1*0.05*2*8*1.125</f>
        <v>0.9</v>
      </c>
    </row>
    <row r="607" spans="1:7" x14ac:dyDescent="0.25">
      <c r="A607" s="163"/>
      <c r="B607" s="73"/>
      <c r="C607" s="73"/>
      <c r="D607" s="73"/>
      <c r="E607" s="75" t="s">
        <v>6157</v>
      </c>
      <c r="F607" s="74"/>
      <c r="G607" s="72"/>
    </row>
    <row r="608" spans="1:7" x14ac:dyDescent="0.25">
      <c r="A608" s="163"/>
      <c r="B608" s="73"/>
      <c r="C608" s="73"/>
      <c r="D608" s="73"/>
      <c r="E608" s="77" t="s">
        <v>6154</v>
      </c>
      <c r="F608" s="74" t="s">
        <v>3</v>
      </c>
      <c r="G608" s="72">
        <f>1.2*0.35*1.5*8*1.121</f>
        <v>5.6498400000000002</v>
      </c>
    </row>
    <row r="609" spans="1:7" x14ac:dyDescent="0.25">
      <c r="A609" s="163"/>
      <c r="B609" s="73"/>
      <c r="C609" s="73"/>
      <c r="D609" s="73"/>
      <c r="E609" s="75" t="s">
        <v>6156</v>
      </c>
      <c r="F609" s="74"/>
      <c r="G609" s="72"/>
    </row>
    <row r="610" spans="1:7" x14ac:dyDescent="0.25">
      <c r="A610" s="163"/>
      <c r="B610" s="73"/>
      <c r="C610" s="73"/>
      <c r="D610" s="73"/>
      <c r="E610" s="77" t="s">
        <v>6154</v>
      </c>
      <c r="F610" s="74" t="s">
        <v>3</v>
      </c>
      <c r="G610" s="72">
        <f>1.05*0.02*1.5*8*1.13</f>
        <v>0.28475999999999996</v>
      </c>
    </row>
    <row r="611" spans="1:7" x14ac:dyDescent="0.25">
      <c r="A611" s="163"/>
      <c r="B611" s="73"/>
      <c r="C611" s="73"/>
      <c r="D611" s="73"/>
      <c r="E611" s="75" t="s">
        <v>6155</v>
      </c>
      <c r="F611" s="74"/>
      <c r="G611" s="72"/>
    </row>
    <row r="612" spans="1:7" x14ac:dyDescent="0.25">
      <c r="A612" s="163"/>
      <c r="B612" s="73"/>
      <c r="C612" s="73"/>
      <c r="D612" s="73"/>
      <c r="E612" s="77" t="s">
        <v>6154</v>
      </c>
      <c r="F612" s="74" t="s">
        <v>3</v>
      </c>
      <c r="G612" s="72">
        <f>0.31*0.02*1.5*8*1.14</f>
        <v>8.4815999999999989E-2</v>
      </c>
    </row>
    <row r="613" spans="1:7" x14ac:dyDescent="0.25">
      <c r="A613" s="163"/>
      <c r="B613" s="73"/>
      <c r="C613" s="73"/>
      <c r="D613" s="73"/>
      <c r="E613" s="75" t="s">
        <v>6153</v>
      </c>
      <c r="F613" s="74"/>
      <c r="G613" s="72"/>
    </row>
    <row r="614" spans="1:7" x14ac:dyDescent="0.25">
      <c r="A614" s="163"/>
      <c r="B614" s="73"/>
      <c r="C614" s="73"/>
      <c r="D614" s="73"/>
      <c r="E614" s="77" t="s">
        <v>6151</v>
      </c>
      <c r="F614" s="74" t="s">
        <v>3</v>
      </c>
      <c r="G614" s="72">
        <f>0.305*0.022*2.5*8*1.12</f>
        <v>0.15030399999999999</v>
      </c>
    </row>
    <row r="615" spans="1:7" x14ac:dyDescent="0.25">
      <c r="A615" s="163"/>
      <c r="B615" s="73"/>
      <c r="C615" s="73"/>
      <c r="D615" s="73"/>
      <c r="E615" s="75" t="s">
        <v>6152</v>
      </c>
      <c r="F615" s="74"/>
      <c r="G615" s="72"/>
    </row>
    <row r="616" spans="1:7" ht="15.75" thickBot="1" x14ac:dyDescent="0.3">
      <c r="A616" s="67"/>
      <c r="B616" s="68"/>
      <c r="C616" s="68"/>
      <c r="D616" s="68"/>
      <c r="E616" s="170" t="s">
        <v>6151</v>
      </c>
      <c r="F616" s="82" t="s">
        <v>3</v>
      </c>
      <c r="G616" s="83">
        <f>0.115*0.022*2.5*8*1.12</f>
        <v>5.6672000000000014E-2</v>
      </c>
    </row>
    <row r="617" spans="1:7" ht="15.75" x14ac:dyDescent="0.25">
      <c r="A617" s="159"/>
      <c r="B617" s="93"/>
      <c r="C617" s="93"/>
      <c r="D617" s="93"/>
      <c r="E617" s="416" t="s">
        <v>6150</v>
      </c>
      <c r="F617" s="175" t="s">
        <v>6149</v>
      </c>
      <c r="G617" s="176"/>
    </row>
    <row r="618" spans="1:7" x14ac:dyDescent="0.25">
      <c r="A618" s="163"/>
      <c r="B618" s="73"/>
      <c r="C618" s="73"/>
      <c r="D618" s="73"/>
      <c r="E618" s="73"/>
      <c r="F618" s="74"/>
      <c r="G618" s="72"/>
    </row>
    <row r="619" spans="1:7" x14ac:dyDescent="0.25">
      <c r="A619" s="163"/>
      <c r="B619" s="73"/>
      <c r="C619" s="75" t="s">
        <v>6148</v>
      </c>
      <c r="D619" s="73"/>
      <c r="E619" s="73"/>
      <c r="F619" s="74"/>
      <c r="G619" s="72"/>
    </row>
    <row r="620" spans="1:7" x14ac:dyDescent="0.25">
      <c r="A620" s="163"/>
      <c r="B620" s="73"/>
      <c r="C620" s="100" t="s">
        <v>6143</v>
      </c>
      <c r="D620" s="73"/>
      <c r="E620" s="73"/>
      <c r="F620" s="74" t="s">
        <v>3</v>
      </c>
      <c r="G620" s="72">
        <f>0.012*3.14*0.08*1.2</f>
        <v>3.6172800000000005E-3</v>
      </c>
    </row>
    <row r="621" spans="1:7" ht="17.25" x14ac:dyDescent="0.25">
      <c r="A621" s="163"/>
      <c r="B621" s="73"/>
      <c r="C621" s="100" t="s">
        <v>168</v>
      </c>
      <c r="D621" s="73"/>
      <c r="E621" s="73"/>
      <c r="F621" s="74" t="s">
        <v>596</v>
      </c>
      <c r="G621" s="72">
        <f>1.1*G620</f>
        <v>3.9790080000000009E-3</v>
      </c>
    </row>
    <row r="622" spans="1:7" x14ac:dyDescent="0.25">
      <c r="A622" s="163"/>
      <c r="B622" s="73"/>
      <c r="C622" s="100" t="s">
        <v>114</v>
      </c>
      <c r="D622" s="73"/>
      <c r="E622" s="73"/>
      <c r="F622" s="74" t="s">
        <v>3</v>
      </c>
      <c r="G622" s="72">
        <f>G624*0.75</f>
        <v>2.9700000000000004E-2</v>
      </c>
    </row>
    <row r="623" spans="1:7" x14ac:dyDescent="0.25">
      <c r="A623" s="163"/>
      <c r="B623" s="73"/>
      <c r="C623" s="100" t="s">
        <v>164</v>
      </c>
      <c r="D623" s="73"/>
      <c r="E623" s="73"/>
      <c r="F623" s="74" t="s">
        <v>3</v>
      </c>
      <c r="G623" s="72">
        <f>0.3*G622</f>
        <v>8.9100000000000013E-3</v>
      </c>
    </row>
    <row r="624" spans="1:7" x14ac:dyDescent="0.25">
      <c r="A624" s="163"/>
      <c r="B624" s="73"/>
      <c r="C624" s="100" t="s">
        <v>15</v>
      </c>
      <c r="D624" s="73"/>
      <c r="E624" s="73"/>
      <c r="F624" s="74" t="s">
        <v>3</v>
      </c>
      <c r="G624" s="72">
        <f>1.5*0.011*2*1.2</f>
        <v>3.9600000000000003E-2</v>
      </c>
    </row>
    <row r="625" spans="1:8" x14ac:dyDescent="0.25">
      <c r="A625" s="163"/>
      <c r="B625" s="73"/>
      <c r="C625" s="100" t="s">
        <v>12</v>
      </c>
      <c r="D625" s="73"/>
      <c r="E625" s="73"/>
      <c r="F625" s="74" t="s">
        <v>3</v>
      </c>
      <c r="G625" s="72">
        <f>0.3*G624</f>
        <v>1.188E-2</v>
      </c>
    </row>
    <row r="626" spans="1:8" x14ac:dyDescent="0.25">
      <c r="A626" s="163"/>
      <c r="B626" s="73"/>
      <c r="C626" s="73"/>
      <c r="D626" s="75" t="s">
        <v>6147</v>
      </c>
      <c r="E626" s="73"/>
      <c r="F626" s="74"/>
      <c r="G626" s="72"/>
    </row>
    <row r="627" spans="1:8" x14ac:dyDescent="0.25">
      <c r="A627" s="163"/>
      <c r="B627" s="73"/>
      <c r="C627" s="73"/>
      <c r="D627" s="73" t="s">
        <v>6146</v>
      </c>
      <c r="E627" s="73"/>
      <c r="F627" s="74" t="s">
        <v>3</v>
      </c>
      <c r="G627" s="72">
        <v>0.44</v>
      </c>
      <c r="H627" t="s">
        <v>6145</v>
      </c>
    </row>
    <row r="628" spans="1:8" x14ac:dyDescent="0.25">
      <c r="A628" s="163"/>
      <c r="B628" s="73"/>
      <c r="C628" s="73"/>
      <c r="D628" s="73"/>
      <c r="E628" s="73"/>
      <c r="F628" s="74"/>
      <c r="G628" s="72"/>
    </row>
    <row r="629" spans="1:8" x14ac:dyDescent="0.25">
      <c r="A629" s="163"/>
      <c r="B629" s="73"/>
      <c r="C629" s="75" t="s">
        <v>6144</v>
      </c>
      <c r="D629" s="73"/>
      <c r="E629" s="73"/>
      <c r="F629" s="74"/>
      <c r="G629" s="72"/>
    </row>
    <row r="630" spans="1:8" x14ac:dyDescent="0.25">
      <c r="A630" s="163"/>
      <c r="B630" s="73"/>
      <c r="C630" s="100" t="s">
        <v>6143</v>
      </c>
      <c r="D630" s="73"/>
      <c r="E630" s="73"/>
      <c r="F630" s="74" t="s">
        <v>3</v>
      </c>
      <c r="G630" s="72">
        <f>0.012*3.14*2*0.08*1.2</f>
        <v>7.234560000000001E-3</v>
      </c>
    </row>
    <row r="631" spans="1:8" ht="17.25" x14ac:dyDescent="0.25">
      <c r="A631" s="163"/>
      <c r="B631" s="73"/>
      <c r="C631" s="100" t="s">
        <v>168</v>
      </c>
      <c r="D631" s="73"/>
      <c r="E631" s="73"/>
      <c r="F631" s="74" t="s">
        <v>596</v>
      </c>
      <c r="G631" s="72">
        <f>1.1*G630</f>
        <v>7.9580160000000018E-3</v>
      </c>
    </row>
    <row r="632" spans="1:8" x14ac:dyDescent="0.25">
      <c r="A632" s="163"/>
      <c r="B632" s="73"/>
      <c r="C632" s="100" t="s">
        <v>114</v>
      </c>
      <c r="D632" s="73"/>
      <c r="E632" s="73"/>
      <c r="F632" s="74" t="s">
        <v>3</v>
      </c>
      <c r="G632" s="72">
        <f>G634</f>
        <v>2.8600000000000001E-3</v>
      </c>
    </row>
    <row r="633" spans="1:8" x14ac:dyDescent="0.25">
      <c r="A633" s="163"/>
      <c r="B633" s="73"/>
      <c r="C633" s="100" t="s">
        <v>164</v>
      </c>
      <c r="D633" s="73"/>
      <c r="E633" s="73"/>
      <c r="F633" s="74" t="s">
        <v>3</v>
      </c>
      <c r="G633" s="72">
        <f>0.3*G632</f>
        <v>8.5800000000000004E-4</v>
      </c>
    </row>
    <row r="634" spans="1:8" x14ac:dyDescent="0.25">
      <c r="A634" s="163"/>
      <c r="B634" s="73"/>
      <c r="C634" s="100" t="s">
        <v>15</v>
      </c>
      <c r="D634" s="73"/>
      <c r="E634" s="73"/>
      <c r="F634" s="74" t="s">
        <v>3</v>
      </c>
      <c r="G634" s="72">
        <f>0.1*0.011*2*1.3</f>
        <v>2.8600000000000001E-3</v>
      </c>
    </row>
    <row r="635" spans="1:8" x14ac:dyDescent="0.25">
      <c r="A635" s="163"/>
      <c r="B635" s="73"/>
      <c r="C635" s="100" t="s">
        <v>12</v>
      </c>
      <c r="D635" s="73"/>
      <c r="E635" s="73"/>
      <c r="F635" s="74" t="s">
        <v>3</v>
      </c>
      <c r="G635" s="72">
        <f>0.3*G634</f>
        <v>8.5800000000000004E-4</v>
      </c>
    </row>
    <row r="636" spans="1:8" x14ac:dyDescent="0.25">
      <c r="A636" s="163"/>
      <c r="B636" s="73"/>
      <c r="C636" s="73"/>
      <c r="D636" s="75" t="s">
        <v>6142</v>
      </c>
      <c r="E636" s="73"/>
      <c r="F636" s="74"/>
      <c r="G636" s="72"/>
    </row>
    <row r="637" spans="1:8" x14ac:dyDescent="0.25">
      <c r="A637" s="163"/>
      <c r="B637" s="73"/>
      <c r="C637" s="73"/>
      <c r="D637" s="73" t="s">
        <v>6141</v>
      </c>
      <c r="E637" s="73"/>
      <c r="F637" s="74" t="s">
        <v>3</v>
      </c>
      <c r="G637" s="72">
        <v>0.04</v>
      </c>
      <c r="H637" t="s">
        <v>1459</v>
      </c>
    </row>
    <row r="638" spans="1:8" ht="15.75" thickBot="1" x14ac:dyDescent="0.3">
      <c r="A638" s="67"/>
      <c r="B638" s="68"/>
      <c r="C638" s="68"/>
      <c r="D638" s="68"/>
      <c r="E638" s="68"/>
      <c r="F638" s="82"/>
      <c r="G638" s="83"/>
    </row>
    <row r="639" spans="1:8" ht="15.75" x14ac:dyDescent="0.25">
      <c r="E639" s="416" t="s">
        <v>6140</v>
      </c>
    </row>
    <row r="641" spans="3:7" x14ac:dyDescent="0.25">
      <c r="C641" s="3" t="s">
        <v>6139</v>
      </c>
    </row>
    <row r="643" spans="3:7" x14ac:dyDescent="0.25">
      <c r="C643" s="75" t="s">
        <v>6138</v>
      </c>
      <c r="D643" s="73"/>
      <c r="E643" s="73"/>
      <c r="F643" s="74"/>
    </row>
    <row r="644" spans="3:7" x14ac:dyDescent="0.25">
      <c r="C644" s="73" t="s">
        <v>6137</v>
      </c>
      <c r="D644" s="73"/>
      <c r="E644" s="73"/>
      <c r="F644" s="74" t="s">
        <v>3</v>
      </c>
      <c r="G644" s="10">
        <f>1*2*1.8*8/50-0.001</f>
        <v>0.57500000000000007</v>
      </c>
    </row>
  </sheetData>
  <pageMargins left="0.9055118110236221" right="0.70866141732283472" top="0.39370078740157483" bottom="0.31496062992125984" header="0.31496062992125984" footer="0.31496062992125984"/>
  <pageSetup paperSize="9" orientation="portrait" verticalDpi="18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38"/>
  <sheetViews>
    <sheetView topLeftCell="A1519" zoomScaleNormal="100" zoomScaleSheetLayoutView="100" workbookViewId="0">
      <selection activeCell="B1533" sqref="B1533"/>
    </sheetView>
  </sheetViews>
  <sheetFormatPr defaultRowHeight="15" x14ac:dyDescent="0.25"/>
  <cols>
    <col min="1" max="1" width="4.7109375" style="152" customWidth="1"/>
    <col min="2" max="2" width="2.28515625" style="73" customWidth="1"/>
    <col min="3" max="3" width="2" style="73" customWidth="1"/>
    <col min="4" max="4" width="2.28515625" style="73" customWidth="1"/>
    <col min="5" max="5" width="9.140625" style="73"/>
    <col min="6" max="6" width="33.7109375" style="73" customWidth="1"/>
    <col min="7" max="7" width="5.5703125" style="74" customWidth="1"/>
    <col min="8" max="9" width="9.140625" style="153"/>
    <col min="10" max="10" width="9.85546875" style="73" customWidth="1"/>
    <col min="11" max="11" width="9.140625" style="73"/>
    <col min="12" max="12" width="9.5703125" style="73" bestFit="1" customWidth="1"/>
    <col min="13" max="16384" width="9.140625" style="73"/>
  </cols>
  <sheetData>
    <row r="1" spans="1:12" customFormat="1" ht="18.75" x14ac:dyDescent="0.3">
      <c r="A1" s="128"/>
      <c r="F1" s="46" t="s">
        <v>9297</v>
      </c>
      <c r="G1" s="537"/>
      <c r="H1" s="10"/>
      <c r="I1" s="10"/>
      <c r="K1" s="688"/>
    </row>
    <row r="2" spans="1:12" customFormat="1" x14ac:dyDescent="0.25">
      <c r="A2" s="128"/>
      <c r="G2" s="537"/>
      <c r="H2" s="10"/>
      <c r="I2" s="10"/>
      <c r="K2" s="658"/>
    </row>
    <row r="3" spans="1:12" customFormat="1" x14ac:dyDescent="0.25">
      <c r="A3" s="128"/>
      <c r="B3" s="3" t="s">
        <v>9296</v>
      </c>
      <c r="G3" s="537"/>
      <c r="H3" s="10"/>
      <c r="I3" s="10"/>
      <c r="K3" s="658"/>
    </row>
    <row r="4" spans="1:12" customFormat="1" x14ac:dyDescent="0.25">
      <c r="A4" s="128"/>
      <c r="C4" t="s">
        <v>9295</v>
      </c>
      <c r="G4" s="537" t="s">
        <v>3</v>
      </c>
      <c r="H4" s="10">
        <f>0.105*0.105*0.25*8*1.05</f>
        <v>2.3152499999999996E-2</v>
      </c>
      <c r="I4" s="10"/>
      <c r="K4" s="658"/>
    </row>
    <row r="5" spans="1:12" customFormat="1" x14ac:dyDescent="0.25">
      <c r="A5" s="128"/>
      <c r="G5" s="537"/>
      <c r="H5" s="10"/>
      <c r="I5" s="10"/>
      <c r="K5" s="658"/>
    </row>
    <row r="6" spans="1:12" customFormat="1" x14ac:dyDescent="0.25">
      <c r="A6" s="128"/>
      <c r="B6" s="3" t="s">
        <v>9294</v>
      </c>
      <c r="G6" s="537"/>
      <c r="H6" s="10"/>
      <c r="I6" s="10"/>
      <c r="K6" s="658"/>
    </row>
    <row r="7" spans="1:12" customFormat="1" x14ac:dyDescent="0.25">
      <c r="A7" s="128"/>
      <c r="C7" t="s">
        <v>361</v>
      </c>
      <c r="G7" s="537" t="s">
        <v>3</v>
      </c>
      <c r="H7" s="10">
        <f>0.105*0.105*0.5*8*1.03</f>
        <v>4.5422999999999991E-2</v>
      </c>
      <c r="I7" s="10"/>
      <c r="K7" s="658"/>
    </row>
    <row r="8" spans="1:12" customFormat="1" x14ac:dyDescent="0.25">
      <c r="A8" s="128"/>
      <c r="G8" s="537"/>
      <c r="H8" s="10"/>
      <c r="I8" s="10"/>
      <c r="K8" s="658"/>
    </row>
    <row r="9" spans="1:12" customFormat="1" x14ac:dyDescent="0.25">
      <c r="A9" s="128"/>
      <c r="B9" s="3" t="s">
        <v>9293</v>
      </c>
      <c r="G9" s="537"/>
      <c r="H9" s="10"/>
      <c r="I9" s="10"/>
      <c r="K9" s="658"/>
    </row>
    <row r="10" spans="1:12" customFormat="1" x14ac:dyDescent="0.25">
      <c r="A10" s="128"/>
      <c r="C10" t="s">
        <v>150</v>
      </c>
      <c r="G10" s="537" t="s">
        <v>3</v>
      </c>
      <c r="H10" s="10">
        <f>0.095*0.095*2*8*1.11</f>
        <v>0.16028400000000001</v>
      </c>
      <c r="I10" s="10"/>
      <c r="K10" s="658"/>
    </row>
    <row r="11" spans="1:12" customFormat="1" x14ac:dyDescent="0.25">
      <c r="A11" s="128"/>
      <c r="G11" s="537"/>
      <c r="H11" s="10"/>
      <c r="I11" s="10"/>
      <c r="K11" s="658"/>
    </row>
    <row r="12" spans="1:12" customFormat="1" x14ac:dyDescent="0.25">
      <c r="A12" s="128"/>
      <c r="B12" s="3" t="s">
        <v>9292</v>
      </c>
      <c r="G12" s="537"/>
      <c r="H12" s="10"/>
      <c r="I12" s="10"/>
      <c r="K12" s="658"/>
    </row>
    <row r="13" spans="1:12" customFormat="1" x14ac:dyDescent="0.25">
      <c r="A13" s="54"/>
      <c r="B13" t="s">
        <v>9282</v>
      </c>
      <c r="G13" s="537" t="s">
        <v>3</v>
      </c>
      <c r="H13" s="10">
        <v>3.0000000000000001E-3</v>
      </c>
      <c r="I13" s="10"/>
      <c r="K13" s="658"/>
    </row>
    <row r="14" spans="1:12" customFormat="1" x14ac:dyDescent="0.25">
      <c r="A14" s="128"/>
      <c r="G14" s="537"/>
      <c r="H14" s="10"/>
      <c r="I14" s="10"/>
      <c r="K14" s="658"/>
    </row>
    <row r="15" spans="1:12" customFormat="1" x14ac:dyDescent="0.25">
      <c r="A15" s="128"/>
      <c r="B15" s="3" t="s">
        <v>9291</v>
      </c>
      <c r="G15" s="537"/>
      <c r="H15" s="10"/>
      <c r="I15" s="10"/>
      <c r="K15" s="658"/>
      <c r="L15" s="2">
        <f>0.085*0.014*0.25*8*1.1</f>
        <v>2.6180000000000005E-3</v>
      </c>
    </row>
    <row r="16" spans="1:12" customFormat="1" x14ac:dyDescent="0.25">
      <c r="A16" s="128"/>
      <c r="B16" t="s">
        <v>9282</v>
      </c>
      <c r="G16" s="537" t="s">
        <v>3</v>
      </c>
      <c r="H16" s="10">
        <v>3.0000000000000001E-3</v>
      </c>
      <c r="I16" s="10"/>
      <c r="K16" s="658"/>
    </row>
    <row r="17" spans="1:11" customFormat="1" x14ac:dyDescent="0.25">
      <c r="A17" s="128"/>
      <c r="G17" s="537"/>
      <c r="H17" s="10"/>
      <c r="I17" s="10"/>
      <c r="K17" s="658"/>
    </row>
    <row r="18" spans="1:11" customFormat="1" x14ac:dyDescent="0.25">
      <c r="A18" s="128"/>
      <c r="B18" s="3" t="s">
        <v>9290</v>
      </c>
      <c r="G18" s="537"/>
      <c r="H18" s="10"/>
      <c r="I18" s="10"/>
      <c r="K18" s="658"/>
    </row>
    <row r="19" spans="1:11" customFormat="1" x14ac:dyDescent="0.25">
      <c r="A19" s="128"/>
      <c r="B19" t="s">
        <v>9282</v>
      </c>
      <c r="G19" s="537" t="s">
        <v>3</v>
      </c>
      <c r="H19" s="10">
        <v>5.0000000000000001E-3</v>
      </c>
      <c r="I19" s="10"/>
      <c r="K19" s="658"/>
    </row>
    <row r="20" spans="1:11" customFormat="1" x14ac:dyDescent="0.25">
      <c r="A20" s="128"/>
      <c r="G20" s="537"/>
      <c r="H20" s="10"/>
      <c r="I20" s="10"/>
      <c r="K20" s="658"/>
    </row>
    <row r="21" spans="1:11" customFormat="1" x14ac:dyDescent="0.25">
      <c r="A21" s="128"/>
      <c r="B21" s="3" t="s">
        <v>9289</v>
      </c>
      <c r="G21" s="537"/>
      <c r="H21" s="10"/>
      <c r="I21" s="10"/>
      <c r="K21" s="658"/>
    </row>
    <row r="22" spans="1:11" customFormat="1" x14ac:dyDescent="0.25">
      <c r="A22" s="128"/>
      <c r="B22" t="s">
        <v>9282</v>
      </c>
      <c r="G22" s="537" t="s">
        <v>3</v>
      </c>
      <c r="H22" s="10">
        <v>6.0000000000000001E-3</v>
      </c>
      <c r="I22" s="10"/>
      <c r="K22" s="658"/>
    </row>
    <row r="23" spans="1:11" customFormat="1" x14ac:dyDescent="0.25">
      <c r="A23" s="128"/>
      <c r="C23" s="4" t="s">
        <v>9288</v>
      </c>
      <c r="G23" s="537"/>
      <c r="H23" s="10"/>
      <c r="I23" s="10"/>
      <c r="K23" s="658"/>
    </row>
    <row r="24" spans="1:11" customFormat="1" x14ac:dyDescent="0.25">
      <c r="A24" s="128"/>
      <c r="D24" s="4" t="s">
        <v>9287</v>
      </c>
      <c r="G24" s="537"/>
      <c r="H24" s="10"/>
      <c r="I24" s="10"/>
      <c r="K24" s="658"/>
    </row>
    <row r="25" spans="1:11" customFormat="1" x14ac:dyDescent="0.25">
      <c r="A25" s="128"/>
      <c r="D25" t="s">
        <v>9286</v>
      </c>
      <c r="G25" s="537" t="s">
        <v>3</v>
      </c>
      <c r="H25" s="10">
        <f>0.07</f>
        <v>7.0000000000000007E-2</v>
      </c>
      <c r="I25" s="10"/>
      <c r="J25" t="s">
        <v>5045</v>
      </c>
      <c r="K25" s="658"/>
    </row>
    <row r="26" spans="1:11" customFormat="1" x14ac:dyDescent="0.25">
      <c r="A26" s="128"/>
      <c r="D26" s="4" t="s">
        <v>9285</v>
      </c>
      <c r="G26" s="537"/>
      <c r="H26" s="10"/>
      <c r="I26" s="10"/>
      <c r="K26" s="658"/>
    </row>
    <row r="27" spans="1:11" customFormat="1" x14ac:dyDescent="0.25">
      <c r="A27" s="128"/>
      <c r="D27" t="s">
        <v>9284</v>
      </c>
      <c r="G27" s="537" t="s">
        <v>3</v>
      </c>
      <c r="H27" s="10">
        <f>0.025*0.012*4*8*1.1</f>
        <v>1.0560000000000002E-2</v>
      </c>
      <c r="I27" s="10"/>
      <c r="K27" s="658"/>
    </row>
    <row r="28" spans="1:11" customFormat="1" x14ac:dyDescent="0.25">
      <c r="A28" s="128"/>
      <c r="G28" s="537"/>
      <c r="H28" s="10"/>
      <c r="I28" s="10"/>
      <c r="K28" s="658"/>
    </row>
    <row r="29" spans="1:11" customFormat="1" x14ac:dyDescent="0.25">
      <c r="A29" s="128"/>
      <c r="B29" s="3" t="s">
        <v>9283</v>
      </c>
      <c r="G29" s="537"/>
      <c r="H29" s="10"/>
      <c r="I29" s="10"/>
      <c r="K29" s="658"/>
    </row>
    <row r="30" spans="1:11" customFormat="1" x14ac:dyDescent="0.25">
      <c r="A30" s="128"/>
      <c r="B30" t="s">
        <v>9282</v>
      </c>
      <c r="G30" s="537" t="s">
        <v>3</v>
      </c>
      <c r="H30" s="10">
        <v>3.0000000000000001E-3</v>
      </c>
      <c r="I30" s="10"/>
      <c r="K30" s="658"/>
    </row>
    <row r="31" spans="1:11" customFormat="1" x14ac:dyDescent="0.25">
      <c r="A31" s="128"/>
      <c r="G31" s="537"/>
      <c r="H31" s="10"/>
      <c r="I31" s="10"/>
      <c r="K31" s="658"/>
    </row>
    <row r="32" spans="1:11" customFormat="1" x14ac:dyDescent="0.25">
      <c r="A32" s="128"/>
      <c r="B32" s="3" t="s">
        <v>9281</v>
      </c>
      <c r="G32" s="537"/>
      <c r="H32" s="10"/>
      <c r="I32" s="10"/>
      <c r="K32" s="658"/>
    </row>
    <row r="33" spans="1:11" customFormat="1" x14ac:dyDescent="0.25">
      <c r="A33" s="128"/>
      <c r="B33" s="8" t="s">
        <v>124</v>
      </c>
      <c r="G33" s="537" t="s">
        <v>3</v>
      </c>
      <c r="H33" s="10">
        <f>0.014*3.14*5*0.02*1.3</f>
        <v>5.7148000000000008E-3</v>
      </c>
      <c r="I33" s="10"/>
      <c r="K33" s="658"/>
    </row>
    <row r="34" spans="1:11" customFormat="1" ht="17.25" x14ac:dyDescent="0.25">
      <c r="A34" s="128"/>
      <c r="B34" s="77" t="s">
        <v>168</v>
      </c>
      <c r="G34" s="537" t="s">
        <v>596</v>
      </c>
      <c r="H34" s="10">
        <f>H33*1.09</f>
        <v>6.2291320000000009E-3</v>
      </c>
      <c r="I34" s="10"/>
      <c r="K34" s="658"/>
    </row>
    <row r="35" spans="1:11" customFormat="1" x14ac:dyDescent="0.25">
      <c r="A35" s="128"/>
      <c r="B35" s="25" t="s">
        <v>114</v>
      </c>
      <c r="G35" s="537" t="s">
        <v>3</v>
      </c>
      <c r="H35" s="10">
        <f>1.3*0.011*1.05</f>
        <v>1.5015000000000001E-2</v>
      </c>
      <c r="I35" s="10"/>
      <c r="K35" s="658"/>
    </row>
    <row r="36" spans="1:11" customFormat="1" x14ac:dyDescent="0.25">
      <c r="A36" s="128"/>
      <c r="B36" s="25" t="s">
        <v>164</v>
      </c>
      <c r="G36" s="537" t="s">
        <v>3</v>
      </c>
      <c r="H36" s="10">
        <f>0.3*H35</f>
        <v>4.5044999999999998E-3</v>
      </c>
      <c r="I36" s="10"/>
      <c r="K36" s="658"/>
    </row>
    <row r="37" spans="1:11" customFormat="1" x14ac:dyDescent="0.25">
      <c r="A37" s="128"/>
      <c r="B37" s="25" t="s">
        <v>8</v>
      </c>
      <c r="G37" s="537" t="s">
        <v>3</v>
      </c>
      <c r="H37" s="10">
        <f>1.3*0.011*1.05</f>
        <v>1.5015000000000001E-2</v>
      </c>
      <c r="I37" s="10"/>
      <c r="K37" s="658"/>
    </row>
    <row r="38" spans="1:11" customFormat="1" x14ac:dyDescent="0.25">
      <c r="A38" s="128"/>
      <c r="B38" s="25" t="s">
        <v>12</v>
      </c>
      <c r="G38" s="537" t="s">
        <v>3</v>
      </c>
      <c r="H38" s="10">
        <f>0.3*H37</f>
        <v>4.5044999999999998E-3</v>
      </c>
      <c r="I38" s="10"/>
      <c r="K38" s="658"/>
    </row>
    <row r="39" spans="1:11" customFormat="1" x14ac:dyDescent="0.25">
      <c r="A39" s="128"/>
      <c r="B39" s="25" t="s">
        <v>72</v>
      </c>
      <c r="G39" s="537" t="s">
        <v>3</v>
      </c>
      <c r="H39" s="10">
        <f>1.3*0.011*2*1.05</f>
        <v>3.0030000000000001E-2</v>
      </c>
      <c r="I39" s="10"/>
      <c r="K39" s="658"/>
    </row>
    <row r="40" spans="1:11" customFormat="1" x14ac:dyDescent="0.25">
      <c r="A40" s="128"/>
      <c r="B40" s="25" t="s">
        <v>11</v>
      </c>
      <c r="G40" s="537" t="s">
        <v>3</v>
      </c>
      <c r="H40" s="10">
        <f>0.3*H39</f>
        <v>9.0089999999999996E-3</v>
      </c>
      <c r="I40" s="10"/>
      <c r="K40" s="658"/>
    </row>
    <row r="41" spans="1:11" customFormat="1" x14ac:dyDescent="0.25">
      <c r="A41" s="128"/>
      <c r="C41" s="4" t="s">
        <v>7713</v>
      </c>
      <c r="G41" s="537"/>
      <c r="H41" s="10"/>
      <c r="I41" s="10"/>
      <c r="K41" s="658"/>
    </row>
    <row r="42" spans="1:11" customFormat="1" x14ac:dyDescent="0.25">
      <c r="A42" s="128"/>
      <c r="C42" s="25" t="s">
        <v>1484</v>
      </c>
      <c r="G42" s="537" t="s">
        <v>3</v>
      </c>
      <c r="H42" s="10">
        <f>0.013*1.15</f>
        <v>1.4949999999999998E-2</v>
      </c>
      <c r="I42" s="10"/>
      <c r="K42" s="658"/>
    </row>
    <row r="43" spans="1:11" customFormat="1" x14ac:dyDescent="0.25">
      <c r="A43" s="128"/>
      <c r="C43" s="4" t="s">
        <v>9280</v>
      </c>
      <c r="G43" s="537"/>
      <c r="H43" s="10"/>
      <c r="I43" s="10"/>
      <c r="K43" s="658"/>
    </row>
    <row r="44" spans="1:11" customFormat="1" x14ac:dyDescent="0.25">
      <c r="A44" s="128"/>
      <c r="C44" t="s">
        <v>1481</v>
      </c>
      <c r="G44" s="537" t="s">
        <v>3</v>
      </c>
      <c r="H44" s="10">
        <f>0.114*1.15</f>
        <v>0.13109999999999999</v>
      </c>
      <c r="I44" s="10"/>
      <c r="K44" s="658"/>
    </row>
    <row r="45" spans="1:11" customFormat="1" x14ac:dyDescent="0.25">
      <c r="A45" s="128"/>
      <c r="C45" s="4" t="s">
        <v>9279</v>
      </c>
      <c r="G45" s="537"/>
      <c r="H45" s="10"/>
      <c r="I45" s="10"/>
      <c r="K45" s="658"/>
    </row>
    <row r="46" spans="1:11" customFormat="1" x14ac:dyDescent="0.25">
      <c r="A46" s="128"/>
      <c r="C46" t="s">
        <v>1481</v>
      </c>
      <c r="G46" s="537" t="s">
        <v>3</v>
      </c>
      <c r="H46" s="10">
        <f>0.265*1.15</f>
        <v>0.30474999999999997</v>
      </c>
      <c r="I46" s="10"/>
      <c r="K46" s="658"/>
    </row>
    <row r="47" spans="1:11" customFormat="1" x14ac:dyDescent="0.25">
      <c r="A47" s="128"/>
      <c r="C47" s="4" t="s">
        <v>9278</v>
      </c>
      <c r="G47" s="537"/>
      <c r="H47" s="10"/>
      <c r="I47" s="10"/>
      <c r="K47" s="658"/>
    </row>
    <row r="48" spans="1:11" customFormat="1" x14ac:dyDescent="0.25">
      <c r="A48" s="128"/>
      <c r="C48" t="s">
        <v>2405</v>
      </c>
      <c r="G48" s="537" t="s">
        <v>3</v>
      </c>
      <c r="H48" s="10">
        <f>0.0428*1.15</f>
        <v>4.9219999999999993E-2</v>
      </c>
      <c r="I48" s="10"/>
      <c r="K48" s="658"/>
    </row>
    <row r="49" spans="1:11" customFormat="1" x14ac:dyDescent="0.25">
      <c r="A49" s="128"/>
      <c r="G49" s="537"/>
      <c r="H49" s="10"/>
      <c r="I49" s="10"/>
      <c r="K49" s="658"/>
    </row>
    <row r="50" spans="1:11" customFormat="1" x14ac:dyDescent="0.25">
      <c r="A50" s="128"/>
      <c r="B50" s="3" t="s">
        <v>9277</v>
      </c>
      <c r="G50" s="537"/>
      <c r="H50" s="10"/>
      <c r="I50" s="10"/>
      <c r="K50" s="658"/>
    </row>
    <row r="51" spans="1:11" customFormat="1" x14ac:dyDescent="0.25">
      <c r="A51" s="128"/>
      <c r="B51" s="8" t="s">
        <v>124</v>
      </c>
      <c r="G51" s="537" t="s">
        <v>3</v>
      </c>
      <c r="H51" s="10">
        <f>0.014*3.14*2*0.02*1.3</f>
        <v>2.2859200000000003E-3</v>
      </c>
      <c r="I51" s="10"/>
      <c r="K51" s="658"/>
    </row>
    <row r="52" spans="1:11" customFormat="1" ht="17.25" x14ac:dyDescent="0.25">
      <c r="A52" s="128"/>
      <c r="B52" s="77" t="s">
        <v>168</v>
      </c>
      <c r="G52" s="537" t="s">
        <v>596</v>
      </c>
      <c r="H52" s="10">
        <f>H51*1.09</f>
        <v>2.4916528000000007E-3</v>
      </c>
      <c r="I52" s="10"/>
      <c r="K52" s="658"/>
    </row>
    <row r="53" spans="1:11" customFormat="1" x14ac:dyDescent="0.25">
      <c r="A53" s="128"/>
      <c r="B53" s="25" t="s">
        <v>114</v>
      </c>
      <c r="G53" s="537" t="s">
        <v>3</v>
      </c>
      <c r="H53" s="10">
        <v>5.0000000000000001E-3</v>
      </c>
      <c r="I53" s="10"/>
      <c r="K53" s="658"/>
    </row>
    <row r="54" spans="1:11" customFormat="1" x14ac:dyDescent="0.25">
      <c r="A54" s="128"/>
      <c r="B54" s="25" t="s">
        <v>164</v>
      </c>
      <c r="G54" s="537" t="s">
        <v>3</v>
      </c>
      <c r="H54" s="10">
        <f>0.3*H53</f>
        <v>1.5E-3</v>
      </c>
      <c r="I54" s="10"/>
      <c r="K54" s="658"/>
    </row>
    <row r="55" spans="1:11" customFormat="1" x14ac:dyDescent="0.25">
      <c r="A55" s="128"/>
      <c r="B55" s="25" t="s">
        <v>8</v>
      </c>
      <c r="G55" s="537" t="s">
        <v>3</v>
      </c>
      <c r="H55" s="10">
        <v>5.0000000000000001E-3</v>
      </c>
      <c r="I55" s="10"/>
      <c r="K55" s="658"/>
    </row>
    <row r="56" spans="1:11" customFormat="1" x14ac:dyDescent="0.25">
      <c r="A56" s="128"/>
      <c r="B56" s="25" t="s">
        <v>12</v>
      </c>
      <c r="G56" s="537" t="s">
        <v>3</v>
      </c>
      <c r="H56" s="10">
        <f>0.3*H55</f>
        <v>1.5E-3</v>
      </c>
      <c r="I56" s="10"/>
      <c r="K56" s="658"/>
    </row>
    <row r="57" spans="1:11" customFormat="1" x14ac:dyDescent="0.25">
      <c r="A57" s="128"/>
      <c r="B57" s="25" t="s">
        <v>72</v>
      </c>
      <c r="G57" s="537" t="s">
        <v>3</v>
      </c>
      <c r="H57" s="10">
        <f>0.4*0.011*2*1.3</f>
        <v>1.1440000000000001E-2</v>
      </c>
      <c r="I57" s="10"/>
      <c r="K57" s="658"/>
    </row>
    <row r="58" spans="1:11" customFormat="1" x14ac:dyDescent="0.25">
      <c r="A58" s="128"/>
      <c r="B58" s="25" t="s">
        <v>11</v>
      </c>
      <c r="G58" s="537" t="s">
        <v>3</v>
      </c>
      <c r="H58" s="10">
        <f>0.3*H57</f>
        <v>3.4320000000000002E-3</v>
      </c>
      <c r="I58" s="10"/>
      <c r="K58" s="658"/>
    </row>
    <row r="59" spans="1:11" customFormat="1" x14ac:dyDescent="0.25">
      <c r="A59" s="128"/>
      <c r="C59" s="4" t="s">
        <v>9276</v>
      </c>
      <c r="G59" s="537"/>
      <c r="H59" s="10"/>
      <c r="I59" s="10"/>
      <c r="K59" s="658"/>
    </row>
    <row r="60" spans="1:11" customFormat="1" x14ac:dyDescent="0.25">
      <c r="A60" s="128"/>
      <c r="C60" s="25" t="s">
        <v>1484</v>
      </c>
      <c r="G60" s="537" t="s">
        <v>3</v>
      </c>
      <c r="H60" s="10">
        <v>0.13</v>
      </c>
      <c r="I60" s="10"/>
      <c r="J60" t="s">
        <v>9275</v>
      </c>
      <c r="K60" s="658"/>
    </row>
    <row r="61" spans="1:11" customFormat="1" x14ac:dyDescent="0.25">
      <c r="A61" s="128"/>
      <c r="C61" s="4" t="s">
        <v>9274</v>
      </c>
      <c r="G61" s="537"/>
      <c r="H61" s="10"/>
      <c r="I61" s="10"/>
      <c r="K61" s="658"/>
    </row>
    <row r="62" spans="1:11" customFormat="1" x14ac:dyDescent="0.25">
      <c r="A62" s="128"/>
      <c r="C62" t="s">
        <v>1481</v>
      </c>
      <c r="G62" s="537" t="s">
        <v>3</v>
      </c>
      <c r="H62" s="10">
        <f>0.015*1.15</f>
        <v>1.7249999999999998E-2</v>
      </c>
      <c r="I62" s="10"/>
      <c r="J62" t="s">
        <v>3366</v>
      </c>
      <c r="K62" s="658"/>
    </row>
    <row r="63" spans="1:11" customFormat="1" x14ac:dyDescent="0.25">
      <c r="A63" s="128"/>
      <c r="G63" s="537"/>
      <c r="H63" s="10"/>
      <c r="I63" s="10"/>
      <c r="K63" s="658"/>
    </row>
    <row r="64" spans="1:11" customFormat="1" x14ac:dyDescent="0.25">
      <c r="A64" s="128"/>
      <c r="B64" s="3" t="s">
        <v>9273</v>
      </c>
      <c r="G64" s="537"/>
      <c r="H64" s="10"/>
      <c r="I64" s="10"/>
      <c r="K64" s="658"/>
    </row>
    <row r="65" spans="1:11" customFormat="1" x14ac:dyDescent="0.25">
      <c r="A65" s="128"/>
      <c r="B65" s="8" t="s">
        <v>124</v>
      </c>
      <c r="G65" s="537" t="s">
        <v>3</v>
      </c>
      <c r="H65" s="10">
        <f>0.012*3.14*2*0.02*1.39</f>
        <v>2.0950080000000002E-3</v>
      </c>
      <c r="I65" s="10"/>
      <c r="K65" s="658"/>
    </row>
    <row r="66" spans="1:11" customFormat="1" ht="17.25" x14ac:dyDescent="0.25">
      <c r="A66" s="128"/>
      <c r="B66" s="77" t="s">
        <v>168</v>
      </c>
      <c r="G66" s="537" t="s">
        <v>596</v>
      </c>
      <c r="H66" s="10">
        <f>H65*1.09</f>
        <v>2.2835587200000004E-3</v>
      </c>
      <c r="I66" s="10"/>
      <c r="K66" s="658"/>
    </row>
    <row r="67" spans="1:11" customFormat="1" x14ac:dyDescent="0.25">
      <c r="A67" s="128"/>
      <c r="B67" s="25" t="s">
        <v>114</v>
      </c>
      <c r="G67" s="537" t="s">
        <v>3</v>
      </c>
      <c r="H67" s="10">
        <v>0.01</v>
      </c>
      <c r="I67" s="10"/>
      <c r="K67" s="658"/>
    </row>
    <row r="68" spans="1:11" customFormat="1" x14ac:dyDescent="0.25">
      <c r="A68" s="128"/>
      <c r="B68" s="25" t="s">
        <v>164</v>
      </c>
      <c r="G68" s="537" t="s">
        <v>3</v>
      </c>
      <c r="H68" s="10">
        <f>0.3*H67</f>
        <v>3.0000000000000001E-3</v>
      </c>
      <c r="I68" s="10"/>
      <c r="K68" s="658"/>
    </row>
    <row r="69" spans="1:11" customFormat="1" x14ac:dyDescent="0.25">
      <c r="A69" s="128"/>
      <c r="B69" s="25" t="s">
        <v>8</v>
      </c>
      <c r="G69" s="537" t="s">
        <v>3</v>
      </c>
      <c r="H69" s="10">
        <v>0.01</v>
      </c>
      <c r="I69" s="10"/>
      <c r="K69" s="658"/>
    </row>
    <row r="70" spans="1:11" customFormat="1" x14ac:dyDescent="0.25">
      <c r="A70" s="128"/>
      <c r="B70" s="25" t="s">
        <v>12</v>
      </c>
      <c r="G70" s="537" t="s">
        <v>3</v>
      </c>
      <c r="H70" s="10">
        <f>0.3*H69</f>
        <v>3.0000000000000001E-3</v>
      </c>
      <c r="I70" s="10"/>
      <c r="K70" s="658"/>
    </row>
    <row r="71" spans="1:11" customFormat="1" x14ac:dyDescent="0.25">
      <c r="A71" s="128"/>
      <c r="B71" s="25" t="s">
        <v>72</v>
      </c>
      <c r="G71" s="537" t="s">
        <v>3</v>
      </c>
      <c r="H71" s="10">
        <f>0.8*0.011*2*1.15</f>
        <v>2.0240000000000001E-2</v>
      </c>
      <c r="I71" s="10"/>
      <c r="K71" s="658"/>
    </row>
    <row r="72" spans="1:11" customFormat="1" x14ac:dyDescent="0.25">
      <c r="A72" s="128"/>
      <c r="B72" s="25" t="s">
        <v>11</v>
      </c>
      <c r="G72" s="537" t="s">
        <v>3</v>
      </c>
      <c r="H72" s="10">
        <f>0.3*H71</f>
        <v>6.0720000000000001E-3</v>
      </c>
      <c r="I72" s="10"/>
      <c r="K72" s="658"/>
    </row>
    <row r="73" spans="1:11" customFormat="1" x14ac:dyDescent="0.25">
      <c r="A73" s="128"/>
      <c r="C73" s="4" t="s">
        <v>9272</v>
      </c>
      <c r="G73" s="537"/>
      <c r="H73" s="10"/>
      <c r="I73" s="10"/>
      <c r="K73" s="658"/>
    </row>
    <row r="74" spans="1:11" customFormat="1" x14ac:dyDescent="0.25">
      <c r="A74" s="128"/>
      <c r="C74" s="25" t="s">
        <v>1484</v>
      </c>
      <c r="G74" s="537" t="s">
        <v>3</v>
      </c>
      <c r="H74" s="10">
        <v>0.125</v>
      </c>
      <c r="I74" s="10"/>
      <c r="J74" t="s">
        <v>9271</v>
      </c>
      <c r="K74" s="658"/>
    </row>
    <row r="75" spans="1:11" customFormat="1" x14ac:dyDescent="0.25">
      <c r="A75" s="128"/>
      <c r="C75" s="4" t="s">
        <v>9270</v>
      </c>
      <c r="G75" s="537"/>
      <c r="H75" s="10"/>
      <c r="I75" s="10"/>
      <c r="K75" s="658"/>
    </row>
    <row r="76" spans="1:11" customFormat="1" x14ac:dyDescent="0.25">
      <c r="A76" s="128"/>
      <c r="B76" s="3"/>
      <c r="C76" s="25" t="s">
        <v>1484</v>
      </c>
      <c r="G76" s="537" t="s">
        <v>3</v>
      </c>
      <c r="H76" s="10">
        <v>0.13600000000000001</v>
      </c>
      <c r="I76" s="10"/>
      <c r="J76" t="s">
        <v>9269</v>
      </c>
      <c r="K76" s="658"/>
    </row>
    <row r="77" spans="1:11" customFormat="1" x14ac:dyDescent="0.25">
      <c r="A77" s="128"/>
      <c r="G77" s="537"/>
      <c r="H77" s="10"/>
      <c r="I77" s="10"/>
      <c r="K77" s="658"/>
    </row>
    <row r="78" spans="1:11" customFormat="1" x14ac:dyDescent="0.25">
      <c r="A78" s="128"/>
      <c r="B78" s="3" t="s">
        <v>9268</v>
      </c>
      <c r="G78" s="537"/>
      <c r="H78" s="10"/>
      <c r="I78" s="10"/>
      <c r="K78" s="658"/>
    </row>
    <row r="79" spans="1:11" customFormat="1" x14ac:dyDescent="0.25">
      <c r="A79" s="128"/>
      <c r="B79" s="8" t="s">
        <v>124</v>
      </c>
      <c r="G79" s="537" t="s">
        <v>3</v>
      </c>
      <c r="H79" s="10">
        <f>0.012*3.14*2*0.02*1.39</f>
        <v>2.0950080000000002E-3</v>
      </c>
      <c r="I79" s="10"/>
      <c r="K79" s="658"/>
    </row>
    <row r="80" spans="1:11" customFormat="1" ht="17.25" x14ac:dyDescent="0.25">
      <c r="A80" s="128"/>
      <c r="B80" s="77" t="s">
        <v>168</v>
      </c>
      <c r="G80" s="537" t="s">
        <v>596</v>
      </c>
      <c r="H80" s="10">
        <f>H79*1.09</f>
        <v>2.2835587200000004E-3</v>
      </c>
      <c r="I80" s="10"/>
      <c r="K80" s="658"/>
    </row>
    <row r="81" spans="1:11" customFormat="1" x14ac:dyDescent="0.25">
      <c r="A81" s="128"/>
      <c r="B81" s="25" t="s">
        <v>114</v>
      </c>
      <c r="G81" s="537" t="s">
        <v>3</v>
      </c>
      <c r="H81" s="10">
        <v>7.0000000000000001E-3</v>
      </c>
      <c r="I81" s="10"/>
      <c r="K81" s="658"/>
    </row>
    <row r="82" spans="1:11" customFormat="1" x14ac:dyDescent="0.25">
      <c r="A82" s="128"/>
      <c r="B82" s="25" t="s">
        <v>164</v>
      </c>
      <c r="G82" s="537" t="s">
        <v>3</v>
      </c>
      <c r="H82" s="10">
        <f>0.3*H81</f>
        <v>2.0999999999999999E-3</v>
      </c>
      <c r="I82" s="10"/>
      <c r="K82" s="658"/>
    </row>
    <row r="83" spans="1:11" customFormat="1" x14ac:dyDescent="0.25">
      <c r="A83" s="128"/>
      <c r="B83" s="25" t="s">
        <v>8</v>
      </c>
      <c r="G83" s="537" t="s">
        <v>3</v>
      </c>
      <c r="H83" s="10">
        <v>7.0000000000000001E-3</v>
      </c>
      <c r="I83" s="10"/>
      <c r="K83" s="658"/>
    </row>
    <row r="84" spans="1:11" customFormat="1" x14ac:dyDescent="0.25">
      <c r="A84" s="128"/>
      <c r="B84" s="25" t="s">
        <v>12</v>
      </c>
      <c r="G84" s="537" t="s">
        <v>3</v>
      </c>
      <c r="H84" s="10">
        <f>0.3*H83</f>
        <v>2.0999999999999999E-3</v>
      </c>
      <c r="I84" s="10"/>
      <c r="K84" s="658"/>
    </row>
    <row r="85" spans="1:11" customFormat="1" x14ac:dyDescent="0.25">
      <c r="A85" s="128"/>
      <c r="B85" s="25" t="s">
        <v>72</v>
      </c>
      <c r="G85" s="537" t="s">
        <v>3</v>
      </c>
      <c r="H85" s="10">
        <f>0.55*0.011*2*1.2</f>
        <v>1.4519999999999998E-2</v>
      </c>
      <c r="I85" s="10"/>
      <c r="K85" s="658"/>
    </row>
    <row r="86" spans="1:11" customFormat="1" x14ac:dyDescent="0.25">
      <c r="A86" s="128"/>
      <c r="B86" s="25" t="s">
        <v>11</v>
      </c>
      <c r="G86" s="537" t="s">
        <v>3</v>
      </c>
      <c r="H86" s="10">
        <f>0.3*H85</f>
        <v>4.3559999999999996E-3</v>
      </c>
      <c r="I86" s="10"/>
      <c r="K86" s="658"/>
    </row>
    <row r="87" spans="1:11" customFormat="1" x14ac:dyDescent="0.25">
      <c r="A87" s="128"/>
      <c r="C87" s="4" t="s">
        <v>9267</v>
      </c>
      <c r="G87" s="537"/>
      <c r="H87" s="10"/>
      <c r="I87" s="10"/>
      <c r="K87" s="658"/>
    </row>
    <row r="88" spans="1:11" customFormat="1" x14ac:dyDescent="0.25">
      <c r="A88" s="128"/>
      <c r="C88" s="25" t="s">
        <v>1484</v>
      </c>
      <c r="G88" s="537" t="s">
        <v>3</v>
      </c>
      <c r="H88" s="10">
        <v>0.125</v>
      </c>
      <c r="I88" s="10"/>
      <c r="J88" t="s">
        <v>9266</v>
      </c>
      <c r="K88" s="658"/>
    </row>
    <row r="89" spans="1:11" customFormat="1" x14ac:dyDescent="0.25">
      <c r="A89" s="128"/>
      <c r="C89" s="4" t="s">
        <v>9265</v>
      </c>
      <c r="G89" s="537"/>
      <c r="H89" s="10"/>
      <c r="I89" s="10"/>
      <c r="K89" s="658"/>
    </row>
    <row r="90" spans="1:11" customFormat="1" x14ac:dyDescent="0.25">
      <c r="A90" s="128"/>
      <c r="C90" s="25" t="s">
        <v>1484</v>
      </c>
      <c r="G90" s="537" t="s">
        <v>3</v>
      </c>
      <c r="H90" s="10">
        <v>7.0000000000000007E-2</v>
      </c>
      <c r="I90" s="10"/>
      <c r="J90" t="s">
        <v>9264</v>
      </c>
      <c r="K90" s="658"/>
    </row>
    <row r="91" spans="1:11" customFormat="1" x14ac:dyDescent="0.25">
      <c r="A91" s="128"/>
      <c r="G91" s="537"/>
      <c r="H91" s="10"/>
      <c r="I91" s="10"/>
      <c r="K91" s="658"/>
    </row>
    <row r="92" spans="1:11" customFormat="1" x14ac:dyDescent="0.25">
      <c r="A92" s="128"/>
      <c r="B92" s="3" t="s">
        <v>9263</v>
      </c>
      <c r="G92" s="537"/>
      <c r="H92" s="10"/>
      <c r="I92" s="10"/>
      <c r="K92" s="658"/>
    </row>
    <row r="93" spans="1:11" customFormat="1" x14ac:dyDescent="0.25">
      <c r="A93" s="128"/>
      <c r="B93" s="8" t="s">
        <v>124</v>
      </c>
      <c r="G93" s="537" t="s">
        <v>3</v>
      </c>
      <c r="H93" s="10">
        <f>0.012*3.14*2*0.02*1.39</f>
        <v>2.0950080000000002E-3</v>
      </c>
      <c r="I93" s="10"/>
      <c r="K93" s="658"/>
    </row>
    <row r="94" spans="1:11" customFormat="1" ht="17.25" x14ac:dyDescent="0.25">
      <c r="A94" s="128"/>
      <c r="B94" s="77" t="s">
        <v>168</v>
      </c>
      <c r="G94" s="537" t="s">
        <v>596</v>
      </c>
      <c r="H94" s="10">
        <f>H93*1.09</f>
        <v>2.2835587200000004E-3</v>
      </c>
      <c r="I94" s="10"/>
      <c r="K94" s="658"/>
    </row>
    <row r="95" spans="1:11" customFormat="1" x14ac:dyDescent="0.25">
      <c r="A95" s="128"/>
      <c r="B95" s="25" t="s">
        <v>114</v>
      </c>
      <c r="G95" s="537" t="s">
        <v>3</v>
      </c>
      <c r="H95" s="10">
        <v>6.0000000000000001E-3</v>
      </c>
      <c r="I95" s="10"/>
      <c r="K95" s="658"/>
    </row>
    <row r="96" spans="1:11" customFormat="1" x14ac:dyDescent="0.25">
      <c r="A96" s="128"/>
      <c r="B96" s="25" t="s">
        <v>164</v>
      </c>
      <c r="G96" s="537" t="s">
        <v>3</v>
      </c>
      <c r="H96" s="10">
        <f>0.3*H95</f>
        <v>1.8E-3</v>
      </c>
      <c r="I96" s="10"/>
      <c r="K96" s="658"/>
    </row>
    <row r="97" spans="1:11" customFormat="1" x14ac:dyDescent="0.25">
      <c r="A97" s="128"/>
      <c r="B97" s="25" t="s">
        <v>8</v>
      </c>
      <c r="G97" s="537" t="s">
        <v>3</v>
      </c>
      <c r="H97" s="10">
        <v>6.0000000000000001E-3</v>
      </c>
      <c r="I97" s="10"/>
      <c r="K97" s="658"/>
    </row>
    <row r="98" spans="1:11" customFormat="1" x14ac:dyDescent="0.25">
      <c r="A98" s="128"/>
      <c r="B98" s="25" t="s">
        <v>12</v>
      </c>
      <c r="G98" s="537" t="s">
        <v>3</v>
      </c>
      <c r="H98" s="10">
        <f>0.3*H97</f>
        <v>1.8E-3</v>
      </c>
      <c r="I98" s="10"/>
      <c r="K98" s="658"/>
    </row>
    <row r="99" spans="1:11" customFormat="1" x14ac:dyDescent="0.25">
      <c r="A99" s="128"/>
      <c r="B99" s="25" t="s">
        <v>72</v>
      </c>
      <c r="G99" s="537" t="s">
        <v>3</v>
      </c>
      <c r="H99" s="10">
        <f>0.45*0.011*2*1.2</f>
        <v>1.1879999999999998E-2</v>
      </c>
      <c r="I99" s="10"/>
      <c r="K99" s="658"/>
    </row>
    <row r="100" spans="1:11" customFormat="1" x14ac:dyDescent="0.25">
      <c r="A100" s="128"/>
      <c r="B100" s="25" t="s">
        <v>11</v>
      </c>
      <c r="G100" s="537" t="s">
        <v>3</v>
      </c>
      <c r="H100" s="10">
        <f>0.3*H99</f>
        <v>3.5639999999999995E-3</v>
      </c>
      <c r="I100" s="10"/>
      <c r="K100" s="658"/>
    </row>
    <row r="101" spans="1:11" customFormat="1" x14ac:dyDescent="0.25">
      <c r="A101" s="128"/>
      <c r="C101" s="3" t="s">
        <v>9262</v>
      </c>
      <c r="G101" s="537"/>
      <c r="H101" s="10"/>
      <c r="I101" s="10"/>
      <c r="K101" s="658"/>
    </row>
    <row r="102" spans="1:11" customFormat="1" x14ac:dyDescent="0.25">
      <c r="A102" s="128"/>
      <c r="C102" s="25" t="s">
        <v>1484</v>
      </c>
      <c r="G102" s="537" t="s">
        <v>3</v>
      </c>
      <c r="H102" s="10">
        <v>0.125</v>
      </c>
      <c r="I102" s="10"/>
      <c r="J102" t="s">
        <v>9261</v>
      </c>
      <c r="K102" s="658"/>
    </row>
    <row r="103" spans="1:11" customFormat="1" x14ac:dyDescent="0.25">
      <c r="A103" s="128"/>
      <c r="C103" s="3" t="s">
        <v>9260</v>
      </c>
      <c r="G103" s="537"/>
      <c r="H103" s="10"/>
      <c r="I103" s="10"/>
      <c r="K103" s="658"/>
    </row>
    <row r="104" spans="1:11" customFormat="1" x14ac:dyDescent="0.25">
      <c r="A104" s="128"/>
      <c r="C104" s="25" t="s">
        <v>1484</v>
      </c>
      <c r="G104" s="537" t="s">
        <v>3</v>
      </c>
      <c r="H104" s="10">
        <v>2.8000000000000001E-2</v>
      </c>
      <c r="I104" s="10"/>
      <c r="J104" t="s">
        <v>3834</v>
      </c>
      <c r="K104" s="658"/>
    </row>
    <row r="105" spans="1:11" customFormat="1" x14ac:dyDescent="0.25">
      <c r="A105" s="128"/>
      <c r="G105" s="537"/>
      <c r="H105" s="10"/>
      <c r="I105" s="10"/>
      <c r="K105" s="658"/>
    </row>
    <row r="106" spans="1:11" customFormat="1" x14ac:dyDescent="0.25">
      <c r="A106" s="128"/>
      <c r="B106" s="3" t="s">
        <v>9259</v>
      </c>
      <c r="G106" s="537"/>
      <c r="H106" s="10"/>
      <c r="I106" s="10"/>
      <c r="K106" s="658"/>
    </row>
    <row r="107" spans="1:11" customFormat="1" x14ac:dyDescent="0.25">
      <c r="A107" s="128"/>
      <c r="B107" s="25" t="s">
        <v>114</v>
      </c>
      <c r="G107" s="537" t="s">
        <v>3</v>
      </c>
      <c r="H107" s="10">
        <v>4.0000000000000001E-3</v>
      </c>
      <c r="I107" s="10"/>
      <c r="K107" s="658"/>
    </row>
    <row r="108" spans="1:11" customFormat="1" x14ac:dyDescent="0.25">
      <c r="A108" s="128"/>
      <c r="B108" s="25" t="s">
        <v>164</v>
      </c>
      <c r="G108" s="537" t="s">
        <v>3</v>
      </c>
      <c r="H108" s="10">
        <f>0.3*H107</f>
        <v>1.1999999999999999E-3</v>
      </c>
      <c r="I108" s="10"/>
      <c r="K108" s="658"/>
    </row>
    <row r="109" spans="1:11" customFormat="1" x14ac:dyDescent="0.25">
      <c r="A109" s="128"/>
      <c r="B109" s="25" t="s">
        <v>8</v>
      </c>
      <c r="G109" s="537" t="s">
        <v>3</v>
      </c>
      <c r="H109" s="10">
        <v>4.0000000000000001E-3</v>
      </c>
      <c r="I109" s="10"/>
      <c r="K109" s="658"/>
    </row>
    <row r="110" spans="1:11" customFormat="1" x14ac:dyDescent="0.25">
      <c r="A110" s="128"/>
      <c r="B110" s="25" t="s">
        <v>12</v>
      </c>
      <c r="G110" s="537" t="s">
        <v>3</v>
      </c>
      <c r="H110" s="10">
        <f>0.3*H109</f>
        <v>1.1999999999999999E-3</v>
      </c>
      <c r="I110" s="10"/>
      <c r="K110" s="658"/>
    </row>
    <row r="111" spans="1:11" customFormat="1" x14ac:dyDescent="0.25">
      <c r="A111" s="128"/>
      <c r="B111" s="25" t="s">
        <v>72</v>
      </c>
      <c r="G111" s="537" t="s">
        <v>3</v>
      </c>
      <c r="H111" s="10">
        <f>0.25*0.011*2*1.2</f>
        <v>6.5999999999999991E-3</v>
      </c>
      <c r="I111" s="10"/>
      <c r="K111" s="658"/>
    </row>
    <row r="112" spans="1:11" customFormat="1" x14ac:dyDescent="0.25">
      <c r="A112" s="128"/>
      <c r="B112" s="25" t="s">
        <v>11</v>
      </c>
      <c r="G112" s="537" t="s">
        <v>3</v>
      </c>
      <c r="H112" s="10">
        <f>0.3*H111</f>
        <v>1.9799999999999996E-3</v>
      </c>
      <c r="I112" s="10"/>
      <c r="K112" s="658"/>
    </row>
    <row r="113" spans="1:11" customFormat="1" x14ac:dyDescent="0.25">
      <c r="A113" s="128"/>
      <c r="C113" s="4" t="s">
        <v>9258</v>
      </c>
      <c r="G113" s="537"/>
      <c r="H113" s="10"/>
      <c r="I113" s="10"/>
      <c r="K113" s="658"/>
    </row>
    <row r="114" spans="1:11" customFormat="1" x14ac:dyDescent="0.25">
      <c r="A114" s="128"/>
      <c r="C114" t="s">
        <v>2405</v>
      </c>
      <c r="G114" s="537" t="s">
        <v>3</v>
      </c>
      <c r="H114" s="10">
        <v>0.06</v>
      </c>
      <c r="I114" s="10"/>
      <c r="J114" t="s">
        <v>9257</v>
      </c>
      <c r="K114" s="658"/>
    </row>
    <row r="115" spans="1:11" customFormat="1" x14ac:dyDescent="0.25">
      <c r="A115" s="128"/>
      <c r="G115" s="537"/>
      <c r="H115" s="10"/>
      <c r="I115" s="10"/>
      <c r="K115" s="658"/>
    </row>
    <row r="116" spans="1:11" customFormat="1" x14ac:dyDescent="0.25">
      <c r="A116" s="128"/>
      <c r="B116" s="3" t="s">
        <v>9256</v>
      </c>
      <c r="G116" s="537"/>
      <c r="H116" s="10"/>
      <c r="I116" s="10"/>
      <c r="K116" s="658"/>
    </row>
    <row r="117" spans="1:11" customFormat="1" x14ac:dyDescent="0.25">
      <c r="A117" s="128"/>
      <c r="B117" s="25" t="s">
        <v>114</v>
      </c>
      <c r="G117" s="537" t="s">
        <v>3</v>
      </c>
      <c r="H117" s="10">
        <f>H121/2</f>
        <v>1.1384999999999998E-2</v>
      </c>
      <c r="I117" s="10"/>
      <c r="K117" s="658"/>
    </row>
    <row r="118" spans="1:11" customFormat="1" x14ac:dyDescent="0.25">
      <c r="A118" s="128"/>
      <c r="B118" s="25" t="s">
        <v>164</v>
      </c>
      <c r="G118" s="537" t="s">
        <v>3</v>
      </c>
      <c r="H118" s="10">
        <f>0.3*H117</f>
        <v>3.4154999999999993E-3</v>
      </c>
      <c r="I118" s="10"/>
      <c r="K118" s="658"/>
    </row>
    <row r="119" spans="1:11" customFormat="1" x14ac:dyDescent="0.25">
      <c r="A119" s="128"/>
      <c r="B119" s="25" t="s">
        <v>8</v>
      </c>
      <c r="G119" s="537" t="s">
        <v>3</v>
      </c>
      <c r="H119" s="10">
        <f>H121/2</f>
        <v>1.1384999999999998E-2</v>
      </c>
      <c r="I119" s="10"/>
      <c r="K119" s="658"/>
    </row>
    <row r="120" spans="1:11" customFormat="1" x14ac:dyDescent="0.25">
      <c r="A120" s="128"/>
      <c r="B120" s="25" t="s">
        <v>12</v>
      </c>
      <c r="G120" s="537" t="s">
        <v>3</v>
      </c>
      <c r="H120" s="10">
        <f>0.3*H119</f>
        <v>3.4154999999999993E-3</v>
      </c>
      <c r="I120" s="10"/>
      <c r="K120" s="658"/>
    </row>
    <row r="121" spans="1:11" customFormat="1" x14ac:dyDescent="0.25">
      <c r="A121" s="128"/>
      <c r="B121" s="25" t="s">
        <v>72</v>
      </c>
      <c r="G121" s="537" t="s">
        <v>3</v>
      </c>
      <c r="H121" s="10">
        <f>0.9*0.011*2*1.15</f>
        <v>2.2769999999999995E-2</v>
      </c>
      <c r="I121" s="10"/>
      <c r="K121" s="658"/>
    </row>
    <row r="122" spans="1:11" customFormat="1" x14ac:dyDescent="0.25">
      <c r="A122" s="128"/>
      <c r="B122" s="25" t="s">
        <v>11</v>
      </c>
      <c r="G122" s="537" t="s">
        <v>3</v>
      </c>
      <c r="H122" s="10">
        <f>0.3*H121</f>
        <v>6.8309999999999985E-3</v>
      </c>
      <c r="I122" s="10"/>
      <c r="K122" s="658"/>
    </row>
    <row r="123" spans="1:11" customFormat="1" x14ac:dyDescent="0.25">
      <c r="A123" s="128"/>
      <c r="C123" s="4" t="s">
        <v>9255</v>
      </c>
      <c r="G123" s="537"/>
      <c r="H123" s="10"/>
      <c r="I123" s="10"/>
      <c r="K123" s="658"/>
    </row>
    <row r="124" spans="1:11" customFormat="1" x14ac:dyDescent="0.25">
      <c r="A124" s="128"/>
      <c r="C124" t="s">
        <v>2405</v>
      </c>
      <c r="G124" s="537" t="s">
        <v>3</v>
      </c>
      <c r="H124" s="10">
        <v>0.16</v>
      </c>
      <c r="I124" s="10"/>
      <c r="J124" t="s">
        <v>8534</v>
      </c>
      <c r="K124" s="658"/>
    </row>
    <row r="125" spans="1:11" customFormat="1" x14ac:dyDescent="0.25">
      <c r="A125" s="128"/>
      <c r="G125" s="537"/>
      <c r="H125" s="10"/>
      <c r="I125" s="10"/>
      <c r="K125" s="658"/>
    </row>
    <row r="126" spans="1:11" customFormat="1" x14ac:dyDescent="0.25">
      <c r="A126" s="128"/>
      <c r="B126" s="3" t="s">
        <v>9254</v>
      </c>
      <c r="G126" s="537"/>
      <c r="H126" s="10"/>
      <c r="I126" s="10"/>
      <c r="K126" s="658"/>
    </row>
    <row r="127" spans="1:11" customFormat="1" x14ac:dyDescent="0.25">
      <c r="A127" s="128"/>
      <c r="B127" s="25" t="s">
        <v>114</v>
      </c>
      <c r="G127" s="537" t="s">
        <v>3</v>
      </c>
      <c r="H127" s="10">
        <v>4.0000000000000001E-3</v>
      </c>
      <c r="I127" s="10"/>
      <c r="K127" s="658"/>
    </row>
    <row r="128" spans="1:11" customFormat="1" x14ac:dyDescent="0.25">
      <c r="A128" s="128"/>
      <c r="B128" s="25" t="s">
        <v>164</v>
      </c>
      <c r="G128" s="537" t="s">
        <v>3</v>
      </c>
      <c r="H128" s="10">
        <f>0.3*H127</f>
        <v>1.1999999999999999E-3</v>
      </c>
      <c r="I128" s="10"/>
      <c r="K128" s="658"/>
    </row>
    <row r="129" spans="1:11" customFormat="1" x14ac:dyDescent="0.25">
      <c r="A129" s="128"/>
      <c r="B129" s="25" t="s">
        <v>8</v>
      </c>
      <c r="G129" s="537" t="s">
        <v>3</v>
      </c>
      <c r="H129" s="10">
        <v>4.0000000000000001E-3</v>
      </c>
      <c r="I129" s="10"/>
      <c r="K129" s="658"/>
    </row>
    <row r="130" spans="1:11" customFormat="1" x14ac:dyDescent="0.25">
      <c r="A130" s="128"/>
      <c r="B130" s="25" t="s">
        <v>12</v>
      </c>
      <c r="G130" s="537" t="s">
        <v>3</v>
      </c>
      <c r="H130" s="10">
        <f>0.3*H129</f>
        <v>1.1999999999999999E-3</v>
      </c>
      <c r="I130" s="10"/>
      <c r="K130" s="658"/>
    </row>
    <row r="131" spans="1:11" customFormat="1" x14ac:dyDescent="0.25">
      <c r="A131" s="128"/>
      <c r="B131" s="25" t="s">
        <v>72</v>
      </c>
      <c r="G131" s="537" t="s">
        <v>3</v>
      </c>
      <c r="H131" s="10">
        <f>0.32*0.011*2*1.15</f>
        <v>8.095999999999999E-3</v>
      </c>
      <c r="I131" s="10"/>
      <c r="K131" s="658"/>
    </row>
    <row r="132" spans="1:11" customFormat="1" x14ac:dyDescent="0.25">
      <c r="A132" s="128"/>
      <c r="B132" s="25" t="s">
        <v>11</v>
      </c>
      <c r="G132" s="537" t="s">
        <v>3</v>
      </c>
      <c r="H132" s="10">
        <f>0.3*H131</f>
        <v>2.4287999999999996E-3</v>
      </c>
      <c r="I132" s="10"/>
      <c r="K132" s="658"/>
    </row>
    <row r="133" spans="1:11" customFormat="1" x14ac:dyDescent="0.25">
      <c r="A133" s="128"/>
      <c r="C133" s="4" t="s">
        <v>9253</v>
      </c>
      <c r="G133" s="537"/>
      <c r="H133" s="10"/>
      <c r="I133" s="10"/>
      <c r="K133" s="658"/>
    </row>
    <row r="134" spans="1:11" customFormat="1" x14ac:dyDescent="0.25">
      <c r="A134" s="128"/>
      <c r="C134" t="s">
        <v>1481</v>
      </c>
      <c r="G134" s="537" t="s">
        <v>3</v>
      </c>
      <c r="H134" s="10">
        <v>0.15</v>
      </c>
      <c r="I134" s="10"/>
      <c r="J134" t="s">
        <v>9252</v>
      </c>
      <c r="K134" s="658"/>
    </row>
    <row r="135" spans="1:11" customFormat="1" x14ac:dyDescent="0.25">
      <c r="A135" s="128"/>
      <c r="G135" s="537"/>
      <c r="H135" s="10"/>
      <c r="I135" s="10"/>
      <c r="K135" s="658"/>
    </row>
    <row r="136" spans="1:11" customFormat="1" x14ac:dyDescent="0.25">
      <c r="A136" s="128"/>
      <c r="B136" s="3" t="s">
        <v>9251</v>
      </c>
      <c r="G136" s="537"/>
      <c r="H136" s="10"/>
      <c r="I136" s="10"/>
      <c r="K136" s="658"/>
    </row>
    <row r="137" spans="1:11" customFormat="1" x14ac:dyDescent="0.25">
      <c r="A137" s="128"/>
      <c r="B137" s="25" t="s">
        <v>114</v>
      </c>
      <c r="G137" s="537" t="s">
        <v>3</v>
      </c>
      <c r="H137" s="10">
        <v>8.0000000000000002E-3</v>
      </c>
      <c r="I137" s="10"/>
      <c r="K137" s="658"/>
    </row>
    <row r="138" spans="1:11" customFormat="1" x14ac:dyDescent="0.25">
      <c r="A138" s="128"/>
      <c r="B138" s="25" t="s">
        <v>164</v>
      </c>
      <c r="G138" s="537" t="s">
        <v>3</v>
      </c>
      <c r="H138" s="10">
        <f>0.3*H137</f>
        <v>2.3999999999999998E-3</v>
      </c>
      <c r="I138" s="10"/>
      <c r="K138" s="658"/>
    </row>
    <row r="139" spans="1:11" customFormat="1" x14ac:dyDescent="0.25">
      <c r="A139" s="128"/>
      <c r="B139" s="25" t="s">
        <v>8</v>
      </c>
      <c r="G139" s="537" t="s">
        <v>3</v>
      </c>
      <c r="H139" s="10">
        <v>8.0000000000000002E-3</v>
      </c>
      <c r="I139" s="10"/>
      <c r="K139" s="658"/>
    </row>
    <row r="140" spans="1:11" customFormat="1" x14ac:dyDescent="0.25">
      <c r="A140" s="128"/>
      <c r="B140" s="25" t="s">
        <v>12</v>
      </c>
      <c r="G140" s="537" t="s">
        <v>3</v>
      </c>
      <c r="H140" s="10">
        <f>0.3*H139</f>
        <v>2.3999999999999998E-3</v>
      </c>
      <c r="I140" s="10"/>
      <c r="K140" s="658"/>
    </row>
    <row r="141" spans="1:11" customFormat="1" x14ac:dyDescent="0.25">
      <c r="A141" s="128"/>
      <c r="B141" s="25" t="s">
        <v>72</v>
      </c>
      <c r="G141" s="537" t="s">
        <v>3</v>
      </c>
      <c r="H141" s="10">
        <f>0.62*0.011*2*1.15</f>
        <v>1.5685999999999999E-2</v>
      </c>
      <c r="I141" s="10"/>
      <c r="K141" s="658"/>
    </row>
    <row r="142" spans="1:11" customFormat="1" x14ac:dyDescent="0.25">
      <c r="A142" s="128"/>
      <c r="B142" s="25" t="s">
        <v>11</v>
      </c>
      <c r="G142" s="537" t="s">
        <v>3</v>
      </c>
      <c r="H142" s="10">
        <f>0.3*H141</f>
        <v>4.7057999999999996E-3</v>
      </c>
      <c r="I142" s="10"/>
      <c r="K142" s="658"/>
    </row>
    <row r="143" spans="1:11" customFormat="1" x14ac:dyDescent="0.25">
      <c r="A143" s="128"/>
      <c r="C143" s="4" t="s">
        <v>9250</v>
      </c>
      <c r="G143" s="537"/>
      <c r="H143" s="10"/>
      <c r="I143" s="10"/>
      <c r="K143" s="658"/>
    </row>
    <row r="144" spans="1:11" customFormat="1" x14ac:dyDescent="0.25">
      <c r="A144" s="128"/>
      <c r="C144" t="s">
        <v>1481</v>
      </c>
      <c r="G144" s="537" t="s">
        <v>3</v>
      </c>
      <c r="H144" s="10">
        <v>0.245</v>
      </c>
      <c r="I144" s="10"/>
      <c r="J144" t="s">
        <v>9011</v>
      </c>
      <c r="K144" s="658"/>
    </row>
    <row r="145" spans="1:11" customFormat="1" x14ac:dyDescent="0.25">
      <c r="A145" s="128"/>
      <c r="G145" s="537"/>
      <c r="H145" s="10"/>
      <c r="I145" s="10"/>
      <c r="K145" s="658"/>
    </row>
    <row r="146" spans="1:11" customFormat="1" x14ac:dyDescent="0.25">
      <c r="A146" s="128"/>
      <c r="B146" s="3" t="s">
        <v>9249</v>
      </c>
      <c r="G146" s="537"/>
      <c r="H146" s="10"/>
      <c r="I146" s="10"/>
      <c r="K146" s="658"/>
    </row>
    <row r="147" spans="1:11" customFormat="1" x14ac:dyDescent="0.25">
      <c r="A147" s="128"/>
      <c r="B147" s="8" t="s">
        <v>124</v>
      </c>
      <c r="G147" s="537" t="s">
        <v>3</v>
      </c>
      <c r="H147" s="10">
        <f>0.014*3.14*3*0.03*1.3</f>
        <v>5.1433200000000007E-3</v>
      </c>
      <c r="I147" s="10"/>
      <c r="K147" s="658"/>
    </row>
    <row r="148" spans="1:11" customFormat="1" ht="17.25" x14ac:dyDescent="0.25">
      <c r="A148" s="128"/>
      <c r="B148" s="77" t="s">
        <v>168</v>
      </c>
      <c r="G148" s="537" t="s">
        <v>596</v>
      </c>
      <c r="H148" s="10">
        <f>H147*1.09</f>
        <v>5.6062188000000008E-3</v>
      </c>
      <c r="I148" s="10"/>
      <c r="K148" s="658"/>
    </row>
    <row r="149" spans="1:11" customFormat="1" x14ac:dyDescent="0.25">
      <c r="A149" s="128"/>
      <c r="B149" s="25" t="s">
        <v>114</v>
      </c>
      <c r="G149" s="537" t="s">
        <v>3</v>
      </c>
      <c r="H149" s="10">
        <v>6.0000000000000001E-3</v>
      </c>
      <c r="I149" s="10"/>
      <c r="K149" s="658"/>
    </row>
    <row r="150" spans="1:11" customFormat="1" x14ac:dyDescent="0.25">
      <c r="A150" s="128"/>
      <c r="B150" s="25" t="s">
        <v>164</v>
      </c>
      <c r="G150" s="537" t="s">
        <v>3</v>
      </c>
      <c r="H150" s="10">
        <f>0.3*H149</f>
        <v>1.8E-3</v>
      </c>
      <c r="I150" s="10"/>
      <c r="K150" s="658"/>
    </row>
    <row r="151" spans="1:11" customFormat="1" x14ac:dyDescent="0.25">
      <c r="A151" s="128"/>
      <c r="B151" s="25" t="s">
        <v>8</v>
      </c>
      <c r="G151" s="537" t="s">
        <v>3</v>
      </c>
      <c r="H151" s="10">
        <v>6.0000000000000001E-3</v>
      </c>
      <c r="I151" s="10"/>
      <c r="K151" s="658"/>
    </row>
    <row r="152" spans="1:11" customFormat="1" x14ac:dyDescent="0.25">
      <c r="A152" s="128"/>
      <c r="B152" s="25" t="s">
        <v>12</v>
      </c>
      <c r="G152" s="537" t="s">
        <v>3</v>
      </c>
      <c r="H152" s="10">
        <f>0.3*H151</f>
        <v>1.8E-3</v>
      </c>
      <c r="I152" s="10"/>
      <c r="K152" s="658"/>
    </row>
    <row r="153" spans="1:11" customFormat="1" x14ac:dyDescent="0.25">
      <c r="A153" s="128"/>
      <c r="B153" s="25" t="s">
        <v>72</v>
      </c>
      <c r="G153" s="537" t="s">
        <v>3</v>
      </c>
      <c r="H153" s="10">
        <f>0.43*0.011*2*1.3</f>
        <v>1.2298E-2</v>
      </c>
      <c r="I153" s="10"/>
      <c r="K153" s="658"/>
    </row>
    <row r="154" spans="1:11" customFormat="1" x14ac:dyDescent="0.25">
      <c r="A154" s="128"/>
      <c r="B154" s="25" t="s">
        <v>11</v>
      </c>
      <c r="G154" s="537" t="s">
        <v>3</v>
      </c>
      <c r="H154" s="10">
        <f>0.3*H153</f>
        <v>3.6893999999999998E-3</v>
      </c>
      <c r="I154" s="10"/>
      <c r="K154" s="658"/>
    </row>
    <row r="155" spans="1:11" customFormat="1" x14ac:dyDescent="0.25">
      <c r="A155" s="128"/>
      <c r="C155" s="4" t="s">
        <v>9248</v>
      </c>
      <c r="G155" s="537"/>
      <c r="H155" s="10"/>
      <c r="I155" s="10"/>
      <c r="K155" s="658"/>
    </row>
    <row r="156" spans="1:11" customFormat="1" x14ac:dyDescent="0.25">
      <c r="A156" s="128"/>
      <c r="C156" t="s">
        <v>2405</v>
      </c>
      <c r="G156" s="537" t="s">
        <v>3</v>
      </c>
      <c r="H156" s="10">
        <v>3.5000000000000003E-2</v>
      </c>
      <c r="I156" s="10"/>
      <c r="J156" t="s">
        <v>5819</v>
      </c>
      <c r="K156" s="658"/>
    </row>
    <row r="157" spans="1:11" customFormat="1" x14ac:dyDescent="0.25">
      <c r="A157" s="128"/>
      <c r="C157" s="4" t="s">
        <v>9247</v>
      </c>
      <c r="G157" s="537"/>
      <c r="H157" s="10"/>
      <c r="I157" s="10"/>
      <c r="K157" s="658"/>
    </row>
    <row r="158" spans="1:11" customFormat="1" x14ac:dyDescent="0.25">
      <c r="A158" s="128"/>
      <c r="C158" t="s">
        <v>1481</v>
      </c>
      <c r="G158" s="537" t="s">
        <v>3</v>
      </c>
      <c r="H158" s="10">
        <v>3.2000000000000001E-2</v>
      </c>
      <c r="I158" s="10"/>
      <c r="J158" t="s">
        <v>9246</v>
      </c>
      <c r="K158" s="658"/>
    </row>
    <row r="159" spans="1:11" customFormat="1" x14ac:dyDescent="0.25">
      <c r="A159" s="128"/>
      <c r="C159" s="4" t="s">
        <v>9245</v>
      </c>
      <c r="G159" s="537"/>
      <c r="H159" s="10"/>
      <c r="I159" s="10"/>
      <c r="K159" s="658"/>
    </row>
    <row r="160" spans="1:11" customFormat="1" x14ac:dyDescent="0.25">
      <c r="A160" s="128"/>
      <c r="C160" t="s">
        <v>1481</v>
      </c>
      <c r="G160" s="537" t="s">
        <v>3</v>
      </c>
      <c r="H160" s="10">
        <v>8.1000000000000003E-2</v>
      </c>
      <c r="I160" s="10"/>
      <c r="J160" t="s">
        <v>8427</v>
      </c>
      <c r="K160" s="658"/>
    </row>
    <row r="161" spans="1:11" customFormat="1" x14ac:dyDescent="0.25">
      <c r="A161" s="128"/>
      <c r="G161" s="537"/>
      <c r="H161" s="10"/>
      <c r="I161" s="10"/>
      <c r="K161" s="658"/>
    </row>
    <row r="162" spans="1:11" customFormat="1" x14ac:dyDescent="0.25">
      <c r="A162" s="128"/>
      <c r="B162" s="3" t="s">
        <v>9244</v>
      </c>
      <c r="G162" s="537"/>
      <c r="H162" s="10"/>
      <c r="I162" s="10"/>
      <c r="K162" s="658"/>
    </row>
    <row r="163" spans="1:11" customFormat="1" x14ac:dyDescent="0.25">
      <c r="A163" s="128"/>
      <c r="B163" s="8" t="s">
        <v>124</v>
      </c>
      <c r="G163" s="537" t="s">
        <v>3</v>
      </c>
      <c r="H163" s="10">
        <f>0.014*3.14*6*0.03*1.3</f>
        <v>1.0286640000000001E-2</v>
      </c>
      <c r="I163" s="10"/>
      <c r="K163" s="658"/>
    </row>
    <row r="164" spans="1:11" customFormat="1" ht="17.25" x14ac:dyDescent="0.25">
      <c r="A164" s="128"/>
      <c r="B164" s="77" t="s">
        <v>168</v>
      </c>
      <c r="G164" s="537" t="s">
        <v>596</v>
      </c>
      <c r="H164" s="10">
        <f>H163*1.09</f>
        <v>1.1212437600000002E-2</v>
      </c>
      <c r="I164" s="10"/>
      <c r="K164" s="658"/>
    </row>
    <row r="165" spans="1:11" customFormat="1" x14ac:dyDescent="0.25">
      <c r="A165" s="128"/>
      <c r="B165" s="25" t="s">
        <v>114</v>
      </c>
      <c r="G165" s="537" t="s">
        <v>3</v>
      </c>
      <c r="H165" s="10">
        <v>1.4999999999999999E-2</v>
      </c>
      <c r="I165" s="10"/>
      <c r="K165" s="658"/>
    </row>
    <row r="166" spans="1:11" customFormat="1" x14ac:dyDescent="0.25">
      <c r="A166" s="128"/>
      <c r="B166" s="25" t="s">
        <v>164</v>
      </c>
      <c r="G166" s="537" t="s">
        <v>3</v>
      </c>
      <c r="H166" s="10">
        <f>0.3*H165</f>
        <v>4.4999999999999997E-3</v>
      </c>
      <c r="I166" s="10"/>
      <c r="K166" s="658"/>
    </row>
    <row r="167" spans="1:11" customFormat="1" x14ac:dyDescent="0.25">
      <c r="A167" s="128"/>
      <c r="B167" s="25" t="s">
        <v>8</v>
      </c>
      <c r="G167" s="537" t="s">
        <v>3</v>
      </c>
      <c r="H167" s="10">
        <v>1.4999999999999999E-2</v>
      </c>
      <c r="I167" s="10"/>
      <c r="K167" s="658"/>
    </row>
    <row r="168" spans="1:11" customFormat="1" x14ac:dyDescent="0.25">
      <c r="A168" s="128"/>
      <c r="B168" s="25" t="s">
        <v>12</v>
      </c>
      <c r="G168" s="537" t="s">
        <v>3</v>
      </c>
      <c r="H168" s="10">
        <f>0.3*H167</f>
        <v>4.4999999999999997E-3</v>
      </c>
      <c r="I168" s="10"/>
      <c r="K168" s="658"/>
    </row>
    <row r="169" spans="1:11" customFormat="1" x14ac:dyDescent="0.25">
      <c r="A169" s="128"/>
      <c r="B169" s="25" t="s">
        <v>72</v>
      </c>
      <c r="G169" s="537" t="s">
        <v>3</v>
      </c>
      <c r="H169" s="10">
        <f>1.22*0.011*2*1.2</f>
        <v>3.2208000000000001E-2</v>
      </c>
      <c r="I169" s="10"/>
      <c r="K169" s="658"/>
    </row>
    <row r="170" spans="1:11" customFormat="1" x14ac:dyDescent="0.25">
      <c r="A170" s="128"/>
      <c r="B170" s="25" t="s">
        <v>11</v>
      </c>
      <c r="G170" s="537" t="s">
        <v>3</v>
      </c>
      <c r="H170" s="10">
        <f>0.3*H169</f>
        <v>9.6623999999999998E-3</v>
      </c>
      <c r="I170" s="10"/>
      <c r="K170" s="658"/>
    </row>
    <row r="171" spans="1:11" customFormat="1" x14ac:dyDescent="0.25">
      <c r="A171" s="128"/>
      <c r="C171" s="4" t="s">
        <v>9243</v>
      </c>
      <c r="G171" s="537"/>
      <c r="H171" s="10"/>
      <c r="I171" s="10"/>
      <c r="K171" s="658"/>
    </row>
    <row r="172" spans="1:11" customFormat="1" x14ac:dyDescent="0.25">
      <c r="A172" s="128"/>
      <c r="C172" t="s">
        <v>1481</v>
      </c>
      <c r="G172" s="537" t="s">
        <v>3</v>
      </c>
      <c r="H172" s="10">
        <v>0.13</v>
      </c>
      <c r="I172" s="10"/>
      <c r="J172" t="s">
        <v>9242</v>
      </c>
      <c r="K172" s="658"/>
    </row>
    <row r="173" spans="1:11" customFormat="1" x14ac:dyDescent="0.25">
      <c r="A173" s="128"/>
      <c r="C173" s="4" t="s">
        <v>9241</v>
      </c>
      <c r="G173" s="537"/>
      <c r="H173" s="10"/>
      <c r="I173" s="10"/>
      <c r="K173" s="658"/>
    </row>
    <row r="174" spans="1:11" customFormat="1" x14ac:dyDescent="0.25">
      <c r="A174" s="128"/>
      <c r="C174" t="s">
        <v>1481</v>
      </c>
      <c r="G174" s="537" t="s">
        <v>3</v>
      </c>
      <c r="H174" s="10">
        <v>0.13</v>
      </c>
      <c r="I174" s="10"/>
      <c r="J174" t="s">
        <v>9240</v>
      </c>
      <c r="K174" s="658"/>
    </row>
    <row r="175" spans="1:11" customFormat="1" x14ac:dyDescent="0.25">
      <c r="A175" s="128"/>
      <c r="C175" s="4" t="s">
        <v>9239</v>
      </c>
      <c r="G175" s="537"/>
      <c r="H175" s="10"/>
      <c r="I175" s="10"/>
      <c r="K175" s="658"/>
    </row>
    <row r="176" spans="1:11" customFormat="1" x14ac:dyDescent="0.25">
      <c r="A176" s="128"/>
      <c r="C176" t="s">
        <v>2405</v>
      </c>
      <c r="G176" s="537" t="s">
        <v>3</v>
      </c>
      <c r="H176" s="10">
        <v>6.0999999999999999E-2</v>
      </c>
      <c r="I176" s="10"/>
      <c r="J176" t="s">
        <v>9238</v>
      </c>
      <c r="K176" s="658"/>
    </row>
    <row r="177" spans="1:11" customFormat="1" x14ac:dyDescent="0.25">
      <c r="A177" s="128"/>
      <c r="C177" s="4" t="s">
        <v>9237</v>
      </c>
      <c r="G177" s="537"/>
      <c r="H177" s="10"/>
      <c r="I177" s="10"/>
      <c r="K177" s="658"/>
    </row>
    <row r="178" spans="1:11" customFormat="1" x14ac:dyDescent="0.25">
      <c r="A178" s="128"/>
      <c r="C178" t="s">
        <v>1481</v>
      </c>
      <c r="G178" s="537" t="s">
        <v>3</v>
      </c>
      <c r="H178" s="10">
        <v>0.12</v>
      </c>
      <c r="I178" s="10"/>
      <c r="J178" t="s">
        <v>9236</v>
      </c>
      <c r="K178" s="658"/>
    </row>
    <row r="179" spans="1:11" customFormat="1" x14ac:dyDescent="0.25">
      <c r="A179" s="128"/>
      <c r="C179" s="4" t="s">
        <v>9235</v>
      </c>
      <c r="G179" s="537"/>
      <c r="H179" s="10"/>
      <c r="I179" s="10"/>
      <c r="K179" s="658"/>
    </row>
    <row r="180" spans="1:11" customFormat="1" x14ac:dyDescent="0.25">
      <c r="A180" s="128"/>
      <c r="C180" t="s">
        <v>2405</v>
      </c>
      <c r="G180" s="537" t="s">
        <v>3</v>
      </c>
      <c r="H180" s="10">
        <v>4.2999999999999997E-2</v>
      </c>
      <c r="I180" s="10"/>
      <c r="J180" t="s">
        <v>9234</v>
      </c>
      <c r="K180" s="658"/>
    </row>
    <row r="181" spans="1:11" customFormat="1" x14ac:dyDescent="0.25">
      <c r="A181" s="128"/>
      <c r="G181" s="537"/>
      <c r="H181" s="10"/>
      <c r="I181" s="10"/>
      <c r="K181" s="658"/>
    </row>
    <row r="182" spans="1:11" customFormat="1" x14ac:dyDescent="0.25">
      <c r="A182" s="128"/>
      <c r="B182" s="3" t="s">
        <v>9233</v>
      </c>
      <c r="G182" s="537"/>
      <c r="H182" s="10"/>
      <c r="I182" s="10"/>
      <c r="K182" s="658"/>
    </row>
    <row r="183" spans="1:11" customFormat="1" x14ac:dyDescent="0.25">
      <c r="A183" s="128"/>
      <c r="B183" s="25" t="s">
        <v>114</v>
      </c>
      <c r="G183" s="537" t="s">
        <v>3</v>
      </c>
      <c r="H183" s="10">
        <v>5.0000000000000001E-3</v>
      </c>
      <c r="I183" s="10"/>
      <c r="K183" s="658"/>
    </row>
    <row r="184" spans="1:11" customFormat="1" x14ac:dyDescent="0.25">
      <c r="A184" s="128"/>
      <c r="B184" s="25" t="s">
        <v>164</v>
      </c>
      <c r="G184" s="537" t="s">
        <v>3</v>
      </c>
      <c r="H184" s="10">
        <f>0.3*H183</f>
        <v>1.5E-3</v>
      </c>
      <c r="I184" s="10"/>
      <c r="K184" s="658"/>
    </row>
    <row r="185" spans="1:11" customFormat="1" x14ac:dyDescent="0.25">
      <c r="A185" s="128"/>
      <c r="B185" s="25" t="s">
        <v>8</v>
      </c>
      <c r="G185" s="537" t="s">
        <v>3</v>
      </c>
      <c r="H185" s="10">
        <v>5.0000000000000001E-3</v>
      </c>
      <c r="I185" s="10"/>
      <c r="K185" s="658"/>
    </row>
    <row r="186" spans="1:11" customFormat="1" x14ac:dyDescent="0.25">
      <c r="A186" s="128"/>
      <c r="B186" s="25" t="s">
        <v>12</v>
      </c>
      <c r="G186" s="537" t="s">
        <v>3</v>
      </c>
      <c r="H186" s="10">
        <f>0.3*H185</f>
        <v>1.5E-3</v>
      </c>
      <c r="I186" s="10"/>
      <c r="K186" s="658"/>
    </row>
    <row r="187" spans="1:11" customFormat="1" x14ac:dyDescent="0.25">
      <c r="A187" s="128"/>
      <c r="B187" s="25" t="s">
        <v>72</v>
      </c>
      <c r="G187" s="537" t="s">
        <v>3</v>
      </c>
      <c r="H187" s="10">
        <f>0.325*0.011*2*1.3</f>
        <v>9.2950000000000012E-3</v>
      </c>
      <c r="I187" s="10"/>
      <c r="K187" s="658"/>
    </row>
    <row r="188" spans="1:11" customFormat="1" x14ac:dyDescent="0.25">
      <c r="A188" s="128"/>
      <c r="B188" s="25" t="s">
        <v>11</v>
      </c>
      <c r="G188" s="537" t="s">
        <v>3</v>
      </c>
      <c r="H188" s="10">
        <f>0.3*H187</f>
        <v>2.7885000000000002E-3</v>
      </c>
      <c r="I188" s="10"/>
      <c r="K188" s="658"/>
    </row>
    <row r="189" spans="1:11" customFormat="1" x14ac:dyDescent="0.25">
      <c r="A189" s="128"/>
      <c r="C189" s="4" t="s">
        <v>9232</v>
      </c>
      <c r="G189" s="537"/>
      <c r="H189" s="10"/>
      <c r="I189" s="10"/>
      <c r="K189" s="658"/>
    </row>
    <row r="190" spans="1:11" customFormat="1" x14ac:dyDescent="0.25">
      <c r="A190" s="128"/>
      <c r="C190" t="s">
        <v>1481</v>
      </c>
      <c r="G190" s="537" t="s">
        <v>3</v>
      </c>
      <c r="H190" s="10">
        <v>0.15</v>
      </c>
      <c r="I190" s="10"/>
      <c r="J190" t="s">
        <v>9231</v>
      </c>
      <c r="K190" s="658"/>
    </row>
    <row r="191" spans="1:11" customFormat="1" x14ac:dyDescent="0.25">
      <c r="A191" s="128"/>
      <c r="G191" s="537"/>
      <c r="H191" s="10"/>
      <c r="I191" s="10"/>
      <c r="K191" s="658"/>
    </row>
    <row r="192" spans="1:11" customFormat="1" x14ac:dyDescent="0.25">
      <c r="A192" s="128"/>
      <c r="B192" s="3" t="s">
        <v>9230</v>
      </c>
      <c r="C192" s="3"/>
      <c r="G192" s="537"/>
      <c r="H192" s="10"/>
      <c r="I192" s="10"/>
      <c r="K192" s="658"/>
    </row>
    <row r="193" spans="1:11" customFormat="1" x14ac:dyDescent="0.25">
      <c r="A193" s="128"/>
      <c r="B193" s="25" t="s">
        <v>114</v>
      </c>
      <c r="G193" s="537" t="s">
        <v>3</v>
      </c>
      <c r="H193" s="10">
        <v>5.0000000000000001E-3</v>
      </c>
      <c r="I193" s="10"/>
      <c r="K193" s="658"/>
    </row>
    <row r="194" spans="1:11" customFormat="1" x14ac:dyDescent="0.25">
      <c r="A194" s="128"/>
      <c r="B194" s="25" t="s">
        <v>164</v>
      </c>
      <c r="G194" s="537" t="s">
        <v>3</v>
      </c>
      <c r="H194" s="10">
        <f>0.3*H193</f>
        <v>1.5E-3</v>
      </c>
      <c r="I194" s="10"/>
      <c r="K194" s="658"/>
    </row>
    <row r="195" spans="1:11" customFormat="1" x14ac:dyDescent="0.25">
      <c r="A195" s="128"/>
      <c r="B195" s="25" t="s">
        <v>8</v>
      </c>
      <c r="G195" s="537" t="s">
        <v>3</v>
      </c>
      <c r="H195" s="10">
        <v>5.0000000000000001E-3</v>
      </c>
      <c r="I195" s="10"/>
      <c r="K195" s="658"/>
    </row>
    <row r="196" spans="1:11" customFormat="1" x14ac:dyDescent="0.25">
      <c r="A196" s="128"/>
      <c r="B196" s="25" t="s">
        <v>12</v>
      </c>
      <c r="G196" s="537" t="s">
        <v>3</v>
      </c>
      <c r="H196" s="10">
        <f>0.3*H195</f>
        <v>1.5E-3</v>
      </c>
      <c r="I196" s="10"/>
      <c r="K196" s="658"/>
    </row>
    <row r="197" spans="1:11" customFormat="1" x14ac:dyDescent="0.25">
      <c r="A197" s="128"/>
      <c r="B197" s="25" t="s">
        <v>72</v>
      </c>
      <c r="G197" s="537" t="s">
        <v>3</v>
      </c>
      <c r="H197" s="10">
        <f>0.65*0.011*2*1.3</f>
        <v>1.8590000000000002E-2</v>
      </c>
      <c r="I197" s="10"/>
      <c r="K197" s="658"/>
    </row>
    <row r="198" spans="1:11" customFormat="1" x14ac:dyDescent="0.25">
      <c r="A198" s="128"/>
      <c r="B198" s="25" t="s">
        <v>11</v>
      </c>
      <c r="G198" s="537" t="s">
        <v>3</v>
      </c>
      <c r="H198" s="10">
        <f>0.3*H197</f>
        <v>5.5770000000000004E-3</v>
      </c>
      <c r="I198" s="10"/>
      <c r="K198" s="658"/>
    </row>
    <row r="199" spans="1:11" customFormat="1" x14ac:dyDescent="0.25">
      <c r="A199" s="128"/>
      <c r="C199" s="4" t="s">
        <v>9229</v>
      </c>
      <c r="G199" s="537"/>
      <c r="H199" s="10"/>
      <c r="I199" s="10"/>
      <c r="K199" s="658"/>
    </row>
    <row r="200" spans="1:11" customFormat="1" x14ac:dyDescent="0.25">
      <c r="A200" s="128"/>
      <c r="C200" t="s">
        <v>2405</v>
      </c>
      <c r="G200" s="537" t="s">
        <v>3</v>
      </c>
      <c r="H200" s="10">
        <v>0.113</v>
      </c>
      <c r="I200" s="10"/>
      <c r="J200" t="s">
        <v>9228</v>
      </c>
      <c r="K200" s="658"/>
    </row>
    <row r="201" spans="1:11" customFormat="1" x14ac:dyDescent="0.25">
      <c r="A201" s="128"/>
      <c r="G201" s="537"/>
      <c r="H201" s="10"/>
      <c r="I201" s="10"/>
      <c r="K201" s="658"/>
    </row>
    <row r="202" spans="1:11" customFormat="1" x14ac:dyDescent="0.25">
      <c r="A202" s="128"/>
      <c r="B202" s="3" t="s">
        <v>9227</v>
      </c>
      <c r="G202" s="537"/>
      <c r="H202" s="10"/>
      <c r="I202" s="10"/>
      <c r="K202" s="658"/>
    </row>
    <row r="203" spans="1:11" customFormat="1" x14ac:dyDescent="0.25">
      <c r="A203" s="128"/>
      <c r="B203" s="25" t="s">
        <v>114</v>
      </c>
      <c r="G203" s="537" t="s">
        <v>3</v>
      </c>
      <c r="H203" s="10">
        <v>5.0000000000000001E-3</v>
      </c>
      <c r="I203" s="10"/>
      <c r="K203" s="658"/>
    </row>
    <row r="204" spans="1:11" customFormat="1" x14ac:dyDescent="0.25">
      <c r="A204" s="128"/>
      <c r="B204" s="25" t="s">
        <v>164</v>
      </c>
      <c r="G204" s="537" t="s">
        <v>3</v>
      </c>
      <c r="H204" s="10">
        <f>0.3*H203</f>
        <v>1.5E-3</v>
      </c>
      <c r="I204" s="10"/>
      <c r="K204" s="658"/>
    </row>
    <row r="205" spans="1:11" customFormat="1" x14ac:dyDescent="0.25">
      <c r="A205" s="128"/>
      <c r="B205" s="25" t="s">
        <v>8</v>
      </c>
      <c r="G205" s="537" t="s">
        <v>3</v>
      </c>
      <c r="H205" s="10">
        <v>5.0000000000000001E-3</v>
      </c>
      <c r="I205" s="10"/>
      <c r="K205" s="658"/>
    </row>
    <row r="206" spans="1:11" customFormat="1" x14ac:dyDescent="0.25">
      <c r="A206" s="128"/>
      <c r="B206" s="25" t="s">
        <v>12</v>
      </c>
      <c r="G206" s="537" t="s">
        <v>3</v>
      </c>
      <c r="H206" s="10">
        <f>0.3*H205</f>
        <v>1.5E-3</v>
      </c>
      <c r="I206" s="10"/>
      <c r="K206" s="658"/>
    </row>
    <row r="207" spans="1:11" customFormat="1" x14ac:dyDescent="0.25">
      <c r="A207" s="128"/>
      <c r="B207" s="25" t="s">
        <v>72</v>
      </c>
      <c r="G207" s="537" t="s">
        <v>3</v>
      </c>
      <c r="H207" s="10">
        <f>0.37*0.011*2*1.3</f>
        <v>1.0581999999999999E-2</v>
      </c>
      <c r="I207" s="10"/>
      <c r="K207" s="658"/>
    </row>
    <row r="208" spans="1:11" customFormat="1" x14ac:dyDescent="0.25">
      <c r="A208" s="128"/>
      <c r="B208" s="25" t="s">
        <v>11</v>
      </c>
      <c r="G208" s="537" t="s">
        <v>3</v>
      </c>
      <c r="H208" s="10">
        <f>0.3*H207</f>
        <v>3.1745999999999996E-3</v>
      </c>
      <c r="I208" s="10"/>
      <c r="K208" s="658"/>
    </row>
    <row r="209" spans="1:11" customFormat="1" x14ac:dyDescent="0.25">
      <c r="A209" s="128"/>
      <c r="C209" s="4" t="s">
        <v>9226</v>
      </c>
      <c r="G209" s="537"/>
      <c r="H209" s="10"/>
      <c r="I209" s="10"/>
      <c r="K209" s="658"/>
    </row>
    <row r="210" spans="1:11" customFormat="1" x14ac:dyDescent="0.25">
      <c r="A210" s="128"/>
      <c r="C210" t="s">
        <v>1481</v>
      </c>
      <c r="G210" s="537" t="s">
        <v>3</v>
      </c>
      <c r="H210" s="10">
        <v>0.15</v>
      </c>
      <c r="I210" s="10"/>
      <c r="J210" t="s">
        <v>9225</v>
      </c>
      <c r="K210" s="658"/>
    </row>
    <row r="211" spans="1:11" customFormat="1" x14ac:dyDescent="0.25">
      <c r="A211" s="128"/>
      <c r="G211" s="537"/>
      <c r="H211" s="10"/>
      <c r="I211" s="10"/>
      <c r="K211" s="658"/>
    </row>
    <row r="212" spans="1:11" customFormat="1" x14ac:dyDescent="0.25">
      <c r="A212" s="128"/>
      <c r="B212" s="3" t="s">
        <v>9224</v>
      </c>
      <c r="G212" s="537"/>
      <c r="H212" s="10"/>
      <c r="I212" s="10"/>
      <c r="K212" s="658"/>
    </row>
    <row r="213" spans="1:11" customFormat="1" x14ac:dyDescent="0.25">
      <c r="A213" s="128"/>
      <c r="B213" s="25" t="s">
        <v>114</v>
      </c>
      <c r="G213" s="537" t="s">
        <v>3</v>
      </c>
      <c r="H213" s="10">
        <v>4.0000000000000001E-3</v>
      </c>
      <c r="I213" s="10"/>
      <c r="K213" s="658"/>
    </row>
    <row r="214" spans="1:11" customFormat="1" x14ac:dyDescent="0.25">
      <c r="A214" s="128"/>
      <c r="B214" s="25" t="s">
        <v>164</v>
      </c>
      <c r="G214" s="537" t="s">
        <v>3</v>
      </c>
      <c r="H214" s="10">
        <f>0.3*H213</f>
        <v>1.1999999999999999E-3</v>
      </c>
      <c r="I214" s="10"/>
      <c r="K214" s="658"/>
    </row>
    <row r="215" spans="1:11" customFormat="1" x14ac:dyDescent="0.25">
      <c r="A215" s="128"/>
      <c r="B215" s="25" t="s">
        <v>8</v>
      </c>
      <c r="G215" s="537" t="s">
        <v>3</v>
      </c>
      <c r="H215" s="10">
        <v>4.0000000000000001E-3</v>
      </c>
      <c r="I215" s="10"/>
      <c r="K215" s="658"/>
    </row>
    <row r="216" spans="1:11" customFormat="1" x14ac:dyDescent="0.25">
      <c r="A216" s="128"/>
      <c r="B216" s="25" t="s">
        <v>12</v>
      </c>
      <c r="G216" s="537" t="s">
        <v>3</v>
      </c>
      <c r="H216" s="10">
        <f>0.3*H215</f>
        <v>1.1999999999999999E-3</v>
      </c>
      <c r="I216" s="10"/>
      <c r="K216" s="658"/>
    </row>
    <row r="217" spans="1:11" customFormat="1" x14ac:dyDescent="0.25">
      <c r="A217" s="128"/>
      <c r="B217" s="25" t="s">
        <v>72</v>
      </c>
      <c r="G217" s="537" t="s">
        <v>3</v>
      </c>
      <c r="H217" s="10">
        <f>0.27*0.011*2*1.3</f>
        <v>7.7220000000000006E-3</v>
      </c>
      <c r="I217" s="10"/>
      <c r="K217" s="658"/>
    </row>
    <row r="218" spans="1:11" customFormat="1" x14ac:dyDescent="0.25">
      <c r="A218" s="128"/>
      <c r="B218" s="25" t="s">
        <v>11</v>
      </c>
      <c r="G218" s="537" t="s">
        <v>3</v>
      </c>
      <c r="H218" s="10">
        <f>0.3*H217</f>
        <v>2.3166000000000003E-3</v>
      </c>
      <c r="I218" s="10"/>
      <c r="K218" s="658"/>
    </row>
    <row r="219" spans="1:11" customFormat="1" x14ac:dyDescent="0.25">
      <c r="A219" s="128"/>
      <c r="C219" s="4" t="s">
        <v>9223</v>
      </c>
      <c r="G219" s="537"/>
      <c r="H219" s="10"/>
      <c r="I219" s="10"/>
      <c r="K219" s="658"/>
    </row>
    <row r="220" spans="1:11" customFormat="1" x14ac:dyDescent="0.25">
      <c r="A220" s="128"/>
      <c r="C220" t="s">
        <v>1481</v>
      </c>
      <c r="G220" s="537" t="s">
        <v>3</v>
      </c>
      <c r="H220" s="10">
        <v>0.12</v>
      </c>
      <c r="I220" s="10"/>
      <c r="J220" t="s">
        <v>9222</v>
      </c>
      <c r="K220" s="658"/>
    </row>
    <row r="221" spans="1:11" customFormat="1" x14ac:dyDescent="0.25">
      <c r="A221" s="128"/>
      <c r="G221" s="537"/>
      <c r="H221" s="10"/>
      <c r="I221" s="10"/>
      <c r="K221" s="658"/>
    </row>
    <row r="222" spans="1:11" customFormat="1" x14ac:dyDescent="0.25">
      <c r="A222" s="128"/>
      <c r="B222" s="3" t="s">
        <v>9221</v>
      </c>
      <c r="G222" s="537"/>
      <c r="H222" s="10"/>
      <c r="I222" s="10"/>
      <c r="K222" s="658"/>
    </row>
    <row r="223" spans="1:11" customFormat="1" x14ac:dyDescent="0.25">
      <c r="A223" s="128"/>
      <c r="B223" s="25" t="s">
        <v>114</v>
      </c>
      <c r="G223" s="537" t="s">
        <v>3</v>
      </c>
      <c r="H223" s="10">
        <v>1.4E-2</v>
      </c>
      <c r="I223" s="10"/>
      <c r="K223" s="658"/>
    </row>
    <row r="224" spans="1:11" customFormat="1" x14ac:dyDescent="0.25">
      <c r="A224" s="128"/>
      <c r="B224" s="25" t="s">
        <v>164</v>
      </c>
      <c r="G224" s="537" t="s">
        <v>3</v>
      </c>
      <c r="H224" s="10">
        <f>0.3*H223</f>
        <v>4.1999999999999997E-3</v>
      </c>
      <c r="I224" s="10"/>
      <c r="K224" s="658"/>
    </row>
    <row r="225" spans="1:11" customFormat="1" x14ac:dyDescent="0.25">
      <c r="A225" s="128"/>
      <c r="B225" s="25" t="s">
        <v>8</v>
      </c>
      <c r="G225" s="537" t="s">
        <v>3</v>
      </c>
      <c r="H225" s="10">
        <v>1.4E-2</v>
      </c>
      <c r="I225" s="10"/>
      <c r="K225" s="658"/>
    </row>
    <row r="226" spans="1:11" customFormat="1" x14ac:dyDescent="0.25">
      <c r="A226" s="128"/>
      <c r="B226" s="25" t="s">
        <v>12</v>
      </c>
      <c r="G226" s="537" t="s">
        <v>3</v>
      </c>
      <c r="H226" s="10">
        <f>0.3*H225</f>
        <v>4.1999999999999997E-3</v>
      </c>
      <c r="I226" s="10"/>
      <c r="K226" s="658"/>
    </row>
    <row r="227" spans="1:11" customFormat="1" x14ac:dyDescent="0.25">
      <c r="A227" s="128"/>
      <c r="B227" s="25" t="s">
        <v>72</v>
      </c>
      <c r="G227" s="537" t="s">
        <v>3</v>
      </c>
      <c r="H227" s="10">
        <f>1.15*0.011*2*1.1</f>
        <v>2.7829999999999997E-2</v>
      </c>
      <c r="I227" s="10"/>
      <c r="K227" s="658"/>
    </row>
    <row r="228" spans="1:11" customFormat="1" x14ac:dyDescent="0.25">
      <c r="A228" s="128"/>
      <c r="B228" s="25" t="s">
        <v>11</v>
      </c>
      <c r="G228" s="537" t="s">
        <v>3</v>
      </c>
      <c r="H228" s="10">
        <f>0.3*H227</f>
        <v>8.3489999999999988E-3</v>
      </c>
      <c r="I228" s="10"/>
      <c r="K228" s="658"/>
    </row>
    <row r="229" spans="1:11" customFormat="1" x14ac:dyDescent="0.25">
      <c r="A229" s="128"/>
      <c r="C229" s="3" t="s">
        <v>9220</v>
      </c>
      <c r="G229" s="537"/>
      <c r="H229" s="10"/>
      <c r="I229" s="10"/>
      <c r="K229" s="658"/>
    </row>
    <row r="230" spans="1:11" customFormat="1" x14ac:dyDescent="0.25">
      <c r="A230" s="128"/>
      <c r="C230" t="s">
        <v>1481</v>
      </c>
      <c r="G230" s="537" t="s">
        <v>3</v>
      </c>
      <c r="H230" s="10">
        <v>0.39</v>
      </c>
      <c r="I230" s="10"/>
      <c r="J230" t="s">
        <v>9219</v>
      </c>
      <c r="K230" s="658"/>
    </row>
    <row r="231" spans="1:11" customFormat="1" x14ac:dyDescent="0.25">
      <c r="A231" s="128"/>
      <c r="C231" s="3"/>
      <c r="G231" s="537"/>
      <c r="H231" s="10"/>
      <c r="I231" s="10"/>
      <c r="K231" s="658"/>
    </row>
    <row r="232" spans="1:11" customFormat="1" x14ac:dyDescent="0.25">
      <c r="A232" s="128"/>
      <c r="B232" s="3" t="s">
        <v>9218</v>
      </c>
      <c r="G232" s="537"/>
      <c r="H232" s="10"/>
      <c r="I232" s="10"/>
      <c r="K232" s="658"/>
    </row>
    <row r="233" spans="1:11" customFormat="1" x14ac:dyDescent="0.25">
      <c r="A233" s="128"/>
      <c r="B233" s="25" t="s">
        <v>114</v>
      </c>
      <c r="G233" s="537" t="s">
        <v>3</v>
      </c>
      <c r="H233" s="10">
        <v>4.2000000000000003E-2</v>
      </c>
      <c r="I233" s="10"/>
      <c r="K233" s="658"/>
    </row>
    <row r="234" spans="1:11" customFormat="1" x14ac:dyDescent="0.25">
      <c r="A234" s="128"/>
      <c r="B234" s="25" t="s">
        <v>164</v>
      </c>
      <c r="G234" s="537" t="s">
        <v>3</v>
      </c>
      <c r="H234" s="10">
        <f>0.3*H233</f>
        <v>1.26E-2</v>
      </c>
      <c r="I234" s="10"/>
      <c r="K234" s="658"/>
    </row>
    <row r="235" spans="1:11" customFormat="1" x14ac:dyDescent="0.25">
      <c r="A235" s="128"/>
      <c r="B235" s="25" t="s">
        <v>8</v>
      </c>
      <c r="G235" s="537" t="s">
        <v>3</v>
      </c>
      <c r="H235" s="10">
        <v>4.2000000000000003E-2</v>
      </c>
      <c r="I235" s="10"/>
      <c r="K235" s="658"/>
    </row>
    <row r="236" spans="1:11" customFormat="1" x14ac:dyDescent="0.25">
      <c r="A236" s="128"/>
      <c r="B236" s="25" t="s">
        <v>12</v>
      </c>
      <c r="G236" s="537" t="s">
        <v>3</v>
      </c>
      <c r="H236" s="10">
        <f>0.3*H235</f>
        <v>1.26E-2</v>
      </c>
      <c r="I236" s="10"/>
      <c r="K236" s="658"/>
    </row>
    <row r="237" spans="1:11" customFormat="1" x14ac:dyDescent="0.25">
      <c r="A237" s="128"/>
      <c r="B237" s="25" t="s">
        <v>72</v>
      </c>
      <c r="G237" s="537" t="s">
        <v>3</v>
      </c>
      <c r="H237" s="10">
        <f>3.52*0.011*2*1.1</f>
        <v>8.5183999999999996E-2</v>
      </c>
      <c r="I237" s="10"/>
      <c r="K237" s="658"/>
    </row>
    <row r="238" spans="1:11" customFormat="1" x14ac:dyDescent="0.25">
      <c r="A238" s="128"/>
      <c r="B238" s="25" t="s">
        <v>11</v>
      </c>
      <c r="G238" s="537" t="s">
        <v>3</v>
      </c>
      <c r="H238" s="10">
        <f>0.3*H237</f>
        <v>2.5555199999999997E-2</v>
      </c>
      <c r="I238" s="10"/>
      <c r="K238" s="658"/>
    </row>
    <row r="239" spans="1:11" customFormat="1" x14ac:dyDescent="0.25">
      <c r="A239" s="128"/>
      <c r="C239" s="3" t="s">
        <v>9217</v>
      </c>
      <c r="G239" s="537"/>
      <c r="H239" s="10"/>
      <c r="I239" s="10"/>
      <c r="K239" s="658"/>
    </row>
    <row r="240" spans="1:11" customFormat="1" x14ac:dyDescent="0.25">
      <c r="A240" s="128"/>
      <c r="C240" t="s">
        <v>1481</v>
      </c>
      <c r="G240" s="537" t="s">
        <v>3</v>
      </c>
      <c r="H240" s="10">
        <v>1.1399999999999999</v>
      </c>
      <c r="I240" s="10"/>
      <c r="J240" t="s">
        <v>9216</v>
      </c>
      <c r="K240" s="658"/>
    </row>
    <row r="241" spans="1:11" customFormat="1" x14ac:dyDescent="0.25">
      <c r="A241" s="128"/>
      <c r="C241" s="3"/>
      <c r="G241" s="537"/>
      <c r="H241" s="10"/>
      <c r="I241" s="10"/>
      <c r="K241" s="658"/>
    </row>
    <row r="242" spans="1:11" customFormat="1" x14ac:dyDescent="0.25">
      <c r="A242" s="128"/>
      <c r="B242" s="3" t="s">
        <v>9215</v>
      </c>
      <c r="G242" s="537"/>
      <c r="H242" s="10"/>
      <c r="I242" s="10"/>
      <c r="K242" s="658"/>
    </row>
    <row r="243" spans="1:11" customFormat="1" x14ac:dyDescent="0.25">
      <c r="A243" s="128"/>
      <c r="B243" s="25" t="s">
        <v>114</v>
      </c>
      <c r="G243" s="537" t="s">
        <v>3</v>
      </c>
      <c r="H243" s="10">
        <v>3.5000000000000003E-2</v>
      </c>
      <c r="I243" s="10"/>
      <c r="K243" s="658"/>
    </row>
    <row r="244" spans="1:11" customFormat="1" x14ac:dyDescent="0.25">
      <c r="A244" s="128"/>
      <c r="B244" s="25" t="s">
        <v>164</v>
      </c>
      <c r="G244" s="537" t="s">
        <v>3</v>
      </c>
      <c r="H244" s="10">
        <f>0.3*H243</f>
        <v>1.0500000000000001E-2</v>
      </c>
      <c r="I244" s="10"/>
      <c r="K244" s="658"/>
    </row>
    <row r="245" spans="1:11" customFormat="1" x14ac:dyDescent="0.25">
      <c r="A245" s="128"/>
      <c r="B245" s="25" t="s">
        <v>8</v>
      </c>
      <c r="G245" s="537" t="s">
        <v>3</v>
      </c>
      <c r="H245" s="10">
        <v>3.5000000000000003E-2</v>
      </c>
      <c r="I245" s="10"/>
      <c r="K245" s="658"/>
    </row>
    <row r="246" spans="1:11" customFormat="1" x14ac:dyDescent="0.25">
      <c r="A246" s="128"/>
      <c r="B246" s="25" t="s">
        <v>12</v>
      </c>
      <c r="G246" s="537" t="s">
        <v>3</v>
      </c>
      <c r="H246" s="10">
        <f>0.3*H245</f>
        <v>1.0500000000000001E-2</v>
      </c>
      <c r="I246" s="10"/>
      <c r="K246" s="658"/>
    </row>
    <row r="247" spans="1:11" customFormat="1" x14ac:dyDescent="0.25">
      <c r="A247" s="128"/>
      <c r="B247" s="25" t="s">
        <v>72</v>
      </c>
      <c r="G247" s="537" t="s">
        <v>3</v>
      </c>
      <c r="H247" s="10">
        <f>2.86*0.011*2*1.1</f>
        <v>6.9211999999999996E-2</v>
      </c>
      <c r="I247" s="10"/>
      <c r="K247" s="658"/>
    </row>
    <row r="248" spans="1:11" customFormat="1" x14ac:dyDescent="0.25">
      <c r="A248" s="128"/>
      <c r="B248" s="25" t="s">
        <v>11</v>
      </c>
      <c r="G248" s="537" t="s">
        <v>3</v>
      </c>
      <c r="H248" s="10">
        <f>0.3*H247</f>
        <v>2.0763599999999997E-2</v>
      </c>
      <c r="I248" s="10"/>
      <c r="K248" s="658"/>
    </row>
    <row r="249" spans="1:11" customFormat="1" x14ac:dyDescent="0.25">
      <c r="A249" s="128"/>
      <c r="C249" s="3" t="s">
        <v>9214</v>
      </c>
      <c r="G249" s="537"/>
      <c r="H249" s="10"/>
      <c r="I249" s="10"/>
      <c r="K249" s="658"/>
    </row>
    <row r="250" spans="1:11" customFormat="1" x14ac:dyDescent="0.25">
      <c r="A250" s="128"/>
      <c r="C250" t="s">
        <v>1481</v>
      </c>
      <c r="G250" s="537"/>
      <c r="H250" s="10">
        <v>0.97</v>
      </c>
      <c r="I250" s="10"/>
      <c r="J250" t="s">
        <v>9213</v>
      </c>
      <c r="K250" s="658"/>
    </row>
    <row r="251" spans="1:11" customFormat="1" x14ac:dyDescent="0.25">
      <c r="A251" s="128"/>
      <c r="G251" s="537"/>
      <c r="H251" s="10"/>
      <c r="I251" s="10"/>
      <c r="K251" s="658"/>
    </row>
    <row r="252" spans="1:11" customFormat="1" x14ac:dyDescent="0.25">
      <c r="A252" s="128"/>
      <c r="B252" s="3" t="s">
        <v>9212</v>
      </c>
      <c r="G252" s="537"/>
      <c r="H252" s="10"/>
      <c r="I252" s="10"/>
      <c r="K252" s="658"/>
    </row>
    <row r="253" spans="1:11" customFormat="1" x14ac:dyDescent="0.25">
      <c r="A253" s="128"/>
      <c r="B253" s="25" t="s">
        <v>114</v>
      </c>
      <c r="G253" s="537" t="s">
        <v>3</v>
      </c>
      <c r="H253" s="10">
        <v>1.2E-2</v>
      </c>
      <c r="I253" s="10"/>
      <c r="K253" s="658"/>
    </row>
    <row r="254" spans="1:11" customFormat="1" x14ac:dyDescent="0.25">
      <c r="A254" s="128"/>
      <c r="B254" s="25" t="s">
        <v>164</v>
      </c>
      <c r="G254" s="537" t="s">
        <v>3</v>
      </c>
      <c r="H254" s="10">
        <f>0.3*H253</f>
        <v>3.5999999999999999E-3</v>
      </c>
      <c r="I254" s="10"/>
      <c r="K254" s="658"/>
    </row>
    <row r="255" spans="1:11" customFormat="1" x14ac:dyDescent="0.25">
      <c r="A255" s="128"/>
      <c r="B255" s="25" t="s">
        <v>8</v>
      </c>
      <c r="G255" s="537" t="s">
        <v>3</v>
      </c>
      <c r="H255" s="10">
        <v>1.2E-2</v>
      </c>
      <c r="I255" s="10"/>
      <c r="K255" s="658"/>
    </row>
    <row r="256" spans="1:11" customFormat="1" x14ac:dyDescent="0.25">
      <c r="A256" s="128"/>
      <c r="B256" s="25" t="s">
        <v>12</v>
      </c>
      <c r="G256" s="537" t="s">
        <v>3</v>
      </c>
      <c r="H256" s="10">
        <f>0.3*H255</f>
        <v>3.5999999999999999E-3</v>
      </c>
      <c r="I256" s="10"/>
      <c r="K256" s="658"/>
    </row>
    <row r="257" spans="1:11" customFormat="1" x14ac:dyDescent="0.25">
      <c r="A257" s="128"/>
      <c r="B257" s="25" t="s">
        <v>72</v>
      </c>
      <c r="G257" s="537" t="s">
        <v>3</v>
      </c>
      <c r="H257" s="10">
        <f>0.92*0.011*2*1.2</f>
        <v>2.4288000000000001E-2</v>
      </c>
      <c r="I257" s="10"/>
      <c r="K257" s="658"/>
    </row>
    <row r="258" spans="1:11" customFormat="1" x14ac:dyDescent="0.25">
      <c r="A258" s="128"/>
      <c r="B258" s="25" t="s">
        <v>11</v>
      </c>
      <c r="G258" s="537" t="s">
        <v>3</v>
      </c>
      <c r="H258" s="10">
        <f>0.3*H257</f>
        <v>7.2864000000000002E-3</v>
      </c>
      <c r="I258" s="10"/>
      <c r="K258" s="658"/>
    </row>
    <row r="259" spans="1:11" customFormat="1" x14ac:dyDescent="0.25">
      <c r="A259" s="128"/>
      <c r="C259" s="3" t="s">
        <v>9211</v>
      </c>
      <c r="G259" s="537"/>
      <c r="H259" s="10"/>
      <c r="I259" s="10"/>
      <c r="K259" s="658"/>
    </row>
    <row r="260" spans="1:11" customFormat="1" x14ac:dyDescent="0.25">
      <c r="A260" s="128"/>
      <c r="C260" t="s">
        <v>2405</v>
      </c>
      <c r="G260" s="537" t="s">
        <v>3</v>
      </c>
      <c r="H260" s="10">
        <v>0.185</v>
      </c>
      <c r="I260" s="10"/>
      <c r="J260" t="s">
        <v>9210</v>
      </c>
      <c r="K260" s="658"/>
    </row>
    <row r="261" spans="1:11" customFormat="1" x14ac:dyDescent="0.25">
      <c r="A261" s="128"/>
      <c r="G261" s="537"/>
      <c r="H261" s="10"/>
      <c r="I261" s="10"/>
      <c r="K261" s="658"/>
    </row>
    <row r="262" spans="1:11" customFormat="1" x14ac:dyDescent="0.25">
      <c r="A262" s="128"/>
      <c r="B262" s="3" t="s">
        <v>9209</v>
      </c>
      <c r="G262" s="687"/>
      <c r="H262" s="10"/>
      <c r="I262" s="10"/>
      <c r="K262" s="658"/>
    </row>
    <row r="263" spans="1:11" customFormat="1" x14ac:dyDescent="0.25">
      <c r="A263" s="128"/>
      <c r="B263" s="25" t="s">
        <v>9208</v>
      </c>
      <c r="G263" s="537" t="s">
        <v>3</v>
      </c>
      <c r="H263" s="10">
        <v>1E-3</v>
      </c>
      <c r="I263" s="10"/>
      <c r="K263" s="658"/>
    </row>
    <row r="264" spans="1:11" customFormat="1" x14ac:dyDescent="0.25">
      <c r="A264" s="128"/>
      <c r="C264" s="3" t="s">
        <v>9207</v>
      </c>
      <c r="G264" s="537"/>
      <c r="H264" s="10"/>
      <c r="I264" s="10"/>
      <c r="J264" s="537" t="s">
        <v>9204</v>
      </c>
      <c r="K264" s="686" t="s">
        <v>9203</v>
      </c>
    </row>
    <row r="265" spans="1:11" customFormat="1" x14ac:dyDescent="0.25">
      <c r="A265" s="128"/>
      <c r="C265" s="25" t="s">
        <v>9206</v>
      </c>
      <c r="G265" s="537" t="s">
        <v>3</v>
      </c>
      <c r="H265" s="10">
        <f>0.023*0.023*1.5*8*1.05</f>
        <v>6.6654000000000001E-3</v>
      </c>
      <c r="I265" s="10"/>
      <c r="K265" s="658"/>
    </row>
    <row r="266" spans="1:11" customFormat="1" x14ac:dyDescent="0.25">
      <c r="A266" s="128"/>
      <c r="C266" s="3"/>
      <c r="G266" s="537"/>
      <c r="H266" s="10"/>
      <c r="I266" s="10"/>
      <c r="K266" s="658"/>
    </row>
    <row r="267" spans="1:11" customFormat="1" x14ac:dyDescent="0.25">
      <c r="A267" s="128"/>
      <c r="C267" s="3" t="s">
        <v>9205</v>
      </c>
      <c r="G267" s="537"/>
      <c r="H267" s="10"/>
      <c r="I267" s="10"/>
      <c r="J267" s="537" t="s">
        <v>9204</v>
      </c>
      <c r="K267" s="686" t="s">
        <v>9203</v>
      </c>
    </row>
    <row r="268" spans="1:11" customFormat="1" x14ac:dyDescent="0.25">
      <c r="A268" s="128"/>
      <c r="C268" s="25" t="s">
        <v>9202</v>
      </c>
      <c r="G268" s="537" t="s">
        <v>3</v>
      </c>
      <c r="H268" s="10">
        <f>0.02*0.02*1.5*8.2*1.12</f>
        <v>5.5104000000000004E-3</v>
      </c>
      <c r="I268" s="10"/>
      <c r="K268" s="658"/>
    </row>
    <row r="269" spans="1:11" customFormat="1" x14ac:dyDescent="0.25">
      <c r="A269" s="128"/>
      <c r="G269" s="537"/>
      <c r="H269" s="10"/>
      <c r="I269" s="10"/>
      <c r="K269" s="658"/>
    </row>
    <row r="270" spans="1:11" customFormat="1" x14ac:dyDescent="0.25">
      <c r="A270" s="128"/>
      <c r="B270" s="3" t="s">
        <v>9201</v>
      </c>
      <c r="G270" s="537"/>
      <c r="H270" s="10"/>
      <c r="I270" s="10"/>
      <c r="K270" s="658"/>
    </row>
    <row r="271" spans="1:11" customFormat="1" x14ac:dyDescent="0.25">
      <c r="A271" s="128"/>
      <c r="B271" s="3"/>
      <c r="C271" t="s">
        <v>9200</v>
      </c>
      <c r="G271" s="537" t="s">
        <v>3</v>
      </c>
      <c r="H271" s="10">
        <f>0.082*0.035*0.25*8*1.15</f>
        <v>6.601000000000001E-3</v>
      </c>
      <c r="I271" s="10"/>
      <c r="K271" s="658"/>
    </row>
    <row r="272" spans="1:11" customFormat="1" x14ac:dyDescent="0.25">
      <c r="A272" s="128"/>
      <c r="B272" s="3"/>
      <c r="G272" s="537"/>
      <c r="H272" s="10"/>
      <c r="I272" s="10"/>
      <c r="K272" s="658"/>
    </row>
    <row r="273" spans="1:11" customFormat="1" x14ac:dyDescent="0.25">
      <c r="A273" s="128"/>
      <c r="B273" s="3" t="s">
        <v>9199</v>
      </c>
      <c r="G273" s="537"/>
      <c r="H273" s="10"/>
      <c r="I273" s="10"/>
      <c r="K273" s="658"/>
    </row>
    <row r="274" spans="1:11" customFormat="1" x14ac:dyDescent="0.25">
      <c r="A274" s="128"/>
      <c r="B274" s="3"/>
      <c r="C274" t="s">
        <v>9197</v>
      </c>
      <c r="G274" s="537" t="s">
        <v>3</v>
      </c>
      <c r="H274" s="10">
        <v>1.4999999999999999E-2</v>
      </c>
      <c r="I274" s="10"/>
      <c r="K274" s="658"/>
    </row>
    <row r="275" spans="1:11" customFormat="1" x14ac:dyDescent="0.25">
      <c r="A275" s="128"/>
      <c r="B275" s="3"/>
      <c r="G275" s="537"/>
      <c r="H275" s="10"/>
      <c r="I275" s="10"/>
      <c r="K275" s="658"/>
    </row>
    <row r="276" spans="1:11" customFormat="1" x14ac:dyDescent="0.25">
      <c r="A276" s="128"/>
      <c r="B276" s="3" t="s">
        <v>9198</v>
      </c>
      <c r="G276" s="537"/>
      <c r="H276" s="10"/>
      <c r="I276" s="10"/>
      <c r="K276" s="658"/>
    </row>
    <row r="277" spans="1:11" customFormat="1" x14ac:dyDescent="0.25">
      <c r="A277" s="128"/>
      <c r="B277" s="3"/>
      <c r="C277" t="s">
        <v>9197</v>
      </c>
      <c r="G277" s="537" t="s">
        <v>3</v>
      </c>
      <c r="H277" s="10">
        <v>1.6E-2</v>
      </c>
      <c r="I277" s="10"/>
      <c r="K277" s="658"/>
    </row>
    <row r="278" spans="1:11" customFormat="1" x14ac:dyDescent="0.25">
      <c r="A278" s="128"/>
      <c r="B278" s="3"/>
      <c r="G278" s="537"/>
      <c r="H278" s="10"/>
      <c r="I278" s="10"/>
      <c r="K278" s="658"/>
    </row>
    <row r="279" spans="1:11" customFormat="1" x14ac:dyDescent="0.25">
      <c r="A279" s="128"/>
      <c r="B279" s="3" t="s">
        <v>9196</v>
      </c>
      <c r="G279" s="128"/>
      <c r="H279" s="10"/>
      <c r="I279" s="10"/>
      <c r="K279" s="658"/>
    </row>
    <row r="280" spans="1:11" customFormat="1" x14ac:dyDescent="0.25">
      <c r="A280" s="128"/>
      <c r="B280" s="3"/>
      <c r="C280" t="s">
        <v>9195</v>
      </c>
      <c r="G280" s="537" t="s">
        <v>3</v>
      </c>
      <c r="H280" s="10">
        <f>0.08*0.016*0.8*8*1.1</f>
        <v>9.0112000000000022E-3</v>
      </c>
      <c r="I280" s="10"/>
      <c r="K280" s="658"/>
    </row>
    <row r="281" spans="1:11" customFormat="1" x14ac:dyDescent="0.25">
      <c r="A281" s="128"/>
      <c r="B281" s="3"/>
      <c r="G281" s="537"/>
      <c r="H281" s="10"/>
      <c r="I281" s="10"/>
      <c r="K281" s="658"/>
    </row>
    <row r="282" spans="1:11" customFormat="1" x14ac:dyDescent="0.25">
      <c r="A282" s="128"/>
      <c r="B282" s="3" t="s">
        <v>6460</v>
      </c>
      <c r="G282" s="537"/>
      <c r="H282" s="10"/>
      <c r="I282" s="10"/>
      <c r="K282" s="658"/>
    </row>
    <row r="283" spans="1:11" customFormat="1" x14ac:dyDescent="0.25">
      <c r="A283" s="128"/>
      <c r="C283" t="s">
        <v>9195</v>
      </c>
      <c r="G283" s="537" t="s">
        <v>3</v>
      </c>
      <c r="H283" s="10">
        <f>0.008*1.15</f>
        <v>9.1999999999999998E-3</v>
      </c>
      <c r="I283" s="10"/>
      <c r="K283" s="658"/>
    </row>
    <row r="284" spans="1:11" customFormat="1" x14ac:dyDescent="0.25">
      <c r="A284" s="128"/>
      <c r="G284" s="537"/>
      <c r="H284" s="10"/>
      <c r="I284" s="10"/>
      <c r="K284" s="658"/>
    </row>
    <row r="285" spans="1:11" customFormat="1" x14ac:dyDescent="0.25">
      <c r="A285" s="128"/>
      <c r="B285" s="3" t="s">
        <v>9194</v>
      </c>
      <c r="G285" s="537"/>
      <c r="H285" s="10"/>
      <c r="I285" s="10"/>
      <c r="K285" s="658"/>
    </row>
    <row r="286" spans="1:11" customFormat="1" x14ac:dyDescent="0.25">
      <c r="A286" s="128"/>
      <c r="B286" t="s">
        <v>8289</v>
      </c>
      <c r="G286" s="537" t="s">
        <v>3</v>
      </c>
      <c r="H286" s="10">
        <f>0.06*0.08*1.3</f>
        <v>6.2399999999999999E-3</v>
      </c>
      <c r="I286" s="10"/>
      <c r="K286" s="658"/>
    </row>
    <row r="287" spans="1:11" customFormat="1" x14ac:dyDescent="0.25">
      <c r="A287" s="128"/>
      <c r="B287" t="s">
        <v>8288</v>
      </c>
      <c r="G287" s="537" t="s">
        <v>3</v>
      </c>
      <c r="H287" s="10">
        <f>H286/3</f>
        <v>2.0799999999999998E-3</v>
      </c>
      <c r="I287" s="10"/>
      <c r="K287" s="658"/>
    </row>
    <row r="288" spans="1:11" customFormat="1" x14ac:dyDescent="0.25">
      <c r="A288" s="128"/>
      <c r="B288" t="s">
        <v>1993</v>
      </c>
      <c r="G288" s="537" t="s">
        <v>3</v>
      </c>
      <c r="H288" s="10">
        <f>H286/2</f>
        <v>3.1199999999999999E-3</v>
      </c>
      <c r="I288" s="10"/>
      <c r="K288" s="658"/>
    </row>
    <row r="289" spans="1:11" customFormat="1" x14ac:dyDescent="0.25">
      <c r="A289" s="128"/>
      <c r="C289" s="4" t="s">
        <v>9193</v>
      </c>
      <c r="G289" s="537"/>
      <c r="H289" s="10"/>
      <c r="I289" s="10"/>
      <c r="K289" s="658"/>
    </row>
    <row r="290" spans="1:11" customFormat="1" x14ac:dyDescent="0.25">
      <c r="A290" s="128"/>
      <c r="C290" t="s">
        <v>8374</v>
      </c>
      <c r="G290" s="537" t="s">
        <v>3</v>
      </c>
      <c r="H290" s="10">
        <f>0.09*0.09*1*8.5*1.05/2</f>
        <v>3.6146249999999998E-2</v>
      </c>
      <c r="I290" s="10"/>
      <c r="K290" s="658"/>
    </row>
    <row r="291" spans="1:11" customFormat="1" x14ac:dyDescent="0.25">
      <c r="A291" s="128"/>
      <c r="G291" s="537"/>
      <c r="H291" s="10"/>
      <c r="I291" s="10"/>
      <c r="K291" s="658"/>
    </row>
    <row r="292" spans="1:11" customFormat="1" x14ac:dyDescent="0.25">
      <c r="A292" s="128"/>
      <c r="B292" s="3" t="s">
        <v>9192</v>
      </c>
      <c r="G292" s="537"/>
      <c r="H292" s="10"/>
      <c r="I292" s="10"/>
      <c r="K292" s="658"/>
    </row>
    <row r="293" spans="1:11" customFormat="1" x14ac:dyDescent="0.25">
      <c r="A293" s="128"/>
      <c r="B293" t="s">
        <v>8289</v>
      </c>
      <c r="G293" s="537" t="s">
        <v>3</v>
      </c>
      <c r="H293" s="10">
        <f>0.06*0.08*1.3</f>
        <v>6.2399999999999999E-3</v>
      </c>
      <c r="I293" s="10"/>
      <c r="K293" s="658"/>
    </row>
    <row r="294" spans="1:11" customFormat="1" x14ac:dyDescent="0.25">
      <c r="A294" s="128"/>
      <c r="B294" t="s">
        <v>8288</v>
      </c>
      <c r="G294" s="537" t="s">
        <v>3</v>
      </c>
      <c r="H294" s="10">
        <f>H293/3</f>
        <v>2.0799999999999998E-3</v>
      </c>
      <c r="I294" s="10"/>
      <c r="K294" s="658"/>
    </row>
    <row r="295" spans="1:11" customFormat="1" x14ac:dyDescent="0.25">
      <c r="A295" s="128"/>
      <c r="B295" t="s">
        <v>1993</v>
      </c>
      <c r="G295" s="537" t="s">
        <v>3</v>
      </c>
      <c r="H295" s="10">
        <f>H293/2</f>
        <v>3.1199999999999999E-3</v>
      </c>
      <c r="I295" s="10"/>
      <c r="K295" s="658"/>
    </row>
    <row r="296" spans="1:11" customFormat="1" x14ac:dyDescent="0.25">
      <c r="A296" s="128"/>
      <c r="C296" s="4" t="s">
        <v>9191</v>
      </c>
      <c r="G296" s="537"/>
      <c r="H296" s="10"/>
      <c r="I296" s="10"/>
      <c r="K296" s="658"/>
    </row>
    <row r="297" spans="1:11" customFormat="1" x14ac:dyDescent="0.25">
      <c r="A297" s="128"/>
      <c r="C297" t="s">
        <v>8374</v>
      </c>
      <c r="G297" s="537" t="s">
        <v>3</v>
      </c>
      <c r="H297" s="10">
        <f>0.11*0.11*1*8.5*1.05/2</f>
        <v>5.3996250000000003E-2</v>
      </c>
      <c r="I297" s="10"/>
      <c r="K297" s="658"/>
    </row>
    <row r="298" spans="1:11" customFormat="1" x14ac:dyDescent="0.25">
      <c r="A298" s="128"/>
      <c r="G298" s="537"/>
      <c r="H298" s="10"/>
      <c r="I298" s="10"/>
      <c r="K298" s="658"/>
    </row>
    <row r="299" spans="1:11" customFormat="1" x14ac:dyDescent="0.25">
      <c r="A299" s="128"/>
      <c r="B299" s="3" t="s">
        <v>9190</v>
      </c>
      <c r="G299" s="537"/>
      <c r="H299" s="10"/>
      <c r="I299" s="10"/>
      <c r="K299" s="658"/>
    </row>
    <row r="300" spans="1:11" customFormat="1" x14ac:dyDescent="0.25">
      <c r="A300" s="128"/>
      <c r="B300" t="s">
        <v>8289</v>
      </c>
      <c r="G300" s="537" t="s">
        <v>3</v>
      </c>
      <c r="H300" s="10">
        <f>0.03*0.08*1.3</f>
        <v>3.1199999999999999E-3</v>
      </c>
      <c r="I300" s="10"/>
      <c r="K300" s="658"/>
    </row>
    <row r="301" spans="1:11" customFormat="1" x14ac:dyDescent="0.25">
      <c r="A301" s="128"/>
      <c r="B301" t="s">
        <v>8288</v>
      </c>
      <c r="G301" s="537" t="s">
        <v>3</v>
      </c>
      <c r="H301" s="10">
        <f>H300/3</f>
        <v>1.0399999999999999E-3</v>
      </c>
      <c r="I301" s="10"/>
      <c r="K301" s="658"/>
    </row>
    <row r="302" spans="1:11" customFormat="1" x14ac:dyDescent="0.25">
      <c r="A302" s="128"/>
      <c r="B302" t="s">
        <v>1993</v>
      </c>
      <c r="G302" s="537" t="s">
        <v>3</v>
      </c>
      <c r="H302" s="10">
        <f>H300/2</f>
        <v>1.56E-3</v>
      </c>
      <c r="I302" s="10"/>
      <c r="K302" s="658"/>
    </row>
    <row r="303" spans="1:11" customFormat="1" x14ac:dyDescent="0.25">
      <c r="A303" s="128"/>
      <c r="C303" s="4" t="s">
        <v>9189</v>
      </c>
      <c r="G303" s="537"/>
      <c r="H303" s="10"/>
      <c r="I303" s="10"/>
      <c r="K303" s="658"/>
    </row>
    <row r="304" spans="1:11" customFormat="1" x14ac:dyDescent="0.25">
      <c r="A304" s="128"/>
      <c r="C304" t="s">
        <v>8374</v>
      </c>
      <c r="G304" s="537" t="s">
        <v>3</v>
      </c>
      <c r="H304" s="10">
        <f>0.04*0.04*1*8.5*1.1</f>
        <v>1.4960000000000003E-2</v>
      </c>
      <c r="I304" s="10"/>
      <c r="K304" s="658"/>
    </row>
    <row r="305" spans="1:11" customFormat="1" x14ac:dyDescent="0.25">
      <c r="A305" s="128"/>
      <c r="G305" s="537"/>
      <c r="H305" s="10"/>
      <c r="I305" s="10"/>
      <c r="K305" s="658"/>
    </row>
    <row r="306" spans="1:11" customFormat="1" x14ac:dyDescent="0.25">
      <c r="A306" s="128"/>
      <c r="B306" s="3" t="s">
        <v>9188</v>
      </c>
      <c r="G306" s="537"/>
      <c r="H306" s="10"/>
      <c r="I306" s="10"/>
      <c r="K306" s="658"/>
    </row>
    <row r="307" spans="1:11" customFormat="1" x14ac:dyDescent="0.25">
      <c r="A307" s="128"/>
      <c r="B307" t="s">
        <v>8289</v>
      </c>
      <c r="G307" s="537" t="s">
        <v>3</v>
      </c>
      <c r="H307" s="10">
        <f>0.03*0.08*1.3</f>
        <v>3.1199999999999999E-3</v>
      </c>
      <c r="I307" s="10"/>
      <c r="K307" s="658"/>
    </row>
    <row r="308" spans="1:11" customFormat="1" x14ac:dyDescent="0.25">
      <c r="A308" s="128"/>
      <c r="B308" t="s">
        <v>8288</v>
      </c>
      <c r="G308" s="537" t="s">
        <v>3</v>
      </c>
      <c r="H308" s="10">
        <f>H307/3</f>
        <v>1.0399999999999999E-3</v>
      </c>
      <c r="I308" s="10"/>
      <c r="K308" s="658"/>
    </row>
    <row r="309" spans="1:11" customFormat="1" x14ac:dyDescent="0.25">
      <c r="A309" s="128"/>
      <c r="B309" t="s">
        <v>1993</v>
      </c>
      <c r="G309" s="537" t="s">
        <v>3</v>
      </c>
      <c r="H309" s="10">
        <f>H307/2</f>
        <v>1.56E-3</v>
      </c>
      <c r="I309" s="10"/>
      <c r="K309" s="658"/>
    </row>
    <row r="310" spans="1:11" customFormat="1" x14ac:dyDescent="0.25">
      <c r="A310" s="128"/>
      <c r="C310" s="4" t="s">
        <v>9187</v>
      </c>
      <c r="G310" s="537"/>
      <c r="H310" s="10"/>
      <c r="I310" s="10"/>
      <c r="K310" s="658"/>
    </row>
    <row r="311" spans="1:11" customFormat="1" x14ac:dyDescent="0.25">
      <c r="A311" s="128"/>
      <c r="C311" t="s">
        <v>8374</v>
      </c>
      <c r="G311" s="537" t="s">
        <v>3</v>
      </c>
      <c r="H311" s="10">
        <f>0.05*0.05*1*8.5*1.1</f>
        <v>2.3375000000000007E-2</v>
      </c>
      <c r="I311" s="10"/>
      <c r="K311" s="658"/>
    </row>
    <row r="312" spans="1:11" customFormat="1" x14ac:dyDescent="0.25">
      <c r="A312" s="128"/>
      <c r="G312" s="537"/>
      <c r="H312" s="10"/>
      <c r="I312" s="10"/>
      <c r="K312" s="658"/>
    </row>
    <row r="313" spans="1:11" customFormat="1" x14ac:dyDescent="0.25">
      <c r="A313" s="128"/>
      <c r="B313" s="3" t="s">
        <v>9186</v>
      </c>
      <c r="G313" s="537"/>
      <c r="H313" s="10"/>
      <c r="I313" s="10"/>
      <c r="K313" s="658"/>
    </row>
    <row r="314" spans="1:11" customFormat="1" x14ac:dyDescent="0.25">
      <c r="A314" s="128"/>
      <c r="B314" t="s">
        <v>8289</v>
      </c>
      <c r="G314" s="537" t="s">
        <v>3</v>
      </c>
      <c r="H314" s="10">
        <f>0.03*0.08*1.3</f>
        <v>3.1199999999999999E-3</v>
      </c>
      <c r="I314" s="10"/>
      <c r="K314" s="658"/>
    </row>
    <row r="315" spans="1:11" customFormat="1" x14ac:dyDescent="0.25">
      <c r="A315" s="128"/>
      <c r="B315" t="s">
        <v>8288</v>
      </c>
      <c r="G315" s="537" t="s">
        <v>3</v>
      </c>
      <c r="H315" s="10">
        <f>H314/3</f>
        <v>1.0399999999999999E-3</v>
      </c>
      <c r="I315" s="10"/>
      <c r="K315" s="658"/>
    </row>
    <row r="316" spans="1:11" customFormat="1" x14ac:dyDescent="0.25">
      <c r="A316" s="128"/>
      <c r="B316" t="s">
        <v>1993</v>
      </c>
      <c r="G316" s="537" t="s">
        <v>3</v>
      </c>
      <c r="H316" s="10">
        <f>H314/2</f>
        <v>1.56E-3</v>
      </c>
      <c r="I316" s="10"/>
      <c r="K316" s="658"/>
    </row>
    <row r="317" spans="1:11" customFormat="1" x14ac:dyDescent="0.25">
      <c r="A317" s="128"/>
      <c r="C317" s="4" t="s">
        <v>9185</v>
      </c>
      <c r="G317" s="537"/>
      <c r="H317" s="10"/>
      <c r="I317" s="10"/>
      <c r="K317" s="658"/>
    </row>
    <row r="318" spans="1:11" customFormat="1" x14ac:dyDescent="0.25">
      <c r="A318" s="128"/>
      <c r="C318" t="s">
        <v>8374</v>
      </c>
      <c r="G318" s="537" t="s">
        <v>3</v>
      </c>
      <c r="H318" s="10">
        <f>0.065*0.065*1*8.5*1.1</f>
        <v>3.9503750000000011E-2</v>
      </c>
      <c r="I318" s="10"/>
      <c r="K318" s="658"/>
    </row>
    <row r="319" spans="1:11" customFormat="1" x14ac:dyDescent="0.25">
      <c r="A319" s="128"/>
      <c r="G319" s="537"/>
      <c r="H319" s="10"/>
      <c r="I319" s="10"/>
      <c r="K319" s="658"/>
    </row>
    <row r="320" spans="1:11" customFormat="1" x14ac:dyDescent="0.25">
      <c r="A320" s="128"/>
      <c r="B320" s="3" t="s">
        <v>9184</v>
      </c>
      <c r="G320" s="537"/>
      <c r="H320" s="10"/>
      <c r="I320" s="10"/>
      <c r="K320" s="658"/>
    </row>
    <row r="321" spans="1:11" customFormat="1" x14ac:dyDescent="0.25">
      <c r="A321" s="128"/>
      <c r="B321" t="s">
        <v>8289</v>
      </c>
      <c r="G321" s="537" t="s">
        <v>3</v>
      </c>
      <c r="H321" s="10">
        <f>0.03*0.08*1.3</f>
        <v>3.1199999999999999E-3</v>
      </c>
      <c r="I321" s="10"/>
      <c r="K321" s="658"/>
    </row>
    <row r="322" spans="1:11" customFormat="1" x14ac:dyDescent="0.25">
      <c r="A322" s="128"/>
      <c r="B322" t="s">
        <v>8288</v>
      </c>
      <c r="G322" s="537" t="s">
        <v>3</v>
      </c>
      <c r="H322" s="10">
        <f>H321/3</f>
        <v>1.0399999999999999E-3</v>
      </c>
      <c r="I322" s="10"/>
      <c r="K322" s="658"/>
    </row>
    <row r="323" spans="1:11" customFormat="1" x14ac:dyDescent="0.25">
      <c r="A323" s="128"/>
      <c r="B323" t="s">
        <v>1993</v>
      </c>
      <c r="G323" s="537" t="s">
        <v>3</v>
      </c>
      <c r="H323" s="10">
        <f>H321/2</f>
        <v>1.56E-3</v>
      </c>
      <c r="I323" s="10"/>
      <c r="K323" s="658"/>
    </row>
    <row r="324" spans="1:11" customFormat="1" x14ac:dyDescent="0.25">
      <c r="A324" s="128"/>
      <c r="C324" s="4" t="s">
        <v>9183</v>
      </c>
      <c r="G324" s="537"/>
      <c r="H324" s="10"/>
      <c r="I324" s="10"/>
      <c r="K324" s="658"/>
    </row>
    <row r="325" spans="1:11" customFormat="1" x14ac:dyDescent="0.25">
      <c r="A325" s="128"/>
      <c r="C325" t="s">
        <v>8374</v>
      </c>
      <c r="G325" s="537" t="s">
        <v>3</v>
      </c>
      <c r="H325" s="10">
        <f>0.08*0.08*1*8.5*1.1</f>
        <v>5.9840000000000011E-2</v>
      </c>
      <c r="I325" s="10"/>
      <c r="K325" s="658"/>
    </row>
    <row r="326" spans="1:11" customFormat="1" x14ac:dyDescent="0.25">
      <c r="A326" s="128"/>
      <c r="G326" s="537"/>
      <c r="H326" s="10"/>
      <c r="I326" s="10"/>
      <c r="K326" s="658"/>
    </row>
    <row r="327" spans="1:11" customFormat="1" x14ac:dyDescent="0.25">
      <c r="A327" s="128"/>
      <c r="B327" s="3" t="s">
        <v>9182</v>
      </c>
      <c r="G327" s="537"/>
      <c r="H327" s="10"/>
      <c r="I327" s="10"/>
      <c r="K327" s="658"/>
    </row>
    <row r="328" spans="1:11" customFormat="1" x14ac:dyDescent="0.25">
      <c r="A328" s="128"/>
      <c r="C328" t="s">
        <v>177</v>
      </c>
      <c r="G328" s="537" t="s">
        <v>3</v>
      </c>
      <c r="H328" s="10">
        <f>0.014*0.009*1*8*1.1</f>
        <v>1.1088000000000001E-3</v>
      </c>
      <c r="I328" s="10"/>
      <c r="K328" s="658"/>
    </row>
    <row r="329" spans="1:11" customFormat="1" x14ac:dyDescent="0.25">
      <c r="A329" s="128"/>
      <c r="G329" s="537"/>
      <c r="H329" s="10"/>
      <c r="I329" s="10"/>
      <c r="K329" s="658"/>
    </row>
    <row r="330" spans="1:11" customFormat="1" x14ac:dyDescent="0.25">
      <c r="A330" s="128"/>
      <c r="B330" s="3" t="s">
        <v>9181</v>
      </c>
      <c r="G330" s="537"/>
      <c r="H330" s="10"/>
      <c r="I330" s="10"/>
      <c r="K330" s="658"/>
    </row>
    <row r="331" spans="1:11" customFormat="1" x14ac:dyDescent="0.25">
      <c r="A331" s="128"/>
      <c r="C331" t="s">
        <v>9180</v>
      </c>
      <c r="G331" s="537" t="s">
        <v>3</v>
      </c>
      <c r="H331" s="10">
        <f>0.07*0.07*1.5*2.2*1.1</f>
        <v>1.7787000000000004E-2</v>
      </c>
      <c r="I331" s="10"/>
      <c r="K331" s="658"/>
    </row>
    <row r="332" spans="1:11" customFormat="1" x14ac:dyDescent="0.25">
      <c r="A332" s="128"/>
      <c r="G332" s="537"/>
      <c r="H332" s="10"/>
      <c r="I332" s="10"/>
      <c r="K332" s="658"/>
    </row>
    <row r="333" spans="1:11" customFormat="1" x14ac:dyDescent="0.25">
      <c r="A333" s="128"/>
      <c r="B333" s="3" t="s">
        <v>9179</v>
      </c>
      <c r="G333" s="537"/>
      <c r="H333" s="10"/>
      <c r="I333" s="10"/>
      <c r="K333" s="658"/>
    </row>
    <row r="334" spans="1:11" customFormat="1" x14ac:dyDescent="0.25">
      <c r="A334" s="128"/>
      <c r="B334" s="3"/>
      <c r="C334" t="s">
        <v>9175</v>
      </c>
      <c r="G334" s="537" t="s">
        <v>3</v>
      </c>
      <c r="H334" s="10">
        <f>0.026*0.021*0.1*8.96*1.1</f>
        <v>5.3813760000000015E-4</v>
      </c>
      <c r="I334" s="10"/>
      <c r="J334" s="2"/>
      <c r="K334" s="658"/>
    </row>
    <row r="335" spans="1:11" customFormat="1" x14ac:dyDescent="0.25">
      <c r="A335" s="128"/>
      <c r="B335" s="3"/>
      <c r="G335" s="537"/>
      <c r="H335" s="10"/>
      <c r="I335" s="10"/>
      <c r="K335" s="658"/>
    </row>
    <row r="336" spans="1:11" customFormat="1" x14ac:dyDescent="0.25">
      <c r="A336" s="128"/>
      <c r="B336" s="3" t="s">
        <v>9178</v>
      </c>
      <c r="G336" s="537"/>
      <c r="H336" s="10"/>
      <c r="I336" s="10"/>
      <c r="K336" s="658"/>
    </row>
    <row r="337" spans="1:11" customFormat="1" x14ac:dyDescent="0.25">
      <c r="A337" s="128"/>
      <c r="B337" s="3"/>
      <c r="C337" t="s">
        <v>9175</v>
      </c>
      <c r="G337" s="537" t="s">
        <v>3</v>
      </c>
      <c r="H337" s="10">
        <f>0.026*0.037*0.1*9*1.1</f>
        <v>9.5237999999999996E-4</v>
      </c>
      <c r="I337" s="10"/>
      <c r="K337" s="658"/>
    </row>
    <row r="338" spans="1:11" customFormat="1" x14ac:dyDescent="0.25">
      <c r="A338" s="128"/>
      <c r="B338" s="3"/>
      <c r="G338" s="537"/>
      <c r="H338" s="10"/>
      <c r="I338" s="10"/>
      <c r="K338" s="658"/>
    </row>
    <row r="339" spans="1:11" customFormat="1" x14ac:dyDescent="0.25">
      <c r="A339" s="128"/>
      <c r="B339" s="3" t="s">
        <v>9177</v>
      </c>
      <c r="G339" s="537"/>
      <c r="H339" s="10"/>
      <c r="I339" s="10"/>
      <c r="K339" s="658"/>
    </row>
    <row r="340" spans="1:11" customFormat="1" x14ac:dyDescent="0.25">
      <c r="A340" s="128"/>
      <c r="B340" s="3"/>
      <c r="C340" t="s">
        <v>9175</v>
      </c>
      <c r="G340" s="537" t="s">
        <v>3</v>
      </c>
      <c r="H340" s="10">
        <f>0.065*0.03*0.1*9*1.2</f>
        <v>2.1059999999999998E-3</v>
      </c>
      <c r="I340" s="10"/>
      <c r="K340" s="658"/>
    </row>
    <row r="341" spans="1:11" customFormat="1" x14ac:dyDescent="0.25">
      <c r="A341" s="128"/>
      <c r="B341" s="3"/>
      <c r="G341" s="537"/>
      <c r="H341" s="10"/>
      <c r="I341" s="10"/>
      <c r="K341" s="658"/>
    </row>
    <row r="342" spans="1:11" customFormat="1" x14ac:dyDescent="0.25">
      <c r="A342" s="128"/>
      <c r="B342" s="3" t="s">
        <v>9176</v>
      </c>
      <c r="G342" s="537"/>
      <c r="H342" s="10"/>
      <c r="I342" s="10"/>
      <c r="K342" s="658"/>
    </row>
    <row r="343" spans="1:11" customFormat="1" x14ac:dyDescent="0.25">
      <c r="A343" s="128"/>
      <c r="C343" t="s">
        <v>9175</v>
      </c>
      <c r="G343" s="537" t="s">
        <v>3</v>
      </c>
      <c r="H343" s="10">
        <f>0.035*0.075*0.1*9*1.1</f>
        <v>2.5987500000000008E-3</v>
      </c>
      <c r="I343" s="10"/>
      <c r="K343" s="658"/>
    </row>
    <row r="344" spans="1:11" customFormat="1" x14ac:dyDescent="0.25">
      <c r="A344" s="128"/>
      <c r="G344" s="537"/>
      <c r="H344" s="10"/>
      <c r="I344" s="10"/>
      <c r="K344" s="658"/>
    </row>
    <row r="345" spans="1:11" customFormat="1" x14ac:dyDescent="0.25">
      <c r="A345" s="128"/>
      <c r="B345" s="3" t="s">
        <v>9174</v>
      </c>
      <c r="G345" s="537"/>
      <c r="H345" s="10"/>
      <c r="I345" s="10"/>
      <c r="K345" s="658"/>
    </row>
    <row r="346" spans="1:11" customFormat="1" x14ac:dyDescent="0.25">
      <c r="A346" s="128"/>
      <c r="C346" t="s">
        <v>9173</v>
      </c>
      <c r="G346" s="537" t="s">
        <v>3</v>
      </c>
      <c r="H346" s="10">
        <f>0.12*0.12*0.25*8.2*1.1</f>
        <v>3.2472000000000001E-2</v>
      </c>
      <c r="I346" s="10"/>
      <c r="K346" s="658"/>
    </row>
    <row r="347" spans="1:11" customFormat="1" x14ac:dyDescent="0.25">
      <c r="A347" s="128"/>
      <c r="G347" s="537"/>
      <c r="H347" s="10"/>
      <c r="I347" s="10"/>
      <c r="K347" s="658"/>
    </row>
    <row r="348" spans="1:11" customFormat="1" x14ac:dyDescent="0.25">
      <c r="A348" s="128"/>
      <c r="B348" s="3" t="s">
        <v>9172</v>
      </c>
      <c r="G348" s="537"/>
      <c r="H348" s="10"/>
      <c r="I348" s="10"/>
      <c r="K348" s="658"/>
    </row>
    <row r="349" spans="1:11" customFormat="1" x14ac:dyDescent="0.25">
      <c r="A349" s="128"/>
      <c r="C349" t="s">
        <v>9171</v>
      </c>
      <c r="G349" s="537" t="s">
        <v>3</v>
      </c>
      <c r="H349" s="10">
        <f>0.04*0.04*2*8*1.1</f>
        <v>2.8160000000000004E-2</v>
      </c>
      <c r="I349" s="10"/>
      <c r="K349" s="658"/>
    </row>
    <row r="350" spans="1:11" customFormat="1" x14ac:dyDescent="0.25">
      <c r="A350" s="128"/>
      <c r="G350" s="537"/>
      <c r="H350" s="10"/>
      <c r="I350" s="10"/>
      <c r="K350" s="658"/>
    </row>
    <row r="351" spans="1:11" customFormat="1" x14ac:dyDescent="0.25">
      <c r="A351" s="128"/>
      <c r="B351" s="3" t="s">
        <v>9170</v>
      </c>
      <c r="G351" s="537"/>
      <c r="H351" s="10"/>
      <c r="I351" s="10"/>
      <c r="K351" s="658"/>
    </row>
    <row r="352" spans="1:11" customFormat="1" x14ac:dyDescent="0.25">
      <c r="A352" s="128"/>
      <c r="C352" t="s">
        <v>1813</v>
      </c>
      <c r="G352" s="537" t="s">
        <v>3</v>
      </c>
      <c r="H352" s="10">
        <v>7.0000000000000001E-3</v>
      </c>
      <c r="I352" s="10"/>
      <c r="K352" s="658"/>
    </row>
    <row r="353" spans="1:11" customFormat="1" x14ac:dyDescent="0.25">
      <c r="A353" s="128"/>
      <c r="G353" s="537"/>
      <c r="H353" s="10"/>
      <c r="I353" s="10"/>
      <c r="K353" s="658"/>
    </row>
    <row r="354" spans="1:11" customFormat="1" x14ac:dyDescent="0.25">
      <c r="A354" s="128"/>
      <c r="B354" s="3" t="s">
        <v>9169</v>
      </c>
      <c r="G354" s="537"/>
      <c r="H354" s="10"/>
      <c r="I354" s="10"/>
      <c r="K354" s="658"/>
    </row>
    <row r="355" spans="1:11" customFormat="1" x14ac:dyDescent="0.25">
      <c r="A355" s="128"/>
      <c r="C355" t="s">
        <v>9168</v>
      </c>
      <c r="G355" s="537" t="s">
        <v>3</v>
      </c>
      <c r="H355" s="10">
        <v>5.0000000000000001E-3</v>
      </c>
      <c r="I355" s="10"/>
      <c r="K355" s="658"/>
    </row>
    <row r="356" spans="1:11" customFormat="1" x14ac:dyDescent="0.25">
      <c r="A356" s="128"/>
      <c r="C356" t="s">
        <v>12</v>
      </c>
      <c r="G356" s="537" t="s">
        <v>3</v>
      </c>
      <c r="H356" s="10">
        <f>0.3*H355</f>
        <v>1.5E-3</v>
      </c>
      <c r="I356" s="10"/>
      <c r="K356" s="658"/>
    </row>
    <row r="357" spans="1:11" customFormat="1" x14ac:dyDescent="0.25">
      <c r="A357" s="128"/>
      <c r="C357" t="s">
        <v>72</v>
      </c>
      <c r="G357" s="537" t="s">
        <v>3</v>
      </c>
      <c r="H357" s="10">
        <f>0.22*0.011*2*1.2</f>
        <v>5.8079999999999998E-3</v>
      </c>
      <c r="I357" s="10"/>
      <c r="K357" s="658"/>
    </row>
    <row r="358" spans="1:11" customFormat="1" x14ac:dyDescent="0.25">
      <c r="A358" s="128"/>
      <c r="C358" t="s">
        <v>11</v>
      </c>
      <c r="G358" s="537" t="s">
        <v>3</v>
      </c>
      <c r="H358" s="10">
        <f>0.3*H357</f>
        <v>1.7423999999999999E-3</v>
      </c>
      <c r="I358" s="72"/>
      <c r="K358" s="658"/>
    </row>
    <row r="359" spans="1:11" customFormat="1" ht="15.75" thickBot="1" x14ac:dyDescent="0.3">
      <c r="A359" s="171"/>
      <c r="B359" s="68"/>
      <c r="C359" s="68"/>
      <c r="D359" s="68"/>
      <c r="E359" s="68"/>
      <c r="F359" s="68"/>
      <c r="G359" s="82"/>
      <c r="H359" s="89"/>
      <c r="I359" s="83"/>
      <c r="K359" s="658"/>
    </row>
    <row r="360" spans="1:11" customFormat="1" x14ac:dyDescent="0.25">
      <c r="A360" s="128"/>
      <c r="G360" s="537"/>
      <c r="H360" s="10"/>
      <c r="I360" s="90"/>
      <c r="K360" s="658"/>
    </row>
    <row r="361" spans="1:11" customFormat="1" x14ac:dyDescent="0.25">
      <c r="A361" s="128"/>
      <c r="D361" t="s">
        <v>9167</v>
      </c>
      <c r="G361" s="537"/>
      <c r="H361" s="10"/>
      <c r="I361" s="72"/>
      <c r="K361" s="658"/>
    </row>
    <row r="362" spans="1:11" customFormat="1" x14ac:dyDescent="0.25">
      <c r="A362" s="128"/>
      <c r="G362" s="537"/>
      <c r="H362" s="10"/>
      <c r="I362" s="72"/>
      <c r="K362" s="658"/>
    </row>
    <row r="363" spans="1:11" customFormat="1" x14ac:dyDescent="0.25">
      <c r="A363" s="128"/>
      <c r="B363" s="3" t="s">
        <v>9166</v>
      </c>
      <c r="G363" s="537"/>
      <c r="H363" s="10"/>
      <c r="I363" s="72"/>
      <c r="K363" s="658"/>
    </row>
    <row r="364" spans="1:11" customFormat="1" x14ac:dyDescent="0.25">
      <c r="A364" s="128"/>
      <c r="C364" s="3" t="s">
        <v>883</v>
      </c>
      <c r="F364" s="153"/>
      <c r="G364" s="153"/>
      <c r="H364" s="153"/>
      <c r="I364" s="72"/>
      <c r="K364" s="658"/>
    </row>
    <row r="365" spans="1:11" customFormat="1" x14ac:dyDescent="0.25">
      <c r="A365" s="128"/>
      <c r="C365" t="s">
        <v>300</v>
      </c>
      <c r="F365" s="73"/>
      <c r="G365" s="152" t="s">
        <v>3</v>
      </c>
      <c r="H365" s="153">
        <f>0.08*0.47*3*8*1.103</f>
        <v>0.9953472000000001</v>
      </c>
      <c r="I365" s="72"/>
      <c r="K365" s="658"/>
    </row>
    <row r="366" spans="1:11" customFormat="1" x14ac:dyDescent="0.25">
      <c r="A366" s="128"/>
      <c r="C366" s="3" t="s">
        <v>9165</v>
      </c>
      <c r="G366" s="537"/>
      <c r="H366" s="10"/>
      <c r="I366" s="72"/>
      <c r="K366" s="658"/>
    </row>
    <row r="367" spans="1:11" customFormat="1" x14ac:dyDescent="0.25">
      <c r="A367" s="128"/>
      <c r="C367" t="s">
        <v>272</v>
      </c>
      <c r="G367" s="152" t="s">
        <v>3</v>
      </c>
      <c r="H367" s="10">
        <f>0.295*0.625*2*8*1.13</f>
        <v>3.3334999999999995</v>
      </c>
      <c r="I367" s="72"/>
      <c r="K367" s="658"/>
    </row>
    <row r="368" spans="1:11" customFormat="1" x14ac:dyDescent="0.25">
      <c r="A368" s="128"/>
      <c r="C368" s="8" t="s">
        <v>1054</v>
      </c>
      <c r="G368" s="152" t="s">
        <v>3</v>
      </c>
      <c r="H368" s="10">
        <f>0.1*0.06*1.3</f>
        <v>7.8000000000000005E-3</v>
      </c>
      <c r="I368" s="72"/>
      <c r="K368" s="658"/>
    </row>
    <row r="369" spans="1:11" customFormat="1" x14ac:dyDescent="0.25">
      <c r="A369" s="128"/>
      <c r="C369" t="s">
        <v>485</v>
      </c>
      <c r="G369" s="152" t="s">
        <v>3</v>
      </c>
      <c r="H369" s="10">
        <f>1.5*H368</f>
        <v>1.17E-2</v>
      </c>
      <c r="I369" s="72"/>
      <c r="K369" s="658"/>
    </row>
    <row r="370" spans="1:11" customFormat="1" x14ac:dyDescent="0.25">
      <c r="A370" s="128"/>
      <c r="G370" s="537"/>
      <c r="H370" s="10"/>
      <c r="I370" s="72"/>
      <c r="K370" s="658"/>
    </row>
    <row r="371" spans="1:11" customFormat="1" x14ac:dyDescent="0.25">
      <c r="A371" s="128"/>
      <c r="B371" s="3" t="s">
        <v>9164</v>
      </c>
      <c r="G371" s="537"/>
      <c r="H371" s="10"/>
      <c r="I371" s="72"/>
      <c r="K371" s="658"/>
    </row>
    <row r="372" spans="1:11" customFormat="1" x14ac:dyDescent="0.25">
      <c r="A372" s="128"/>
      <c r="C372" s="3" t="s">
        <v>9163</v>
      </c>
      <c r="G372" s="537"/>
      <c r="H372" s="10"/>
      <c r="I372" s="72"/>
      <c r="K372" s="658"/>
    </row>
    <row r="373" spans="1:11" customFormat="1" x14ac:dyDescent="0.25">
      <c r="A373" s="128"/>
      <c r="C373" t="s">
        <v>5917</v>
      </c>
      <c r="G373" s="537" t="s">
        <v>3</v>
      </c>
      <c r="H373" s="10">
        <f>1.1*1.1</f>
        <v>1.2100000000000002</v>
      </c>
      <c r="I373" s="72"/>
      <c r="K373" s="658"/>
    </row>
    <row r="374" spans="1:11" customFormat="1" x14ac:dyDescent="0.25">
      <c r="A374" s="128"/>
      <c r="G374" s="537"/>
      <c r="H374" s="10"/>
      <c r="I374" s="72"/>
      <c r="K374" s="658"/>
    </row>
    <row r="375" spans="1:11" customFormat="1" x14ac:dyDescent="0.25">
      <c r="A375" s="128"/>
      <c r="B375" s="3" t="s">
        <v>9162</v>
      </c>
      <c r="G375" s="537"/>
      <c r="H375" s="10"/>
      <c r="I375" s="72"/>
      <c r="K375" s="658"/>
    </row>
    <row r="376" spans="1:11" customFormat="1" x14ac:dyDescent="0.25">
      <c r="A376" s="128"/>
      <c r="C376" s="3" t="s">
        <v>9161</v>
      </c>
      <c r="G376" s="537"/>
      <c r="H376" s="10"/>
      <c r="I376" s="72"/>
      <c r="K376" s="658"/>
    </row>
    <row r="377" spans="1:11" customFormat="1" x14ac:dyDescent="0.25">
      <c r="A377" s="128"/>
      <c r="C377" t="s">
        <v>9159</v>
      </c>
      <c r="G377" s="537" t="s">
        <v>3</v>
      </c>
      <c r="H377" s="10">
        <f>0.15*0.165*5*8*1.08</f>
        <v>1.0692000000000002</v>
      </c>
      <c r="I377" s="72"/>
      <c r="K377" s="658"/>
    </row>
    <row r="378" spans="1:11" customFormat="1" x14ac:dyDescent="0.25">
      <c r="A378" s="128"/>
      <c r="C378" s="3" t="s">
        <v>9160</v>
      </c>
      <c r="G378" s="537"/>
      <c r="H378" s="10"/>
      <c r="I378" s="72"/>
      <c r="K378" s="658"/>
    </row>
    <row r="379" spans="1:11" customFormat="1" ht="15.75" thickBot="1" x14ac:dyDescent="0.3">
      <c r="A379" s="171"/>
      <c r="B379" s="68"/>
      <c r="C379" s="68" t="s">
        <v>9159</v>
      </c>
      <c r="D379" s="68"/>
      <c r="E379" s="68"/>
      <c r="F379" s="68"/>
      <c r="G379" s="82" t="s">
        <v>3</v>
      </c>
      <c r="H379" s="89">
        <f>0.15*0.19*5*8*1.08</f>
        <v>1.2312000000000001</v>
      </c>
      <c r="I379" s="83"/>
      <c r="K379" s="658"/>
    </row>
    <row r="380" spans="1:11" customFormat="1" ht="15.75" thickBot="1" x14ac:dyDescent="0.3">
      <c r="A380" s="128"/>
      <c r="G380" s="537"/>
      <c r="H380" s="10"/>
      <c r="I380" s="10"/>
      <c r="K380" s="658"/>
    </row>
    <row r="381" spans="1:11" customFormat="1" x14ac:dyDescent="0.25">
      <c r="A381" s="662"/>
      <c r="B381" s="93"/>
      <c r="C381" s="93"/>
      <c r="D381" s="93"/>
      <c r="E381" s="184" t="s">
        <v>9158</v>
      </c>
      <c r="F381" s="93"/>
      <c r="G381" s="160"/>
      <c r="H381" s="182" t="s">
        <v>9157</v>
      </c>
      <c r="I381" s="176"/>
      <c r="K381" s="658"/>
    </row>
    <row r="382" spans="1:11" customFormat="1" x14ac:dyDescent="0.25">
      <c r="A382" s="661"/>
      <c r="B382" s="73"/>
      <c r="C382" s="73"/>
      <c r="D382" s="73"/>
      <c r="E382" s="73"/>
      <c r="F382" s="73"/>
      <c r="G382" s="74"/>
      <c r="H382" s="153"/>
      <c r="I382" s="72"/>
      <c r="K382" s="658"/>
    </row>
    <row r="383" spans="1:11" customFormat="1" x14ac:dyDescent="0.25">
      <c r="A383" s="661">
        <v>1</v>
      </c>
      <c r="B383" s="75" t="s">
        <v>9156</v>
      </c>
      <c r="C383" s="73"/>
      <c r="D383" s="73"/>
      <c r="E383" s="73"/>
      <c r="F383" s="73"/>
      <c r="G383" s="74"/>
      <c r="H383" s="153"/>
      <c r="I383" s="72"/>
      <c r="K383" s="658"/>
    </row>
    <row r="384" spans="1:11" customFormat="1" x14ac:dyDescent="0.25">
      <c r="A384" s="661"/>
      <c r="B384" s="73"/>
      <c r="C384" s="75" t="s">
        <v>9155</v>
      </c>
      <c r="D384" s="73"/>
      <c r="E384" s="73"/>
      <c r="F384" s="73"/>
      <c r="G384" s="74"/>
      <c r="H384" s="153"/>
      <c r="I384" s="72"/>
      <c r="K384" s="658"/>
    </row>
    <row r="385" spans="1:21" customFormat="1" x14ac:dyDescent="0.25">
      <c r="A385" s="661"/>
      <c r="B385" s="73"/>
      <c r="C385" s="73" t="s">
        <v>9154</v>
      </c>
      <c r="D385" s="73"/>
      <c r="E385" s="73"/>
      <c r="F385" s="73"/>
      <c r="G385" s="74" t="s">
        <v>3</v>
      </c>
      <c r="H385" s="153">
        <f>0.132*0.092*4*2.7*1.105</f>
        <v>0.14492649599999999</v>
      </c>
      <c r="I385" s="72"/>
      <c r="K385" s="658"/>
    </row>
    <row r="386" spans="1:21" customFormat="1" x14ac:dyDescent="0.25">
      <c r="A386" s="661"/>
      <c r="B386" s="73"/>
      <c r="C386" s="75" t="s">
        <v>9153</v>
      </c>
      <c r="D386" s="73"/>
      <c r="E386" s="73"/>
      <c r="F386" s="73"/>
      <c r="G386" s="74"/>
      <c r="H386" s="153"/>
      <c r="I386" s="72"/>
      <c r="K386" s="658"/>
    </row>
    <row r="387" spans="1:21" customFormat="1" x14ac:dyDescent="0.25">
      <c r="A387" s="661"/>
      <c r="B387" s="73"/>
      <c r="C387" s="73" t="s">
        <v>9152</v>
      </c>
      <c r="D387" s="73"/>
      <c r="E387" s="73"/>
      <c r="F387" s="73"/>
      <c r="G387" s="74" t="s">
        <v>3</v>
      </c>
      <c r="H387" s="153">
        <v>1.4999999999999999E-2</v>
      </c>
      <c r="I387" s="72"/>
      <c r="K387" s="658"/>
    </row>
    <row r="388" spans="1:21" customFormat="1" x14ac:dyDescent="0.25">
      <c r="A388" s="661"/>
      <c r="B388" s="75" t="s">
        <v>9151</v>
      </c>
      <c r="C388" s="73"/>
      <c r="D388" s="73"/>
      <c r="E388" s="73"/>
      <c r="F388" s="73"/>
      <c r="G388" s="74"/>
      <c r="H388" s="153"/>
      <c r="I388" s="72"/>
      <c r="K388" s="658"/>
    </row>
    <row r="389" spans="1:21" customFormat="1" x14ac:dyDescent="0.25">
      <c r="A389" s="661"/>
      <c r="B389" s="73" t="s">
        <v>300</v>
      </c>
      <c r="C389" s="73"/>
      <c r="D389" s="73"/>
      <c r="E389" s="73"/>
      <c r="F389" s="73"/>
      <c r="G389" s="74" t="s">
        <v>3</v>
      </c>
      <c r="H389" s="153">
        <f>0.045*0.05*3*8*1.11</f>
        <v>5.994E-2</v>
      </c>
      <c r="I389" s="72"/>
      <c r="K389" s="658"/>
    </row>
    <row r="390" spans="1:21" customFormat="1" ht="15.75" thickBot="1" x14ac:dyDescent="0.3">
      <c r="A390" s="660"/>
      <c r="B390" s="68"/>
      <c r="C390" s="68"/>
      <c r="D390" s="68"/>
      <c r="E390" s="68"/>
      <c r="F390" s="68"/>
      <c r="G390" s="82"/>
      <c r="H390" s="89"/>
      <c r="I390" s="83"/>
      <c r="K390" s="658"/>
    </row>
    <row r="391" spans="1:21" customFormat="1" ht="15.75" thickBot="1" x14ac:dyDescent="0.3">
      <c r="A391" s="27"/>
      <c r="B391" s="26"/>
      <c r="C391" s="26"/>
      <c r="D391" s="26"/>
      <c r="E391" s="26"/>
      <c r="F391" s="26"/>
      <c r="G391" s="27"/>
      <c r="H391" s="28"/>
      <c r="I391" s="28"/>
      <c r="J391" s="26"/>
      <c r="K391" s="685"/>
      <c r="L391" s="26"/>
      <c r="M391" s="26"/>
      <c r="N391" s="26"/>
      <c r="O391" s="26"/>
      <c r="P391" s="26"/>
      <c r="Q391" s="26"/>
      <c r="R391" s="26"/>
      <c r="S391" s="26"/>
      <c r="T391" s="26"/>
      <c r="U391" s="26"/>
    </row>
    <row r="392" spans="1:21" customFormat="1" x14ac:dyDescent="0.25">
      <c r="A392" s="662"/>
      <c r="B392" s="93"/>
      <c r="C392" s="93"/>
      <c r="D392" s="93"/>
      <c r="E392" s="93"/>
      <c r="F392" s="93"/>
      <c r="G392" s="175" t="s">
        <v>9150</v>
      </c>
      <c r="H392" s="182"/>
      <c r="I392" s="176"/>
      <c r="K392" s="658"/>
    </row>
    <row r="393" spans="1:21" customFormat="1" x14ac:dyDescent="0.25">
      <c r="A393" s="678"/>
      <c r="B393" s="75" t="s">
        <v>9149</v>
      </c>
      <c r="C393" s="73"/>
      <c r="D393" s="73"/>
      <c r="E393" s="73"/>
      <c r="F393" s="73"/>
      <c r="G393" s="74"/>
      <c r="H393" s="153"/>
      <c r="I393" s="72"/>
      <c r="K393" s="658"/>
    </row>
    <row r="394" spans="1:21" customFormat="1" x14ac:dyDescent="0.25">
      <c r="A394" s="661"/>
      <c r="B394" s="77" t="s">
        <v>1054</v>
      </c>
      <c r="C394" s="73"/>
      <c r="D394" s="73"/>
      <c r="E394" s="73"/>
      <c r="F394" s="73"/>
      <c r="G394" s="74" t="s">
        <v>3</v>
      </c>
      <c r="H394" s="153">
        <f>0.45*0.08*1.2</f>
        <v>4.3200000000000002E-2</v>
      </c>
      <c r="I394" s="72"/>
      <c r="K394" s="658"/>
    </row>
    <row r="395" spans="1:21" customFormat="1" ht="17.25" x14ac:dyDescent="0.25">
      <c r="A395" s="661"/>
      <c r="B395" s="77" t="s">
        <v>1055</v>
      </c>
      <c r="C395" s="73"/>
      <c r="D395" s="73"/>
      <c r="E395" s="73"/>
      <c r="F395" s="73"/>
      <c r="G395" s="74" t="s">
        <v>596</v>
      </c>
      <c r="H395" s="153">
        <f>H394</f>
        <v>4.3200000000000002E-2</v>
      </c>
      <c r="I395" s="72"/>
      <c r="K395" s="658"/>
    </row>
    <row r="396" spans="1:21" customFormat="1" x14ac:dyDescent="0.25">
      <c r="A396" s="661"/>
      <c r="B396" s="77" t="s">
        <v>8</v>
      </c>
      <c r="C396" s="77"/>
      <c r="D396" s="77"/>
      <c r="E396" s="77"/>
      <c r="F396" s="73"/>
      <c r="G396" s="74" t="s">
        <v>3</v>
      </c>
      <c r="H396" s="153">
        <f>H397*0.8</f>
        <v>3.164616E-2</v>
      </c>
      <c r="I396" s="72"/>
      <c r="K396" s="658"/>
    </row>
    <row r="397" spans="1:21" customFormat="1" x14ac:dyDescent="0.25">
      <c r="A397" s="661"/>
      <c r="B397" s="77" t="s">
        <v>36</v>
      </c>
      <c r="C397" s="77"/>
      <c r="D397" s="77"/>
      <c r="E397" s="77"/>
      <c r="F397" s="73"/>
      <c r="G397" s="74" t="s">
        <v>3</v>
      </c>
      <c r="H397" s="153">
        <f>(0.24*0.105+0.105*0.215)*2*0.15*2*1.38</f>
        <v>3.9557699999999994E-2</v>
      </c>
      <c r="I397" s="72"/>
      <c r="K397" s="658"/>
    </row>
    <row r="398" spans="1:21" customFormat="1" x14ac:dyDescent="0.25">
      <c r="A398" s="661"/>
      <c r="B398" s="77" t="s">
        <v>12</v>
      </c>
      <c r="C398" s="77"/>
      <c r="D398" s="77"/>
      <c r="E398" s="77"/>
      <c r="F398" s="73"/>
      <c r="G398" s="74" t="s">
        <v>3</v>
      </c>
      <c r="H398" s="153">
        <f>0.3*(H397+H396)</f>
        <v>2.1361157999999998E-2</v>
      </c>
      <c r="I398" s="72"/>
      <c r="K398" s="658"/>
    </row>
    <row r="399" spans="1:21" customFormat="1" x14ac:dyDescent="0.25">
      <c r="A399" s="661"/>
      <c r="B399" s="73"/>
      <c r="C399" s="75" t="s">
        <v>9148</v>
      </c>
      <c r="D399" s="73"/>
      <c r="E399" s="73"/>
      <c r="F399" s="73"/>
      <c r="G399" s="74"/>
      <c r="H399" s="153"/>
      <c r="I399" s="72"/>
      <c r="K399" s="658"/>
    </row>
    <row r="400" spans="1:21" customFormat="1" x14ac:dyDescent="0.25">
      <c r="A400" s="661"/>
      <c r="B400" s="73"/>
      <c r="C400" s="100" t="s">
        <v>9143</v>
      </c>
      <c r="D400" s="73"/>
      <c r="E400" s="73"/>
      <c r="F400" s="73"/>
      <c r="G400" s="74" t="s">
        <v>3</v>
      </c>
      <c r="H400" s="153">
        <f>0.21*0.09*4*8*1.125</f>
        <v>0.6804</v>
      </c>
      <c r="I400" s="72"/>
      <c r="K400" s="658"/>
    </row>
    <row r="401" spans="1:11" customFormat="1" x14ac:dyDescent="0.25">
      <c r="A401" s="661"/>
      <c r="B401" s="73"/>
      <c r="C401" s="75" t="s">
        <v>9147</v>
      </c>
      <c r="D401" s="73"/>
      <c r="E401" s="73"/>
      <c r="F401" s="73"/>
      <c r="G401" s="74"/>
      <c r="H401" s="153"/>
      <c r="I401" s="72"/>
      <c r="K401" s="658"/>
    </row>
    <row r="402" spans="1:11" customFormat="1" x14ac:dyDescent="0.25">
      <c r="A402" s="661"/>
      <c r="B402" s="73"/>
      <c r="C402" s="100" t="s">
        <v>9143</v>
      </c>
      <c r="D402" s="73"/>
      <c r="E402" s="73"/>
      <c r="F402" s="73"/>
      <c r="G402" s="74" t="s">
        <v>3</v>
      </c>
      <c r="H402" s="153">
        <f>0.1*0.2*4*8*1.15</f>
        <v>0.7360000000000001</v>
      </c>
      <c r="I402" s="72"/>
      <c r="K402" s="658"/>
    </row>
    <row r="403" spans="1:11" customFormat="1" x14ac:dyDescent="0.25">
      <c r="A403" s="661"/>
      <c r="B403" s="73"/>
      <c r="C403" s="75" t="s">
        <v>9146</v>
      </c>
      <c r="D403" s="73"/>
      <c r="E403" s="73"/>
      <c r="F403" s="73"/>
      <c r="G403" s="74"/>
      <c r="H403" s="153"/>
      <c r="I403" s="72"/>
      <c r="K403" s="658"/>
    </row>
    <row r="404" spans="1:11" customFormat="1" x14ac:dyDescent="0.25">
      <c r="A404" s="661"/>
      <c r="B404" s="73"/>
      <c r="C404" s="100" t="s">
        <v>9143</v>
      </c>
      <c r="D404" s="73"/>
      <c r="E404" s="73"/>
      <c r="F404" s="73"/>
      <c r="G404" s="74" t="s">
        <v>3</v>
      </c>
      <c r="H404" s="153">
        <f>0.1*0.2*4*8*1.15</f>
        <v>0.7360000000000001</v>
      </c>
      <c r="I404" s="72"/>
      <c r="K404" s="658"/>
    </row>
    <row r="405" spans="1:11" customFormat="1" x14ac:dyDescent="0.25">
      <c r="A405" s="661"/>
      <c r="B405" s="73"/>
      <c r="C405" s="75" t="s">
        <v>9145</v>
      </c>
      <c r="D405" s="73"/>
      <c r="E405" s="73"/>
      <c r="F405" s="73"/>
      <c r="G405" s="74"/>
      <c r="H405" s="153"/>
      <c r="I405" s="72"/>
      <c r="K405" s="658"/>
    </row>
    <row r="406" spans="1:11" customFormat="1" x14ac:dyDescent="0.25">
      <c r="A406" s="661"/>
      <c r="B406" s="73"/>
      <c r="C406" s="100" t="s">
        <v>9143</v>
      </c>
      <c r="D406" s="73"/>
      <c r="E406" s="73"/>
      <c r="F406" s="73"/>
      <c r="G406" s="74" t="s">
        <v>3</v>
      </c>
      <c r="H406" s="153">
        <f>0.042*0.03*4*8*1.15</f>
        <v>4.6367999999999999E-2</v>
      </c>
      <c r="I406" s="72"/>
      <c r="K406" s="658"/>
    </row>
    <row r="407" spans="1:11" customFormat="1" x14ac:dyDescent="0.25">
      <c r="A407" s="661"/>
      <c r="B407" s="73"/>
      <c r="C407" s="75" t="s">
        <v>9144</v>
      </c>
      <c r="D407" s="73"/>
      <c r="E407" s="73"/>
      <c r="F407" s="73"/>
      <c r="G407" s="74"/>
      <c r="H407" s="153"/>
      <c r="I407" s="72"/>
      <c r="K407" s="658"/>
    </row>
    <row r="408" spans="1:11" customFormat="1" x14ac:dyDescent="0.25">
      <c r="A408" s="661"/>
      <c r="B408" s="73"/>
      <c r="C408" s="100" t="s">
        <v>9143</v>
      </c>
      <c r="D408" s="73"/>
      <c r="E408" s="73"/>
      <c r="F408" s="73"/>
      <c r="G408" s="74" t="s">
        <v>3</v>
      </c>
      <c r="H408" s="153">
        <f>0.22*0.02*4*8*1.15</f>
        <v>0.16192000000000001</v>
      </c>
      <c r="I408" s="72"/>
      <c r="K408" s="658"/>
    </row>
    <row r="409" spans="1:11" customFormat="1" x14ac:dyDescent="0.25">
      <c r="A409" s="661"/>
      <c r="B409" s="73"/>
      <c r="C409" s="73"/>
      <c r="D409" s="73"/>
      <c r="E409" s="73"/>
      <c r="F409" s="73"/>
      <c r="G409" s="74"/>
      <c r="H409" s="153"/>
      <c r="I409" s="72"/>
      <c r="K409" s="658"/>
    </row>
    <row r="410" spans="1:11" customFormat="1" x14ac:dyDescent="0.25">
      <c r="A410" s="678"/>
      <c r="B410" s="75" t="s">
        <v>9142</v>
      </c>
      <c r="C410" s="73"/>
      <c r="D410" s="73"/>
      <c r="E410" s="73"/>
      <c r="F410" s="73"/>
      <c r="G410" s="74"/>
      <c r="H410" s="153"/>
      <c r="I410" s="72"/>
      <c r="K410" s="658"/>
    </row>
    <row r="411" spans="1:11" customFormat="1" x14ac:dyDescent="0.25">
      <c r="A411" s="661"/>
      <c r="B411" s="73"/>
      <c r="C411" s="73" t="s">
        <v>275</v>
      </c>
      <c r="D411" s="73"/>
      <c r="E411" s="73"/>
      <c r="F411" s="73"/>
      <c r="G411" s="74" t="s">
        <v>3</v>
      </c>
      <c r="H411" s="153">
        <f>0.05*0.38*1.5*8*1.12</f>
        <v>0.25536000000000009</v>
      </c>
      <c r="I411" s="72"/>
      <c r="K411" s="658"/>
    </row>
    <row r="412" spans="1:11" customFormat="1" x14ac:dyDescent="0.25">
      <c r="A412" s="661"/>
      <c r="B412" s="73"/>
      <c r="C412" s="73"/>
      <c r="D412" s="73"/>
      <c r="E412" s="73"/>
      <c r="F412" s="73"/>
      <c r="G412" s="74"/>
      <c r="H412" s="153"/>
      <c r="I412" s="72"/>
      <c r="K412" s="658"/>
    </row>
    <row r="413" spans="1:11" customFormat="1" x14ac:dyDescent="0.25">
      <c r="A413" s="678"/>
      <c r="B413" s="75" t="s">
        <v>9141</v>
      </c>
      <c r="C413" s="73"/>
      <c r="D413" s="73"/>
      <c r="E413" s="73"/>
      <c r="F413" s="73"/>
      <c r="G413" s="74"/>
      <c r="H413" s="153"/>
      <c r="I413" s="72"/>
      <c r="K413" s="658"/>
    </row>
    <row r="414" spans="1:11" customFormat="1" x14ac:dyDescent="0.25">
      <c r="A414" s="661"/>
      <c r="B414" s="73"/>
      <c r="C414" s="73" t="s">
        <v>9139</v>
      </c>
      <c r="D414" s="73"/>
      <c r="E414" s="73"/>
      <c r="F414" s="73"/>
      <c r="G414" s="74" t="s">
        <v>3</v>
      </c>
      <c r="H414" s="153">
        <f>0.325*0.032*1.5*8*1.1</f>
        <v>0.13728000000000004</v>
      </c>
      <c r="I414" s="72"/>
      <c r="K414" s="658"/>
    </row>
    <row r="415" spans="1:11" customFormat="1" x14ac:dyDescent="0.25">
      <c r="A415" s="661"/>
      <c r="B415" s="73"/>
      <c r="C415" s="73"/>
      <c r="D415" s="73"/>
      <c r="E415" s="73"/>
      <c r="F415" s="73"/>
      <c r="G415" s="74"/>
      <c r="H415" s="153"/>
      <c r="I415" s="72"/>
      <c r="K415" s="658"/>
    </row>
    <row r="416" spans="1:11" customFormat="1" x14ac:dyDescent="0.25">
      <c r="A416" s="678"/>
      <c r="B416" s="75" t="s">
        <v>9140</v>
      </c>
      <c r="C416" s="73"/>
      <c r="D416" s="73"/>
      <c r="E416" s="73"/>
      <c r="F416" s="73"/>
      <c r="G416" s="74"/>
      <c r="H416" s="153"/>
      <c r="I416" s="72"/>
      <c r="K416" s="658"/>
    </row>
    <row r="417" spans="1:11" customFormat="1" x14ac:dyDescent="0.25">
      <c r="A417" s="661"/>
      <c r="B417" s="73"/>
      <c r="C417" s="73" t="s">
        <v>9139</v>
      </c>
      <c r="D417" s="73"/>
      <c r="E417" s="73"/>
      <c r="F417" s="73"/>
      <c r="G417" s="74" t="s">
        <v>3</v>
      </c>
      <c r="H417" s="153">
        <f>0.325*0.032*1.5*8*1.1</f>
        <v>0.13728000000000004</v>
      </c>
      <c r="I417" s="72"/>
      <c r="K417" s="658"/>
    </row>
    <row r="418" spans="1:11" customFormat="1" x14ac:dyDescent="0.25">
      <c r="A418" s="661"/>
      <c r="B418" s="73"/>
      <c r="C418" s="73"/>
      <c r="D418" s="73"/>
      <c r="E418" s="73"/>
      <c r="F418" s="73"/>
      <c r="G418" s="74"/>
      <c r="H418" s="153"/>
      <c r="I418" s="72"/>
      <c r="K418" s="658"/>
    </row>
    <row r="419" spans="1:11" customFormat="1" x14ac:dyDescent="0.25">
      <c r="A419" s="678"/>
      <c r="B419" s="75" t="s">
        <v>9138</v>
      </c>
      <c r="C419" s="73"/>
      <c r="D419" s="73"/>
      <c r="E419" s="73"/>
      <c r="F419" s="73"/>
      <c r="G419" s="74"/>
      <c r="H419" s="153"/>
      <c r="I419" s="72"/>
      <c r="K419" s="658"/>
    </row>
    <row r="420" spans="1:11" customFormat="1" x14ac:dyDescent="0.25">
      <c r="A420" s="661"/>
      <c r="B420" s="73"/>
      <c r="C420" s="73" t="s">
        <v>275</v>
      </c>
      <c r="D420" s="73"/>
      <c r="E420" s="73"/>
      <c r="F420" s="73"/>
      <c r="G420" s="74" t="s">
        <v>3</v>
      </c>
      <c r="H420" s="153">
        <f>0.29*0.035*1.5*8*1.11</f>
        <v>0.13519800000000004</v>
      </c>
      <c r="I420" s="72"/>
      <c r="K420" s="658"/>
    </row>
    <row r="421" spans="1:11" customFormat="1" x14ac:dyDescent="0.25">
      <c r="A421" s="661"/>
      <c r="B421" s="73"/>
      <c r="C421" s="73"/>
      <c r="D421" s="73"/>
      <c r="E421" s="73"/>
      <c r="F421" s="73"/>
      <c r="G421" s="74"/>
      <c r="H421" s="153"/>
      <c r="I421" s="72"/>
      <c r="K421" s="658"/>
    </row>
    <row r="422" spans="1:11" customFormat="1" x14ac:dyDescent="0.25">
      <c r="A422" s="678"/>
      <c r="B422" s="75" t="s">
        <v>9137</v>
      </c>
      <c r="C422" s="73"/>
      <c r="D422" s="73"/>
      <c r="E422" s="73"/>
      <c r="F422" s="73"/>
      <c r="G422" s="74"/>
      <c r="H422" s="153"/>
      <c r="I422" s="72"/>
      <c r="K422" s="658"/>
    </row>
    <row r="423" spans="1:11" customFormat="1" x14ac:dyDescent="0.25">
      <c r="A423" s="661"/>
      <c r="B423" s="73"/>
      <c r="C423" s="75" t="s">
        <v>9136</v>
      </c>
      <c r="D423" s="73"/>
      <c r="E423" s="73"/>
      <c r="F423" s="73"/>
      <c r="G423" s="74"/>
      <c r="H423" s="153"/>
      <c r="I423" s="72"/>
      <c r="K423" s="658"/>
    </row>
    <row r="424" spans="1:11" customFormat="1" x14ac:dyDescent="0.25">
      <c r="A424" s="661"/>
      <c r="B424" s="73"/>
      <c r="C424" s="73" t="s">
        <v>9135</v>
      </c>
      <c r="D424" s="73"/>
      <c r="E424" s="73"/>
      <c r="F424" s="73"/>
      <c r="G424" s="74" t="s">
        <v>3</v>
      </c>
      <c r="H424" s="153">
        <f>0.12*0.02*1*8*1.15</f>
        <v>2.2079999999999995E-2</v>
      </c>
      <c r="I424" s="72"/>
      <c r="K424" s="658"/>
    </row>
    <row r="425" spans="1:11" customFormat="1" x14ac:dyDescent="0.25">
      <c r="A425" s="661"/>
      <c r="B425" s="73"/>
      <c r="C425" s="75" t="s">
        <v>9134</v>
      </c>
      <c r="D425" s="73"/>
      <c r="E425" s="73"/>
      <c r="F425" s="73"/>
      <c r="G425" s="74"/>
      <c r="H425" s="153"/>
      <c r="I425" s="72"/>
      <c r="K425" s="658"/>
    </row>
    <row r="426" spans="1:11" customFormat="1" x14ac:dyDescent="0.25">
      <c r="A426" s="661"/>
      <c r="B426" s="73"/>
      <c r="C426" s="73" t="s">
        <v>300</v>
      </c>
      <c r="D426" s="100"/>
      <c r="E426" s="73"/>
      <c r="F426" s="73"/>
      <c r="G426" s="74" t="s">
        <v>3</v>
      </c>
      <c r="H426" s="153">
        <f>0.135*0.025*3*8*1.07</f>
        <v>8.6670000000000025E-2</v>
      </c>
      <c r="I426" s="72"/>
      <c r="K426" s="658"/>
    </row>
    <row r="427" spans="1:11" customFormat="1" x14ac:dyDescent="0.25">
      <c r="A427" s="661"/>
      <c r="B427" s="73"/>
      <c r="C427" s="73"/>
      <c r="D427" s="73"/>
      <c r="E427" s="73"/>
      <c r="F427" s="73"/>
      <c r="G427" s="74"/>
      <c r="H427" s="153"/>
      <c r="I427" s="72"/>
      <c r="K427" s="658"/>
    </row>
    <row r="428" spans="1:11" customFormat="1" x14ac:dyDescent="0.25">
      <c r="A428" s="678"/>
      <c r="B428" s="75" t="s">
        <v>9133</v>
      </c>
      <c r="C428" s="73"/>
      <c r="D428" s="73"/>
      <c r="E428" s="73"/>
      <c r="F428" s="73"/>
      <c r="G428" s="74"/>
      <c r="H428" s="153"/>
      <c r="I428" s="72"/>
      <c r="K428" s="658"/>
    </row>
    <row r="429" spans="1:11" customFormat="1" x14ac:dyDescent="0.25">
      <c r="A429" s="661"/>
      <c r="B429" s="73"/>
      <c r="C429" s="75" t="s">
        <v>9132</v>
      </c>
      <c r="D429" s="73"/>
      <c r="E429" s="73"/>
      <c r="F429" s="73"/>
      <c r="G429" s="74"/>
      <c r="H429" s="153"/>
      <c r="I429" s="72"/>
      <c r="K429" s="658"/>
    </row>
    <row r="430" spans="1:11" customFormat="1" ht="17.25" x14ac:dyDescent="0.25">
      <c r="A430" s="661"/>
      <c r="B430" s="73"/>
      <c r="C430" s="73" t="s">
        <v>9131</v>
      </c>
      <c r="D430" s="73"/>
      <c r="E430" s="73"/>
      <c r="F430" s="73"/>
      <c r="G430" s="74" t="s">
        <v>677</v>
      </c>
      <c r="H430" s="153">
        <f>0.04*0.04*1.1</f>
        <v>1.7600000000000003E-3</v>
      </c>
      <c r="I430" s="72"/>
      <c r="K430" s="658"/>
    </row>
    <row r="431" spans="1:11" customFormat="1" x14ac:dyDescent="0.25">
      <c r="A431" s="661"/>
      <c r="B431" s="73"/>
      <c r="C431" s="75" t="s">
        <v>9130</v>
      </c>
      <c r="D431" s="73"/>
      <c r="E431" s="73"/>
      <c r="F431" s="73"/>
      <c r="G431" s="74"/>
      <c r="H431" s="153"/>
      <c r="I431" s="72"/>
      <c r="K431" s="658"/>
    </row>
    <row r="432" spans="1:11" customFormat="1" x14ac:dyDescent="0.25">
      <c r="A432" s="661"/>
      <c r="B432" s="73"/>
      <c r="C432" s="73" t="s">
        <v>9129</v>
      </c>
      <c r="D432" s="73"/>
      <c r="E432" s="73"/>
      <c r="F432" s="73"/>
      <c r="G432" s="74" t="s">
        <v>3</v>
      </c>
      <c r="H432" s="107">
        <f>0.05*0.05*0.25*8.5*1.05</f>
        <v>5.5781250000000015E-3</v>
      </c>
      <c r="I432" s="72"/>
      <c r="K432" s="658"/>
    </row>
    <row r="433" spans="1:11" customFormat="1" x14ac:dyDescent="0.25">
      <c r="A433" s="661"/>
      <c r="B433" s="73"/>
      <c r="C433" s="75" t="s">
        <v>9128</v>
      </c>
      <c r="D433" s="73"/>
      <c r="E433" s="73"/>
      <c r="F433" s="73"/>
      <c r="G433" s="74"/>
      <c r="H433" s="153"/>
      <c r="I433" s="72"/>
      <c r="K433" s="658"/>
    </row>
    <row r="434" spans="1:11" customFormat="1" x14ac:dyDescent="0.25">
      <c r="A434" s="661"/>
      <c r="B434" s="73"/>
      <c r="C434" s="73" t="s">
        <v>9127</v>
      </c>
      <c r="D434" s="73"/>
      <c r="E434" s="73"/>
      <c r="F434" s="73"/>
      <c r="G434" s="74" t="s">
        <v>3</v>
      </c>
      <c r="H434" s="153">
        <f>0.045*0.045*0.5*8.5</f>
        <v>8.6062499999999993E-3</v>
      </c>
      <c r="I434" s="72"/>
      <c r="K434" s="658"/>
    </row>
    <row r="435" spans="1:11" customFormat="1" x14ac:dyDescent="0.25">
      <c r="A435" s="661"/>
      <c r="B435" s="73"/>
      <c r="C435" s="73"/>
      <c r="D435" s="73"/>
      <c r="E435" s="73"/>
      <c r="F435" s="73"/>
      <c r="G435" s="74"/>
      <c r="H435" s="153"/>
      <c r="I435" s="72"/>
      <c r="K435" s="658"/>
    </row>
    <row r="436" spans="1:11" customFormat="1" x14ac:dyDescent="0.25">
      <c r="A436" s="678"/>
      <c r="B436" s="75" t="s">
        <v>9126</v>
      </c>
      <c r="C436" s="73"/>
      <c r="D436" s="73"/>
      <c r="E436" s="73"/>
      <c r="F436" s="73"/>
      <c r="G436" s="74"/>
      <c r="H436" s="153"/>
      <c r="I436" s="72"/>
      <c r="K436" s="658"/>
    </row>
    <row r="437" spans="1:11" customFormat="1" x14ac:dyDescent="0.25">
      <c r="A437" s="661"/>
      <c r="B437" s="73" t="s">
        <v>731</v>
      </c>
      <c r="C437" s="73"/>
      <c r="D437" s="73"/>
      <c r="E437" s="73"/>
      <c r="F437" s="73"/>
      <c r="G437" s="74" t="s">
        <v>3</v>
      </c>
      <c r="H437" s="153">
        <v>3.0000000000000001E-3</v>
      </c>
      <c r="I437" s="72"/>
      <c r="K437" s="658"/>
    </row>
    <row r="438" spans="1:11" customFormat="1" x14ac:dyDescent="0.25">
      <c r="A438" s="661"/>
      <c r="B438" s="73" t="s">
        <v>8</v>
      </c>
      <c r="C438" s="73"/>
      <c r="D438" s="73"/>
      <c r="E438" s="73"/>
      <c r="F438" s="73"/>
      <c r="G438" s="74" t="s">
        <v>3</v>
      </c>
      <c r="H438" s="153">
        <f>H439</f>
        <v>9.1584000000000006E-3</v>
      </c>
      <c r="I438" s="72"/>
      <c r="K438" s="658"/>
    </row>
    <row r="439" spans="1:11" customFormat="1" x14ac:dyDescent="0.25">
      <c r="A439" s="661"/>
      <c r="B439" s="73" t="s">
        <v>115</v>
      </c>
      <c r="C439" s="73"/>
      <c r="D439" s="73"/>
      <c r="E439" s="73"/>
      <c r="F439" s="73"/>
      <c r="G439" s="74" t="s">
        <v>3</v>
      </c>
      <c r="H439" s="153">
        <f>0.06*0.12*2*0.2*2*1.59</f>
        <v>9.1584000000000006E-3</v>
      </c>
      <c r="I439" s="72"/>
      <c r="K439" s="658"/>
    </row>
    <row r="440" spans="1:11" customFormat="1" x14ac:dyDescent="0.25">
      <c r="A440" s="661"/>
      <c r="B440" s="73" t="s">
        <v>12</v>
      </c>
      <c r="C440" s="73"/>
      <c r="D440" s="73"/>
      <c r="E440" s="73"/>
      <c r="F440" s="73"/>
      <c r="G440" s="74" t="s">
        <v>3</v>
      </c>
      <c r="H440" s="153">
        <f>0.3*(H439+H438)</f>
        <v>5.4950400000000005E-3</v>
      </c>
      <c r="I440" s="72"/>
      <c r="K440" s="658"/>
    </row>
    <row r="441" spans="1:11" customFormat="1" x14ac:dyDescent="0.25">
      <c r="A441" s="661"/>
      <c r="B441" s="77" t="s">
        <v>1054</v>
      </c>
      <c r="C441" s="73"/>
      <c r="D441" s="73"/>
      <c r="E441" s="73"/>
      <c r="F441" s="73"/>
      <c r="G441" s="74" t="s">
        <v>3</v>
      </c>
      <c r="H441" s="153">
        <f>0.2*0.07*1.2</f>
        <v>1.6800000000000002E-2</v>
      </c>
      <c r="I441" s="72"/>
      <c r="K441" s="658"/>
    </row>
    <row r="442" spans="1:11" customFormat="1" ht="17.25" x14ac:dyDescent="0.25">
      <c r="A442" s="661"/>
      <c r="B442" s="77" t="s">
        <v>1055</v>
      </c>
      <c r="C442" s="73"/>
      <c r="D442" s="73"/>
      <c r="E442" s="73"/>
      <c r="F442" s="73"/>
      <c r="G442" s="74" t="s">
        <v>596</v>
      </c>
      <c r="H442" s="153">
        <f>H441</f>
        <v>1.6800000000000002E-2</v>
      </c>
      <c r="I442" s="72"/>
      <c r="K442" s="658"/>
    </row>
    <row r="443" spans="1:11" customFormat="1" x14ac:dyDescent="0.25">
      <c r="A443" s="661"/>
      <c r="B443" s="73"/>
      <c r="C443" s="75" t="s">
        <v>9125</v>
      </c>
      <c r="D443" s="73"/>
      <c r="E443" s="73"/>
      <c r="F443" s="73"/>
      <c r="G443" s="74"/>
      <c r="H443" s="153"/>
      <c r="I443" s="72"/>
      <c r="K443" s="658"/>
    </row>
    <row r="444" spans="1:11" customFormat="1" x14ac:dyDescent="0.25">
      <c r="A444" s="661"/>
      <c r="B444" s="73"/>
      <c r="C444" s="73" t="s">
        <v>272</v>
      </c>
      <c r="D444" s="73"/>
      <c r="E444" s="73"/>
      <c r="F444" s="73"/>
      <c r="G444" s="74" t="s">
        <v>3</v>
      </c>
      <c r="H444" s="153">
        <f>0.06*0.036*2*8*1.15</f>
        <v>3.9743999999999988E-2</v>
      </c>
      <c r="I444" s="72"/>
      <c r="K444" s="658"/>
    </row>
    <row r="445" spans="1:11" customFormat="1" x14ac:dyDescent="0.25">
      <c r="A445" s="661"/>
      <c r="B445" s="73"/>
      <c r="C445" s="75" t="s">
        <v>1628</v>
      </c>
      <c r="D445" s="73"/>
      <c r="E445" s="73"/>
      <c r="F445" s="73"/>
      <c r="G445" s="74"/>
      <c r="H445" s="153"/>
      <c r="I445" s="72"/>
      <c r="K445" s="658"/>
    </row>
    <row r="446" spans="1:11" customFormat="1" x14ac:dyDescent="0.25">
      <c r="A446" s="661"/>
      <c r="B446" s="73"/>
      <c r="C446" s="73" t="s">
        <v>54</v>
      </c>
      <c r="D446" s="73"/>
      <c r="E446" s="73"/>
      <c r="F446" s="73"/>
      <c r="G446" s="74" t="s">
        <v>3</v>
      </c>
      <c r="H446" s="153">
        <f>0.12*0.066*4*8*1.105</f>
        <v>0.2800512</v>
      </c>
      <c r="I446" s="72"/>
      <c r="K446" s="658"/>
    </row>
    <row r="447" spans="1:11" customFormat="1" x14ac:dyDescent="0.25">
      <c r="A447" s="661"/>
      <c r="B447" s="73"/>
      <c r="C447" s="75" t="s">
        <v>9124</v>
      </c>
      <c r="D447" s="73"/>
      <c r="E447" s="73"/>
      <c r="F447" s="73"/>
      <c r="G447" s="74"/>
      <c r="H447" s="153"/>
      <c r="I447" s="72"/>
      <c r="K447" s="658"/>
    </row>
    <row r="448" spans="1:11" customFormat="1" x14ac:dyDescent="0.25">
      <c r="A448" s="661"/>
      <c r="B448" s="73"/>
      <c r="C448" s="73" t="s">
        <v>54</v>
      </c>
      <c r="D448" s="73"/>
      <c r="E448" s="73"/>
      <c r="F448" s="73"/>
      <c r="G448" s="74" t="s">
        <v>3</v>
      </c>
      <c r="H448" s="153">
        <f>0.05*0.025*4*8*1.1</f>
        <v>4.4000000000000011E-2</v>
      </c>
      <c r="I448" s="72"/>
      <c r="K448" s="658"/>
    </row>
    <row r="449" spans="1:11" customFormat="1" x14ac:dyDescent="0.25">
      <c r="A449" s="661"/>
      <c r="B449" s="73"/>
      <c r="C449" s="73"/>
      <c r="D449" s="73"/>
      <c r="E449" s="73"/>
      <c r="F449" s="73"/>
      <c r="G449" s="74"/>
      <c r="H449" s="153"/>
      <c r="I449" s="72"/>
      <c r="K449" s="658"/>
    </row>
    <row r="450" spans="1:11" customFormat="1" x14ac:dyDescent="0.25">
      <c r="A450" s="678"/>
      <c r="B450" s="75" t="s">
        <v>817</v>
      </c>
      <c r="C450" s="73"/>
      <c r="D450" s="73"/>
      <c r="E450" s="73"/>
      <c r="F450" s="73"/>
      <c r="G450" s="74"/>
      <c r="H450" s="153"/>
      <c r="I450" s="72"/>
      <c r="K450" s="658"/>
    </row>
    <row r="451" spans="1:11" customFormat="1" x14ac:dyDescent="0.25">
      <c r="A451" s="661"/>
      <c r="B451" s="73"/>
      <c r="C451" s="75" t="s">
        <v>9123</v>
      </c>
      <c r="D451" s="73"/>
      <c r="E451" s="73"/>
      <c r="F451" s="73"/>
      <c r="G451" s="74"/>
      <c r="H451" s="153"/>
      <c r="I451" s="72"/>
      <c r="K451" s="658"/>
    </row>
    <row r="452" spans="1:11" customFormat="1" x14ac:dyDescent="0.25">
      <c r="A452" s="661"/>
      <c r="B452" s="73"/>
      <c r="C452" s="77" t="s">
        <v>1054</v>
      </c>
      <c r="D452" s="73"/>
      <c r="E452" s="73"/>
      <c r="F452" s="73"/>
      <c r="G452" s="74" t="s">
        <v>3</v>
      </c>
      <c r="H452" s="153">
        <f>0.05*3.14*0.08*1.5</f>
        <v>1.8840000000000003E-2</v>
      </c>
      <c r="I452" s="72"/>
      <c r="K452" s="658"/>
    </row>
    <row r="453" spans="1:11" customFormat="1" ht="17.25" x14ac:dyDescent="0.25">
      <c r="A453" s="661"/>
      <c r="B453" s="73"/>
      <c r="C453" s="77" t="s">
        <v>1055</v>
      </c>
      <c r="D453" s="73"/>
      <c r="E453" s="73"/>
      <c r="F453" s="73"/>
      <c r="G453" s="74" t="s">
        <v>596</v>
      </c>
      <c r="H453" s="153">
        <f>H452</f>
        <v>1.8840000000000003E-2</v>
      </c>
      <c r="I453" s="72"/>
      <c r="K453" s="658"/>
    </row>
    <row r="454" spans="1:11" customFormat="1" x14ac:dyDescent="0.25">
      <c r="A454" s="661"/>
      <c r="B454" s="73"/>
      <c r="C454" s="77" t="s">
        <v>1021</v>
      </c>
      <c r="D454" s="73"/>
      <c r="E454" s="73"/>
      <c r="F454" s="73"/>
      <c r="G454" s="74" t="s">
        <v>3</v>
      </c>
      <c r="H454" s="153">
        <f>0.12*0.03*2*1.35</f>
        <v>9.7200000000000012E-3</v>
      </c>
      <c r="I454" s="72"/>
      <c r="K454" s="658"/>
    </row>
    <row r="455" spans="1:11" customFormat="1" x14ac:dyDescent="0.25">
      <c r="A455" s="661"/>
      <c r="B455" s="73"/>
      <c r="C455" s="77" t="s">
        <v>661</v>
      </c>
      <c r="D455" s="73"/>
      <c r="E455" s="73"/>
      <c r="F455" s="73"/>
      <c r="G455" s="74" t="s">
        <v>3</v>
      </c>
      <c r="H455" s="153">
        <f>0.3*H454</f>
        <v>2.9160000000000002E-3</v>
      </c>
      <c r="I455" s="72"/>
      <c r="K455" s="658"/>
    </row>
    <row r="456" spans="1:11" customFormat="1" x14ac:dyDescent="0.25">
      <c r="A456" s="661"/>
      <c r="B456" s="73"/>
      <c r="C456" s="73"/>
      <c r="D456" s="73"/>
      <c r="E456" s="73"/>
      <c r="F456" s="73"/>
      <c r="G456" s="74"/>
      <c r="H456" s="153"/>
      <c r="I456" s="72"/>
      <c r="K456" s="658"/>
    </row>
    <row r="457" spans="1:11" customFormat="1" x14ac:dyDescent="0.25">
      <c r="A457" s="678"/>
      <c r="B457" s="75" t="s">
        <v>1163</v>
      </c>
      <c r="C457" s="73"/>
      <c r="D457" s="73"/>
      <c r="E457" s="73"/>
      <c r="F457" s="73"/>
      <c r="G457" s="74"/>
      <c r="H457" s="153"/>
      <c r="I457" s="72"/>
      <c r="K457" s="658"/>
    </row>
    <row r="458" spans="1:11" customFormat="1" x14ac:dyDescent="0.25">
      <c r="A458" s="661"/>
      <c r="B458" s="73" t="s">
        <v>9121</v>
      </c>
      <c r="C458" s="73"/>
      <c r="D458" s="73"/>
      <c r="E458" s="73"/>
      <c r="F458" s="73"/>
      <c r="G458" s="74" t="s">
        <v>195</v>
      </c>
      <c r="H458" s="153">
        <v>0.6</v>
      </c>
      <c r="I458" s="72"/>
      <c r="K458" s="658"/>
    </row>
    <row r="459" spans="1:11" customFormat="1" x14ac:dyDescent="0.25">
      <c r="A459" s="661"/>
      <c r="B459" s="73"/>
      <c r="C459" s="73"/>
      <c r="D459" s="73"/>
      <c r="E459" s="73"/>
      <c r="F459" s="73"/>
      <c r="G459" s="74"/>
      <c r="H459" s="153"/>
      <c r="I459" s="72"/>
      <c r="K459" s="658"/>
    </row>
    <row r="460" spans="1:11" customFormat="1" x14ac:dyDescent="0.25">
      <c r="A460" s="678"/>
      <c r="B460" s="75" t="s">
        <v>9122</v>
      </c>
      <c r="C460" s="73"/>
      <c r="D460" s="73"/>
      <c r="E460" s="73"/>
      <c r="F460" s="73"/>
      <c r="G460" s="74"/>
      <c r="H460" s="153"/>
      <c r="I460" s="72"/>
      <c r="K460" s="658"/>
    </row>
    <row r="461" spans="1:11" customFormat="1" x14ac:dyDescent="0.25">
      <c r="A461" s="661"/>
      <c r="B461" s="73" t="s">
        <v>9121</v>
      </c>
      <c r="C461" s="73"/>
      <c r="D461" s="73"/>
      <c r="E461" s="73"/>
      <c r="F461" s="73"/>
      <c r="G461" s="74" t="s">
        <v>195</v>
      </c>
      <c r="H461" s="153">
        <v>1.4</v>
      </c>
      <c r="I461" s="72"/>
      <c r="K461" s="658"/>
    </row>
    <row r="462" spans="1:11" customFormat="1" x14ac:dyDescent="0.25">
      <c r="A462" s="661"/>
      <c r="B462" s="73"/>
      <c r="C462" s="73"/>
      <c r="D462" s="73"/>
      <c r="E462" s="73"/>
      <c r="F462" s="73"/>
      <c r="G462" s="74"/>
      <c r="H462" s="153"/>
      <c r="I462" s="72"/>
      <c r="K462" s="658"/>
    </row>
    <row r="463" spans="1:11" customFormat="1" x14ac:dyDescent="0.25">
      <c r="A463" s="661"/>
      <c r="B463" s="73"/>
      <c r="C463" s="73"/>
      <c r="D463" s="73"/>
      <c r="E463" s="73"/>
      <c r="F463" s="73"/>
      <c r="G463" s="74"/>
      <c r="H463" s="153"/>
      <c r="I463" s="72"/>
      <c r="K463" s="658"/>
    </row>
    <row r="464" spans="1:11" customFormat="1" x14ac:dyDescent="0.25">
      <c r="A464" s="678"/>
      <c r="B464" s="75" t="s">
        <v>9120</v>
      </c>
      <c r="C464" s="73"/>
      <c r="D464" s="73"/>
      <c r="E464" s="73"/>
      <c r="F464" s="73"/>
      <c r="G464" s="74"/>
      <c r="H464" s="153"/>
      <c r="I464" s="72"/>
      <c r="K464" s="658"/>
    </row>
    <row r="465" spans="1:11" customFormat="1" x14ac:dyDescent="0.25">
      <c r="A465" s="661"/>
      <c r="B465" s="186" t="s">
        <v>9074</v>
      </c>
      <c r="C465" s="77"/>
      <c r="D465" s="77"/>
      <c r="E465" s="73"/>
      <c r="F465" s="73"/>
      <c r="G465" s="74" t="s">
        <v>3</v>
      </c>
      <c r="H465" s="153">
        <f>0.45*0.05*2*0.15*2*1.3</f>
        <v>1.7550000000000003E-2</v>
      </c>
      <c r="I465" s="72"/>
      <c r="K465" s="658"/>
    </row>
    <row r="466" spans="1:11" customFormat="1" x14ac:dyDescent="0.25">
      <c r="A466" s="661"/>
      <c r="B466" s="186" t="s">
        <v>12</v>
      </c>
      <c r="C466" s="77"/>
      <c r="D466" s="77"/>
      <c r="E466" s="73"/>
      <c r="F466" s="73"/>
      <c r="G466" s="74" t="s">
        <v>3</v>
      </c>
      <c r="H466" s="153">
        <f>0.3*H465</f>
        <v>5.2650000000000006E-3</v>
      </c>
      <c r="I466" s="72"/>
      <c r="K466" s="658"/>
    </row>
    <row r="467" spans="1:11" customFormat="1" x14ac:dyDescent="0.25">
      <c r="A467" s="661"/>
      <c r="B467" s="73"/>
      <c r="C467" s="75" t="s">
        <v>9119</v>
      </c>
      <c r="D467" s="73"/>
      <c r="E467" s="73"/>
      <c r="F467" s="73"/>
      <c r="G467" s="74"/>
      <c r="H467" s="153"/>
      <c r="I467" s="72"/>
      <c r="K467" s="658"/>
    </row>
    <row r="468" spans="1:11" customFormat="1" x14ac:dyDescent="0.25">
      <c r="A468" s="661"/>
      <c r="B468" s="73"/>
      <c r="C468" s="73" t="s">
        <v>9118</v>
      </c>
      <c r="D468" s="73"/>
      <c r="E468" s="73"/>
      <c r="F468" s="73"/>
      <c r="G468" s="74" t="s">
        <v>3</v>
      </c>
      <c r="H468" s="153">
        <f>0.555*0.04*2*8*1.127</f>
        <v>0.40031040000000001</v>
      </c>
      <c r="I468" s="72"/>
      <c r="K468" s="658"/>
    </row>
    <row r="469" spans="1:11" customFormat="1" x14ac:dyDescent="0.25">
      <c r="A469" s="661"/>
      <c r="B469" s="73"/>
      <c r="C469" s="73"/>
      <c r="D469" s="73"/>
      <c r="E469" s="73"/>
      <c r="F469" s="73"/>
      <c r="G469" s="74"/>
      <c r="H469" s="153"/>
      <c r="I469" s="72"/>
      <c r="K469" s="658"/>
    </row>
    <row r="470" spans="1:11" customFormat="1" x14ac:dyDescent="0.25">
      <c r="A470" s="678"/>
      <c r="B470" s="75" t="s">
        <v>9117</v>
      </c>
      <c r="C470" s="73"/>
      <c r="D470" s="73"/>
      <c r="E470" s="73"/>
      <c r="F470" s="73"/>
      <c r="G470" s="74"/>
      <c r="H470" s="153"/>
      <c r="I470" s="72"/>
      <c r="K470" s="658"/>
    </row>
    <row r="471" spans="1:11" customFormat="1" x14ac:dyDescent="0.25">
      <c r="A471" s="661"/>
      <c r="B471" s="77" t="s">
        <v>1054</v>
      </c>
      <c r="C471" s="73"/>
      <c r="D471" s="73"/>
      <c r="E471" s="73"/>
      <c r="F471" s="73"/>
      <c r="G471" s="74" t="s">
        <v>3</v>
      </c>
      <c r="H471" s="153">
        <f>0.05*0.08*1.2</f>
        <v>4.7999999999999996E-3</v>
      </c>
      <c r="I471" s="72"/>
      <c r="K471" s="658"/>
    </row>
    <row r="472" spans="1:11" customFormat="1" ht="17.25" x14ac:dyDescent="0.25">
      <c r="A472" s="661"/>
      <c r="B472" s="77" t="s">
        <v>1055</v>
      </c>
      <c r="C472" s="73"/>
      <c r="D472" s="73"/>
      <c r="E472" s="73"/>
      <c r="F472" s="73"/>
      <c r="G472" s="74" t="s">
        <v>596</v>
      </c>
      <c r="H472" s="153">
        <f>H471</f>
        <v>4.7999999999999996E-3</v>
      </c>
      <c r="I472" s="72"/>
      <c r="K472" s="658"/>
    </row>
    <row r="473" spans="1:11" customFormat="1" x14ac:dyDescent="0.25">
      <c r="A473" s="661"/>
      <c r="B473" s="73"/>
      <c r="C473" s="75" t="s">
        <v>9116</v>
      </c>
      <c r="D473" s="73"/>
      <c r="E473" s="73"/>
      <c r="F473" s="73"/>
      <c r="G473" s="74"/>
      <c r="H473" s="153"/>
      <c r="I473" s="72"/>
      <c r="K473" s="658"/>
    </row>
    <row r="474" spans="1:11" customFormat="1" x14ac:dyDescent="0.25">
      <c r="A474" s="661"/>
      <c r="B474" s="73"/>
      <c r="C474" s="73" t="s">
        <v>260</v>
      </c>
      <c r="D474" s="73"/>
      <c r="E474" s="73"/>
      <c r="F474" s="73"/>
      <c r="G474" s="74" t="s">
        <v>3</v>
      </c>
      <c r="H474" s="153">
        <f>0.08*0.038*4*8*1.1</f>
        <v>0.10700800000000002</v>
      </c>
      <c r="I474" s="72"/>
      <c r="K474" s="658"/>
    </row>
    <row r="475" spans="1:11" customFormat="1" x14ac:dyDescent="0.25">
      <c r="A475" s="661"/>
      <c r="B475" s="73"/>
      <c r="C475" s="73"/>
      <c r="D475" s="73"/>
      <c r="E475" s="73"/>
      <c r="F475" s="73"/>
      <c r="G475" s="74"/>
      <c r="H475" s="153"/>
      <c r="I475" s="72"/>
      <c r="K475" s="658"/>
    </row>
    <row r="476" spans="1:11" customFormat="1" x14ac:dyDescent="0.25">
      <c r="A476" s="678"/>
      <c r="B476" s="75" t="s">
        <v>9115</v>
      </c>
      <c r="C476" s="73"/>
      <c r="D476" s="73"/>
      <c r="E476" s="73"/>
      <c r="F476" s="73"/>
      <c r="G476" s="74"/>
      <c r="H476" s="153"/>
      <c r="I476" s="72"/>
      <c r="K476" s="658"/>
    </row>
    <row r="477" spans="1:11" customFormat="1" x14ac:dyDescent="0.25">
      <c r="A477" s="661"/>
      <c r="B477" s="73" t="s">
        <v>300</v>
      </c>
      <c r="C477" s="73"/>
      <c r="D477" s="73"/>
      <c r="E477" s="73"/>
      <c r="F477" s="73"/>
      <c r="G477" s="74" t="s">
        <v>3</v>
      </c>
      <c r="H477" s="153">
        <f>0.08*0.068*3*8*1.11</f>
        <v>0.14492160000000001</v>
      </c>
      <c r="I477" s="72"/>
      <c r="K477" s="658"/>
    </row>
    <row r="478" spans="1:11" customFormat="1" x14ac:dyDescent="0.25">
      <c r="A478" s="661"/>
      <c r="B478" s="73"/>
      <c r="C478" s="73"/>
      <c r="D478" s="73"/>
      <c r="E478" s="73"/>
      <c r="F478" s="73"/>
      <c r="G478" s="74"/>
      <c r="H478" s="153"/>
      <c r="I478" s="72"/>
      <c r="K478" s="658"/>
    </row>
    <row r="479" spans="1:11" customFormat="1" x14ac:dyDescent="0.25">
      <c r="A479" s="678"/>
      <c r="B479" s="75" t="s">
        <v>9114</v>
      </c>
      <c r="C479" s="73"/>
      <c r="D479" s="73"/>
      <c r="E479" s="73"/>
      <c r="F479" s="73"/>
      <c r="G479" s="74"/>
      <c r="H479" s="153"/>
      <c r="I479" s="72"/>
      <c r="K479" s="658"/>
    </row>
    <row r="480" spans="1:11" customFormat="1" x14ac:dyDescent="0.25">
      <c r="A480" s="661"/>
      <c r="B480" s="73" t="s">
        <v>671</v>
      </c>
      <c r="C480" s="73"/>
      <c r="D480" s="73"/>
      <c r="E480" s="73"/>
      <c r="F480" s="73"/>
      <c r="G480" s="74" t="s">
        <v>3</v>
      </c>
      <c r="H480" s="153">
        <v>5.0000000000000001E-3</v>
      </c>
      <c r="I480" s="72"/>
      <c r="K480" s="658"/>
    </row>
    <row r="481" spans="1:11" customFormat="1" x14ac:dyDescent="0.25">
      <c r="A481" s="661"/>
      <c r="B481" s="73" t="s">
        <v>672</v>
      </c>
      <c r="C481" s="73"/>
      <c r="D481" s="73"/>
      <c r="E481" s="73"/>
      <c r="F481" s="73"/>
      <c r="G481" s="74" t="s">
        <v>3</v>
      </c>
      <c r="H481" s="153">
        <f>2.5*H480</f>
        <v>1.2500000000000001E-2</v>
      </c>
      <c r="I481" s="72"/>
      <c r="K481" s="658"/>
    </row>
    <row r="482" spans="1:11" customFormat="1" x14ac:dyDescent="0.25">
      <c r="A482" s="661"/>
      <c r="B482" s="73" t="s">
        <v>2006</v>
      </c>
      <c r="C482" s="73"/>
      <c r="D482" s="73"/>
      <c r="E482" s="73"/>
      <c r="F482" s="73"/>
      <c r="G482" s="74" t="s">
        <v>3</v>
      </c>
      <c r="H482" s="153">
        <v>1E-3</v>
      </c>
      <c r="I482" s="72"/>
      <c r="K482" s="658"/>
    </row>
    <row r="483" spans="1:11" customFormat="1" x14ac:dyDescent="0.25">
      <c r="A483" s="661"/>
      <c r="B483" s="73"/>
      <c r="C483" s="75" t="s">
        <v>9113</v>
      </c>
      <c r="D483" s="73"/>
      <c r="E483" s="73"/>
      <c r="F483" s="73"/>
      <c r="G483" s="74"/>
      <c r="H483" s="153"/>
      <c r="I483" s="72"/>
      <c r="K483" s="658"/>
    </row>
    <row r="484" spans="1:11" customFormat="1" x14ac:dyDescent="0.25">
      <c r="A484" s="661"/>
      <c r="B484" s="73"/>
      <c r="C484" s="73" t="s">
        <v>379</v>
      </c>
      <c r="D484" s="73"/>
      <c r="E484" s="73"/>
      <c r="F484" s="73"/>
      <c r="G484" s="74" t="s">
        <v>195</v>
      </c>
      <c r="H484" s="153">
        <v>0.23</v>
      </c>
      <c r="I484" s="72"/>
      <c r="K484" s="658"/>
    </row>
    <row r="485" spans="1:11" customFormat="1" x14ac:dyDescent="0.25">
      <c r="A485" s="661"/>
      <c r="B485" s="73"/>
      <c r="C485" s="73"/>
      <c r="D485" s="73"/>
      <c r="E485" s="73"/>
      <c r="F485" s="73"/>
      <c r="G485" s="74"/>
      <c r="H485" s="153"/>
      <c r="I485" s="72"/>
      <c r="K485" s="658"/>
    </row>
    <row r="486" spans="1:11" customFormat="1" x14ac:dyDescent="0.25">
      <c r="A486" s="678"/>
      <c r="B486" s="75" t="s">
        <v>9112</v>
      </c>
      <c r="C486" s="73"/>
      <c r="D486" s="73"/>
      <c r="E486" s="73"/>
      <c r="F486" s="73"/>
      <c r="G486" s="74"/>
      <c r="H486" s="153"/>
      <c r="I486" s="72"/>
      <c r="K486" s="658"/>
    </row>
    <row r="487" spans="1:11" customFormat="1" x14ac:dyDescent="0.25">
      <c r="A487" s="661"/>
      <c r="B487" s="73" t="s">
        <v>671</v>
      </c>
      <c r="C487" s="73"/>
      <c r="D487" s="73"/>
      <c r="E487" s="73"/>
      <c r="F487" s="73"/>
      <c r="G487" s="74" t="s">
        <v>3</v>
      </c>
      <c r="H487" s="153">
        <v>0.01</v>
      </c>
      <c r="I487" s="72"/>
      <c r="K487" s="658"/>
    </row>
    <row r="488" spans="1:11" customFormat="1" x14ac:dyDescent="0.25">
      <c r="A488" s="661"/>
      <c r="B488" s="73" t="s">
        <v>672</v>
      </c>
      <c r="C488" s="73"/>
      <c r="D488" s="73"/>
      <c r="E488" s="73"/>
      <c r="F488" s="73"/>
      <c r="G488" s="74" t="s">
        <v>3</v>
      </c>
      <c r="H488" s="153">
        <f>2.5*H487</f>
        <v>2.5000000000000001E-2</v>
      </c>
      <c r="I488" s="72"/>
      <c r="K488" s="658"/>
    </row>
    <row r="489" spans="1:11" customFormat="1" x14ac:dyDescent="0.25">
      <c r="A489" s="661"/>
      <c r="B489" s="73" t="s">
        <v>2006</v>
      </c>
      <c r="C489" s="73"/>
      <c r="D489" s="73"/>
      <c r="E489" s="73"/>
      <c r="F489" s="73"/>
      <c r="G489" s="74" t="s">
        <v>3</v>
      </c>
      <c r="H489" s="153">
        <v>2E-3</v>
      </c>
      <c r="I489" s="72"/>
      <c r="K489" s="658"/>
    </row>
    <row r="490" spans="1:11" customFormat="1" x14ac:dyDescent="0.25">
      <c r="A490" s="661"/>
      <c r="B490" s="73" t="s">
        <v>294</v>
      </c>
      <c r="C490" s="73"/>
      <c r="D490" s="73"/>
      <c r="E490" s="73"/>
      <c r="F490" s="73"/>
      <c r="G490" s="74" t="s">
        <v>195</v>
      </c>
      <c r="H490" s="153">
        <v>0.6</v>
      </c>
      <c r="I490" s="72"/>
      <c r="K490" s="658"/>
    </row>
    <row r="491" spans="1:11" customFormat="1" x14ac:dyDescent="0.25">
      <c r="A491" s="661"/>
      <c r="B491" s="73"/>
      <c r="C491" s="73"/>
      <c r="D491" s="73"/>
      <c r="E491" s="73"/>
      <c r="F491" s="73"/>
      <c r="G491" s="74"/>
      <c r="H491" s="153"/>
      <c r="I491" s="72"/>
      <c r="K491" s="658"/>
    </row>
    <row r="492" spans="1:11" customFormat="1" x14ac:dyDescent="0.25">
      <c r="A492" s="678"/>
      <c r="B492" s="75" t="s">
        <v>9111</v>
      </c>
      <c r="C492" s="73"/>
      <c r="D492" s="73"/>
      <c r="E492" s="73"/>
      <c r="F492" s="73"/>
      <c r="G492" s="74"/>
      <c r="H492" s="153"/>
      <c r="I492" s="72"/>
      <c r="K492" s="658"/>
    </row>
    <row r="493" spans="1:11" customFormat="1" x14ac:dyDescent="0.25">
      <c r="A493" s="661"/>
      <c r="B493" s="73" t="s">
        <v>9110</v>
      </c>
      <c r="C493" s="73"/>
      <c r="D493" s="73"/>
      <c r="E493" s="73"/>
      <c r="F493" s="73"/>
      <c r="G493" s="74" t="s">
        <v>195</v>
      </c>
      <c r="H493" s="153">
        <v>0.67</v>
      </c>
      <c r="I493" s="72"/>
      <c r="K493" s="658"/>
    </row>
    <row r="494" spans="1:11" customFormat="1" x14ac:dyDescent="0.25">
      <c r="A494" s="661"/>
      <c r="B494" s="73" t="s">
        <v>2006</v>
      </c>
      <c r="C494" s="73"/>
      <c r="D494" s="73"/>
      <c r="E494" s="73"/>
      <c r="F494" s="73"/>
      <c r="G494" s="74" t="s">
        <v>3</v>
      </c>
      <c r="H494" s="153">
        <v>1E-3</v>
      </c>
      <c r="I494" s="72"/>
      <c r="K494" s="658"/>
    </row>
    <row r="495" spans="1:11" customFormat="1" x14ac:dyDescent="0.25">
      <c r="A495" s="661"/>
      <c r="B495" s="73" t="s">
        <v>671</v>
      </c>
      <c r="C495" s="73"/>
      <c r="D495" s="73"/>
      <c r="E495" s="73"/>
      <c r="F495" s="73"/>
      <c r="G495" s="74" t="s">
        <v>3</v>
      </c>
      <c r="H495" s="153">
        <v>8.0000000000000002E-3</v>
      </c>
      <c r="I495" s="72"/>
      <c r="K495" s="658"/>
    </row>
    <row r="496" spans="1:11" customFormat="1" x14ac:dyDescent="0.25">
      <c r="A496" s="661"/>
      <c r="B496" s="73" t="s">
        <v>672</v>
      </c>
      <c r="C496" s="73"/>
      <c r="D496" s="73"/>
      <c r="E496" s="73"/>
      <c r="F496" s="73"/>
      <c r="G496" s="74" t="s">
        <v>3</v>
      </c>
      <c r="H496" s="153">
        <f>2.5*H495</f>
        <v>0.02</v>
      </c>
      <c r="I496" s="72"/>
      <c r="K496" s="658"/>
    </row>
    <row r="497" spans="1:13" customFormat="1" x14ac:dyDescent="0.25">
      <c r="A497" s="661"/>
      <c r="B497" s="73"/>
      <c r="C497" s="75" t="s">
        <v>9109</v>
      </c>
      <c r="D497" s="73"/>
      <c r="E497" s="73"/>
      <c r="F497" s="73"/>
      <c r="G497" s="74"/>
      <c r="H497" s="153"/>
      <c r="I497" s="72"/>
      <c r="K497" s="658"/>
    </row>
    <row r="498" spans="1:13" customFormat="1" x14ac:dyDescent="0.25">
      <c r="A498" s="661"/>
      <c r="B498" s="73"/>
      <c r="C498" s="73" t="s">
        <v>9108</v>
      </c>
      <c r="D498" s="73"/>
      <c r="E498" s="73"/>
      <c r="F498" s="73"/>
      <c r="G498" s="74" t="s">
        <v>3</v>
      </c>
      <c r="H498" s="427">
        <f>0.035*0.115*8*8*1.05</f>
        <v>0.27048000000000005</v>
      </c>
      <c r="I498" s="72"/>
      <c r="K498" s="658"/>
    </row>
    <row r="499" spans="1:13" customFormat="1" x14ac:dyDescent="0.25">
      <c r="A499" s="661"/>
      <c r="B499" s="73"/>
      <c r="C499" s="73"/>
      <c r="D499" s="73"/>
      <c r="E499" s="73"/>
      <c r="F499" s="73"/>
      <c r="G499" s="74"/>
      <c r="H499" s="153"/>
      <c r="I499" s="72"/>
      <c r="K499" s="658"/>
    </row>
    <row r="500" spans="1:13" customFormat="1" x14ac:dyDescent="0.25">
      <c r="A500" s="678"/>
      <c r="B500" s="75" t="s">
        <v>9107</v>
      </c>
      <c r="C500" s="73"/>
      <c r="D500" s="73"/>
      <c r="E500" s="73"/>
      <c r="F500" s="73"/>
      <c r="G500" s="74"/>
      <c r="H500" s="153"/>
      <c r="I500" s="72"/>
      <c r="K500" s="658"/>
    </row>
    <row r="501" spans="1:13" customFormat="1" x14ac:dyDescent="0.25">
      <c r="A501" s="661"/>
      <c r="B501" s="77" t="s">
        <v>124</v>
      </c>
      <c r="C501" s="73"/>
      <c r="D501" s="73"/>
      <c r="E501" s="73"/>
      <c r="F501" s="73"/>
      <c r="G501" s="74" t="s">
        <v>3</v>
      </c>
      <c r="H501" s="153">
        <f>0.025*3.14*2*0.08*1.2</f>
        <v>1.5072000000000002E-2</v>
      </c>
      <c r="I501" s="72"/>
      <c r="K501" s="658"/>
    </row>
    <row r="502" spans="1:13" customFormat="1" ht="17.25" x14ac:dyDescent="0.25">
      <c r="A502" s="661"/>
      <c r="B502" s="77" t="s">
        <v>168</v>
      </c>
      <c r="C502" s="73"/>
      <c r="D502" s="73"/>
      <c r="E502" s="73"/>
      <c r="F502" s="73"/>
      <c r="G502" s="74" t="s">
        <v>596</v>
      </c>
      <c r="H502" s="153">
        <f>1.1*H501</f>
        <v>1.6579200000000002E-2</v>
      </c>
      <c r="I502" s="72"/>
      <c r="K502" s="658"/>
    </row>
    <row r="503" spans="1:13" customFormat="1" x14ac:dyDescent="0.25">
      <c r="A503" s="661"/>
      <c r="B503" s="77" t="s">
        <v>9106</v>
      </c>
      <c r="C503" s="73"/>
      <c r="D503" s="73"/>
      <c r="E503" s="73"/>
      <c r="F503" s="73"/>
      <c r="G503" s="74" t="s">
        <v>3</v>
      </c>
      <c r="H503" s="153">
        <v>2.5000000000000001E-2</v>
      </c>
      <c r="I503" s="72"/>
      <c r="K503" s="658"/>
    </row>
    <row r="504" spans="1:13" customFormat="1" x14ac:dyDescent="0.25">
      <c r="A504" s="661"/>
      <c r="B504" s="77" t="s">
        <v>164</v>
      </c>
      <c r="C504" s="73"/>
      <c r="D504" s="73"/>
      <c r="E504" s="73"/>
      <c r="F504" s="73"/>
      <c r="G504" s="74" t="s">
        <v>3</v>
      </c>
      <c r="H504" s="153">
        <f>0.3*H503</f>
        <v>7.4999999999999997E-3</v>
      </c>
      <c r="I504" s="72"/>
      <c r="K504" s="658"/>
    </row>
    <row r="505" spans="1:13" customFormat="1" x14ac:dyDescent="0.25">
      <c r="A505" s="661"/>
      <c r="B505" s="77" t="s">
        <v>9105</v>
      </c>
      <c r="C505" s="73"/>
      <c r="D505" s="73"/>
      <c r="E505" s="73"/>
      <c r="F505" s="73"/>
      <c r="G505" s="74" t="s">
        <v>3</v>
      </c>
      <c r="H505" s="153">
        <v>2.5000000000000001E-2</v>
      </c>
      <c r="I505" s="72"/>
      <c r="K505" s="658"/>
    </row>
    <row r="506" spans="1:13" customFormat="1" x14ac:dyDescent="0.25">
      <c r="A506" s="661"/>
      <c r="B506" s="77" t="s">
        <v>12</v>
      </c>
      <c r="C506" s="73"/>
      <c r="D506" s="73"/>
      <c r="E506" s="73"/>
      <c r="F506" s="73"/>
      <c r="G506" s="74" t="s">
        <v>3</v>
      </c>
      <c r="H506" s="153">
        <f>0.3*H505</f>
        <v>7.4999999999999997E-3</v>
      </c>
      <c r="I506" s="72"/>
      <c r="K506" s="658"/>
    </row>
    <row r="507" spans="1:13" customFormat="1" x14ac:dyDescent="0.25">
      <c r="A507" s="661"/>
      <c r="B507" s="73"/>
      <c r="C507" s="75" t="s">
        <v>9104</v>
      </c>
      <c r="D507" s="73"/>
      <c r="E507" s="73"/>
      <c r="F507" s="73"/>
      <c r="G507" s="74"/>
      <c r="H507" s="153"/>
      <c r="I507" s="72"/>
      <c r="K507" s="658"/>
    </row>
    <row r="508" spans="1:13" customFormat="1" x14ac:dyDescent="0.25">
      <c r="A508" s="661"/>
      <c r="B508" s="73"/>
      <c r="C508" s="73" t="s">
        <v>499</v>
      </c>
      <c r="D508" s="73"/>
      <c r="E508" s="73"/>
      <c r="F508" s="73"/>
      <c r="G508" s="74" t="s">
        <v>3</v>
      </c>
      <c r="H508" s="153">
        <v>0.65500000000000003</v>
      </c>
      <c r="I508" s="72"/>
      <c r="K508" s="658"/>
    </row>
    <row r="509" spans="1:13" customFormat="1" x14ac:dyDescent="0.25">
      <c r="A509" s="661"/>
      <c r="B509" s="73"/>
      <c r="C509" s="73"/>
      <c r="D509" s="73"/>
      <c r="E509" s="73"/>
      <c r="F509" s="73"/>
      <c r="G509" s="74"/>
      <c r="H509" s="153"/>
      <c r="I509" s="72"/>
      <c r="K509" s="658"/>
    </row>
    <row r="510" spans="1:13" customFormat="1" x14ac:dyDescent="0.25">
      <c r="A510" s="678"/>
      <c r="B510" s="75" t="s">
        <v>9103</v>
      </c>
      <c r="C510" s="73"/>
      <c r="D510" s="73"/>
      <c r="E510" s="73"/>
      <c r="F510" s="73"/>
      <c r="G510" s="74"/>
      <c r="H510" s="153"/>
      <c r="I510" s="72"/>
      <c r="K510" s="658"/>
    </row>
    <row r="511" spans="1:13" customFormat="1" x14ac:dyDescent="0.25">
      <c r="A511" s="661"/>
      <c r="B511" s="77" t="s">
        <v>39</v>
      </c>
      <c r="C511" s="73"/>
      <c r="D511" s="73"/>
      <c r="E511" s="73"/>
      <c r="F511" s="73"/>
      <c r="G511" s="74" t="s">
        <v>3</v>
      </c>
      <c r="H511" s="153">
        <f>0.12*0.08*1.2</f>
        <v>1.1519999999999999E-2</v>
      </c>
      <c r="I511" s="72"/>
      <c r="K511" s="658"/>
    </row>
    <row r="512" spans="1:13" customFormat="1" ht="17.25" x14ac:dyDescent="0.25">
      <c r="A512" s="661"/>
      <c r="B512" s="73" t="s">
        <v>1055</v>
      </c>
      <c r="C512" s="73"/>
      <c r="D512" s="73"/>
      <c r="E512" s="73"/>
      <c r="F512" s="73"/>
      <c r="G512" s="74" t="s">
        <v>596</v>
      </c>
      <c r="H512" s="153">
        <f>H511</f>
        <v>1.1519999999999999E-2</v>
      </c>
      <c r="I512" s="72"/>
      <c r="K512" s="658"/>
      <c r="M512" t="s">
        <v>9102</v>
      </c>
    </row>
    <row r="513" spans="1:13" customFormat="1" x14ac:dyDescent="0.25">
      <c r="A513" s="661"/>
      <c r="B513" s="73"/>
      <c r="C513" s="75" t="s">
        <v>9101</v>
      </c>
      <c r="D513" s="73"/>
      <c r="E513" s="73"/>
      <c r="F513" s="73"/>
      <c r="G513" s="74"/>
      <c r="H513" s="153"/>
      <c r="I513" s="72"/>
      <c r="K513" s="658"/>
      <c r="M513">
        <v>1.427</v>
      </c>
    </row>
    <row r="514" spans="1:13" customFormat="1" x14ac:dyDescent="0.25">
      <c r="A514" s="661"/>
      <c r="B514" s="73"/>
      <c r="C514" s="73" t="s">
        <v>9100</v>
      </c>
      <c r="D514" s="73"/>
      <c r="E514" s="73"/>
      <c r="F514" s="73"/>
      <c r="G514" s="74" t="s">
        <v>3</v>
      </c>
      <c r="H514" s="153">
        <v>0.45500000000000002</v>
      </c>
      <c r="I514" s="72"/>
      <c r="J514" t="s">
        <v>8230</v>
      </c>
      <c r="K514" s="658"/>
      <c r="M514" s="2">
        <f>0.3*M513</f>
        <v>0.42809999999999998</v>
      </c>
    </row>
    <row r="515" spans="1:13" customFormat="1" x14ac:dyDescent="0.25">
      <c r="A515" s="661"/>
      <c r="B515" s="73"/>
      <c r="C515" s="75" t="s">
        <v>9099</v>
      </c>
      <c r="D515" s="73"/>
      <c r="E515" s="73"/>
      <c r="F515" s="73"/>
      <c r="G515" s="74"/>
      <c r="H515" s="153"/>
      <c r="I515" s="72"/>
      <c r="K515" s="658"/>
      <c r="M515" s="2"/>
    </row>
    <row r="516" spans="1:13" customFormat="1" x14ac:dyDescent="0.25">
      <c r="A516" s="661"/>
      <c r="B516" s="73"/>
      <c r="C516" s="73" t="s">
        <v>3083</v>
      </c>
      <c r="D516" s="73"/>
      <c r="E516" s="73"/>
      <c r="F516" s="73"/>
      <c r="G516" s="74" t="s">
        <v>3</v>
      </c>
      <c r="H516" s="153">
        <v>1.2150000000000001</v>
      </c>
      <c r="I516" s="72"/>
      <c r="J516" t="s">
        <v>9097</v>
      </c>
      <c r="K516" s="658"/>
      <c r="M516" s="2">
        <f>0.8*M513</f>
        <v>1.1416000000000002</v>
      </c>
    </row>
    <row r="517" spans="1:13" customFormat="1" x14ac:dyDescent="0.25">
      <c r="A517" s="661"/>
      <c r="B517" s="73"/>
      <c r="C517" s="75" t="s">
        <v>9098</v>
      </c>
      <c r="D517" s="73"/>
      <c r="E517" s="73"/>
      <c r="F517" s="73"/>
      <c r="G517" s="74"/>
      <c r="H517" s="153"/>
      <c r="I517" s="72"/>
      <c r="K517" s="658"/>
      <c r="M517" s="2"/>
    </row>
    <row r="518" spans="1:13" customFormat="1" x14ac:dyDescent="0.25">
      <c r="A518" s="661"/>
      <c r="B518" s="73"/>
      <c r="C518" s="73" t="s">
        <v>3083</v>
      </c>
      <c r="D518" s="73"/>
      <c r="E518" s="73"/>
      <c r="F518" s="73"/>
      <c r="G518" s="74" t="s">
        <v>3</v>
      </c>
      <c r="H518" s="153">
        <v>1.2150000000000001</v>
      </c>
      <c r="I518" s="72"/>
      <c r="J518" t="s">
        <v>9097</v>
      </c>
      <c r="K518" s="658"/>
      <c r="M518" s="2">
        <f>0.8*M513</f>
        <v>1.1416000000000002</v>
      </c>
    </row>
    <row r="519" spans="1:13" customFormat="1" x14ac:dyDescent="0.25">
      <c r="A519" s="661"/>
      <c r="B519" s="73"/>
      <c r="C519" s="73"/>
      <c r="D519" s="73"/>
      <c r="E519" s="73"/>
      <c r="F519" s="73"/>
      <c r="G519" s="74"/>
      <c r="H519" s="153"/>
      <c r="I519" s="72"/>
      <c r="K519" s="658"/>
    </row>
    <row r="520" spans="1:13" customFormat="1" x14ac:dyDescent="0.25">
      <c r="A520" s="678"/>
      <c r="B520" s="75" t="s">
        <v>9096</v>
      </c>
      <c r="C520" s="73"/>
      <c r="D520" s="73"/>
      <c r="E520" s="73"/>
      <c r="F520" s="73"/>
      <c r="G520" s="74"/>
      <c r="H520" s="153"/>
      <c r="I520" s="72"/>
      <c r="K520" s="658"/>
    </row>
    <row r="521" spans="1:13" customFormat="1" x14ac:dyDescent="0.25">
      <c r="A521" s="661"/>
      <c r="B521" s="100" t="s">
        <v>37</v>
      </c>
      <c r="C521" s="73"/>
      <c r="D521" s="73"/>
      <c r="E521" s="73"/>
      <c r="F521" s="73"/>
      <c r="G521" s="74" t="s">
        <v>3</v>
      </c>
      <c r="H521" s="153">
        <f>3*0.04*0.2*1.3</f>
        <v>3.1200000000000002E-2</v>
      </c>
      <c r="I521" s="72"/>
      <c r="K521" s="658"/>
    </row>
    <row r="522" spans="1:13" customFormat="1" x14ac:dyDescent="0.25">
      <c r="A522" s="661"/>
      <c r="B522" s="73" t="s">
        <v>7750</v>
      </c>
      <c r="C522" s="73"/>
      <c r="D522" s="73"/>
      <c r="E522" s="73"/>
      <c r="F522" s="73"/>
      <c r="G522" s="74" t="s">
        <v>3</v>
      </c>
      <c r="H522" s="153">
        <v>5.0000000000000001E-3</v>
      </c>
      <c r="I522" s="72"/>
      <c r="K522" s="658"/>
    </row>
    <row r="523" spans="1:13" customFormat="1" x14ac:dyDescent="0.25">
      <c r="A523" s="661"/>
      <c r="B523" s="77" t="s">
        <v>39</v>
      </c>
      <c r="C523" s="73"/>
      <c r="D523" s="73"/>
      <c r="E523" s="73"/>
      <c r="F523" s="73"/>
      <c r="G523" s="74" t="s">
        <v>3</v>
      </c>
      <c r="H523" s="153">
        <f>(0.2+0.28+3/0.15*0.05+0.25)*0.07*1.2</f>
        <v>0.14532</v>
      </c>
      <c r="I523" s="72"/>
      <c r="K523" s="658"/>
    </row>
    <row r="524" spans="1:13" customFormat="1" ht="17.25" x14ac:dyDescent="0.25">
      <c r="A524" s="661"/>
      <c r="B524" s="73" t="s">
        <v>1055</v>
      </c>
      <c r="C524" s="73"/>
      <c r="D524" s="73"/>
      <c r="E524" s="73"/>
      <c r="F524" s="73"/>
      <c r="G524" s="74" t="s">
        <v>596</v>
      </c>
      <c r="H524" s="153">
        <f>H523</f>
        <v>0.14532</v>
      </c>
      <c r="I524" s="72"/>
      <c r="K524" s="658"/>
    </row>
    <row r="525" spans="1:13" customFormat="1" x14ac:dyDescent="0.25">
      <c r="A525" s="661"/>
      <c r="B525" s="77" t="s">
        <v>8</v>
      </c>
      <c r="C525" s="77"/>
      <c r="D525" s="77"/>
      <c r="E525" s="73"/>
      <c r="F525" s="73"/>
      <c r="G525" s="74" t="s">
        <v>3</v>
      </c>
      <c r="H525" s="153">
        <f>0.95*0.6*2*0.12*2*1.1-0.001</f>
        <v>0.29995999999999995</v>
      </c>
      <c r="I525" s="72"/>
      <c r="K525" s="658"/>
    </row>
    <row r="526" spans="1:13" customFormat="1" x14ac:dyDescent="0.25">
      <c r="A526" s="661"/>
      <c r="B526" s="77" t="s">
        <v>12</v>
      </c>
      <c r="C526" s="77"/>
      <c r="D526" s="77"/>
      <c r="E526" s="73"/>
      <c r="F526" s="73"/>
      <c r="G526" s="74" t="s">
        <v>3</v>
      </c>
      <c r="H526" s="153">
        <f>0.3*H525</f>
        <v>8.9987999999999985E-2</v>
      </c>
      <c r="I526" s="72"/>
      <c r="K526" s="658"/>
    </row>
    <row r="527" spans="1:13" customFormat="1" x14ac:dyDescent="0.25">
      <c r="A527" s="661"/>
      <c r="B527" s="77" t="s">
        <v>9</v>
      </c>
      <c r="C527" s="77"/>
      <c r="D527" s="77"/>
      <c r="E527" s="73"/>
      <c r="F527" s="73"/>
      <c r="G527" s="74" t="s">
        <v>3</v>
      </c>
      <c r="H527" s="153">
        <f>0.95*0.6*2*0.15*2*1.1+0.004</f>
        <v>0.38019999999999998</v>
      </c>
      <c r="I527" s="72"/>
      <c r="K527" s="658"/>
    </row>
    <row r="528" spans="1:13" customFormat="1" x14ac:dyDescent="0.25">
      <c r="A528" s="661"/>
      <c r="B528" s="77" t="s">
        <v>11</v>
      </c>
      <c r="C528" s="77"/>
      <c r="D528" s="77"/>
      <c r="E528" s="73"/>
      <c r="F528" s="73"/>
      <c r="G528" s="74" t="s">
        <v>3</v>
      </c>
      <c r="H528" s="153">
        <f>0.3*H527</f>
        <v>0.11405999999999999</v>
      </c>
      <c r="I528" s="72"/>
      <c r="K528" s="658"/>
    </row>
    <row r="529" spans="1:11" customFormat="1" x14ac:dyDescent="0.25">
      <c r="A529" s="661"/>
      <c r="B529" s="73"/>
      <c r="C529" s="75" t="s">
        <v>9095</v>
      </c>
      <c r="D529" s="73"/>
      <c r="E529" s="73"/>
      <c r="F529" s="73"/>
      <c r="G529" s="74"/>
      <c r="H529" s="153"/>
      <c r="I529" s="72"/>
      <c r="K529" s="658"/>
    </row>
    <row r="530" spans="1:11" customFormat="1" x14ac:dyDescent="0.25">
      <c r="A530" s="661"/>
      <c r="B530" s="73"/>
      <c r="C530" s="73" t="s">
        <v>272</v>
      </c>
      <c r="D530" s="73"/>
      <c r="E530" s="73"/>
      <c r="F530" s="73"/>
      <c r="G530" s="74" t="s">
        <v>3</v>
      </c>
      <c r="H530" s="153">
        <f>0.972*0.613*2*8*1.15+0.007</f>
        <v>10.970382399999997</v>
      </c>
      <c r="I530" s="72"/>
      <c r="K530" s="658"/>
    </row>
    <row r="531" spans="1:11" customFormat="1" x14ac:dyDescent="0.25">
      <c r="A531" s="661"/>
      <c r="B531" s="73"/>
      <c r="C531" s="77" t="s">
        <v>39</v>
      </c>
      <c r="D531" s="73"/>
      <c r="E531" s="73"/>
      <c r="F531" s="73"/>
      <c r="G531" s="74" t="s">
        <v>3</v>
      </c>
      <c r="H531" s="153">
        <f>0.05*0.08*1.2</f>
        <v>4.7999999999999996E-3</v>
      </c>
      <c r="I531" s="72"/>
      <c r="K531" s="658"/>
    </row>
    <row r="532" spans="1:11" customFormat="1" ht="17.25" x14ac:dyDescent="0.25">
      <c r="A532" s="661"/>
      <c r="B532" s="73"/>
      <c r="C532" s="73" t="s">
        <v>1055</v>
      </c>
      <c r="D532" s="73"/>
      <c r="E532" s="73"/>
      <c r="F532" s="73"/>
      <c r="G532" s="74" t="s">
        <v>596</v>
      </c>
      <c r="H532" s="153">
        <f>H531</f>
        <v>4.7999999999999996E-3</v>
      </c>
      <c r="I532" s="72"/>
      <c r="K532" s="658"/>
    </row>
    <row r="533" spans="1:11" customFormat="1" x14ac:dyDescent="0.25">
      <c r="A533" s="661"/>
      <c r="B533" s="73"/>
      <c r="C533" s="75" t="s">
        <v>9094</v>
      </c>
      <c r="D533" s="73"/>
      <c r="E533" s="73"/>
      <c r="F533" s="73"/>
      <c r="G533" s="74"/>
      <c r="H533" s="153"/>
      <c r="I533" s="72"/>
      <c r="K533" s="658"/>
    </row>
    <row r="534" spans="1:11" customFormat="1" x14ac:dyDescent="0.25">
      <c r="A534" s="661"/>
      <c r="B534" s="73"/>
      <c r="C534" s="73" t="s">
        <v>55</v>
      </c>
      <c r="D534" s="73"/>
      <c r="E534" s="73"/>
      <c r="F534" s="73"/>
      <c r="G534" s="74" t="s">
        <v>3</v>
      </c>
      <c r="H534" s="153">
        <f>0.555*0.012*3*8*1.1</f>
        <v>0.17582400000000006</v>
      </c>
      <c r="I534" s="72"/>
      <c r="K534" s="658"/>
    </row>
    <row r="535" spans="1:11" customFormat="1" x14ac:dyDescent="0.25">
      <c r="A535" s="661"/>
      <c r="B535" s="73"/>
      <c r="C535" s="75" t="s">
        <v>9093</v>
      </c>
      <c r="D535" s="73"/>
      <c r="E535" s="73"/>
      <c r="F535" s="73"/>
      <c r="G535" s="74"/>
      <c r="H535" s="153"/>
      <c r="I535" s="72"/>
      <c r="K535" s="658"/>
    </row>
    <row r="536" spans="1:11" customFormat="1" x14ac:dyDescent="0.25">
      <c r="A536" s="661"/>
      <c r="B536" s="73"/>
      <c r="C536" s="73" t="s">
        <v>55</v>
      </c>
      <c r="D536" s="73"/>
      <c r="E536" s="73"/>
      <c r="F536" s="73"/>
      <c r="G536" s="74" t="s">
        <v>3</v>
      </c>
      <c r="H536" s="153">
        <f>0.915*0.012*3*8*1.1</f>
        <v>0.28987200000000002</v>
      </c>
      <c r="I536" s="72"/>
      <c r="K536" s="658"/>
    </row>
    <row r="537" spans="1:11" customFormat="1" x14ac:dyDescent="0.25">
      <c r="A537" s="661"/>
      <c r="B537" s="73"/>
      <c r="C537" s="75" t="s">
        <v>9092</v>
      </c>
      <c r="D537" s="73"/>
      <c r="E537" s="73"/>
      <c r="F537" s="73"/>
      <c r="G537" s="74"/>
      <c r="H537" s="153"/>
      <c r="I537" s="72"/>
      <c r="K537" s="658"/>
    </row>
    <row r="538" spans="1:11" customFormat="1" x14ac:dyDescent="0.25">
      <c r="A538" s="661"/>
      <c r="B538" s="73"/>
      <c r="C538" s="73" t="s">
        <v>272</v>
      </c>
      <c r="D538" s="73"/>
      <c r="E538" s="73"/>
      <c r="F538" s="73"/>
      <c r="G538" s="74" t="s">
        <v>3</v>
      </c>
      <c r="H538" s="153">
        <f>0.055*0.055*2*8*1.1</f>
        <v>5.3240000000000003E-2</v>
      </c>
      <c r="I538" s="72"/>
      <c r="K538" s="658"/>
    </row>
    <row r="539" spans="1:11" customFormat="1" x14ac:dyDescent="0.25">
      <c r="A539" s="661"/>
      <c r="B539" s="73"/>
      <c r="C539" s="75" t="s">
        <v>9091</v>
      </c>
      <c r="D539" s="73"/>
      <c r="E539" s="73"/>
      <c r="F539" s="73"/>
      <c r="G539" s="74"/>
      <c r="H539" s="153"/>
      <c r="I539" s="72"/>
      <c r="K539" s="658"/>
    </row>
    <row r="540" spans="1:11" customFormat="1" x14ac:dyDescent="0.25">
      <c r="A540" s="661"/>
      <c r="B540" s="73"/>
      <c r="C540" s="73" t="s">
        <v>9090</v>
      </c>
      <c r="D540" s="73"/>
      <c r="E540" s="73"/>
      <c r="F540" s="73"/>
      <c r="G540" s="74" t="s">
        <v>3</v>
      </c>
      <c r="H540" s="153">
        <v>0.26</v>
      </c>
      <c r="I540" s="72"/>
      <c r="J540" t="s">
        <v>1459</v>
      </c>
      <c r="K540" s="658"/>
    </row>
    <row r="541" spans="1:11" customFormat="1" x14ac:dyDescent="0.25">
      <c r="A541" s="661"/>
      <c r="B541" s="73"/>
      <c r="C541" s="75" t="s">
        <v>9089</v>
      </c>
      <c r="D541" s="73"/>
      <c r="E541" s="73"/>
      <c r="F541" s="73"/>
      <c r="G541" s="74"/>
      <c r="H541" s="153"/>
      <c r="I541" s="72"/>
      <c r="K541" s="658"/>
    </row>
    <row r="542" spans="1:11" customFormat="1" x14ac:dyDescent="0.25">
      <c r="A542" s="661"/>
      <c r="B542" s="73"/>
      <c r="C542" s="73" t="s">
        <v>272</v>
      </c>
      <c r="D542" s="73"/>
      <c r="E542" s="73"/>
      <c r="F542" s="73"/>
      <c r="G542" s="74" t="s">
        <v>3</v>
      </c>
      <c r="H542" s="153">
        <f>0.055*0.055*2*8*1.1</f>
        <v>5.3240000000000003E-2</v>
      </c>
      <c r="I542" s="72"/>
      <c r="K542" s="658"/>
    </row>
    <row r="543" spans="1:11" customFormat="1" x14ac:dyDescent="0.25">
      <c r="A543" s="661"/>
      <c r="B543" s="73"/>
      <c r="C543" s="73"/>
      <c r="D543" s="73"/>
      <c r="E543" s="73"/>
      <c r="F543" s="73"/>
      <c r="G543" s="74"/>
      <c r="H543" s="153"/>
      <c r="I543" s="72"/>
      <c r="K543" s="658"/>
    </row>
    <row r="544" spans="1:11" customFormat="1" x14ac:dyDescent="0.25">
      <c r="A544" s="678"/>
      <c r="B544" s="75" t="s">
        <v>9088</v>
      </c>
      <c r="C544" s="73"/>
      <c r="D544" s="73"/>
      <c r="E544" s="73"/>
      <c r="F544" s="73"/>
      <c r="G544" s="74"/>
      <c r="H544" s="153"/>
      <c r="I544" s="72"/>
      <c r="K544" s="658"/>
    </row>
    <row r="545" spans="1:11" customFormat="1" x14ac:dyDescent="0.25">
      <c r="A545" s="661"/>
      <c r="B545" s="73" t="s">
        <v>275</v>
      </c>
      <c r="C545" s="73"/>
      <c r="D545" s="73"/>
      <c r="E545" s="73"/>
      <c r="F545" s="73"/>
      <c r="G545" s="74" t="s">
        <v>3</v>
      </c>
      <c r="H545" s="153">
        <f>0.35*0.03*1.5*8*1.19</f>
        <v>0.14993999999999999</v>
      </c>
      <c r="I545" s="72"/>
      <c r="K545" s="658"/>
    </row>
    <row r="546" spans="1:11" customFormat="1" x14ac:dyDescent="0.25">
      <c r="A546" s="661"/>
      <c r="B546" s="73"/>
      <c r="C546" s="73"/>
      <c r="D546" s="73"/>
      <c r="E546" s="73"/>
      <c r="F546" s="73"/>
      <c r="G546" s="74"/>
      <c r="H546" s="153"/>
      <c r="I546" s="72"/>
      <c r="K546" s="658"/>
    </row>
    <row r="547" spans="1:11" customFormat="1" x14ac:dyDescent="0.25">
      <c r="A547" s="678"/>
      <c r="B547" s="75" t="s">
        <v>9087</v>
      </c>
      <c r="C547" s="73"/>
      <c r="D547" s="73"/>
      <c r="E547" s="73"/>
      <c r="F547" s="73"/>
      <c r="G547" s="74"/>
      <c r="H547" s="153"/>
      <c r="I547" s="72"/>
      <c r="K547" s="658"/>
    </row>
    <row r="548" spans="1:11" customFormat="1" x14ac:dyDescent="0.25">
      <c r="A548" s="661"/>
      <c r="B548" s="73" t="s">
        <v>275</v>
      </c>
      <c r="C548" s="73"/>
      <c r="D548" s="73"/>
      <c r="E548" s="73"/>
      <c r="F548" s="73"/>
      <c r="G548" s="74" t="s">
        <v>3</v>
      </c>
      <c r="H548" s="153">
        <f>(0.29*0.06*1.5*8+0.08*0.025*1.5*8)*1.1</f>
        <v>0.25607999999999997</v>
      </c>
      <c r="I548" s="72"/>
      <c r="K548" s="658"/>
    </row>
    <row r="549" spans="1:11" customFormat="1" x14ac:dyDescent="0.25">
      <c r="A549" s="661"/>
      <c r="B549" s="73"/>
      <c r="C549" s="73"/>
      <c r="D549" s="73"/>
      <c r="E549" s="73"/>
      <c r="F549" s="73"/>
      <c r="G549" s="74"/>
      <c r="H549" s="153"/>
      <c r="I549" s="72"/>
      <c r="K549" s="658"/>
    </row>
    <row r="550" spans="1:11" customFormat="1" x14ac:dyDescent="0.25">
      <c r="A550" s="684"/>
      <c r="B550" s="75" t="s">
        <v>9086</v>
      </c>
      <c r="C550" s="73"/>
      <c r="D550" s="73"/>
      <c r="E550" s="73"/>
      <c r="F550" s="73"/>
      <c r="G550" s="74"/>
      <c r="H550" s="153"/>
      <c r="I550" s="72"/>
      <c r="K550" s="658"/>
    </row>
    <row r="551" spans="1:11" customFormat="1" x14ac:dyDescent="0.25">
      <c r="A551" s="661"/>
      <c r="B551" s="73" t="s">
        <v>9085</v>
      </c>
      <c r="C551" s="73"/>
      <c r="D551" s="73"/>
      <c r="E551" s="73"/>
      <c r="F551" s="73"/>
      <c r="G551" s="74" t="s">
        <v>3</v>
      </c>
      <c r="H551" s="153">
        <f>0.592*0.52*4*8*1.12</f>
        <v>11.032985600000002</v>
      </c>
      <c r="I551" s="72"/>
      <c r="K551" s="658"/>
    </row>
    <row r="552" spans="1:11" customFormat="1" x14ac:dyDescent="0.25">
      <c r="A552" s="661"/>
      <c r="B552" s="73"/>
      <c r="C552" s="73"/>
      <c r="D552" s="73"/>
      <c r="E552" s="73"/>
      <c r="F552" s="73"/>
      <c r="G552" s="74"/>
      <c r="H552" s="153"/>
      <c r="I552" s="72"/>
      <c r="K552" s="658"/>
    </row>
    <row r="553" spans="1:11" customFormat="1" x14ac:dyDescent="0.25">
      <c r="A553" s="678"/>
      <c r="B553" s="75" t="s">
        <v>9084</v>
      </c>
      <c r="C553" s="73"/>
      <c r="D553" s="73"/>
      <c r="E553" s="73"/>
      <c r="F553" s="73"/>
      <c r="G553" s="74"/>
      <c r="H553" s="153"/>
      <c r="I553" s="72"/>
      <c r="K553" s="658"/>
    </row>
    <row r="554" spans="1:11" customFormat="1" x14ac:dyDescent="0.25">
      <c r="A554" s="661"/>
      <c r="B554" s="73" t="s">
        <v>275</v>
      </c>
      <c r="C554" s="73"/>
      <c r="D554" s="73"/>
      <c r="E554" s="73"/>
      <c r="F554" s="73"/>
      <c r="G554" s="74" t="s">
        <v>3</v>
      </c>
      <c r="H554" s="153">
        <f>1.745*0.58*1.5*8*1.12</f>
        <v>13.602624</v>
      </c>
      <c r="I554" s="72"/>
      <c r="K554" s="658"/>
    </row>
    <row r="555" spans="1:11" customFormat="1" x14ac:dyDescent="0.25">
      <c r="A555" s="661"/>
      <c r="B555" s="73"/>
      <c r="C555" s="73"/>
      <c r="D555" s="73"/>
      <c r="E555" s="73"/>
      <c r="F555" s="73"/>
      <c r="G555" s="74"/>
      <c r="H555" s="153"/>
      <c r="I555" s="72"/>
      <c r="K555" s="658"/>
    </row>
    <row r="556" spans="1:11" customFormat="1" x14ac:dyDescent="0.25">
      <c r="A556" s="678"/>
      <c r="B556" s="75" t="s">
        <v>9083</v>
      </c>
      <c r="C556" s="73"/>
      <c r="D556" s="73"/>
      <c r="E556" s="73"/>
      <c r="F556" s="73"/>
      <c r="G556" s="74"/>
      <c r="H556" s="153"/>
      <c r="I556" s="72"/>
      <c r="K556" s="658"/>
    </row>
    <row r="557" spans="1:11" customFormat="1" x14ac:dyDescent="0.25">
      <c r="A557" s="661"/>
      <c r="B557" s="77" t="s">
        <v>39</v>
      </c>
      <c r="C557" s="73"/>
      <c r="D557" s="73"/>
      <c r="E557" s="73"/>
      <c r="F557" s="73"/>
      <c r="G557" s="74" t="s">
        <v>3</v>
      </c>
      <c r="H557" s="153">
        <f>0.05*0.08*1.3</f>
        <v>5.2000000000000006E-3</v>
      </c>
      <c r="I557" s="72"/>
      <c r="K557" s="658"/>
    </row>
    <row r="558" spans="1:11" customFormat="1" ht="17.25" x14ac:dyDescent="0.25">
      <c r="A558" s="661"/>
      <c r="B558" s="73" t="s">
        <v>1055</v>
      </c>
      <c r="C558" s="73"/>
      <c r="D558" s="73"/>
      <c r="E558" s="73"/>
      <c r="F558" s="73"/>
      <c r="G558" s="74" t="s">
        <v>596</v>
      </c>
      <c r="H558" s="153">
        <f>H557</f>
        <v>5.2000000000000006E-3</v>
      </c>
      <c r="I558" s="72"/>
      <c r="K558" s="658"/>
    </row>
    <row r="559" spans="1:11" customFormat="1" x14ac:dyDescent="0.25">
      <c r="A559" s="661"/>
      <c r="B559" s="73"/>
      <c r="C559" s="75" t="s">
        <v>9082</v>
      </c>
      <c r="D559" s="73"/>
      <c r="E559" s="73"/>
      <c r="F559" s="73"/>
      <c r="G559" s="74"/>
      <c r="H559" s="153"/>
      <c r="I559" s="72"/>
      <c r="K559" s="658"/>
    </row>
    <row r="560" spans="1:11" customFormat="1" x14ac:dyDescent="0.25">
      <c r="A560" s="661"/>
      <c r="B560" s="73"/>
      <c r="C560" s="73" t="s">
        <v>9081</v>
      </c>
      <c r="D560" s="73"/>
      <c r="E560" s="73"/>
      <c r="F560" s="73"/>
      <c r="G560" s="74" t="s">
        <v>3</v>
      </c>
      <c r="H560" s="153">
        <f>0.06*0.64*4*8*1.1</f>
        <v>1.35168</v>
      </c>
      <c r="I560" s="72"/>
      <c r="K560" s="658"/>
    </row>
    <row r="561" spans="1:11" customFormat="1" x14ac:dyDescent="0.25">
      <c r="A561" s="661"/>
      <c r="B561" s="73"/>
      <c r="C561" s="73"/>
      <c r="D561" s="73"/>
      <c r="E561" s="73"/>
      <c r="F561" s="73"/>
      <c r="G561" s="74"/>
      <c r="H561" s="153"/>
      <c r="I561" s="72"/>
      <c r="K561" s="658"/>
    </row>
    <row r="562" spans="1:11" customFormat="1" x14ac:dyDescent="0.25">
      <c r="A562" s="678"/>
      <c r="B562" s="75" t="s">
        <v>9080</v>
      </c>
      <c r="C562" s="73"/>
      <c r="D562" s="73"/>
      <c r="E562" s="73"/>
      <c r="F562" s="73"/>
      <c r="G562" s="74"/>
      <c r="H562" s="153"/>
      <c r="I562" s="72"/>
      <c r="K562" s="658"/>
    </row>
    <row r="563" spans="1:11" customFormat="1" x14ac:dyDescent="0.25">
      <c r="A563" s="661"/>
      <c r="B563" s="77" t="s">
        <v>124</v>
      </c>
      <c r="C563" s="73"/>
      <c r="D563" s="73"/>
      <c r="E563" s="73"/>
      <c r="F563" s="73"/>
      <c r="G563" s="74" t="s">
        <v>3</v>
      </c>
      <c r="H563" s="153">
        <f>(0.05*3.14*2+0.1)*0.07*1.2</f>
        <v>3.4776000000000008E-2</v>
      </c>
      <c r="I563" s="72"/>
      <c r="K563" s="658"/>
    </row>
    <row r="564" spans="1:11" customFormat="1" ht="17.25" x14ac:dyDescent="0.25">
      <c r="A564" s="661"/>
      <c r="B564" s="73" t="s">
        <v>168</v>
      </c>
      <c r="C564" s="73"/>
      <c r="D564" s="73"/>
      <c r="E564" s="73"/>
      <c r="F564" s="73"/>
      <c r="G564" s="74" t="s">
        <v>596</v>
      </c>
      <c r="H564" s="153">
        <f>1.1*H563</f>
        <v>3.8253600000000013E-2</v>
      </c>
      <c r="I564" s="72"/>
      <c r="K564" s="658"/>
    </row>
    <row r="565" spans="1:11" customFormat="1" x14ac:dyDescent="0.25">
      <c r="A565" s="661"/>
      <c r="B565" s="73" t="s">
        <v>114</v>
      </c>
      <c r="C565" s="73"/>
      <c r="D565" s="73"/>
      <c r="E565" s="73"/>
      <c r="F565" s="73"/>
      <c r="G565" s="74" t="s">
        <v>3</v>
      </c>
      <c r="H565" s="153">
        <f>H567*0.75</f>
        <v>1.9687499999999997E-2</v>
      </c>
      <c r="I565" s="72"/>
      <c r="K565" s="658"/>
    </row>
    <row r="566" spans="1:11" customFormat="1" x14ac:dyDescent="0.25">
      <c r="A566" s="661"/>
      <c r="B566" s="73" t="s">
        <v>164</v>
      </c>
      <c r="C566" s="73"/>
      <c r="D566" s="73"/>
      <c r="E566" s="73"/>
      <c r="F566" s="73"/>
      <c r="G566" s="74" t="s">
        <v>3</v>
      </c>
      <c r="H566" s="153">
        <f>0.3*H565</f>
        <v>5.9062499999999992E-3</v>
      </c>
      <c r="I566" s="72"/>
      <c r="K566" s="658"/>
    </row>
    <row r="567" spans="1:11" customFormat="1" x14ac:dyDescent="0.25">
      <c r="A567" s="661"/>
      <c r="B567" s="73" t="s">
        <v>500</v>
      </c>
      <c r="C567" s="73"/>
      <c r="D567" s="73"/>
      <c r="E567" s="73"/>
      <c r="F567" s="73"/>
      <c r="G567" s="74" t="s">
        <v>3</v>
      </c>
      <c r="H567" s="153">
        <f>0.35*0.03*2*1.25</f>
        <v>2.6249999999999996E-2</v>
      </c>
      <c r="I567" s="72"/>
      <c r="K567" s="658"/>
    </row>
    <row r="568" spans="1:11" customFormat="1" x14ac:dyDescent="0.25">
      <c r="A568" s="661"/>
      <c r="B568" s="73" t="s">
        <v>12</v>
      </c>
      <c r="C568" s="73"/>
      <c r="D568" s="73"/>
      <c r="E568" s="73"/>
      <c r="F568" s="73"/>
      <c r="G568" s="74" t="s">
        <v>3</v>
      </c>
      <c r="H568" s="153">
        <f>0.3*H567</f>
        <v>7.8749999999999983E-3</v>
      </c>
      <c r="I568" s="72"/>
      <c r="K568" s="658"/>
    </row>
    <row r="569" spans="1:11" customFormat="1" x14ac:dyDescent="0.25">
      <c r="A569" s="661"/>
      <c r="B569" s="73"/>
      <c r="C569" s="75" t="s">
        <v>9079</v>
      </c>
      <c r="D569" s="73"/>
      <c r="E569" s="73"/>
      <c r="F569" s="73"/>
      <c r="G569" s="74"/>
      <c r="H569" s="153"/>
      <c r="I569" s="72"/>
      <c r="K569" s="658"/>
    </row>
    <row r="570" spans="1:11" customFormat="1" x14ac:dyDescent="0.25">
      <c r="A570" s="661"/>
      <c r="B570" s="73"/>
      <c r="C570" s="73" t="s">
        <v>9078</v>
      </c>
      <c r="D570" s="73"/>
      <c r="E570" s="73"/>
      <c r="F570" s="73"/>
      <c r="G570" s="74" t="s">
        <v>3</v>
      </c>
      <c r="H570" s="153">
        <v>0.68</v>
      </c>
      <c r="I570" s="72"/>
      <c r="J570" t="s">
        <v>9077</v>
      </c>
      <c r="K570" s="658"/>
    </row>
    <row r="571" spans="1:11" customFormat="1" x14ac:dyDescent="0.25">
      <c r="A571" s="661"/>
      <c r="B571" s="73"/>
      <c r="C571" s="75" t="s">
        <v>9076</v>
      </c>
      <c r="D571" s="73"/>
      <c r="E571" s="73"/>
      <c r="F571" s="73"/>
      <c r="G571" s="74"/>
      <c r="H571" s="153"/>
      <c r="I571" s="72"/>
      <c r="K571" s="658"/>
    </row>
    <row r="572" spans="1:11" customFormat="1" x14ac:dyDescent="0.25">
      <c r="A572" s="661"/>
      <c r="B572" s="73"/>
      <c r="C572" s="73" t="s">
        <v>1143</v>
      </c>
      <c r="D572" s="73"/>
      <c r="E572" s="73"/>
      <c r="F572" s="73"/>
      <c r="G572" s="74" t="s">
        <v>3</v>
      </c>
      <c r="H572" s="153">
        <f>0.08*0.065*3*8*1.12</f>
        <v>0.13977600000000004</v>
      </c>
      <c r="I572" s="72"/>
      <c r="K572" s="658"/>
    </row>
    <row r="573" spans="1:11" customFormat="1" x14ac:dyDescent="0.25">
      <c r="A573" s="661"/>
      <c r="B573" s="73"/>
      <c r="C573" s="73"/>
      <c r="D573" s="73"/>
      <c r="E573" s="73"/>
      <c r="F573" s="73"/>
      <c r="G573" s="74"/>
      <c r="H573" s="153"/>
      <c r="I573" s="72"/>
      <c r="K573" s="658"/>
    </row>
    <row r="574" spans="1:11" customFormat="1" x14ac:dyDescent="0.25">
      <c r="A574" s="678"/>
      <c r="B574" s="75" t="s">
        <v>9075</v>
      </c>
      <c r="C574" s="73"/>
      <c r="D574" s="73"/>
      <c r="E574" s="73"/>
      <c r="F574" s="73"/>
      <c r="G574" s="74"/>
      <c r="H574" s="153"/>
      <c r="I574" s="72"/>
      <c r="K574" s="658"/>
    </row>
    <row r="575" spans="1:11" customFormat="1" x14ac:dyDescent="0.25">
      <c r="A575" s="661"/>
      <c r="B575" s="73" t="s">
        <v>731</v>
      </c>
      <c r="C575" s="73"/>
      <c r="D575" s="73"/>
      <c r="E575" s="73"/>
      <c r="F575" s="73"/>
      <c r="G575" s="74" t="s">
        <v>3</v>
      </c>
      <c r="H575" s="153">
        <f>0.025*0.1*0.2*5</f>
        <v>2.5000000000000005E-3</v>
      </c>
      <c r="I575" s="72"/>
      <c r="K575" s="658"/>
    </row>
    <row r="576" spans="1:11" customFormat="1" x14ac:dyDescent="0.25">
      <c r="A576" s="661"/>
      <c r="B576" s="77" t="s">
        <v>39</v>
      </c>
      <c r="C576" s="73"/>
      <c r="D576" s="73"/>
      <c r="E576" s="73"/>
      <c r="F576" s="73"/>
      <c r="G576" s="74" t="s">
        <v>3</v>
      </c>
      <c r="H576" s="153">
        <f>0.1*0.08*1.2</f>
        <v>9.5999999999999992E-3</v>
      </c>
      <c r="I576" s="72"/>
      <c r="K576" s="658"/>
    </row>
    <row r="577" spans="1:11" customFormat="1" ht="17.25" x14ac:dyDescent="0.25">
      <c r="A577" s="661"/>
      <c r="B577" s="73" t="s">
        <v>1055</v>
      </c>
      <c r="C577" s="73"/>
      <c r="D577" s="73"/>
      <c r="E577" s="73"/>
      <c r="F577" s="73"/>
      <c r="G577" s="74" t="s">
        <v>596</v>
      </c>
      <c r="H577" s="153">
        <f>1.1*H576</f>
        <v>1.056E-2</v>
      </c>
      <c r="I577" s="72"/>
      <c r="K577" s="658"/>
    </row>
    <row r="578" spans="1:11" customFormat="1" x14ac:dyDescent="0.25">
      <c r="A578" s="661"/>
      <c r="B578" s="77" t="s">
        <v>8</v>
      </c>
      <c r="C578" s="77"/>
      <c r="D578" s="77"/>
      <c r="E578" s="73"/>
      <c r="F578" s="73"/>
      <c r="G578" s="74" t="s">
        <v>3</v>
      </c>
      <c r="H578" s="153">
        <f>0.007</f>
        <v>7.0000000000000001E-3</v>
      </c>
      <c r="I578" s="72"/>
      <c r="K578" s="658"/>
    </row>
    <row r="579" spans="1:11" customFormat="1" x14ac:dyDescent="0.25">
      <c r="A579" s="661"/>
      <c r="B579" s="77" t="s">
        <v>9074</v>
      </c>
      <c r="C579" s="77"/>
      <c r="D579" s="77"/>
      <c r="E579" s="73"/>
      <c r="F579" s="73"/>
      <c r="G579" s="74" t="s">
        <v>3</v>
      </c>
      <c r="H579" s="153">
        <f>0.135*0.06*2*0.15*2*1.5</f>
        <v>7.2899999999999996E-3</v>
      </c>
      <c r="I579" s="72"/>
      <c r="K579" s="658"/>
    </row>
    <row r="580" spans="1:11" customFormat="1" x14ac:dyDescent="0.25">
      <c r="A580" s="661"/>
      <c r="B580" s="77" t="s">
        <v>12</v>
      </c>
      <c r="C580" s="77"/>
      <c r="D580" s="77"/>
      <c r="E580" s="73"/>
      <c r="F580" s="73"/>
      <c r="G580" s="74" t="s">
        <v>3</v>
      </c>
      <c r="H580" s="153">
        <f>0.3*(H579+H578)</f>
        <v>4.287E-3</v>
      </c>
      <c r="I580" s="72"/>
      <c r="K580" s="658"/>
    </row>
    <row r="581" spans="1:11" customFormat="1" x14ac:dyDescent="0.25">
      <c r="A581" s="661"/>
      <c r="B581" s="73"/>
      <c r="C581" s="75" t="s">
        <v>9073</v>
      </c>
      <c r="D581" s="73"/>
      <c r="E581" s="73"/>
      <c r="F581" s="73"/>
      <c r="G581" s="74"/>
      <c r="H581" s="153"/>
      <c r="I581" s="72"/>
      <c r="K581" s="658"/>
    </row>
    <row r="582" spans="1:11" customFormat="1" x14ac:dyDescent="0.25">
      <c r="A582" s="661"/>
      <c r="B582" s="73"/>
      <c r="C582" s="73" t="s">
        <v>260</v>
      </c>
      <c r="D582" s="73"/>
      <c r="E582" s="73"/>
      <c r="F582" s="73"/>
      <c r="G582" s="74" t="s">
        <v>3</v>
      </c>
      <c r="H582" s="153">
        <f>0.135*0.06*4*8*1.12</f>
        <v>0.29030400000000001</v>
      </c>
      <c r="I582" s="72"/>
      <c r="K582" s="658"/>
    </row>
    <row r="583" spans="1:11" customFormat="1" x14ac:dyDescent="0.25">
      <c r="A583" s="661"/>
      <c r="B583" s="73"/>
      <c r="C583" s="75" t="s">
        <v>9072</v>
      </c>
      <c r="D583" s="73"/>
      <c r="E583" s="73"/>
      <c r="F583" s="73"/>
      <c r="G583" s="74"/>
      <c r="H583" s="153"/>
      <c r="I583" s="72"/>
      <c r="K583" s="658"/>
    </row>
    <row r="584" spans="1:11" customFormat="1" x14ac:dyDescent="0.25">
      <c r="A584" s="661"/>
      <c r="B584" s="73"/>
      <c r="C584" s="73" t="s">
        <v>55</v>
      </c>
      <c r="D584" s="73"/>
      <c r="E584" s="73"/>
      <c r="F584" s="73"/>
      <c r="G584" s="74" t="s">
        <v>3</v>
      </c>
      <c r="H584" s="153">
        <f>0.04*0.015*3*8*1.12</f>
        <v>1.6128E-2</v>
      </c>
      <c r="I584" s="72"/>
      <c r="K584" s="658"/>
    </row>
    <row r="585" spans="1:11" customFormat="1" x14ac:dyDescent="0.25">
      <c r="A585" s="661"/>
      <c r="B585" s="73"/>
      <c r="C585" s="73"/>
      <c r="D585" s="73"/>
      <c r="E585" s="73"/>
      <c r="F585" s="73"/>
      <c r="G585" s="74"/>
      <c r="H585" s="153"/>
      <c r="I585" s="72"/>
      <c r="K585" s="658"/>
    </row>
    <row r="586" spans="1:11" customFormat="1" x14ac:dyDescent="0.25">
      <c r="A586" s="678"/>
      <c r="B586" s="75" t="s">
        <v>9071</v>
      </c>
      <c r="C586" s="73"/>
      <c r="D586" s="73"/>
      <c r="E586" s="73"/>
      <c r="F586" s="73"/>
      <c r="G586" s="74"/>
      <c r="H586" s="153"/>
      <c r="I586" s="72"/>
      <c r="K586" s="658"/>
    </row>
    <row r="587" spans="1:11" customFormat="1" x14ac:dyDescent="0.25">
      <c r="A587" s="661"/>
      <c r="B587" s="73" t="s">
        <v>9070</v>
      </c>
      <c r="C587" s="73"/>
      <c r="D587" s="73"/>
      <c r="E587" s="73"/>
      <c r="F587" s="73"/>
      <c r="G587" s="74" t="s">
        <v>195</v>
      </c>
      <c r="H587" s="153">
        <f>0.25</f>
        <v>0.25</v>
      </c>
      <c r="I587" s="72"/>
      <c r="K587" s="658"/>
    </row>
    <row r="588" spans="1:11" customFormat="1" x14ac:dyDescent="0.25">
      <c r="A588" s="661"/>
      <c r="B588" s="73"/>
      <c r="C588" s="75" t="s">
        <v>1489</v>
      </c>
      <c r="D588" s="73"/>
      <c r="E588" s="73"/>
      <c r="F588" s="73"/>
      <c r="G588" s="74"/>
      <c r="H588" s="153"/>
      <c r="I588" s="72"/>
      <c r="K588" s="658"/>
    </row>
    <row r="589" spans="1:11" customFormat="1" x14ac:dyDescent="0.25">
      <c r="A589" s="661"/>
      <c r="B589" s="73"/>
      <c r="C589" s="73" t="s">
        <v>140</v>
      </c>
      <c r="D589" s="73"/>
      <c r="E589" s="73"/>
      <c r="F589" s="73"/>
      <c r="G589" s="74" t="s">
        <v>3</v>
      </c>
      <c r="H589" s="153">
        <f>0.016*3.14*2*0.08*1.2</f>
        <v>9.6460799999999996E-3</v>
      </c>
      <c r="I589" s="72"/>
      <c r="K589" s="658"/>
    </row>
    <row r="590" spans="1:11" customFormat="1" x14ac:dyDescent="0.25">
      <c r="A590" s="661"/>
      <c r="B590" s="73"/>
      <c r="C590" s="73" t="s">
        <v>23</v>
      </c>
      <c r="D590" s="73"/>
      <c r="E590" s="73"/>
      <c r="F590" s="73"/>
      <c r="G590" s="74" t="s">
        <v>3</v>
      </c>
      <c r="H590" s="153">
        <f>H589*2</f>
        <v>1.9292159999999999E-2</v>
      </c>
      <c r="I590" s="72"/>
      <c r="K590" s="658"/>
    </row>
    <row r="591" spans="1:11" customFormat="1" x14ac:dyDescent="0.25">
      <c r="A591" s="661"/>
      <c r="B591" s="73"/>
      <c r="C591" s="73" t="s">
        <v>142</v>
      </c>
      <c r="D591" s="73"/>
      <c r="E591" s="73"/>
      <c r="F591" s="73"/>
      <c r="G591" s="74" t="s">
        <v>3</v>
      </c>
      <c r="H591" s="153">
        <f>H589/4</f>
        <v>2.4115199999999999E-3</v>
      </c>
      <c r="I591" s="72"/>
      <c r="K591" s="658"/>
    </row>
    <row r="592" spans="1:11" customFormat="1" x14ac:dyDescent="0.25">
      <c r="A592" s="661"/>
      <c r="B592" s="73"/>
      <c r="C592" s="73" t="s">
        <v>14</v>
      </c>
      <c r="D592" s="73"/>
      <c r="E592" s="73"/>
      <c r="F592" s="73"/>
      <c r="G592" s="74" t="s">
        <v>3</v>
      </c>
      <c r="H592" s="153">
        <f>H593</f>
        <v>3.0387499999999998E-2</v>
      </c>
      <c r="I592" s="72"/>
      <c r="K592" s="658"/>
    </row>
    <row r="593" spans="1:11" customFormat="1" x14ac:dyDescent="0.25">
      <c r="A593" s="661"/>
      <c r="B593" s="73"/>
      <c r="C593" s="73" t="s">
        <v>325</v>
      </c>
      <c r="D593" s="73"/>
      <c r="E593" s="73"/>
      <c r="F593" s="73"/>
      <c r="G593" s="74" t="s">
        <v>3</v>
      </c>
      <c r="H593" s="153">
        <f>0.85*H594</f>
        <v>3.0387499999999998E-2</v>
      </c>
      <c r="I593" s="72"/>
      <c r="K593" s="658"/>
    </row>
    <row r="594" spans="1:11" customFormat="1" x14ac:dyDescent="0.25">
      <c r="A594" s="661"/>
      <c r="B594" s="73"/>
      <c r="C594" s="73" t="s">
        <v>143</v>
      </c>
      <c r="D594" s="73"/>
      <c r="E594" s="73"/>
      <c r="F594" s="73"/>
      <c r="G594" s="74" t="s">
        <v>3</v>
      </c>
      <c r="H594" s="153">
        <f>1.25*0.011*2*1.3</f>
        <v>3.5749999999999997E-2</v>
      </c>
      <c r="I594" s="72"/>
      <c r="K594" s="658"/>
    </row>
    <row r="595" spans="1:11" customFormat="1" x14ac:dyDescent="0.25">
      <c r="A595" s="661"/>
      <c r="B595" s="73"/>
      <c r="C595" s="73" t="s">
        <v>12</v>
      </c>
      <c r="D595" s="73"/>
      <c r="E595" s="73"/>
      <c r="F595" s="73"/>
      <c r="G595" s="74" t="s">
        <v>3</v>
      </c>
      <c r="H595" s="153">
        <f>0.3*(H593+H592+H594)</f>
        <v>2.8957499999999997E-2</v>
      </c>
      <c r="I595" s="72"/>
      <c r="K595" s="658"/>
    </row>
    <row r="596" spans="1:11" customFormat="1" x14ac:dyDescent="0.25">
      <c r="A596" s="661"/>
      <c r="B596" s="73"/>
      <c r="C596" s="73"/>
      <c r="D596" s="75" t="s">
        <v>9069</v>
      </c>
      <c r="E596" s="73"/>
      <c r="F596" s="73"/>
      <c r="G596" s="74"/>
      <c r="H596" s="153"/>
      <c r="I596" s="72"/>
      <c r="K596" s="658"/>
    </row>
    <row r="597" spans="1:11" customFormat="1" x14ac:dyDescent="0.25">
      <c r="A597" s="661"/>
      <c r="B597" s="73"/>
      <c r="C597" s="73"/>
      <c r="D597" s="73" t="s">
        <v>832</v>
      </c>
      <c r="E597" s="73"/>
      <c r="F597" s="73"/>
      <c r="G597" s="74" t="s">
        <v>3</v>
      </c>
      <c r="H597" s="153">
        <v>0.52</v>
      </c>
      <c r="I597" s="72"/>
      <c r="J597" t="s">
        <v>9068</v>
      </c>
      <c r="K597" s="658"/>
    </row>
    <row r="598" spans="1:11" customFormat="1" x14ac:dyDescent="0.25">
      <c r="A598" s="661"/>
      <c r="B598" s="73"/>
      <c r="C598" s="73"/>
      <c r="D598" s="73"/>
      <c r="E598" s="73"/>
      <c r="F598" s="73"/>
      <c r="G598" s="74"/>
      <c r="H598" s="153"/>
      <c r="I598" s="72"/>
      <c r="K598" s="658"/>
    </row>
    <row r="599" spans="1:11" customFormat="1" x14ac:dyDescent="0.25">
      <c r="A599" s="678"/>
      <c r="B599" s="75" t="s">
        <v>9067</v>
      </c>
      <c r="C599" s="73"/>
      <c r="D599" s="73"/>
      <c r="E599" s="73"/>
      <c r="F599" s="73"/>
      <c r="G599" s="74"/>
      <c r="H599" s="153"/>
      <c r="I599" s="72"/>
      <c r="K599" s="658"/>
    </row>
    <row r="600" spans="1:11" customFormat="1" x14ac:dyDescent="0.25">
      <c r="A600" s="661"/>
      <c r="B600" s="73" t="s">
        <v>984</v>
      </c>
      <c r="C600" s="73"/>
      <c r="D600" s="73"/>
      <c r="E600" s="73"/>
      <c r="F600" s="73"/>
      <c r="G600" s="74" t="s">
        <v>3</v>
      </c>
      <c r="H600" s="153">
        <f>0.1*0.1*1*8</f>
        <v>8.0000000000000016E-2</v>
      </c>
      <c r="I600" s="72"/>
      <c r="K600" s="658"/>
    </row>
    <row r="601" spans="1:11" customFormat="1" x14ac:dyDescent="0.25">
      <c r="A601" s="661"/>
      <c r="B601" s="73" t="s">
        <v>671</v>
      </c>
      <c r="C601" s="73"/>
      <c r="D601" s="73"/>
      <c r="E601" s="73"/>
      <c r="F601" s="73"/>
      <c r="G601" s="74" t="s">
        <v>3</v>
      </c>
      <c r="H601" s="153">
        <v>0.01</v>
      </c>
      <c r="I601" s="72"/>
      <c r="K601" s="658"/>
    </row>
    <row r="602" spans="1:11" customFormat="1" x14ac:dyDescent="0.25">
      <c r="A602" s="661"/>
      <c r="B602" s="73" t="s">
        <v>672</v>
      </c>
      <c r="C602" s="73"/>
      <c r="D602" s="73"/>
      <c r="E602" s="73"/>
      <c r="F602" s="73"/>
      <c r="G602" s="74" t="s">
        <v>3</v>
      </c>
      <c r="H602" s="153">
        <f>H601*2</f>
        <v>0.02</v>
      </c>
      <c r="I602" s="72"/>
      <c r="K602" s="658"/>
    </row>
    <row r="603" spans="1:11" customFormat="1" x14ac:dyDescent="0.25">
      <c r="A603" s="661"/>
      <c r="B603" s="73"/>
      <c r="C603" s="73"/>
      <c r="D603" s="73"/>
      <c r="E603" s="73"/>
      <c r="F603" s="73"/>
      <c r="G603" s="74"/>
      <c r="H603" s="153"/>
      <c r="I603" s="72"/>
      <c r="K603" s="658"/>
    </row>
    <row r="604" spans="1:11" customFormat="1" x14ac:dyDescent="0.25">
      <c r="A604" s="678"/>
      <c r="B604" s="75" t="s">
        <v>9066</v>
      </c>
      <c r="C604" s="73"/>
      <c r="D604" s="73"/>
      <c r="E604" s="73"/>
      <c r="F604" s="73"/>
      <c r="G604" s="74"/>
      <c r="H604" s="153"/>
      <c r="I604" s="72"/>
      <c r="K604" s="658"/>
    </row>
    <row r="605" spans="1:11" customFormat="1" x14ac:dyDescent="0.25">
      <c r="A605" s="661"/>
      <c r="B605" s="73" t="s">
        <v>140</v>
      </c>
      <c r="C605" s="73"/>
      <c r="D605" s="73"/>
      <c r="E605" s="73"/>
      <c r="F605" s="73"/>
      <c r="G605" s="74" t="s">
        <v>3</v>
      </c>
      <c r="H605" s="153">
        <f>(0.008*3.14*4+0.012*3.14*2)*0.08*1.2</f>
        <v>1.6880639999999999E-2</v>
      </c>
      <c r="I605" s="72"/>
      <c r="K605" s="658"/>
    </row>
    <row r="606" spans="1:11" customFormat="1" ht="17.25" x14ac:dyDescent="0.25">
      <c r="A606" s="661"/>
      <c r="B606" s="73" t="s">
        <v>23</v>
      </c>
      <c r="C606" s="73"/>
      <c r="D606" s="73"/>
      <c r="E606" s="73"/>
      <c r="F606" s="73"/>
      <c r="G606" s="74" t="s">
        <v>596</v>
      </c>
      <c r="H606" s="153">
        <f>H605*2</f>
        <v>3.3761279999999998E-2</v>
      </c>
      <c r="I606" s="72"/>
      <c r="K606" s="658"/>
    </row>
    <row r="607" spans="1:11" customFormat="1" x14ac:dyDescent="0.25">
      <c r="A607" s="661"/>
      <c r="B607" s="73" t="s">
        <v>142</v>
      </c>
      <c r="C607" s="73"/>
      <c r="D607" s="73"/>
      <c r="E607" s="73"/>
      <c r="F607" s="73"/>
      <c r="G607" s="74" t="s">
        <v>3</v>
      </c>
      <c r="H607" s="153">
        <f>H605/4</f>
        <v>4.2201599999999997E-3</v>
      </c>
      <c r="I607" s="72"/>
      <c r="K607" s="658"/>
    </row>
    <row r="608" spans="1:11" customFormat="1" x14ac:dyDescent="0.25">
      <c r="A608" s="661"/>
      <c r="B608" s="73" t="s">
        <v>143</v>
      </c>
      <c r="C608" s="73"/>
      <c r="D608" s="73"/>
      <c r="E608" s="73"/>
      <c r="F608" s="73"/>
      <c r="G608" s="74" t="s">
        <v>3</v>
      </c>
      <c r="H608" s="153">
        <f>H609</f>
        <v>1.6988400000000001E-2</v>
      </c>
      <c r="I608" s="72"/>
      <c r="K608" s="658"/>
    </row>
    <row r="609" spans="1:11" customFormat="1" x14ac:dyDescent="0.25">
      <c r="A609" s="661"/>
      <c r="B609" s="73" t="s">
        <v>8</v>
      </c>
      <c r="C609" s="73"/>
      <c r="D609" s="73"/>
      <c r="E609" s="73"/>
      <c r="F609" s="73"/>
      <c r="G609" s="74" t="s">
        <v>3</v>
      </c>
      <c r="H609" s="153">
        <f>H610*0.9</f>
        <v>1.6988400000000001E-2</v>
      </c>
      <c r="I609" s="72"/>
      <c r="K609" s="658"/>
    </row>
    <row r="610" spans="1:11" customFormat="1" x14ac:dyDescent="0.25">
      <c r="A610" s="661"/>
      <c r="B610" s="73" t="s">
        <v>148</v>
      </c>
      <c r="C610" s="73"/>
      <c r="D610" s="73"/>
      <c r="E610" s="73"/>
      <c r="F610" s="73"/>
      <c r="G610" s="74" t="s">
        <v>3</v>
      </c>
      <c r="H610" s="153">
        <f>0.66*0.011*2*1.3</f>
        <v>1.8876E-2</v>
      </c>
      <c r="I610" s="72"/>
      <c r="K610" s="658"/>
    </row>
    <row r="611" spans="1:11" customFormat="1" x14ac:dyDescent="0.25">
      <c r="A611" s="661"/>
      <c r="B611" s="73" t="s">
        <v>12</v>
      </c>
      <c r="C611" s="73"/>
      <c r="D611" s="73"/>
      <c r="E611" s="73"/>
      <c r="F611" s="73"/>
      <c r="G611" s="74" t="s">
        <v>3</v>
      </c>
      <c r="H611" s="153">
        <f>0.3*(H610+H609+H608)</f>
        <v>1.585584E-2</v>
      </c>
      <c r="I611" s="72"/>
      <c r="K611" s="658"/>
    </row>
    <row r="612" spans="1:11" customFormat="1" x14ac:dyDescent="0.25">
      <c r="A612" s="661"/>
      <c r="B612" s="73"/>
      <c r="C612" s="75" t="s">
        <v>9065</v>
      </c>
      <c r="D612" s="73"/>
      <c r="E612" s="73"/>
      <c r="F612" s="73"/>
      <c r="G612" s="74"/>
      <c r="H612" s="153"/>
      <c r="I612" s="72"/>
      <c r="K612" s="658"/>
    </row>
    <row r="613" spans="1:11" customFormat="1" x14ac:dyDescent="0.25">
      <c r="A613" s="661"/>
      <c r="B613" s="73"/>
      <c r="C613" s="73" t="s">
        <v>480</v>
      </c>
      <c r="D613" s="73"/>
      <c r="E613" s="73"/>
      <c r="F613" s="73"/>
      <c r="G613" s="74" t="s">
        <v>3</v>
      </c>
      <c r="H613" s="153">
        <v>0.11</v>
      </c>
      <c r="I613" s="72"/>
      <c r="J613" t="s">
        <v>5713</v>
      </c>
      <c r="K613" s="658"/>
    </row>
    <row r="614" spans="1:11" customFormat="1" x14ac:dyDescent="0.25">
      <c r="A614" s="661"/>
      <c r="B614" s="73"/>
      <c r="C614" s="75" t="s">
        <v>9064</v>
      </c>
      <c r="D614" s="73"/>
      <c r="E614" s="73"/>
      <c r="F614" s="73"/>
      <c r="G614" s="74"/>
      <c r="H614" s="153"/>
      <c r="I614" s="72"/>
      <c r="K614" s="658"/>
    </row>
    <row r="615" spans="1:11" customFormat="1" x14ac:dyDescent="0.25">
      <c r="A615" s="661"/>
      <c r="B615" s="73"/>
      <c r="C615" s="73" t="s">
        <v>480</v>
      </c>
      <c r="D615" s="73"/>
      <c r="E615" s="73"/>
      <c r="F615" s="73"/>
      <c r="G615" s="74" t="s">
        <v>3</v>
      </c>
      <c r="H615" s="153">
        <v>8.0000000000000002E-3</v>
      </c>
      <c r="I615" s="72"/>
      <c r="J615" t="s">
        <v>6274</v>
      </c>
      <c r="K615" s="658"/>
    </row>
    <row r="616" spans="1:11" customFormat="1" x14ac:dyDescent="0.25">
      <c r="A616" s="661"/>
      <c r="B616" s="73"/>
      <c r="C616" s="75" t="s">
        <v>9063</v>
      </c>
      <c r="D616" s="73"/>
      <c r="E616" s="73"/>
      <c r="F616" s="73"/>
      <c r="G616" s="74"/>
      <c r="H616" s="153"/>
      <c r="I616" s="72"/>
      <c r="K616" s="658"/>
    </row>
    <row r="617" spans="1:11" customFormat="1" x14ac:dyDescent="0.25">
      <c r="A617" s="661"/>
      <c r="B617" s="73"/>
      <c r="C617" s="73" t="s">
        <v>159</v>
      </c>
      <c r="D617" s="73"/>
      <c r="E617" s="73"/>
      <c r="F617" s="73"/>
      <c r="G617" s="74" t="s">
        <v>3</v>
      </c>
      <c r="H617" s="153">
        <v>0.05</v>
      </c>
      <c r="I617" s="72"/>
      <c r="J617" t="s">
        <v>8634</v>
      </c>
      <c r="K617" s="658"/>
    </row>
    <row r="618" spans="1:11" customFormat="1" x14ac:dyDescent="0.25">
      <c r="A618" s="661"/>
      <c r="B618" s="73"/>
      <c r="C618" s="73"/>
      <c r="D618" s="73"/>
      <c r="E618" s="73"/>
      <c r="F618" s="73"/>
      <c r="G618" s="74"/>
      <c r="H618" s="153"/>
      <c r="I618" s="72"/>
      <c r="K618" s="658"/>
    </row>
    <row r="619" spans="1:11" customFormat="1" x14ac:dyDescent="0.25">
      <c r="A619" s="678"/>
      <c r="B619" s="75" t="s">
        <v>9062</v>
      </c>
      <c r="C619" s="73"/>
      <c r="D619" s="73"/>
      <c r="E619" s="73"/>
      <c r="F619" s="73"/>
      <c r="G619" s="74"/>
      <c r="H619" s="153"/>
      <c r="I619" s="72"/>
      <c r="K619" s="658"/>
    </row>
    <row r="620" spans="1:11" customFormat="1" x14ac:dyDescent="0.25">
      <c r="A620" s="661"/>
      <c r="B620" s="77" t="s">
        <v>39</v>
      </c>
      <c r="C620" s="73"/>
      <c r="D620" s="73"/>
      <c r="E620" s="73"/>
      <c r="F620" s="73"/>
      <c r="G620" s="74" t="s">
        <v>3</v>
      </c>
      <c r="H620" s="153">
        <f>0.012*3.14*0.07*1.3</f>
        <v>3.4288800000000013E-3</v>
      </c>
      <c r="I620" s="72"/>
      <c r="K620" s="658"/>
    </row>
    <row r="621" spans="1:11" customFormat="1" ht="17.25" x14ac:dyDescent="0.25">
      <c r="A621" s="661"/>
      <c r="B621" s="73" t="s">
        <v>1055</v>
      </c>
      <c r="C621" s="73"/>
      <c r="D621" s="73"/>
      <c r="E621" s="73"/>
      <c r="F621" s="73"/>
      <c r="G621" s="74" t="s">
        <v>596</v>
      </c>
      <c r="H621" s="153">
        <f>H620</f>
        <v>3.4288800000000013E-3</v>
      </c>
      <c r="I621" s="72"/>
      <c r="K621" s="658"/>
    </row>
    <row r="622" spans="1:11" customFormat="1" x14ac:dyDescent="0.25">
      <c r="A622" s="661"/>
      <c r="B622" s="73" t="s">
        <v>8</v>
      </c>
      <c r="C622" s="73"/>
      <c r="D622" s="73"/>
      <c r="E622" s="73"/>
      <c r="F622" s="73"/>
      <c r="G622" s="74" t="s">
        <v>3</v>
      </c>
      <c r="H622" s="153">
        <v>6.0000000000000001E-3</v>
      </c>
      <c r="I622" s="72"/>
      <c r="K622" s="658"/>
    </row>
    <row r="623" spans="1:11" customFormat="1" x14ac:dyDescent="0.25">
      <c r="A623" s="661"/>
      <c r="B623" s="73" t="s">
        <v>148</v>
      </c>
      <c r="C623" s="73"/>
      <c r="D623" s="73"/>
      <c r="E623" s="73"/>
      <c r="F623" s="73"/>
      <c r="G623" s="74" t="s">
        <v>3</v>
      </c>
      <c r="H623" s="153">
        <v>6.0000000000000001E-3</v>
      </c>
      <c r="I623" s="72"/>
      <c r="K623" s="658"/>
    </row>
    <row r="624" spans="1:11" customFormat="1" x14ac:dyDescent="0.25">
      <c r="A624" s="661"/>
      <c r="B624" s="73" t="s">
        <v>12</v>
      </c>
      <c r="C624" s="73"/>
      <c r="D624" s="73"/>
      <c r="E624" s="73"/>
      <c r="F624" s="73"/>
      <c r="G624" s="74" t="s">
        <v>3</v>
      </c>
      <c r="H624" s="153">
        <f>0.3*(H623+H622)</f>
        <v>3.5999999999999999E-3</v>
      </c>
      <c r="I624" s="72"/>
      <c r="K624" s="658"/>
    </row>
    <row r="625" spans="1:11" customFormat="1" x14ac:dyDescent="0.25">
      <c r="A625" s="661"/>
      <c r="B625" s="73"/>
      <c r="C625" s="75" t="s">
        <v>9061</v>
      </c>
      <c r="D625" s="73"/>
      <c r="E625" s="73"/>
      <c r="F625" s="73"/>
      <c r="G625" s="74"/>
      <c r="H625" s="153"/>
      <c r="I625" s="72"/>
      <c r="K625" s="658"/>
    </row>
    <row r="626" spans="1:11" customFormat="1" x14ac:dyDescent="0.25">
      <c r="A626" s="661"/>
      <c r="B626" s="73"/>
      <c r="C626" s="73" t="s">
        <v>55</v>
      </c>
      <c r="D626" s="73"/>
      <c r="E626" s="73"/>
      <c r="F626" s="73"/>
      <c r="G626" s="74" t="s">
        <v>3</v>
      </c>
      <c r="H626" s="153">
        <f>0.04*0.08*3*8*1.12</f>
        <v>8.6016000000000023E-2</v>
      </c>
      <c r="I626" s="72"/>
      <c r="K626" s="658"/>
    </row>
    <row r="627" spans="1:11" customFormat="1" x14ac:dyDescent="0.25">
      <c r="A627" s="661"/>
      <c r="B627" s="73"/>
      <c r="C627" s="73"/>
      <c r="D627" s="73"/>
      <c r="E627" s="73"/>
      <c r="F627" s="73"/>
      <c r="G627" s="74"/>
      <c r="H627" s="153"/>
      <c r="I627" s="72"/>
      <c r="K627" s="658"/>
    </row>
    <row r="628" spans="1:11" customFormat="1" x14ac:dyDescent="0.25">
      <c r="A628" s="678"/>
      <c r="B628" s="75" t="s">
        <v>9060</v>
      </c>
      <c r="C628" s="73"/>
      <c r="D628" s="73"/>
      <c r="E628" s="73"/>
      <c r="F628" s="73"/>
      <c r="G628" s="74"/>
      <c r="H628" s="153"/>
      <c r="I628" s="72"/>
      <c r="K628" s="658"/>
    </row>
    <row r="629" spans="1:11" customFormat="1" x14ac:dyDescent="0.25">
      <c r="A629" s="661"/>
      <c r="B629" s="73" t="s">
        <v>140</v>
      </c>
      <c r="C629" s="73"/>
      <c r="D629" s="73"/>
      <c r="E629" s="73"/>
      <c r="F629" s="73"/>
      <c r="G629" s="74" t="s">
        <v>3</v>
      </c>
      <c r="H629" s="153">
        <f>0.008*3.14*2*0.08*1.2</f>
        <v>4.8230399999999998E-3</v>
      </c>
      <c r="I629" s="72"/>
      <c r="K629" s="658"/>
    </row>
    <row r="630" spans="1:11" customFormat="1" ht="17.25" x14ac:dyDescent="0.25">
      <c r="A630" s="661"/>
      <c r="B630" s="73" t="s">
        <v>23</v>
      </c>
      <c r="C630" s="73"/>
      <c r="D630" s="73"/>
      <c r="E630" s="73"/>
      <c r="F630" s="73"/>
      <c r="G630" s="74" t="s">
        <v>596</v>
      </c>
      <c r="H630" s="153">
        <f>H629*2</f>
        <v>9.6460799999999996E-3</v>
      </c>
      <c r="I630" s="72"/>
      <c r="K630" s="658"/>
    </row>
    <row r="631" spans="1:11" customFormat="1" x14ac:dyDescent="0.25">
      <c r="A631" s="661"/>
      <c r="B631" s="73" t="s">
        <v>142</v>
      </c>
      <c r="C631" s="73"/>
      <c r="D631" s="73"/>
      <c r="E631" s="73"/>
      <c r="F631" s="73"/>
      <c r="G631" s="74" t="s">
        <v>3</v>
      </c>
      <c r="H631" s="153">
        <f>H629/4</f>
        <v>1.2057599999999999E-3</v>
      </c>
      <c r="I631" s="72"/>
      <c r="K631" s="658"/>
    </row>
    <row r="632" spans="1:11" customFormat="1" x14ac:dyDescent="0.25">
      <c r="A632" s="661"/>
      <c r="B632" s="73" t="s">
        <v>143</v>
      </c>
      <c r="C632" s="73"/>
      <c r="D632" s="73"/>
      <c r="E632" s="73"/>
      <c r="F632" s="73"/>
      <c r="G632" s="74" t="s">
        <v>3</v>
      </c>
      <c r="H632" s="153">
        <f>H633</f>
        <v>1.5958800000000002E-2</v>
      </c>
      <c r="I632" s="72"/>
      <c r="K632" s="658"/>
    </row>
    <row r="633" spans="1:11" customFormat="1" x14ac:dyDescent="0.25">
      <c r="A633" s="661"/>
      <c r="B633" s="73" t="s">
        <v>8</v>
      </c>
      <c r="C633" s="73"/>
      <c r="D633" s="73"/>
      <c r="E633" s="73"/>
      <c r="F633" s="73"/>
      <c r="G633" s="74" t="s">
        <v>3</v>
      </c>
      <c r="H633" s="153">
        <f>H634*0.9</f>
        <v>1.5958800000000002E-2</v>
      </c>
      <c r="I633" s="72"/>
      <c r="K633" s="658"/>
    </row>
    <row r="634" spans="1:11" customFormat="1" x14ac:dyDescent="0.25">
      <c r="A634" s="661"/>
      <c r="B634" s="73" t="s">
        <v>152</v>
      </c>
      <c r="C634" s="73"/>
      <c r="D634" s="73"/>
      <c r="E634" s="73"/>
      <c r="F634" s="73"/>
      <c r="G634" s="74" t="s">
        <v>3</v>
      </c>
      <c r="H634" s="153">
        <f>0.62*0.011*2*1.3</f>
        <v>1.7732000000000001E-2</v>
      </c>
      <c r="I634" s="72"/>
      <c r="K634" s="658"/>
    </row>
    <row r="635" spans="1:11" customFormat="1" x14ac:dyDescent="0.25">
      <c r="A635" s="661"/>
      <c r="B635" s="73" t="s">
        <v>12</v>
      </c>
      <c r="C635" s="73"/>
      <c r="D635" s="73"/>
      <c r="E635" s="73"/>
      <c r="F635" s="73"/>
      <c r="G635" s="74" t="s">
        <v>3</v>
      </c>
      <c r="H635" s="153">
        <f>0.3*(H634+H633+H632)</f>
        <v>1.4894880000000003E-2</v>
      </c>
      <c r="I635" s="72"/>
      <c r="K635" s="658"/>
    </row>
    <row r="636" spans="1:11" customFormat="1" x14ac:dyDescent="0.25">
      <c r="A636" s="661"/>
      <c r="B636" s="73"/>
      <c r="C636" s="75" t="s">
        <v>9059</v>
      </c>
      <c r="D636" s="73"/>
      <c r="E636" s="73"/>
      <c r="F636" s="73"/>
      <c r="G636" s="74"/>
      <c r="H636" s="153"/>
      <c r="I636" s="72"/>
      <c r="K636" s="658"/>
    </row>
    <row r="637" spans="1:11" customFormat="1" x14ac:dyDescent="0.25">
      <c r="A637" s="661"/>
      <c r="B637" s="73"/>
      <c r="C637" s="73" t="s">
        <v>1245</v>
      </c>
      <c r="D637" s="73"/>
      <c r="E637" s="73"/>
      <c r="F637" s="73"/>
      <c r="G637" s="74" t="s">
        <v>3</v>
      </c>
      <c r="H637" s="153">
        <v>0.182</v>
      </c>
      <c r="I637" s="72"/>
      <c r="J637" t="s">
        <v>9058</v>
      </c>
      <c r="K637" s="658"/>
    </row>
    <row r="638" spans="1:11" customFormat="1" x14ac:dyDescent="0.25">
      <c r="A638" s="661"/>
      <c r="B638" s="73"/>
      <c r="C638" s="73"/>
      <c r="D638" s="73"/>
      <c r="E638" s="73"/>
      <c r="F638" s="73"/>
      <c r="G638" s="74"/>
      <c r="H638" s="153"/>
      <c r="I638" s="72"/>
      <c r="K638" s="658"/>
    </row>
    <row r="639" spans="1:11" customFormat="1" x14ac:dyDescent="0.25">
      <c r="A639" s="678"/>
      <c r="B639" s="75" t="s">
        <v>9057</v>
      </c>
      <c r="C639" s="73"/>
      <c r="D639" s="73"/>
      <c r="E639" s="73"/>
      <c r="F639" s="73"/>
      <c r="G639" s="74"/>
      <c r="H639" s="153"/>
      <c r="I639" s="72"/>
      <c r="K639" s="658"/>
    </row>
    <row r="640" spans="1:11" customFormat="1" x14ac:dyDescent="0.25">
      <c r="A640" s="661"/>
      <c r="B640" s="77" t="s">
        <v>39</v>
      </c>
      <c r="C640" s="73"/>
      <c r="D640" s="73"/>
      <c r="E640" s="73"/>
      <c r="F640" s="73"/>
      <c r="G640" s="74" t="s">
        <v>3</v>
      </c>
      <c r="H640" s="153">
        <f>0.1*0.07*1.2</f>
        <v>8.4000000000000012E-3</v>
      </c>
      <c r="I640" s="72"/>
      <c r="K640" s="658"/>
    </row>
    <row r="641" spans="1:11" customFormat="1" ht="17.25" x14ac:dyDescent="0.25">
      <c r="A641" s="661"/>
      <c r="B641" s="73" t="s">
        <v>1055</v>
      </c>
      <c r="C641" s="73"/>
      <c r="D641" s="73"/>
      <c r="E641" s="73"/>
      <c r="F641" s="73"/>
      <c r="G641" s="74" t="s">
        <v>596</v>
      </c>
      <c r="H641" s="153">
        <f>H640</f>
        <v>8.4000000000000012E-3</v>
      </c>
      <c r="I641" s="72"/>
      <c r="K641" s="658"/>
    </row>
    <row r="642" spans="1:11" customFormat="1" x14ac:dyDescent="0.25">
      <c r="A642" s="661"/>
      <c r="B642" s="73"/>
      <c r="C642" s="75" t="s">
        <v>9056</v>
      </c>
      <c r="D642" s="73"/>
      <c r="E642" s="73"/>
      <c r="F642" s="73"/>
      <c r="G642" s="74"/>
      <c r="H642" s="153"/>
      <c r="I642" s="72"/>
      <c r="K642" s="658"/>
    </row>
    <row r="643" spans="1:11" customFormat="1" x14ac:dyDescent="0.25">
      <c r="A643" s="661"/>
      <c r="B643" s="73"/>
      <c r="C643" s="73" t="s">
        <v>55</v>
      </c>
      <c r="D643" s="73"/>
      <c r="E643" s="73"/>
      <c r="F643" s="73"/>
      <c r="G643" s="74" t="s">
        <v>3</v>
      </c>
      <c r="H643" s="153">
        <f>0.08*0.026*3*8*1.12</f>
        <v>5.5910399999999999E-2</v>
      </c>
      <c r="I643" s="72"/>
      <c r="K643" s="658"/>
    </row>
    <row r="644" spans="1:11" customFormat="1" x14ac:dyDescent="0.25">
      <c r="A644" s="661"/>
      <c r="B644" s="73"/>
      <c r="C644" s="75" t="s">
        <v>9055</v>
      </c>
      <c r="D644" s="73"/>
      <c r="E644" s="73"/>
      <c r="F644" s="73"/>
      <c r="G644" s="74"/>
      <c r="H644" s="153"/>
      <c r="I644" s="72"/>
      <c r="K644" s="658"/>
    </row>
    <row r="645" spans="1:11" customFormat="1" x14ac:dyDescent="0.25">
      <c r="A645" s="661"/>
      <c r="B645" s="73"/>
      <c r="C645" s="73" t="s">
        <v>2155</v>
      </c>
      <c r="D645" s="73"/>
      <c r="E645" s="73"/>
      <c r="F645" s="73"/>
      <c r="G645" s="74" t="s">
        <v>3</v>
      </c>
      <c r="H645" s="153">
        <f>0.07*0.11*5*8*1.12</f>
        <v>0.3449600000000001</v>
      </c>
      <c r="I645" s="72"/>
      <c r="K645" s="658"/>
    </row>
    <row r="646" spans="1:11" customFormat="1" x14ac:dyDescent="0.25">
      <c r="A646" s="661"/>
      <c r="B646" s="73"/>
      <c r="C646" s="73"/>
      <c r="D646" s="73"/>
      <c r="E646" s="73"/>
      <c r="F646" s="73"/>
      <c r="G646" s="74"/>
      <c r="H646" s="153"/>
      <c r="I646" s="72"/>
      <c r="K646" s="658"/>
    </row>
    <row r="647" spans="1:11" customFormat="1" x14ac:dyDescent="0.25">
      <c r="A647" s="678"/>
      <c r="B647" s="75" t="s">
        <v>9054</v>
      </c>
      <c r="C647" s="73"/>
      <c r="D647" s="73"/>
      <c r="E647" s="73"/>
      <c r="F647" s="73"/>
      <c r="G647" s="74"/>
      <c r="H647" s="153"/>
      <c r="I647" s="72"/>
      <c r="K647" s="658"/>
    </row>
    <row r="648" spans="1:11" customFormat="1" x14ac:dyDescent="0.25">
      <c r="A648" s="661"/>
      <c r="B648" s="73" t="s">
        <v>140</v>
      </c>
      <c r="C648" s="73"/>
      <c r="D648" s="73"/>
      <c r="E648" s="73"/>
      <c r="F648" s="73"/>
      <c r="G648" s="74" t="s">
        <v>3</v>
      </c>
      <c r="H648" s="153">
        <f>0.032*2*0.08*1.2</f>
        <v>6.1440000000000002E-3</v>
      </c>
      <c r="I648" s="72"/>
      <c r="K648" s="658"/>
    </row>
    <row r="649" spans="1:11" customFormat="1" ht="17.25" x14ac:dyDescent="0.25">
      <c r="A649" s="661"/>
      <c r="B649" s="73" t="s">
        <v>23</v>
      </c>
      <c r="C649" s="73"/>
      <c r="D649" s="73"/>
      <c r="E649" s="73"/>
      <c r="F649" s="73"/>
      <c r="G649" s="74" t="s">
        <v>596</v>
      </c>
      <c r="H649" s="153">
        <f>H648*2</f>
        <v>1.2288E-2</v>
      </c>
      <c r="I649" s="72"/>
      <c r="K649" s="658"/>
    </row>
    <row r="650" spans="1:11" customFormat="1" x14ac:dyDescent="0.25">
      <c r="A650" s="661"/>
      <c r="B650" s="73" t="s">
        <v>142</v>
      </c>
      <c r="C650" s="73"/>
      <c r="D650" s="73"/>
      <c r="E650" s="73"/>
      <c r="F650" s="73"/>
      <c r="G650" s="74" t="s">
        <v>3</v>
      </c>
      <c r="H650" s="153">
        <f>H648/4</f>
        <v>1.536E-3</v>
      </c>
      <c r="I650" s="72"/>
      <c r="K650" s="658"/>
    </row>
    <row r="651" spans="1:11" customFormat="1" x14ac:dyDescent="0.25">
      <c r="A651" s="661"/>
      <c r="B651" s="77" t="s">
        <v>143</v>
      </c>
      <c r="C651" s="77"/>
      <c r="D651" s="77"/>
      <c r="E651" s="77"/>
      <c r="F651" s="73"/>
      <c r="G651" s="74" t="s">
        <v>3</v>
      </c>
      <c r="H651" s="153">
        <f>H653</f>
        <v>3.7400000000000003E-3</v>
      </c>
      <c r="I651" s="72"/>
      <c r="K651" s="658"/>
    </row>
    <row r="652" spans="1:11" customFormat="1" x14ac:dyDescent="0.25">
      <c r="A652" s="661"/>
      <c r="B652" s="77" t="s">
        <v>8</v>
      </c>
      <c r="C652" s="77"/>
      <c r="D652" s="77"/>
      <c r="E652" s="77"/>
      <c r="F652" s="73"/>
      <c r="G652" s="74" t="s">
        <v>3</v>
      </c>
      <c r="H652" s="153">
        <f>H653</f>
        <v>3.7400000000000003E-3</v>
      </c>
      <c r="I652" s="72"/>
      <c r="K652" s="658"/>
    </row>
    <row r="653" spans="1:11" customFormat="1" x14ac:dyDescent="0.25">
      <c r="A653" s="661"/>
      <c r="B653" s="77" t="s">
        <v>115</v>
      </c>
      <c r="C653" s="77"/>
      <c r="D653" s="77"/>
      <c r="E653" s="77"/>
      <c r="F653" s="73"/>
      <c r="G653" s="74" t="s">
        <v>3</v>
      </c>
      <c r="H653" s="153">
        <f>0.1*0.011*2*1.7</f>
        <v>3.7400000000000003E-3</v>
      </c>
      <c r="I653" s="72"/>
      <c r="K653" s="658"/>
    </row>
    <row r="654" spans="1:11" customFormat="1" x14ac:dyDescent="0.25">
      <c r="A654" s="661"/>
      <c r="B654" s="77" t="s">
        <v>12</v>
      </c>
      <c r="C654" s="77"/>
      <c r="D654" s="77"/>
      <c r="E654" s="77"/>
      <c r="F654" s="73"/>
      <c r="G654" s="74" t="s">
        <v>3</v>
      </c>
      <c r="H654" s="153">
        <f>0.3*(H653+H652+H651)</f>
        <v>3.3660000000000001E-3</v>
      </c>
      <c r="I654" s="72"/>
      <c r="K654" s="658"/>
    </row>
    <row r="655" spans="1:11" customFormat="1" x14ac:dyDescent="0.25">
      <c r="A655" s="661"/>
      <c r="B655" s="73"/>
      <c r="C655" s="75" t="s">
        <v>9053</v>
      </c>
      <c r="D655" s="73"/>
      <c r="E655" s="73"/>
      <c r="F655" s="73"/>
      <c r="G655" s="74"/>
      <c r="H655" s="153"/>
      <c r="I655" s="72"/>
      <c r="K655" s="658"/>
    </row>
    <row r="656" spans="1:11" customFormat="1" x14ac:dyDescent="0.25">
      <c r="A656" s="661"/>
      <c r="B656" s="73"/>
      <c r="C656" s="73" t="s">
        <v>408</v>
      </c>
      <c r="D656" s="73"/>
      <c r="E656" s="73"/>
      <c r="F656" s="73"/>
      <c r="G656" s="74" t="s">
        <v>3</v>
      </c>
      <c r="H656" s="153">
        <v>0.03</v>
      </c>
      <c r="I656" s="72"/>
      <c r="J656" t="s">
        <v>9041</v>
      </c>
      <c r="K656" s="658"/>
    </row>
    <row r="657" spans="1:11" customFormat="1" x14ac:dyDescent="0.25">
      <c r="A657" s="661"/>
      <c r="B657" s="73"/>
      <c r="C657" s="73"/>
      <c r="D657" s="73"/>
      <c r="E657" s="73"/>
      <c r="F657" s="73"/>
      <c r="G657" s="74"/>
      <c r="H657" s="153"/>
      <c r="I657" s="72"/>
      <c r="K657" s="658"/>
    </row>
    <row r="658" spans="1:11" customFormat="1" x14ac:dyDescent="0.25">
      <c r="A658" s="678"/>
      <c r="B658" s="75" t="s">
        <v>4879</v>
      </c>
      <c r="C658" s="73"/>
      <c r="D658" s="73"/>
      <c r="E658" s="73"/>
      <c r="F658" s="73"/>
      <c r="G658" s="74"/>
      <c r="H658" s="153"/>
      <c r="I658" s="72"/>
      <c r="K658" s="658"/>
    </row>
    <row r="659" spans="1:11" customFormat="1" x14ac:dyDescent="0.25">
      <c r="A659" s="661"/>
      <c r="B659" s="73" t="s">
        <v>140</v>
      </c>
      <c r="C659" s="73"/>
      <c r="D659" s="73"/>
      <c r="E659" s="73"/>
      <c r="F659" s="73"/>
      <c r="G659" s="74" t="s">
        <v>3</v>
      </c>
      <c r="H659" s="153">
        <f>0.032*2*0.08*1.3</f>
        <v>6.6560000000000005E-3</v>
      </c>
      <c r="I659" s="72"/>
      <c r="K659" s="658"/>
    </row>
    <row r="660" spans="1:11" customFormat="1" ht="17.25" x14ac:dyDescent="0.25">
      <c r="A660" s="661"/>
      <c r="B660" s="73" t="s">
        <v>23</v>
      </c>
      <c r="C660" s="73"/>
      <c r="D660" s="73"/>
      <c r="E660" s="73"/>
      <c r="F660" s="73"/>
      <c r="G660" s="74" t="s">
        <v>596</v>
      </c>
      <c r="H660" s="153">
        <f>H659*2</f>
        <v>1.3312000000000001E-2</v>
      </c>
      <c r="I660" s="72"/>
      <c r="K660" s="658"/>
    </row>
    <row r="661" spans="1:11" customFormat="1" x14ac:dyDescent="0.25">
      <c r="A661" s="661"/>
      <c r="B661" s="73" t="s">
        <v>142</v>
      </c>
      <c r="C661" s="73"/>
      <c r="D661" s="73"/>
      <c r="E661" s="73"/>
      <c r="F661" s="73"/>
      <c r="G661" s="74" t="s">
        <v>3</v>
      </c>
      <c r="H661" s="153">
        <f>H659/4</f>
        <v>1.6640000000000001E-3</v>
      </c>
      <c r="I661" s="72"/>
      <c r="K661" s="658"/>
    </row>
    <row r="662" spans="1:11" customFormat="1" x14ac:dyDescent="0.25">
      <c r="A662" s="661"/>
      <c r="B662" s="77" t="s">
        <v>143</v>
      </c>
      <c r="C662" s="77"/>
      <c r="D662" s="77"/>
      <c r="E662" s="77"/>
      <c r="F662" s="73"/>
      <c r="G662" s="74" t="s">
        <v>3</v>
      </c>
      <c r="H662" s="153">
        <f>H664</f>
        <v>2.112E-2</v>
      </c>
      <c r="I662" s="72"/>
      <c r="K662" s="658"/>
    </row>
    <row r="663" spans="1:11" customFormat="1" x14ac:dyDescent="0.25">
      <c r="A663" s="661"/>
      <c r="B663" s="77" t="s">
        <v>8</v>
      </c>
      <c r="C663" s="77"/>
      <c r="D663" s="77"/>
      <c r="E663" s="77"/>
      <c r="F663" s="73"/>
      <c r="G663" s="74" t="s">
        <v>3</v>
      </c>
      <c r="H663" s="153">
        <f>H664</f>
        <v>2.112E-2</v>
      </c>
      <c r="I663" s="72"/>
      <c r="K663" s="658"/>
    </row>
    <row r="664" spans="1:11" customFormat="1" x14ac:dyDescent="0.25">
      <c r="A664" s="661"/>
      <c r="B664" s="77" t="s">
        <v>115</v>
      </c>
      <c r="C664" s="77"/>
      <c r="D664" s="77"/>
      <c r="E664" s="77"/>
      <c r="F664" s="73"/>
      <c r="G664" s="74" t="s">
        <v>3</v>
      </c>
      <c r="H664" s="153">
        <f>0.8*0.011*2*1.2</f>
        <v>2.112E-2</v>
      </c>
      <c r="I664" s="72"/>
      <c r="K664" s="658"/>
    </row>
    <row r="665" spans="1:11" customFormat="1" x14ac:dyDescent="0.25">
      <c r="A665" s="661"/>
      <c r="B665" s="77" t="s">
        <v>12</v>
      </c>
      <c r="C665" s="77"/>
      <c r="D665" s="77"/>
      <c r="E665" s="77"/>
      <c r="F665" s="73"/>
      <c r="G665" s="74" t="s">
        <v>3</v>
      </c>
      <c r="H665" s="153">
        <f>0.3*(H664+H663+H662)</f>
        <v>1.9008000000000001E-2</v>
      </c>
      <c r="I665" s="72"/>
      <c r="K665" s="658"/>
    </row>
    <row r="666" spans="1:11" customFormat="1" x14ac:dyDescent="0.25">
      <c r="A666" s="661"/>
      <c r="B666" s="73"/>
      <c r="C666" s="75" t="s">
        <v>9052</v>
      </c>
      <c r="D666" s="73"/>
      <c r="E666" s="73"/>
      <c r="F666" s="73"/>
      <c r="G666" s="74"/>
      <c r="H666" s="153"/>
      <c r="I666" s="72"/>
      <c r="K666" s="658"/>
    </row>
    <row r="667" spans="1:11" customFormat="1" x14ac:dyDescent="0.25">
      <c r="A667" s="661"/>
      <c r="B667" s="73"/>
      <c r="C667" s="73" t="s">
        <v>408</v>
      </c>
      <c r="D667" s="73"/>
      <c r="E667" s="73"/>
      <c r="F667" s="73"/>
      <c r="G667" s="74" t="s">
        <v>3</v>
      </c>
      <c r="H667" s="153">
        <v>0.21</v>
      </c>
      <c r="I667" s="72"/>
      <c r="J667" t="s">
        <v>9051</v>
      </c>
      <c r="K667" s="658"/>
    </row>
    <row r="668" spans="1:11" customFormat="1" x14ac:dyDescent="0.25">
      <c r="A668" s="661"/>
      <c r="B668" s="73"/>
      <c r="C668" s="73"/>
      <c r="D668" s="73"/>
      <c r="E668" s="73"/>
      <c r="F668" s="73"/>
      <c r="G668" s="74"/>
      <c r="H668" s="153"/>
      <c r="I668" s="72"/>
      <c r="K668" s="658"/>
    </row>
    <row r="669" spans="1:11" customFormat="1" x14ac:dyDescent="0.25">
      <c r="A669" s="678"/>
      <c r="B669" s="75" t="s">
        <v>9050</v>
      </c>
      <c r="C669" s="73"/>
      <c r="D669" s="73"/>
      <c r="E669" s="73"/>
      <c r="F669" s="73"/>
      <c r="G669" s="74"/>
      <c r="H669" s="153"/>
      <c r="I669" s="72"/>
      <c r="K669" s="658"/>
    </row>
    <row r="670" spans="1:11" customFormat="1" x14ac:dyDescent="0.25">
      <c r="A670" s="661"/>
      <c r="B670" s="73" t="s">
        <v>14</v>
      </c>
      <c r="C670" s="73"/>
      <c r="D670" s="73"/>
      <c r="E670" s="73"/>
      <c r="F670" s="73"/>
      <c r="G670" s="74" t="s">
        <v>3</v>
      </c>
      <c r="H670" s="153">
        <v>1.2E-2</v>
      </c>
      <c r="I670" s="72"/>
      <c r="K670" s="658"/>
    </row>
    <row r="671" spans="1:11" customFormat="1" x14ac:dyDescent="0.25">
      <c r="A671" s="661"/>
      <c r="B671" s="73" t="s">
        <v>115</v>
      </c>
      <c r="C671" s="73"/>
      <c r="D671" s="73"/>
      <c r="E671" s="73"/>
      <c r="F671" s="73"/>
      <c r="G671" s="74" t="s">
        <v>3</v>
      </c>
      <c r="H671" s="153">
        <f>0.555*0.06*0.15*2*1.5</f>
        <v>1.4985000000000002E-2</v>
      </c>
      <c r="I671" s="72"/>
      <c r="K671" s="658"/>
    </row>
    <row r="672" spans="1:11" customFormat="1" x14ac:dyDescent="0.25">
      <c r="A672" s="661"/>
      <c r="B672" s="73" t="s">
        <v>12</v>
      </c>
      <c r="C672" s="73"/>
      <c r="D672" s="73"/>
      <c r="E672" s="73"/>
      <c r="F672" s="73"/>
      <c r="G672" s="74" t="s">
        <v>3</v>
      </c>
      <c r="H672" s="153">
        <f>0.3*(H671+H670)</f>
        <v>8.0955000000000003E-3</v>
      </c>
      <c r="I672" s="72"/>
      <c r="K672" s="658"/>
    </row>
    <row r="673" spans="1:11" customFormat="1" x14ac:dyDescent="0.25">
      <c r="A673" s="661"/>
      <c r="B673" s="73"/>
      <c r="C673" s="73"/>
      <c r="D673" s="73"/>
      <c r="E673" s="73"/>
      <c r="F673" s="73"/>
      <c r="G673" s="74"/>
      <c r="H673" s="153"/>
      <c r="I673" s="72"/>
      <c r="K673" s="658"/>
    </row>
    <row r="674" spans="1:11" customFormat="1" x14ac:dyDescent="0.25">
      <c r="A674" s="678"/>
      <c r="B674" s="75" t="s">
        <v>9049</v>
      </c>
      <c r="C674" s="73"/>
      <c r="D674" s="73"/>
      <c r="E674" s="73"/>
      <c r="F674" s="73"/>
      <c r="G674" s="74"/>
      <c r="H674" s="153"/>
      <c r="I674" s="72"/>
      <c r="K674" s="658"/>
    </row>
    <row r="675" spans="1:11" customFormat="1" x14ac:dyDescent="0.25">
      <c r="A675" s="661"/>
      <c r="B675" s="77" t="s">
        <v>39</v>
      </c>
      <c r="C675" s="73"/>
      <c r="D675" s="73"/>
      <c r="E675" s="73"/>
      <c r="F675" s="73"/>
      <c r="G675" s="74" t="s">
        <v>3</v>
      </c>
      <c r="H675" s="153">
        <f>0.015*3.14*2*0.07*1.2</f>
        <v>7.9128000000000011E-3</v>
      </c>
      <c r="I675" s="72"/>
      <c r="K675" s="658"/>
    </row>
    <row r="676" spans="1:11" customFormat="1" ht="17.25" x14ac:dyDescent="0.25">
      <c r="A676" s="661"/>
      <c r="B676" s="73" t="s">
        <v>1055</v>
      </c>
      <c r="C676" s="73"/>
      <c r="D676" s="73"/>
      <c r="E676" s="73"/>
      <c r="F676" s="73"/>
      <c r="G676" s="74" t="s">
        <v>596</v>
      </c>
      <c r="H676" s="153">
        <f>H675</f>
        <v>7.9128000000000011E-3</v>
      </c>
      <c r="I676" s="72"/>
      <c r="K676" s="658"/>
    </row>
    <row r="677" spans="1:11" customFormat="1" x14ac:dyDescent="0.25">
      <c r="A677" s="661"/>
      <c r="B677" s="73"/>
      <c r="C677" s="75" t="s">
        <v>9048</v>
      </c>
      <c r="D677" s="73"/>
      <c r="E677" s="73"/>
      <c r="F677" s="73"/>
      <c r="G677" s="74"/>
      <c r="H677" s="153"/>
      <c r="I677" s="72"/>
      <c r="K677" s="658"/>
    </row>
    <row r="678" spans="1:11" customFormat="1" x14ac:dyDescent="0.25">
      <c r="A678" s="661"/>
      <c r="B678" s="73"/>
      <c r="C678" s="73" t="s">
        <v>55</v>
      </c>
      <c r="D678" s="73"/>
      <c r="E678" s="73"/>
      <c r="F678" s="73"/>
      <c r="G678" s="74" t="s">
        <v>3</v>
      </c>
      <c r="H678" s="153">
        <f>0.14*0.051*3*8-0.001</f>
        <v>0.17036000000000001</v>
      </c>
      <c r="I678" s="72"/>
      <c r="K678" s="658"/>
    </row>
    <row r="679" spans="1:11" customFormat="1" x14ac:dyDescent="0.25">
      <c r="A679" s="661"/>
      <c r="B679" s="73"/>
      <c r="C679" s="73"/>
      <c r="D679" s="73"/>
      <c r="E679" s="73"/>
      <c r="F679" s="73"/>
      <c r="G679" s="74"/>
      <c r="H679" s="153"/>
      <c r="I679" s="72"/>
      <c r="K679" s="658"/>
    </row>
    <row r="680" spans="1:11" customFormat="1" x14ac:dyDescent="0.25">
      <c r="A680" s="678"/>
      <c r="B680" s="75" t="s">
        <v>9047</v>
      </c>
      <c r="C680" s="73"/>
      <c r="D680" s="73"/>
      <c r="E680" s="73"/>
      <c r="F680" s="73"/>
      <c r="G680" s="74"/>
      <c r="H680" s="153"/>
      <c r="I680" s="72"/>
      <c r="K680" s="658"/>
    </row>
    <row r="681" spans="1:11" customFormat="1" x14ac:dyDescent="0.25">
      <c r="A681" s="661"/>
      <c r="B681" s="73" t="s">
        <v>9046</v>
      </c>
      <c r="C681" s="73"/>
      <c r="D681" s="73"/>
      <c r="E681" s="73"/>
      <c r="F681" s="73"/>
      <c r="G681" s="74" t="s">
        <v>3</v>
      </c>
      <c r="H681" s="153">
        <f>0.1*0.056*3*8.5*1.1</f>
        <v>0.15708000000000003</v>
      </c>
      <c r="I681" s="72"/>
      <c r="K681" s="658"/>
    </row>
    <row r="682" spans="1:11" customFormat="1" x14ac:dyDescent="0.25">
      <c r="A682" s="661"/>
      <c r="B682" s="73"/>
      <c r="C682" s="73"/>
      <c r="D682" s="73"/>
      <c r="E682" s="73"/>
      <c r="F682" s="73"/>
      <c r="G682" s="74"/>
      <c r="H682" s="153"/>
      <c r="I682" s="72"/>
      <c r="K682" s="658"/>
    </row>
    <row r="683" spans="1:11" customFormat="1" x14ac:dyDescent="0.25">
      <c r="A683" s="678"/>
      <c r="B683" s="75" t="s">
        <v>8510</v>
      </c>
      <c r="C683" s="73"/>
      <c r="D683" s="73"/>
      <c r="E683" s="73"/>
      <c r="F683" s="73"/>
      <c r="G683" s="74"/>
      <c r="H683" s="153"/>
      <c r="I683" s="72"/>
      <c r="K683" s="658"/>
    </row>
    <row r="684" spans="1:11" customFormat="1" x14ac:dyDescent="0.25">
      <c r="A684" s="661"/>
      <c r="B684" s="73" t="s">
        <v>8509</v>
      </c>
      <c r="C684" s="73"/>
      <c r="D684" s="73"/>
      <c r="E684" s="73"/>
      <c r="F684" s="73"/>
      <c r="G684" s="74" t="s">
        <v>3</v>
      </c>
      <c r="H684" s="153">
        <f>0.01</f>
        <v>0.01</v>
      </c>
      <c r="I684" s="72"/>
      <c r="K684" s="658"/>
    </row>
    <row r="685" spans="1:11" customFormat="1" x14ac:dyDescent="0.25">
      <c r="A685" s="661"/>
      <c r="B685" s="73"/>
      <c r="C685" s="73"/>
      <c r="D685" s="73"/>
      <c r="E685" s="73"/>
      <c r="F685" s="73"/>
      <c r="G685" s="74"/>
      <c r="H685" s="153"/>
      <c r="I685" s="72"/>
      <c r="K685" s="658"/>
    </row>
    <row r="686" spans="1:11" customFormat="1" x14ac:dyDescent="0.25">
      <c r="A686" s="678"/>
      <c r="B686" s="75" t="s">
        <v>9045</v>
      </c>
      <c r="C686" s="73"/>
      <c r="D686" s="73"/>
      <c r="E686" s="73"/>
      <c r="F686" s="73"/>
      <c r="G686" s="74"/>
      <c r="H686" s="153"/>
      <c r="I686" s="72"/>
      <c r="K686" s="658"/>
    </row>
    <row r="687" spans="1:11" customFormat="1" x14ac:dyDescent="0.25">
      <c r="A687" s="661"/>
      <c r="B687" s="73" t="s">
        <v>140</v>
      </c>
      <c r="C687" s="73"/>
      <c r="D687" s="73"/>
      <c r="E687" s="73"/>
      <c r="F687" s="73"/>
      <c r="G687" s="74" t="s">
        <v>3</v>
      </c>
      <c r="H687" s="153">
        <f>0.032*6*0.08</f>
        <v>1.536E-2</v>
      </c>
      <c r="I687" s="72"/>
      <c r="K687" s="658"/>
    </row>
    <row r="688" spans="1:11" customFormat="1" ht="17.25" x14ac:dyDescent="0.25">
      <c r="A688" s="661"/>
      <c r="B688" s="73" t="s">
        <v>23</v>
      </c>
      <c r="C688" s="73"/>
      <c r="D688" s="73"/>
      <c r="E688" s="73"/>
      <c r="F688" s="73"/>
      <c r="G688" s="74" t="s">
        <v>596</v>
      </c>
      <c r="H688" s="153">
        <f>H687*2</f>
        <v>3.0720000000000001E-2</v>
      </c>
      <c r="I688" s="72"/>
      <c r="K688" s="658"/>
    </row>
    <row r="689" spans="1:11" customFormat="1" x14ac:dyDescent="0.25">
      <c r="A689" s="661"/>
      <c r="B689" s="73" t="s">
        <v>142</v>
      </c>
      <c r="C689" s="73"/>
      <c r="D689" s="73"/>
      <c r="E689" s="73"/>
      <c r="F689" s="73"/>
      <c r="G689" s="74" t="s">
        <v>3</v>
      </c>
      <c r="H689" s="153">
        <f>H687/4</f>
        <v>3.8400000000000001E-3</v>
      </c>
      <c r="I689" s="72"/>
      <c r="K689" s="658"/>
    </row>
    <row r="690" spans="1:11" customFormat="1" x14ac:dyDescent="0.25">
      <c r="A690" s="661"/>
      <c r="B690" s="73" t="s">
        <v>1497</v>
      </c>
      <c r="C690" s="73"/>
      <c r="D690" s="73"/>
      <c r="E690" s="73"/>
      <c r="F690" s="73"/>
      <c r="G690" s="74" t="s">
        <v>3</v>
      </c>
      <c r="H690" s="153">
        <f>H692</f>
        <v>1.2869999999999999E-2</v>
      </c>
      <c r="I690" s="72"/>
      <c r="K690" s="658"/>
    </row>
    <row r="691" spans="1:11" customFormat="1" x14ac:dyDescent="0.25">
      <c r="A691" s="661"/>
      <c r="B691" s="73" t="s">
        <v>164</v>
      </c>
      <c r="C691" s="73"/>
      <c r="D691" s="73"/>
      <c r="E691" s="73"/>
      <c r="F691" s="73"/>
      <c r="G691" s="74" t="s">
        <v>3</v>
      </c>
      <c r="H691" s="153">
        <f>0.3*H690</f>
        <v>3.8609999999999998E-3</v>
      </c>
      <c r="I691" s="72"/>
      <c r="K691" s="658"/>
    </row>
    <row r="692" spans="1:11" customFormat="1" x14ac:dyDescent="0.25">
      <c r="A692" s="661"/>
      <c r="B692" s="73" t="s">
        <v>649</v>
      </c>
      <c r="C692" s="73"/>
      <c r="D692" s="73"/>
      <c r="E692" s="73"/>
      <c r="F692" s="73"/>
      <c r="G692" s="74" t="s">
        <v>3</v>
      </c>
      <c r="H692" s="153">
        <f>0.45*0.011*2*1.3</f>
        <v>1.2869999999999999E-2</v>
      </c>
      <c r="I692" s="72"/>
      <c r="K692" s="658"/>
    </row>
    <row r="693" spans="1:11" customFormat="1" x14ac:dyDescent="0.25">
      <c r="A693" s="661"/>
      <c r="B693" s="73" t="s">
        <v>152</v>
      </c>
      <c r="C693" s="73"/>
      <c r="D693" s="73"/>
      <c r="E693" s="73"/>
      <c r="F693" s="73"/>
      <c r="G693" s="74" t="s">
        <v>3</v>
      </c>
      <c r="H693" s="153">
        <v>3.0000000000000001E-3</v>
      </c>
      <c r="I693" s="72"/>
      <c r="K693" s="658"/>
    </row>
    <row r="694" spans="1:11" customFormat="1" x14ac:dyDescent="0.25">
      <c r="A694" s="661"/>
      <c r="B694" s="73" t="s">
        <v>9044</v>
      </c>
      <c r="C694" s="73"/>
      <c r="D694" s="73"/>
      <c r="E694" s="73"/>
      <c r="F694" s="73"/>
      <c r="G694" s="74" t="s">
        <v>3</v>
      </c>
      <c r="H694" s="153">
        <v>3.0000000000000001E-3</v>
      </c>
      <c r="I694" s="72"/>
      <c r="K694" s="658"/>
    </row>
    <row r="695" spans="1:11" customFormat="1" x14ac:dyDescent="0.25">
      <c r="A695" s="661"/>
      <c r="B695" s="73" t="s">
        <v>12</v>
      </c>
      <c r="C695" s="73"/>
      <c r="D695" s="73"/>
      <c r="E695" s="73"/>
      <c r="F695" s="73"/>
      <c r="G695" s="74" t="s">
        <v>3</v>
      </c>
      <c r="H695" s="153">
        <f>0.3*(H694+H693+H692)</f>
        <v>5.6609999999999994E-3</v>
      </c>
      <c r="I695" s="72"/>
      <c r="K695" s="658"/>
    </row>
    <row r="696" spans="1:11" customFormat="1" x14ac:dyDescent="0.25">
      <c r="A696" s="661"/>
      <c r="B696" s="73"/>
      <c r="C696" s="75" t="s">
        <v>9043</v>
      </c>
      <c r="D696" s="73"/>
      <c r="E696" s="73"/>
      <c r="F696" s="73"/>
      <c r="G696" s="74"/>
      <c r="H696" s="153"/>
      <c r="I696" s="72"/>
      <c r="K696" s="658"/>
    </row>
    <row r="697" spans="1:11" customFormat="1" x14ac:dyDescent="0.25">
      <c r="A697" s="661"/>
      <c r="B697" s="73"/>
      <c r="C697" s="73" t="s">
        <v>3344</v>
      </c>
      <c r="D697" s="73"/>
      <c r="E697" s="73"/>
      <c r="F697" s="73"/>
      <c r="G697" s="74" t="s">
        <v>3</v>
      </c>
      <c r="H697" s="153">
        <v>0.03</v>
      </c>
      <c r="I697" s="72"/>
      <c r="J697" t="s">
        <v>1203</v>
      </c>
      <c r="K697" s="658"/>
    </row>
    <row r="698" spans="1:11" customFormat="1" x14ac:dyDescent="0.25">
      <c r="A698" s="661"/>
      <c r="B698" s="73"/>
      <c r="C698" s="75" t="s">
        <v>9042</v>
      </c>
      <c r="D698" s="73"/>
      <c r="E698" s="73"/>
      <c r="F698" s="73"/>
      <c r="G698" s="74"/>
      <c r="H698" s="153"/>
      <c r="I698" s="72"/>
      <c r="K698" s="658"/>
    </row>
    <row r="699" spans="1:11" customFormat="1" x14ac:dyDescent="0.25">
      <c r="A699" s="661"/>
      <c r="B699" s="73"/>
      <c r="C699" s="73" t="s">
        <v>3344</v>
      </c>
      <c r="D699" s="73"/>
      <c r="E699" s="73"/>
      <c r="F699" s="73"/>
      <c r="G699" s="74" t="s">
        <v>3</v>
      </c>
      <c r="H699" s="153">
        <v>0.03</v>
      </c>
      <c r="I699" s="72"/>
      <c r="J699" t="s">
        <v>9041</v>
      </c>
      <c r="K699" s="658"/>
    </row>
    <row r="700" spans="1:11" customFormat="1" x14ac:dyDescent="0.25">
      <c r="A700" s="661"/>
      <c r="B700" s="73"/>
      <c r="C700" s="75" t="s">
        <v>9040</v>
      </c>
      <c r="D700" s="73"/>
      <c r="E700" s="73"/>
      <c r="F700" s="73"/>
      <c r="G700" s="74"/>
      <c r="H700" s="153"/>
      <c r="I700" s="72"/>
      <c r="K700" s="658"/>
    </row>
    <row r="701" spans="1:11" customFormat="1" x14ac:dyDescent="0.25">
      <c r="A701" s="661"/>
      <c r="B701" s="73"/>
      <c r="C701" s="73" t="s">
        <v>3344</v>
      </c>
      <c r="D701" s="73"/>
      <c r="E701" s="73"/>
      <c r="F701" s="73"/>
      <c r="G701" s="74" t="s">
        <v>3</v>
      </c>
      <c r="H701" s="153">
        <v>0.1</v>
      </c>
      <c r="I701" s="72"/>
      <c r="J701" t="s">
        <v>9039</v>
      </c>
      <c r="K701" s="658"/>
    </row>
    <row r="702" spans="1:11" customFormat="1" x14ac:dyDescent="0.25">
      <c r="A702" s="661"/>
      <c r="B702" s="73"/>
      <c r="C702" s="73"/>
      <c r="D702" s="73"/>
      <c r="E702" s="73"/>
      <c r="F702" s="73"/>
      <c r="G702" s="74"/>
      <c r="H702" s="153"/>
      <c r="I702" s="72"/>
      <c r="K702" s="658"/>
    </row>
    <row r="703" spans="1:11" customFormat="1" x14ac:dyDescent="0.25">
      <c r="A703" s="678"/>
      <c r="B703" s="75" t="s">
        <v>9038</v>
      </c>
      <c r="C703" s="73"/>
      <c r="D703" s="73"/>
      <c r="E703" s="73"/>
      <c r="F703" s="73"/>
      <c r="G703" s="74"/>
      <c r="H703" s="153"/>
      <c r="I703" s="72"/>
      <c r="K703" s="658"/>
    </row>
    <row r="704" spans="1:11" customFormat="1" x14ac:dyDescent="0.25">
      <c r="A704" s="661"/>
      <c r="B704" s="73" t="s">
        <v>140</v>
      </c>
      <c r="C704" s="73"/>
      <c r="D704" s="73"/>
      <c r="E704" s="73"/>
      <c r="F704" s="73"/>
      <c r="G704" s="74" t="s">
        <v>3</v>
      </c>
      <c r="H704" s="153">
        <f>0.032*6*0.08</f>
        <v>1.536E-2</v>
      </c>
      <c r="I704" s="72"/>
      <c r="K704" s="658"/>
    </row>
    <row r="705" spans="1:11" customFormat="1" ht="17.25" x14ac:dyDescent="0.25">
      <c r="A705" s="661"/>
      <c r="B705" s="73" t="s">
        <v>23</v>
      </c>
      <c r="C705" s="73"/>
      <c r="D705" s="73"/>
      <c r="E705" s="73"/>
      <c r="F705" s="73"/>
      <c r="G705" s="74" t="s">
        <v>596</v>
      </c>
      <c r="H705" s="153">
        <f>H704*2</f>
        <v>3.0720000000000001E-2</v>
      </c>
      <c r="I705" s="72"/>
      <c r="K705" s="658"/>
    </row>
    <row r="706" spans="1:11" customFormat="1" x14ac:dyDescent="0.25">
      <c r="A706" s="661"/>
      <c r="B706" s="73" t="s">
        <v>142</v>
      </c>
      <c r="C706" s="73"/>
      <c r="D706" s="73"/>
      <c r="E706" s="73"/>
      <c r="F706" s="73"/>
      <c r="G706" s="74" t="s">
        <v>3</v>
      </c>
      <c r="H706" s="153">
        <f>H704/4</f>
        <v>3.8400000000000001E-3</v>
      </c>
      <c r="I706" s="72"/>
      <c r="K706" s="658"/>
    </row>
    <row r="707" spans="1:11" customFormat="1" x14ac:dyDescent="0.25">
      <c r="A707" s="661"/>
      <c r="B707" s="73" t="s">
        <v>8</v>
      </c>
      <c r="C707" s="73"/>
      <c r="D707" s="73"/>
      <c r="E707" s="73"/>
      <c r="F707" s="73"/>
      <c r="G707" s="74" t="s">
        <v>3</v>
      </c>
      <c r="H707" s="153">
        <f>H708</f>
        <v>1.1704000000000001E-2</v>
      </c>
      <c r="I707" s="72"/>
      <c r="K707" s="658"/>
    </row>
    <row r="708" spans="1:11" customFormat="1" x14ac:dyDescent="0.25">
      <c r="A708" s="661"/>
      <c r="B708" s="73" t="s">
        <v>9037</v>
      </c>
      <c r="C708" s="73"/>
      <c r="D708" s="73"/>
      <c r="E708" s="73"/>
      <c r="F708" s="73"/>
      <c r="G708" s="74" t="s">
        <v>3</v>
      </c>
      <c r="H708" s="153">
        <f>0.4*0.011*2*1.33</f>
        <v>1.1704000000000001E-2</v>
      </c>
      <c r="I708" s="72"/>
      <c r="K708" s="658"/>
    </row>
    <row r="709" spans="1:11" customFormat="1" x14ac:dyDescent="0.25">
      <c r="A709" s="661"/>
      <c r="B709" s="73" t="s">
        <v>148</v>
      </c>
      <c r="C709" s="73"/>
      <c r="D709" s="73"/>
      <c r="E709" s="73"/>
      <c r="F709" s="73"/>
      <c r="G709" s="74" t="s">
        <v>3</v>
      </c>
      <c r="H709" s="153">
        <f>0.003</f>
        <v>3.0000000000000001E-3</v>
      </c>
      <c r="I709" s="72"/>
      <c r="K709" s="658"/>
    </row>
    <row r="710" spans="1:11" customFormat="1" x14ac:dyDescent="0.25">
      <c r="A710" s="661"/>
      <c r="B710" s="73" t="s">
        <v>12</v>
      </c>
      <c r="C710" s="73"/>
      <c r="D710" s="73"/>
      <c r="E710" s="73"/>
      <c r="F710" s="73"/>
      <c r="G710" s="74" t="s">
        <v>3</v>
      </c>
      <c r="H710" s="153">
        <f>0.3*(H709+H708+H707)</f>
        <v>7.9223999999999996E-3</v>
      </c>
      <c r="I710" s="72"/>
      <c r="K710" s="658"/>
    </row>
    <row r="711" spans="1:11" customFormat="1" x14ac:dyDescent="0.25">
      <c r="A711" s="661"/>
      <c r="B711" s="73"/>
      <c r="C711" s="75" t="s">
        <v>9036</v>
      </c>
      <c r="D711" s="73"/>
      <c r="E711" s="73"/>
      <c r="F711" s="73"/>
      <c r="G711" s="74"/>
      <c r="H711" s="153"/>
      <c r="I711" s="72"/>
      <c r="K711" s="658"/>
    </row>
    <row r="712" spans="1:11" customFormat="1" x14ac:dyDescent="0.25">
      <c r="A712" s="661"/>
      <c r="B712" s="73"/>
      <c r="C712" s="73" t="s">
        <v>3344</v>
      </c>
      <c r="D712" s="73"/>
      <c r="E712" s="73"/>
      <c r="F712" s="73"/>
      <c r="G712" s="74" t="s">
        <v>3</v>
      </c>
      <c r="H712" s="153">
        <v>0.02</v>
      </c>
      <c r="I712" s="72"/>
      <c r="J712" t="s">
        <v>6592</v>
      </c>
      <c r="K712" s="658"/>
    </row>
    <row r="713" spans="1:11" customFormat="1" x14ac:dyDescent="0.25">
      <c r="A713" s="661"/>
      <c r="B713" s="73"/>
      <c r="C713" s="75" t="s">
        <v>9035</v>
      </c>
      <c r="D713" s="75"/>
      <c r="E713" s="73"/>
      <c r="F713" s="73"/>
      <c r="G713" s="74"/>
      <c r="H713" s="153"/>
      <c r="I713" s="72"/>
      <c r="K713" s="658"/>
    </row>
    <row r="714" spans="1:11" customFormat="1" x14ac:dyDescent="0.25">
      <c r="A714" s="661"/>
      <c r="B714" s="73"/>
      <c r="C714" s="73" t="s">
        <v>3344</v>
      </c>
      <c r="D714" s="73"/>
      <c r="E714" s="73"/>
      <c r="F714" s="73"/>
      <c r="G714" s="74" t="s">
        <v>3</v>
      </c>
      <c r="H714" s="153">
        <v>2.5000000000000001E-2</v>
      </c>
      <c r="I714" s="72"/>
      <c r="J714" t="s">
        <v>7912</v>
      </c>
      <c r="K714" s="658"/>
    </row>
    <row r="715" spans="1:11" customFormat="1" x14ac:dyDescent="0.25">
      <c r="A715" s="661"/>
      <c r="B715" s="73"/>
      <c r="C715" s="75" t="s">
        <v>9034</v>
      </c>
      <c r="D715" s="73"/>
      <c r="E715" s="73"/>
      <c r="F715" s="73"/>
      <c r="G715" s="74"/>
      <c r="H715" s="153"/>
      <c r="I715" s="72"/>
      <c r="K715" s="658"/>
    </row>
    <row r="716" spans="1:11" customFormat="1" x14ac:dyDescent="0.25">
      <c r="A716" s="661"/>
      <c r="B716" s="73"/>
      <c r="C716" s="73" t="s">
        <v>3344</v>
      </c>
      <c r="D716" s="73"/>
      <c r="E716" s="73"/>
      <c r="F716" s="73"/>
      <c r="G716" s="74" t="s">
        <v>3</v>
      </c>
      <c r="H716" s="153">
        <v>0.08</v>
      </c>
      <c r="I716" s="72"/>
      <c r="J716" t="s">
        <v>5696</v>
      </c>
      <c r="K716" s="658"/>
    </row>
    <row r="717" spans="1:11" customFormat="1" x14ac:dyDescent="0.25">
      <c r="A717" s="661"/>
      <c r="B717" s="73"/>
      <c r="C717" s="75" t="s">
        <v>9033</v>
      </c>
      <c r="D717" s="73"/>
      <c r="E717" s="73"/>
      <c r="F717" s="73"/>
      <c r="G717" s="74"/>
      <c r="H717" s="153"/>
      <c r="I717" s="72"/>
      <c r="K717" s="658"/>
    </row>
    <row r="718" spans="1:11" customFormat="1" x14ac:dyDescent="0.25">
      <c r="A718" s="661"/>
      <c r="B718" s="73"/>
      <c r="C718" s="73" t="s">
        <v>3344</v>
      </c>
      <c r="D718" s="73"/>
      <c r="E718" s="73"/>
      <c r="F718" s="73"/>
      <c r="G718" s="74" t="s">
        <v>3</v>
      </c>
      <c r="H718" s="153">
        <v>0.03</v>
      </c>
      <c r="I718" s="72"/>
      <c r="J718" t="s">
        <v>1459</v>
      </c>
      <c r="K718" s="658"/>
    </row>
    <row r="719" spans="1:11" customFormat="1" x14ac:dyDescent="0.25">
      <c r="A719" s="661"/>
      <c r="B719" s="73"/>
      <c r="C719" s="73"/>
      <c r="D719" s="73"/>
      <c r="E719" s="73"/>
      <c r="F719" s="73"/>
      <c r="G719" s="74"/>
      <c r="H719" s="153"/>
      <c r="I719" s="72"/>
      <c r="K719" s="658"/>
    </row>
    <row r="720" spans="1:11" customFormat="1" x14ac:dyDescent="0.25">
      <c r="A720" s="678"/>
      <c r="B720" s="75" t="s">
        <v>9032</v>
      </c>
      <c r="C720" s="73"/>
      <c r="D720" s="73"/>
      <c r="E720" s="73"/>
      <c r="F720" s="73"/>
      <c r="G720" s="74"/>
      <c r="H720" s="153"/>
      <c r="I720" s="72"/>
      <c r="K720" s="658"/>
    </row>
    <row r="721" spans="1:11" customFormat="1" x14ac:dyDescent="0.25">
      <c r="A721" s="661"/>
      <c r="B721" s="73" t="s">
        <v>140</v>
      </c>
      <c r="C721" s="73"/>
      <c r="D721" s="73"/>
      <c r="E721" s="73"/>
      <c r="F721" s="73"/>
      <c r="G721" s="74" t="s">
        <v>3</v>
      </c>
      <c r="H721" s="153">
        <f>0.032*0.08*1.3</f>
        <v>3.3280000000000002E-3</v>
      </c>
      <c r="I721" s="72"/>
      <c r="K721" s="658"/>
    </row>
    <row r="722" spans="1:11" customFormat="1" ht="17.25" x14ac:dyDescent="0.25">
      <c r="A722" s="661"/>
      <c r="B722" s="73" t="s">
        <v>23</v>
      </c>
      <c r="C722" s="73"/>
      <c r="D722" s="73"/>
      <c r="E722" s="73"/>
      <c r="F722" s="73"/>
      <c r="G722" s="74" t="s">
        <v>596</v>
      </c>
      <c r="H722" s="153">
        <f>H721*2</f>
        <v>6.6560000000000005E-3</v>
      </c>
      <c r="I722" s="72"/>
      <c r="K722" s="658"/>
    </row>
    <row r="723" spans="1:11" customFormat="1" x14ac:dyDescent="0.25">
      <c r="A723" s="661"/>
      <c r="B723" s="73" t="s">
        <v>142</v>
      </c>
      <c r="C723" s="73"/>
      <c r="D723" s="73"/>
      <c r="E723" s="73"/>
      <c r="F723" s="73"/>
      <c r="G723" s="74" t="s">
        <v>3</v>
      </c>
      <c r="H723" s="153">
        <f>H721/4</f>
        <v>8.3200000000000006E-4</v>
      </c>
      <c r="I723" s="72"/>
      <c r="K723" s="658"/>
    </row>
    <row r="724" spans="1:11" customFormat="1" x14ac:dyDescent="0.25">
      <c r="A724" s="661"/>
      <c r="B724" s="73" t="s">
        <v>163</v>
      </c>
      <c r="C724" s="73"/>
      <c r="D724" s="73"/>
      <c r="E724" s="73"/>
      <c r="F724" s="73"/>
      <c r="G724" s="74" t="s">
        <v>3</v>
      </c>
      <c r="H724" s="153">
        <f>H726</f>
        <v>1.5444000000000001E-2</v>
      </c>
      <c r="I724" s="72"/>
      <c r="K724" s="658"/>
    </row>
    <row r="725" spans="1:11" customFormat="1" x14ac:dyDescent="0.25">
      <c r="A725" s="661"/>
      <c r="B725" s="73" t="s">
        <v>164</v>
      </c>
      <c r="C725" s="73"/>
      <c r="D725" s="73"/>
      <c r="E725" s="73"/>
      <c r="F725" s="73"/>
      <c r="G725" s="74" t="s">
        <v>3</v>
      </c>
      <c r="H725" s="153">
        <f>0.3*H724</f>
        <v>4.6332000000000005E-3</v>
      </c>
      <c r="I725" s="72"/>
      <c r="K725" s="658"/>
    </row>
    <row r="726" spans="1:11" customFormat="1" x14ac:dyDescent="0.25">
      <c r="A726" s="661"/>
      <c r="B726" s="73" t="s">
        <v>649</v>
      </c>
      <c r="C726" s="73"/>
      <c r="D726" s="73"/>
      <c r="E726" s="73"/>
      <c r="F726" s="73"/>
      <c r="G726" s="74" t="s">
        <v>3</v>
      </c>
      <c r="H726" s="153">
        <f>0.54*0.011*2*1.3</f>
        <v>1.5444000000000001E-2</v>
      </c>
      <c r="I726" s="72"/>
      <c r="K726" s="658"/>
    </row>
    <row r="727" spans="1:11" customFormat="1" x14ac:dyDescent="0.25">
      <c r="A727" s="661"/>
      <c r="B727" s="73" t="s">
        <v>12</v>
      </c>
      <c r="C727" s="73"/>
      <c r="D727" s="73"/>
      <c r="E727" s="73"/>
      <c r="F727" s="73"/>
      <c r="G727" s="74" t="s">
        <v>3</v>
      </c>
      <c r="H727" s="153">
        <f>0.3*H726</f>
        <v>4.6332000000000005E-3</v>
      </c>
      <c r="I727" s="72"/>
      <c r="K727" s="658"/>
    </row>
    <row r="728" spans="1:11" customFormat="1" x14ac:dyDescent="0.25">
      <c r="A728" s="661"/>
      <c r="B728" s="73"/>
      <c r="C728" s="75" t="s">
        <v>9031</v>
      </c>
      <c r="D728" s="73"/>
      <c r="E728" s="73"/>
      <c r="F728" s="73"/>
      <c r="G728" s="74"/>
      <c r="H728" s="153"/>
      <c r="I728" s="72"/>
      <c r="K728" s="658"/>
    </row>
    <row r="729" spans="1:11" customFormat="1" x14ac:dyDescent="0.25">
      <c r="A729" s="661"/>
      <c r="B729" s="73"/>
      <c r="C729" s="73" t="s">
        <v>3344</v>
      </c>
      <c r="D729" s="73"/>
      <c r="E729" s="73"/>
      <c r="F729" s="73"/>
      <c r="G729" s="74" t="s">
        <v>3</v>
      </c>
      <c r="H729" s="153">
        <v>0.17</v>
      </c>
      <c r="I729" s="72"/>
      <c r="J729" t="s">
        <v>9030</v>
      </c>
      <c r="K729" s="658"/>
    </row>
    <row r="730" spans="1:11" customFormat="1" x14ac:dyDescent="0.25">
      <c r="A730" s="661"/>
      <c r="B730" s="73"/>
      <c r="C730" s="73"/>
      <c r="D730" s="73"/>
      <c r="E730" s="73"/>
      <c r="F730" s="73"/>
      <c r="G730" s="74"/>
      <c r="H730" s="153"/>
      <c r="I730" s="72"/>
      <c r="K730" s="658"/>
    </row>
    <row r="731" spans="1:11" customFormat="1" x14ac:dyDescent="0.25">
      <c r="A731" s="678"/>
      <c r="B731" s="75" t="s">
        <v>9029</v>
      </c>
      <c r="C731" s="73"/>
      <c r="D731" s="73"/>
      <c r="E731" s="73"/>
      <c r="F731" s="73"/>
      <c r="G731" s="74"/>
      <c r="H731" s="153"/>
      <c r="I731" s="72"/>
      <c r="K731" s="658"/>
    </row>
    <row r="732" spans="1:11" customFormat="1" x14ac:dyDescent="0.25">
      <c r="A732" s="661"/>
      <c r="B732" s="73" t="s">
        <v>140</v>
      </c>
      <c r="C732" s="73"/>
      <c r="D732" s="73"/>
      <c r="E732" s="73"/>
      <c r="F732" s="73"/>
      <c r="G732" s="74" t="s">
        <v>3</v>
      </c>
      <c r="H732" s="153">
        <f>0.032*0.08*1.3</f>
        <v>3.3280000000000002E-3</v>
      </c>
      <c r="I732" s="72"/>
      <c r="K732" s="658"/>
    </row>
    <row r="733" spans="1:11" customFormat="1" ht="17.25" x14ac:dyDescent="0.25">
      <c r="A733" s="661"/>
      <c r="B733" s="73" t="s">
        <v>23</v>
      </c>
      <c r="C733" s="73"/>
      <c r="D733" s="73"/>
      <c r="E733" s="73"/>
      <c r="F733" s="73"/>
      <c r="G733" s="74" t="s">
        <v>596</v>
      </c>
      <c r="H733" s="153">
        <f>H732*2</f>
        <v>6.6560000000000005E-3</v>
      </c>
      <c r="I733" s="72"/>
      <c r="K733" s="658"/>
    </row>
    <row r="734" spans="1:11" customFormat="1" x14ac:dyDescent="0.25">
      <c r="A734" s="661"/>
      <c r="B734" s="73" t="s">
        <v>142</v>
      </c>
      <c r="C734" s="73"/>
      <c r="D734" s="73"/>
      <c r="E734" s="73"/>
      <c r="F734" s="73"/>
      <c r="G734" s="74" t="s">
        <v>3</v>
      </c>
      <c r="H734" s="153">
        <f>H732/4</f>
        <v>8.3200000000000006E-4</v>
      </c>
      <c r="I734" s="72"/>
      <c r="K734" s="658"/>
    </row>
    <row r="735" spans="1:11" customFormat="1" x14ac:dyDescent="0.25">
      <c r="A735" s="661"/>
      <c r="B735" s="73" t="s">
        <v>163</v>
      </c>
      <c r="C735" s="73"/>
      <c r="D735" s="73"/>
      <c r="E735" s="73"/>
      <c r="F735" s="73"/>
      <c r="G735" s="74" t="s">
        <v>3</v>
      </c>
      <c r="H735" s="153">
        <f>H737*0.8</f>
        <v>2.9567999999999997E-2</v>
      </c>
      <c r="I735" s="72"/>
      <c r="K735" s="658"/>
    </row>
    <row r="736" spans="1:11" customFormat="1" x14ac:dyDescent="0.25">
      <c r="A736" s="661"/>
      <c r="B736" s="73" t="s">
        <v>164</v>
      </c>
      <c r="C736" s="73"/>
      <c r="D736" s="73"/>
      <c r="E736" s="73"/>
      <c r="F736" s="73"/>
      <c r="G736" s="74" t="s">
        <v>3</v>
      </c>
      <c r="H736" s="153">
        <f>0.3*H735</f>
        <v>8.8703999999999988E-3</v>
      </c>
      <c r="I736" s="72"/>
      <c r="K736" s="658"/>
    </row>
    <row r="737" spans="1:11" customFormat="1" x14ac:dyDescent="0.25">
      <c r="A737" s="661"/>
      <c r="B737" s="73" t="s">
        <v>649</v>
      </c>
      <c r="C737" s="73"/>
      <c r="D737" s="73"/>
      <c r="E737" s="73"/>
      <c r="F737" s="73"/>
      <c r="G737" s="74" t="s">
        <v>3</v>
      </c>
      <c r="H737" s="153">
        <f>1.4*0.011*2*1.2</f>
        <v>3.6959999999999993E-2</v>
      </c>
      <c r="I737" s="72"/>
      <c r="K737" s="658"/>
    </row>
    <row r="738" spans="1:11" customFormat="1" x14ac:dyDescent="0.25">
      <c r="A738" s="661"/>
      <c r="B738" s="73" t="s">
        <v>12</v>
      </c>
      <c r="C738" s="73"/>
      <c r="D738" s="73"/>
      <c r="E738" s="73"/>
      <c r="F738" s="73"/>
      <c r="G738" s="74" t="s">
        <v>3</v>
      </c>
      <c r="H738" s="153">
        <f>0.3*H737</f>
        <v>1.1087999999999997E-2</v>
      </c>
      <c r="I738" s="72"/>
      <c r="K738" s="658"/>
    </row>
    <row r="739" spans="1:11" customFormat="1" x14ac:dyDescent="0.25">
      <c r="A739" s="661"/>
      <c r="B739" s="73"/>
      <c r="C739" s="75" t="s">
        <v>9028</v>
      </c>
      <c r="D739" s="73"/>
      <c r="E739" s="73"/>
      <c r="F739" s="73"/>
      <c r="G739" s="74"/>
      <c r="H739" s="153"/>
      <c r="I739" s="72"/>
      <c r="K739" s="658"/>
    </row>
    <row r="740" spans="1:11" customFormat="1" x14ac:dyDescent="0.25">
      <c r="A740" s="661"/>
      <c r="B740" s="73"/>
      <c r="C740" s="73" t="s">
        <v>3344</v>
      </c>
      <c r="D740" s="73"/>
      <c r="E740" s="73"/>
      <c r="F740" s="73"/>
      <c r="G740" s="74" t="s">
        <v>3</v>
      </c>
      <c r="H740" s="153">
        <v>0.35499999999999998</v>
      </c>
      <c r="I740" s="72"/>
      <c r="J740" t="s">
        <v>9027</v>
      </c>
      <c r="K740" s="658"/>
    </row>
    <row r="741" spans="1:11" customFormat="1" x14ac:dyDescent="0.25">
      <c r="A741" s="661"/>
      <c r="B741" s="73"/>
      <c r="C741" s="73"/>
      <c r="D741" s="73"/>
      <c r="E741" s="73"/>
      <c r="F741" s="73"/>
      <c r="G741" s="74"/>
      <c r="H741" s="153"/>
      <c r="I741" s="72"/>
      <c r="K741" s="658"/>
    </row>
    <row r="742" spans="1:11" customFormat="1" x14ac:dyDescent="0.25">
      <c r="A742" s="678"/>
      <c r="B742" s="75" t="s">
        <v>9026</v>
      </c>
      <c r="C742" s="73"/>
      <c r="D742" s="73"/>
      <c r="E742" s="73"/>
      <c r="F742" s="73"/>
      <c r="G742" s="74"/>
      <c r="H742" s="153"/>
      <c r="I742" s="72"/>
      <c r="K742" s="658"/>
    </row>
    <row r="743" spans="1:11" customFormat="1" x14ac:dyDescent="0.25">
      <c r="A743" s="661"/>
      <c r="B743" s="73" t="s">
        <v>140</v>
      </c>
      <c r="C743" s="73"/>
      <c r="D743" s="73"/>
      <c r="E743" s="73"/>
      <c r="F743" s="73"/>
      <c r="G743" s="74" t="s">
        <v>3</v>
      </c>
      <c r="H743" s="153">
        <f>0.032*0.08*1.3</f>
        <v>3.3280000000000002E-3</v>
      </c>
      <c r="I743" s="72"/>
      <c r="K743" s="658"/>
    </row>
    <row r="744" spans="1:11" customFormat="1" ht="17.25" x14ac:dyDescent="0.25">
      <c r="A744" s="661"/>
      <c r="B744" s="73" t="s">
        <v>23</v>
      </c>
      <c r="C744" s="73"/>
      <c r="D744" s="73"/>
      <c r="E744" s="73"/>
      <c r="F744" s="73"/>
      <c r="G744" s="74" t="s">
        <v>596</v>
      </c>
      <c r="H744" s="153">
        <f>H743*2</f>
        <v>6.6560000000000005E-3</v>
      </c>
      <c r="I744" s="72"/>
      <c r="K744" s="658"/>
    </row>
    <row r="745" spans="1:11" customFormat="1" x14ac:dyDescent="0.25">
      <c r="A745" s="661"/>
      <c r="B745" s="73" t="s">
        <v>142</v>
      </c>
      <c r="C745" s="73"/>
      <c r="D745" s="73"/>
      <c r="E745" s="73"/>
      <c r="F745" s="73"/>
      <c r="G745" s="74" t="s">
        <v>3</v>
      </c>
      <c r="H745" s="153">
        <f>H743/4</f>
        <v>8.3200000000000006E-4</v>
      </c>
      <c r="I745" s="72"/>
      <c r="K745" s="658"/>
    </row>
    <row r="746" spans="1:11" customFormat="1" x14ac:dyDescent="0.25">
      <c r="A746" s="661"/>
      <c r="B746" s="73" t="s">
        <v>8</v>
      </c>
      <c r="C746" s="73"/>
      <c r="D746" s="73"/>
      <c r="E746" s="73"/>
      <c r="F746" s="73"/>
      <c r="G746" s="74" t="s">
        <v>3</v>
      </c>
      <c r="H746" s="153">
        <f>H747</f>
        <v>7.9507999999999992E-3</v>
      </c>
      <c r="I746" s="72"/>
      <c r="K746" s="658"/>
    </row>
    <row r="747" spans="1:11" customFormat="1" x14ac:dyDescent="0.25">
      <c r="A747" s="661"/>
      <c r="B747" s="73" t="s">
        <v>649</v>
      </c>
      <c r="C747" s="73"/>
      <c r="D747" s="73"/>
      <c r="E747" s="73"/>
      <c r="F747" s="73"/>
      <c r="G747" s="74" t="s">
        <v>3</v>
      </c>
      <c r="H747" s="153">
        <f>0.26*0.011*2*1.39</f>
        <v>7.9507999999999992E-3</v>
      </c>
      <c r="I747" s="72"/>
      <c r="K747" s="658"/>
    </row>
    <row r="748" spans="1:11" customFormat="1" x14ac:dyDescent="0.25">
      <c r="A748" s="661"/>
      <c r="B748" s="73" t="s">
        <v>12</v>
      </c>
      <c r="C748" s="73"/>
      <c r="D748" s="73"/>
      <c r="E748" s="73"/>
      <c r="F748" s="73"/>
      <c r="G748" s="74" t="s">
        <v>3</v>
      </c>
      <c r="H748" s="153">
        <f>0.3*(H747+H746)</f>
        <v>4.7704799999999997E-3</v>
      </c>
      <c r="I748" s="72"/>
      <c r="K748" s="658"/>
    </row>
    <row r="749" spans="1:11" customFormat="1" x14ac:dyDescent="0.25">
      <c r="A749" s="661"/>
      <c r="B749" s="73"/>
      <c r="C749" s="75" t="s">
        <v>9025</v>
      </c>
      <c r="D749" s="73"/>
      <c r="E749" s="73"/>
      <c r="F749" s="73"/>
      <c r="G749" s="74"/>
      <c r="H749" s="153"/>
      <c r="I749" s="72"/>
      <c r="K749" s="658"/>
    </row>
    <row r="750" spans="1:11" customFormat="1" x14ac:dyDescent="0.25">
      <c r="A750" s="661"/>
      <c r="B750" s="73"/>
      <c r="C750" s="73" t="s">
        <v>3344</v>
      </c>
      <c r="D750" s="73"/>
      <c r="E750" s="73"/>
      <c r="F750" s="73"/>
      <c r="G750" s="74" t="s">
        <v>3</v>
      </c>
      <c r="H750" s="153">
        <f>0.08</f>
        <v>0.08</v>
      </c>
      <c r="I750" s="72"/>
      <c r="J750" t="s">
        <v>6493</v>
      </c>
      <c r="K750" s="658"/>
    </row>
    <row r="751" spans="1:11" customFormat="1" x14ac:dyDescent="0.25">
      <c r="A751" s="661"/>
      <c r="B751" s="73"/>
      <c r="C751" s="73"/>
      <c r="D751" s="73"/>
      <c r="E751" s="73"/>
      <c r="F751" s="73"/>
      <c r="G751" s="74"/>
      <c r="H751" s="153"/>
      <c r="I751" s="72"/>
      <c r="K751" s="658"/>
    </row>
    <row r="752" spans="1:11" customFormat="1" x14ac:dyDescent="0.25">
      <c r="A752" s="678"/>
      <c r="B752" s="75" t="s">
        <v>9024</v>
      </c>
      <c r="C752" s="73"/>
      <c r="D752" s="73"/>
      <c r="E752" s="73"/>
      <c r="F752" s="73"/>
      <c r="G752" s="74"/>
      <c r="H752" s="153"/>
      <c r="I752" s="72"/>
      <c r="K752" s="658"/>
    </row>
    <row r="753" spans="1:11" customFormat="1" x14ac:dyDescent="0.25">
      <c r="A753" s="661"/>
      <c r="B753" s="77" t="s">
        <v>124</v>
      </c>
      <c r="C753" s="73"/>
      <c r="D753" s="73"/>
      <c r="E753" s="73"/>
      <c r="F753" s="73"/>
      <c r="G753" s="74" t="s">
        <v>3</v>
      </c>
      <c r="H753" s="153">
        <f>(0.81*2+0.22*2+0.3*3+0.3*3+0.02*3.14+0.03*3.14*3+0.5)*0.08*1.2-0.002</f>
        <v>0.44971839999999996</v>
      </c>
      <c r="I753" s="72"/>
      <c r="K753" s="658"/>
    </row>
    <row r="754" spans="1:11" customFormat="1" ht="17.25" x14ac:dyDescent="0.25">
      <c r="A754" s="661"/>
      <c r="B754" s="73" t="s">
        <v>168</v>
      </c>
      <c r="C754" s="73"/>
      <c r="D754" s="73"/>
      <c r="E754" s="73"/>
      <c r="F754" s="73"/>
      <c r="G754" s="74" t="s">
        <v>596</v>
      </c>
      <c r="H754" s="153">
        <f>1.5*H753</f>
        <v>0.67457759999999989</v>
      </c>
      <c r="I754" s="72"/>
      <c r="K754" s="658"/>
    </row>
    <row r="755" spans="1:11" customFormat="1" x14ac:dyDescent="0.25">
      <c r="A755" s="661"/>
      <c r="B755" s="73" t="s">
        <v>114</v>
      </c>
      <c r="C755" s="73"/>
      <c r="D755" s="73"/>
      <c r="E755" s="73"/>
      <c r="F755" s="73"/>
      <c r="G755" s="74" t="s">
        <v>3</v>
      </c>
      <c r="H755" s="153">
        <f>H757*0.9</f>
        <v>0.1846314</v>
      </c>
      <c r="I755" s="72"/>
      <c r="K755" s="658"/>
    </row>
    <row r="756" spans="1:11" customFormat="1" x14ac:dyDescent="0.25">
      <c r="A756" s="661"/>
      <c r="B756" s="73" t="s">
        <v>164</v>
      </c>
      <c r="C756" s="73"/>
      <c r="D756" s="73"/>
      <c r="E756" s="73"/>
      <c r="F756" s="73"/>
      <c r="G756" s="74" t="s">
        <v>3</v>
      </c>
      <c r="H756" s="153">
        <f>0.3*H755</f>
        <v>5.5389420000000002E-2</v>
      </c>
      <c r="I756" s="72"/>
      <c r="K756" s="658"/>
    </row>
    <row r="757" spans="1:11" customFormat="1" x14ac:dyDescent="0.25">
      <c r="A757" s="661"/>
      <c r="B757" s="73" t="s">
        <v>115</v>
      </c>
      <c r="C757" s="73"/>
      <c r="D757" s="73"/>
      <c r="E757" s="73"/>
      <c r="F757" s="73"/>
      <c r="G757" s="74" t="s">
        <v>3</v>
      </c>
      <c r="H757" s="153">
        <f>0.29*0.9*2*0.15*2*1.31</f>
        <v>0.205146</v>
      </c>
      <c r="I757" s="72"/>
      <c r="K757" s="658"/>
    </row>
    <row r="758" spans="1:11" customFormat="1" x14ac:dyDescent="0.25">
      <c r="A758" s="661"/>
      <c r="B758" s="73" t="s">
        <v>12</v>
      </c>
      <c r="C758" s="73"/>
      <c r="D758" s="73"/>
      <c r="E758" s="73"/>
      <c r="F758" s="73"/>
      <c r="G758" s="74" t="s">
        <v>3</v>
      </c>
      <c r="H758" s="153">
        <f>0.3*H757</f>
        <v>6.1543799999999996E-2</v>
      </c>
      <c r="I758" s="72"/>
      <c r="K758" s="658"/>
    </row>
    <row r="759" spans="1:11" customFormat="1" x14ac:dyDescent="0.25">
      <c r="A759" s="661"/>
      <c r="B759" s="73"/>
      <c r="C759" s="75" t="s">
        <v>9023</v>
      </c>
      <c r="D759" s="73"/>
      <c r="E759" s="73"/>
      <c r="F759" s="73"/>
      <c r="G759" s="74"/>
      <c r="H759" s="153"/>
      <c r="I759" s="72"/>
      <c r="K759" s="658"/>
    </row>
    <row r="760" spans="1:11" customFormat="1" x14ac:dyDescent="0.25">
      <c r="A760" s="661"/>
      <c r="B760" s="73"/>
      <c r="C760" s="77" t="s">
        <v>124</v>
      </c>
      <c r="D760" s="73"/>
      <c r="E760" s="73"/>
      <c r="F760" s="73"/>
      <c r="G760" s="74" t="s">
        <v>3</v>
      </c>
      <c r="H760" s="153">
        <f>0.025*3.14*0.07*1.2</f>
        <v>6.5940000000000018E-3</v>
      </c>
      <c r="I760" s="72"/>
      <c r="K760" s="658"/>
    </row>
    <row r="761" spans="1:11" customFormat="1" ht="17.25" x14ac:dyDescent="0.25">
      <c r="A761" s="661"/>
      <c r="B761" s="73"/>
      <c r="C761" s="73" t="s">
        <v>168</v>
      </c>
      <c r="D761" s="73"/>
      <c r="E761" s="73"/>
      <c r="F761" s="73"/>
      <c r="G761" s="74" t="s">
        <v>596</v>
      </c>
      <c r="H761" s="153">
        <f>1.5*H760</f>
        <v>9.8910000000000022E-3</v>
      </c>
      <c r="I761" s="72"/>
      <c r="K761" s="658"/>
    </row>
    <row r="762" spans="1:11" customFormat="1" x14ac:dyDescent="0.25">
      <c r="A762" s="661"/>
      <c r="B762" s="73"/>
      <c r="C762" s="73"/>
      <c r="D762" s="75" t="s">
        <v>9022</v>
      </c>
      <c r="E762" s="73"/>
      <c r="F762" s="73"/>
      <c r="G762" s="74"/>
      <c r="H762" s="153"/>
      <c r="I762" s="72"/>
      <c r="K762" s="658"/>
    </row>
    <row r="763" spans="1:11" customFormat="1" x14ac:dyDescent="0.25">
      <c r="A763" s="661"/>
      <c r="B763" s="73"/>
      <c r="C763" s="73"/>
      <c r="D763" s="73" t="s">
        <v>1436</v>
      </c>
      <c r="E763" s="73"/>
      <c r="F763" s="73"/>
      <c r="G763" s="74" t="s">
        <v>3</v>
      </c>
      <c r="H763" s="153">
        <v>0.08</v>
      </c>
      <c r="I763" s="72"/>
      <c r="J763" t="s">
        <v>5683</v>
      </c>
      <c r="K763" s="658"/>
    </row>
    <row r="764" spans="1:11" customFormat="1" x14ac:dyDescent="0.25">
      <c r="A764" s="661"/>
      <c r="B764" s="73"/>
      <c r="C764" s="75" t="s">
        <v>9021</v>
      </c>
      <c r="D764" s="73"/>
      <c r="E764" s="73"/>
      <c r="F764" s="73"/>
      <c r="G764" s="74"/>
      <c r="H764" s="153"/>
      <c r="I764" s="72"/>
      <c r="K764" s="658"/>
    </row>
    <row r="765" spans="1:11" customFormat="1" x14ac:dyDescent="0.25">
      <c r="A765" s="661"/>
      <c r="B765" s="73"/>
      <c r="C765" s="73" t="s">
        <v>9014</v>
      </c>
      <c r="D765" s="73"/>
      <c r="E765" s="73"/>
      <c r="F765" s="73"/>
      <c r="G765" s="74" t="s">
        <v>3</v>
      </c>
      <c r="H765" s="153">
        <f>(0.805*0.235+0.05*0.2*2)*1.5*8*1.1515</f>
        <v>2.8903801499999999</v>
      </c>
      <c r="I765" s="72"/>
      <c r="K765" s="658"/>
    </row>
    <row r="766" spans="1:11" customFormat="1" x14ac:dyDescent="0.25">
      <c r="A766" s="661"/>
      <c r="B766" s="73"/>
      <c r="C766" s="75" t="s">
        <v>9020</v>
      </c>
      <c r="D766" s="73"/>
      <c r="E766" s="73"/>
      <c r="F766" s="73"/>
      <c r="G766" s="74"/>
      <c r="H766" s="153"/>
      <c r="I766" s="72"/>
      <c r="K766" s="658"/>
    </row>
    <row r="767" spans="1:11" customFormat="1" x14ac:dyDescent="0.25">
      <c r="A767" s="661"/>
      <c r="B767" s="73"/>
      <c r="C767" s="73" t="s">
        <v>9014</v>
      </c>
      <c r="D767" s="73"/>
      <c r="E767" s="73"/>
      <c r="F767" s="73"/>
      <c r="G767" s="74" t="s">
        <v>3</v>
      </c>
      <c r="H767" s="153">
        <f>0.285*0.89*1.5*8*1.15</f>
        <v>3.5003699999999998</v>
      </c>
      <c r="I767" s="72"/>
      <c r="K767" s="658"/>
    </row>
    <row r="768" spans="1:11" customFormat="1" x14ac:dyDescent="0.25">
      <c r="A768" s="661"/>
      <c r="B768" s="73"/>
      <c r="C768" s="75" t="s">
        <v>2974</v>
      </c>
      <c r="D768" s="73"/>
      <c r="E768" s="73"/>
      <c r="F768" s="73"/>
      <c r="G768" s="74"/>
      <c r="H768" s="153"/>
      <c r="I768" s="72"/>
      <c r="K768" s="658"/>
    </row>
    <row r="769" spans="1:11" customFormat="1" x14ac:dyDescent="0.25">
      <c r="A769" s="661"/>
      <c r="B769" s="73"/>
      <c r="C769" s="73" t="s">
        <v>722</v>
      </c>
      <c r="D769" s="73"/>
      <c r="E769" s="73"/>
      <c r="F769" s="73"/>
      <c r="G769" s="74" t="s">
        <v>3</v>
      </c>
      <c r="H769" s="153">
        <f>0.113*0.036*1.5*8*1.12</f>
        <v>5.4673920000000001E-2</v>
      </c>
      <c r="I769" s="72"/>
      <c r="K769" s="658"/>
    </row>
    <row r="770" spans="1:11" customFormat="1" x14ac:dyDescent="0.25">
      <c r="A770" s="661"/>
      <c r="B770" s="73"/>
      <c r="C770" s="75" t="s">
        <v>9019</v>
      </c>
      <c r="D770" s="73"/>
      <c r="E770" s="73"/>
      <c r="F770" s="73"/>
      <c r="G770" s="74"/>
      <c r="H770" s="153"/>
      <c r="I770" s="72"/>
      <c r="K770" s="658"/>
    </row>
    <row r="771" spans="1:11" customFormat="1" x14ac:dyDescent="0.25">
      <c r="A771" s="661"/>
      <c r="B771" s="73"/>
      <c r="C771" s="73" t="s">
        <v>300</v>
      </c>
      <c r="D771" s="73"/>
      <c r="E771" s="73"/>
      <c r="F771" s="73"/>
      <c r="G771" s="74" t="s">
        <v>3</v>
      </c>
      <c r="H771" s="153">
        <f>0.07*0.12*3*8*1.1</f>
        <v>0.22176000000000004</v>
      </c>
      <c r="I771" s="72"/>
      <c r="K771" s="658"/>
    </row>
    <row r="772" spans="1:11" customFormat="1" x14ac:dyDescent="0.25">
      <c r="A772" s="661"/>
      <c r="B772" s="73"/>
      <c r="C772" s="75" t="s">
        <v>9018</v>
      </c>
      <c r="D772" s="73"/>
      <c r="E772" s="73"/>
      <c r="F772" s="73"/>
      <c r="G772" s="74"/>
      <c r="H772" s="153"/>
      <c r="I772" s="72"/>
      <c r="K772" s="658"/>
    </row>
    <row r="773" spans="1:11" customFormat="1" x14ac:dyDescent="0.25">
      <c r="A773" s="661"/>
      <c r="B773" s="73"/>
      <c r="C773" s="73" t="s">
        <v>89</v>
      </c>
      <c r="D773" s="73"/>
      <c r="E773" s="73"/>
      <c r="F773" s="73"/>
      <c r="G773" s="74" t="s">
        <v>3</v>
      </c>
      <c r="H773" s="153">
        <f>0.08*0.08*4*8*1.195</f>
        <v>0.24473600000000004</v>
      </c>
      <c r="I773" s="72"/>
      <c r="K773" s="658"/>
    </row>
    <row r="774" spans="1:11" customFormat="1" x14ac:dyDescent="0.25">
      <c r="A774" s="661"/>
      <c r="B774" s="73"/>
      <c r="C774" s="75" t="s">
        <v>9017</v>
      </c>
      <c r="D774" s="73"/>
      <c r="E774" s="73"/>
      <c r="F774" s="73"/>
      <c r="G774" s="74"/>
      <c r="H774" s="153"/>
      <c r="I774" s="72"/>
      <c r="K774" s="658"/>
    </row>
    <row r="775" spans="1:11" customFormat="1" x14ac:dyDescent="0.25">
      <c r="A775" s="661"/>
      <c r="B775" s="73"/>
      <c r="C775" s="73" t="s">
        <v>9014</v>
      </c>
      <c r="D775" s="73"/>
      <c r="E775" s="73"/>
      <c r="F775" s="73"/>
      <c r="G775" s="74" t="s">
        <v>3</v>
      </c>
      <c r="H775" s="153">
        <f>0.045*0.03*1.5*8*1.1</f>
        <v>1.7819999999999999E-2</v>
      </c>
      <c r="I775" s="72"/>
      <c r="K775" s="658"/>
    </row>
    <row r="776" spans="1:11" customFormat="1" x14ac:dyDescent="0.25">
      <c r="A776" s="661"/>
      <c r="B776" s="73"/>
      <c r="C776" s="75" t="s">
        <v>9016</v>
      </c>
      <c r="D776" s="73"/>
      <c r="E776" s="73"/>
      <c r="F776" s="73"/>
      <c r="G776" s="74"/>
      <c r="H776" s="153"/>
      <c r="I776" s="72"/>
      <c r="K776" s="658"/>
    </row>
    <row r="777" spans="1:11" customFormat="1" x14ac:dyDescent="0.25">
      <c r="A777" s="661"/>
      <c r="B777" s="73"/>
      <c r="C777" s="73" t="s">
        <v>9014</v>
      </c>
      <c r="D777" s="73"/>
      <c r="E777" s="73"/>
      <c r="F777" s="73"/>
      <c r="G777" s="74" t="s">
        <v>3</v>
      </c>
      <c r="H777" s="153">
        <f>0.09*0.07*3*8*1.158</f>
        <v>0.17508959999999998</v>
      </c>
      <c r="I777" s="72"/>
      <c r="K777" s="658"/>
    </row>
    <row r="778" spans="1:11" customFormat="1" x14ac:dyDescent="0.25">
      <c r="A778" s="661"/>
      <c r="B778" s="73"/>
      <c r="C778" s="75" t="s">
        <v>9015</v>
      </c>
      <c r="D778" s="73"/>
      <c r="E778" s="73"/>
      <c r="F778" s="73"/>
      <c r="G778" s="74"/>
      <c r="H778" s="153"/>
      <c r="I778" s="72"/>
      <c r="K778" s="658"/>
    </row>
    <row r="779" spans="1:11" customFormat="1" x14ac:dyDescent="0.25">
      <c r="A779" s="661"/>
      <c r="B779" s="73"/>
      <c r="C779" s="73" t="s">
        <v>9014</v>
      </c>
      <c r="D779" s="73"/>
      <c r="E779" s="73"/>
      <c r="F779" s="73"/>
      <c r="G779" s="74" t="s">
        <v>3</v>
      </c>
      <c r="H779" s="153">
        <f>0.12*0.036*1.5*8*1.12</f>
        <v>5.8060799999999996E-2</v>
      </c>
      <c r="I779" s="72"/>
      <c r="K779" s="658"/>
    </row>
    <row r="780" spans="1:11" customFormat="1" x14ac:dyDescent="0.25">
      <c r="A780" s="661"/>
      <c r="B780" s="73"/>
      <c r="C780" s="73"/>
      <c r="D780" s="73"/>
      <c r="E780" s="73"/>
      <c r="F780" s="73"/>
      <c r="G780" s="74"/>
      <c r="H780" s="153"/>
      <c r="I780" s="72"/>
      <c r="K780" s="658"/>
    </row>
    <row r="781" spans="1:11" customFormat="1" x14ac:dyDescent="0.25">
      <c r="A781" s="678"/>
      <c r="B781" s="75" t="s">
        <v>9013</v>
      </c>
      <c r="C781" s="73"/>
      <c r="D781" s="73"/>
      <c r="E781" s="73"/>
      <c r="F781" s="73"/>
      <c r="G781" s="74"/>
      <c r="H781" s="153"/>
      <c r="I781" s="72"/>
      <c r="K781" s="658"/>
    </row>
    <row r="782" spans="1:11" customFormat="1" x14ac:dyDescent="0.25">
      <c r="A782" s="661"/>
      <c r="B782" s="77" t="s">
        <v>124</v>
      </c>
      <c r="C782" s="73"/>
      <c r="D782" s="73"/>
      <c r="E782" s="73"/>
      <c r="F782" s="73"/>
      <c r="G782" s="74" t="s">
        <v>3</v>
      </c>
      <c r="H782" s="153">
        <f>0.025*3.14*3*0.08*1.2</f>
        <v>2.2608000000000003E-2</v>
      </c>
      <c r="I782" s="72"/>
      <c r="K782" s="658"/>
    </row>
    <row r="783" spans="1:11" customFormat="1" ht="17.25" x14ac:dyDescent="0.25">
      <c r="A783" s="661"/>
      <c r="B783" s="73" t="s">
        <v>168</v>
      </c>
      <c r="C783" s="73"/>
      <c r="D783" s="73"/>
      <c r="E783" s="73"/>
      <c r="F783" s="73"/>
      <c r="G783" s="74" t="s">
        <v>596</v>
      </c>
      <c r="H783" s="153">
        <f>1.5*H782</f>
        <v>3.3912000000000005E-2</v>
      </c>
      <c r="I783" s="72"/>
      <c r="K783" s="658"/>
    </row>
    <row r="784" spans="1:11" customFormat="1" x14ac:dyDescent="0.25">
      <c r="A784" s="661"/>
      <c r="B784" s="73" t="s">
        <v>8932</v>
      </c>
      <c r="C784" s="73"/>
      <c r="D784" s="73"/>
      <c r="E784" s="73"/>
      <c r="F784" s="73"/>
      <c r="G784" s="74" t="s">
        <v>3</v>
      </c>
      <c r="H784" s="153">
        <f>H786*0.9</f>
        <v>4.0086000000000004E-2</v>
      </c>
      <c r="I784" s="72"/>
      <c r="K784" s="658"/>
    </row>
    <row r="785" spans="1:11" customFormat="1" x14ac:dyDescent="0.25">
      <c r="A785" s="661"/>
      <c r="B785" s="73" t="s">
        <v>164</v>
      </c>
      <c r="C785" s="73"/>
      <c r="D785" s="73"/>
      <c r="E785" s="73"/>
      <c r="F785" s="73"/>
      <c r="G785" s="74" t="s">
        <v>3</v>
      </c>
      <c r="H785" s="153">
        <f>0.3*H784</f>
        <v>1.2025800000000001E-2</v>
      </c>
      <c r="I785" s="72"/>
      <c r="K785" s="658"/>
    </row>
    <row r="786" spans="1:11" customFormat="1" x14ac:dyDescent="0.25">
      <c r="A786" s="661"/>
      <c r="B786" s="73" t="s">
        <v>500</v>
      </c>
      <c r="C786" s="73"/>
      <c r="D786" s="73"/>
      <c r="E786" s="73"/>
      <c r="F786" s="73"/>
      <c r="G786" s="74" t="s">
        <v>3</v>
      </c>
      <c r="H786" s="153">
        <f>0.85*0.02*2*1.31</f>
        <v>4.4540000000000003E-2</v>
      </c>
      <c r="I786" s="72"/>
      <c r="K786" s="658"/>
    </row>
    <row r="787" spans="1:11" customFormat="1" x14ac:dyDescent="0.25">
      <c r="A787" s="661"/>
      <c r="B787" s="73" t="s">
        <v>12</v>
      </c>
      <c r="C787" s="73"/>
      <c r="D787" s="73"/>
      <c r="E787" s="73"/>
      <c r="F787" s="73"/>
      <c r="G787" s="74" t="s">
        <v>3</v>
      </c>
      <c r="H787" s="153">
        <f>0.3*H786</f>
        <v>1.3362000000000001E-2</v>
      </c>
      <c r="I787" s="72"/>
      <c r="K787" s="658"/>
    </row>
    <row r="788" spans="1:11" customFormat="1" x14ac:dyDescent="0.25">
      <c r="A788" s="661"/>
      <c r="B788" s="73"/>
      <c r="C788" s="75" t="s">
        <v>9012</v>
      </c>
      <c r="D788" s="73"/>
      <c r="E788" s="73"/>
      <c r="F788" s="73"/>
      <c r="G788" s="74"/>
      <c r="H788" s="153"/>
      <c r="I788" s="72"/>
      <c r="K788" s="658"/>
    </row>
    <row r="789" spans="1:11" customFormat="1" x14ac:dyDescent="0.25">
      <c r="A789" s="661"/>
      <c r="B789" s="73"/>
      <c r="C789" s="73" t="s">
        <v>9009</v>
      </c>
      <c r="D789" s="73"/>
      <c r="E789" s="73"/>
      <c r="F789" s="73"/>
      <c r="G789" s="74" t="s">
        <v>3</v>
      </c>
      <c r="H789" s="153">
        <v>0.45</v>
      </c>
      <c r="I789" s="72"/>
      <c r="J789" t="s">
        <v>9011</v>
      </c>
      <c r="K789" s="658"/>
    </row>
    <row r="790" spans="1:11" customFormat="1" x14ac:dyDescent="0.25">
      <c r="A790" s="661"/>
      <c r="B790" s="73"/>
      <c r="C790" s="75" t="s">
        <v>9010</v>
      </c>
      <c r="D790" s="73"/>
      <c r="E790" s="73"/>
      <c r="F790" s="73"/>
      <c r="G790" s="74"/>
      <c r="H790" s="153"/>
      <c r="I790" s="72"/>
      <c r="K790" s="658"/>
    </row>
    <row r="791" spans="1:11" customFormat="1" x14ac:dyDescent="0.25">
      <c r="A791" s="661"/>
      <c r="B791" s="73"/>
      <c r="C791" s="73" t="s">
        <v>9009</v>
      </c>
      <c r="D791" s="73"/>
      <c r="E791" s="73"/>
      <c r="F791" s="73"/>
      <c r="G791" s="74" t="s">
        <v>3</v>
      </c>
      <c r="H791" s="153">
        <v>0.21</v>
      </c>
      <c r="I791" s="72"/>
      <c r="J791" t="s">
        <v>9008</v>
      </c>
      <c r="K791" s="658"/>
    </row>
    <row r="792" spans="1:11" customFormat="1" x14ac:dyDescent="0.25">
      <c r="A792" s="661"/>
      <c r="B792" s="73"/>
      <c r="C792" s="73"/>
      <c r="D792" s="73"/>
      <c r="E792" s="73"/>
      <c r="F792" s="73"/>
      <c r="G792" s="74"/>
      <c r="H792" s="153"/>
      <c r="I792" s="72"/>
      <c r="K792" s="658"/>
    </row>
    <row r="793" spans="1:11" customFormat="1" x14ac:dyDescent="0.25">
      <c r="A793" s="678"/>
      <c r="B793" s="75" t="s">
        <v>9007</v>
      </c>
      <c r="C793" s="73"/>
      <c r="D793" s="73"/>
      <c r="E793" s="73"/>
      <c r="F793" s="73"/>
      <c r="G793" s="74"/>
      <c r="H793" s="153"/>
      <c r="I793" s="72"/>
      <c r="K793" s="658"/>
    </row>
    <row r="794" spans="1:11" customFormat="1" x14ac:dyDescent="0.25">
      <c r="A794" s="661"/>
      <c r="B794" s="77" t="s">
        <v>39</v>
      </c>
      <c r="C794" s="73"/>
      <c r="D794" s="73"/>
      <c r="E794" s="73"/>
      <c r="F794" s="73"/>
      <c r="G794" s="74" t="s">
        <v>3</v>
      </c>
      <c r="H794" s="153">
        <f>0.015*3.14*0.08*1.2</f>
        <v>4.5216000000000006E-3</v>
      </c>
      <c r="I794" s="72"/>
      <c r="K794" s="658"/>
    </row>
    <row r="795" spans="1:11" customFormat="1" ht="17.25" x14ac:dyDescent="0.25">
      <c r="A795" s="661"/>
      <c r="B795" s="73" t="s">
        <v>1055</v>
      </c>
      <c r="C795" s="73"/>
      <c r="D795" s="73"/>
      <c r="E795" s="73"/>
      <c r="F795" s="73"/>
      <c r="G795" s="74" t="s">
        <v>596</v>
      </c>
      <c r="H795" s="153">
        <f>H794</f>
        <v>4.5216000000000006E-3</v>
      </c>
      <c r="I795" s="72"/>
      <c r="K795" s="658"/>
    </row>
    <row r="796" spans="1:11" customFormat="1" x14ac:dyDescent="0.25">
      <c r="A796" s="661"/>
      <c r="B796" s="73"/>
      <c r="C796" s="75" t="s">
        <v>9006</v>
      </c>
      <c r="D796" s="73"/>
      <c r="E796" s="73"/>
      <c r="F796" s="73"/>
      <c r="G796" s="74"/>
      <c r="H796" s="153"/>
      <c r="I796" s="72"/>
      <c r="K796" s="658"/>
    </row>
    <row r="797" spans="1:11" customFormat="1" x14ac:dyDescent="0.25">
      <c r="A797" s="661"/>
      <c r="B797" s="73"/>
      <c r="C797" s="73" t="s">
        <v>55</v>
      </c>
      <c r="D797" s="73"/>
      <c r="E797" s="73"/>
      <c r="F797" s="73"/>
      <c r="G797" s="74" t="s">
        <v>3</v>
      </c>
      <c r="H797" s="153">
        <f>0.12*0.02*3*8*1.13</f>
        <v>6.5087999999999993E-2</v>
      </c>
      <c r="I797" s="72"/>
      <c r="K797" s="658"/>
    </row>
    <row r="798" spans="1:11" customFormat="1" x14ac:dyDescent="0.25">
      <c r="A798" s="661"/>
      <c r="B798" s="73"/>
      <c r="C798" s="73"/>
      <c r="D798" s="73"/>
      <c r="E798" s="73"/>
      <c r="F798" s="73"/>
      <c r="G798" s="74"/>
      <c r="H798" s="153"/>
      <c r="I798" s="72"/>
      <c r="K798" s="658"/>
    </row>
    <row r="799" spans="1:11" customFormat="1" x14ac:dyDescent="0.25">
      <c r="A799" s="678"/>
      <c r="B799" s="75" t="s">
        <v>9005</v>
      </c>
      <c r="C799" s="73"/>
      <c r="D799" s="73"/>
      <c r="E799" s="73"/>
      <c r="F799" s="73"/>
      <c r="G799" s="74"/>
      <c r="H799" s="153"/>
      <c r="I799" s="72"/>
      <c r="K799" s="658"/>
    </row>
    <row r="800" spans="1:11" customFormat="1" x14ac:dyDescent="0.25">
      <c r="A800" s="661"/>
      <c r="B800" s="73" t="s">
        <v>140</v>
      </c>
      <c r="C800" s="73"/>
      <c r="D800" s="73"/>
      <c r="E800" s="73"/>
      <c r="F800" s="73"/>
      <c r="G800" s="74" t="s">
        <v>3</v>
      </c>
      <c r="H800" s="153">
        <f>0.032*6*0.08*1.2</f>
        <v>1.8432E-2</v>
      </c>
      <c r="I800" s="72"/>
      <c r="K800" s="658"/>
    </row>
    <row r="801" spans="1:11" customFormat="1" ht="17.25" x14ac:dyDescent="0.25">
      <c r="A801" s="661"/>
      <c r="B801" s="73" t="s">
        <v>23</v>
      </c>
      <c r="C801" s="73"/>
      <c r="D801" s="73"/>
      <c r="E801" s="73"/>
      <c r="F801" s="73"/>
      <c r="G801" s="74" t="s">
        <v>596</v>
      </c>
      <c r="H801" s="153">
        <f>H800*2</f>
        <v>3.6864000000000001E-2</v>
      </c>
      <c r="I801" s="72"/>
      <c r="K801" s="658"/>
    </row>
    <row r="802" spans="1:11" customFormat="1" x14ac:dyDescent="0.25">
      <c r="A802" s="661"/>
      <c r="B802" s="77" t="s">
        <v>142</v>
      </c>
      <c r="C802" s="77"/>
      <c r="D802" s="77"/>
      <c r="E802" s="73"/>
      <c r="F802" s="73"/>
      <c r="G802" s="74" t="s">
        <v>3</v>
      </c>
      <c r="H802" s="153">
        <f>H800/4</f>
        <v>4.6080000000000001E-3</v>
      </c>
      <c r="I802" s="72"/>
      <c r="K802" s="658"/>
    </row>
    <row r="803" spans="1:11" customFormat="1" x14ac:dyDescent="0.25">
      <c r="A803" s="661"/>
      <c r="B803" s="77" t="s">
        <v>163</v>
      </c>
      <c r="C803" s="77"/>
      <c r="D803" s="77"/>
      <c r="E803" s="73"/>
      <c r="F803" s="73"/>
      <c r="G803" s="74" t="s">
        <v>3</v>
      </c>
      <c r="H803" s="153">
        <f>H805*0.8</f>
        <v>2.5343999999999995E-2</v>
      </c>
      <c r="I803" s="72"/>
      <c r="K803" s="658"/>
    </row>
    <row r="804" spans="1:11" customFormat="1" x14ac:dyDescent="0.25">
      <c r="A804" s="661"/>
      <c r="B804" s="77" t="s">
        <v>164</v>
      </c>
      <c r="C804" s="77"/>
      <c r="D804" s="77"/>
      <c r="E804" s="73"/>
      <c r="F804" s="73"/>
      <c r="G804" s="74" t="s">
        <v>3</v>
      </c>
      <c r="H804" s="153">
        <f>0.3*H803</f>
        <v>7.6031999999999983E-3</v>
      </c>
      <c r="I804" s="72"/>
      <c r="K804" s="658"/>
    </row>
    <row r="805" spans="1:11" customFormat="1" x14ac:dyDescent="0.25">
      <c r="A805" s="661"/>
      <c r="B805" s="77" t="s">
        <v>649</v>
      </c>
      <c r="C805" s="77"/>
      <c r="D805" s="77"/>
      <c r="E805" s="73"/>
      <c r="F805" s="73"/>
      <c r="G805" s="74" t="s">
        <v>3</v>
      </c>
      <c r="H805" s="153">
        <f>1.2*0.011*2*1.2</f>
        <v>3.1679999999999993E-2</v>
      </c>
      <c r="I805" s="72"/>
      <c r="K805" s="658"/>
    </row>
    <row r="806" spans="1:11" customFormat="1" x14ac:dyDescent="0.25">
      <c r="A806" s="661"/>
      <c r="B806" s="77" t="s">
        <v>12</v>
      </c>
      <c r="C806" s="77"/>
      <c r="D806" s="77"/>
      <c r="E806" s="73"/>
      <c r="F806" s="73"/>
      <c r="G806" s="74" t="s">
        <v>3</v>
      </c>
      <c r="H806" s="153">
        <f>0.3*H805</f>
        <v>9.5039999999999968E-3</v>
      </c>
      <c r="I806" s="72"/>
      <c r="K806" s="658"/>
    </row>
    <row r="807" spans="1:11" customFormat="1" x14ac:dyDescent="0.25">
      <c r="A807" s="661"/>
      <c r="B807" s="73"/>
      <c r="C807" s="75" t="s">
        <v>9004</v>
      </c>
      <c r="D807" s="73"/>
      <c r="E807" s="73"/>
      <c r="F807" s="73"/>
      <c r="G807" s="74"/>
      <c r="H807" s="153"/>
      <c r="I807" s="72"/>
      <c r="K807" s="658"/>
    </row>
    <row r="808" spans="1:11" customFormat="1" x14ac:dyDescent="0.25">
      <c r="A808" s="661"/>
      <c r="B808" s="73"/>
      <c r="C808" s="73" t="s">
        <v>3344</v>
      </c>
      <c r="D808" s="73"/>
      <c r="E808" s="73"/>
      <c r="F808" s="73"/>
      <c r="G808" s="74" t="s">
        <v>3</v>
      </c>
      <c r="H808" s="153">
        <v>3.5000000000000003E-2</v>
      </c>
      <c r="I808" s="72"/>
      <c r="J808" t="s">
        <v>6505</v>
      </c>
      <c r="K808" s="658"/>
    </row>
    <row r="809" spans="1:11" customFormat="1" x14ac:dyDescent="0.25">
      <c r="A809" s="661"/>
      <c r="B809" s="73"/>
      <c r="C809" s="75" t="s">
        <v>9003</v>
      </c>
      <c r="D809" s="75"/>
      <c r="E809" s="73"/>
      <c r="F809" s="73"/>
      <c r="G809" s="74"/>
      <c r="H809" s="153"/>
      <c r="I809" s="72"/>
      <c r="J809" s="10"/>
      <c r="K809" s="658"/>
    </row>
    <row r="810" spans="1:11" customFormat="1" x14ac:dyDescent="0.25">
      <c r="A810" s="661"/>
      <c r="B810" s="73"/>
      <c r="C810" s="73" t="s">
        <v>3344</v>
      </c>
      <c r="D810" s="73"/>
      <c r="E810" s="73"/>
      <c r="F810" s="73"/>
      <c r="G810" s="74" t="s">
        <v>3</v>
      </c>
      <c r="H810" s="153">
        <v>0.245</v>
      </c>
      <c r="I810" s="72"/>
      <c r="J810" t="s">
        <v>9002</v>
      </c>
      <c r="K810" s="658"/>
    </row>
    <row r="811" spans="1:11" customFormat="1" x14ac:dyDescent="0.25">
      <c r="A811" s="661"/>
      <c r="B811" s="73"/>
      <c r="C811" s="75" t="s">
        <v>9001</v>
      </c>
      <c r="D811" s="73"/>
      <c r="E811" s="73"/>
      <c r="F811" s="73"/>
      <c r="G811" s="74"/>
      <c r="H811" s="153"/>
      <c r="I811" s="72"/>
      <c r="J811" s="10"/>
      <c r="K811" s="658"/>
    </row>
    <row r="812" spans="1:11" customFormat="1" x14ac:dyDescent="0.25">
      <c r="A812" s="661"/>
      <c r="B812" s="73"/>
      <c r="C812" s="73" t="s">
        <v>3344</v>
      </c>
      <c r="D812" s="73"/>
      <c r="E812" s="73"/>
      <c r="F812" s="73"/>
      <c r="G812" s="74" t="s">
        <v>3</v>
      </c>
      <c r="H812" s="153">
        <v>1.4999999999999999E-2</v>
      </c>
      <c r="I812" s="72"/>
      <c r="J812" t="s">
        <v>3366</v>
      </c>
      <c r="K812" s="658"/>
    </row>
    <row r="813" spans="1:11" customFormat="1" x14ac:dyDescent="0.25">
      <c r="A813" s="661"/>
      <c r="B813" s="73"/>
      <c r="C813" s="75" t="s">
        <v>9000</v>
      </c>
      <c r="D813" s="73"/>
      <c r="E813" s="73"/>
      <c r="F813" s="73"/>
      <c r="G813" s="74"/>
      <c r="H813" s="153"/>
      <c r="I813" s="72"/>
      <c r="J813" s="10"/>
      <c r="K813" s="658"/>
    </row>
    <row r="814" spans="1:11" customFormat="1" x14ac:dyDescent="0.25">
      <c r="A814" s="661"/>
      <c r="B814" s="73"/>
      <c r="C814" s="73" t="s">
        <v>3344</v>
      </c>
      <c r="D814" s="73"/>
      <c r="E814" s="73"/>
      <c r="F814" s="73"/>
      <c r="G814" s="74" t="s">
        <v>3</v>
      </c>
      <c r="H814" s="153">
        <v>5.0999999999999997E-2</v>
      </c>
      <c r="I814" s="72"/>
      <c r="J814" t="s">
        <v>8999</v>
      </c>
      <c r="K814" s="658"/>
    </row>
    <row r="815" spans="1:11" customFormat="1" x14ac:dyDescent="0.25">
      <c r="A815" s="661"/>
      <c r="B815" s="73"/>
      <c r="C815" s="73"/>
      <c r="D815" s="73"/>
      <c r="E815" s="73"/>
      <c r="F815" s="73"/>
      <c r="G815" s="74"/>
      <c r="H815" s="153"/>
      <c r="I815" s="72"/>
      <c r="K815" s="658"/>
    </row>
    <row r="816" spans="1:11" customFormat="1" x14ac:dyDescent="0.25">
      <c r="A816" s="678"/>
      <c r="B816" s="75" t="s">
        <v>8998</v>
      </c>
      <c r="C816" s="73"/>
      <c r="D816" s="73"/>
      <c r="E816" s="73"/>
      <c r="F816" s="73"/>
      <c r="G816" s="74"/>
      <c r="H816" s="153"/>
      <c r="I816" s="72"/>
      <c r="K816" s="658"/>
    </row>
    <row r="817" spans="1:11" customFormat="1" x14ac:dyDescent="0.25">
      <c r="A817" s="661"/>
      <c r="B817" s="73" t="s">
        <v>5415</v>
      </c>
      <c r="C817" s="73"/>
      <c r="D817" s="73"/>
      <c r="E817" s="73"/>
      <c r="F817" s="73"/>
      <c r="G817" s="74" t="s">
        <v>3</v>
      </c>
      <c r="H817" s="153">
        <v>6.0000000000000001E-3</v>
      </c>
      <c r="I817" s="72"/>
      <c r="K817" s="658"/>
    </row>
    <row r="818" spans="1:11" customFormat="1" x14ac:dyDescent="0.25">
      <c r="A818" s="661"/>
      <c r="B818" s="73"/>
      <c r="C818" s="75" t="s">
        <v>8997</v>
      </c>
      <c r="D818" s="73"/>
      <c r="E818" s="73"/>
      <c r="F818" s="73"/>
      <c r="G818" s="74"/>
      <c r="H818" s="153"/>
      <c r="I818" s="72"/>
      <c r="K818" s="658"/>
    </row>
    <row r="819" spans="1:11" customFormat="1" x14ac:dyDescent="0.25">
      <c r="A819" s="661"/>
      <c r="B819" s="73"/>
      <c r="C819" s="73" t="s">
        <v>8994</v>
      </c>
      <c r="D819" s="73"/>
      <c r="E819" s="73"/>
      <c r="F819" s="73"/>
      <c r="G819" s="74" t="s">
        <v>3</v>
      </c>
      <c r="H819" s="153">
        <f>0.265*0.025*0.2*9*1.15</f>
        <v>1.371375E-2</v>
      </c>
      <c r="I819" s="72"/>
      <c r="K819" s="658"/>
    </row>
    <row r="820" spans="1:11" customFormat="1" x14ac:dyDescent="0.25">
      <c r="A820" s="661"/>
      <c r="B820" s="73"/>
      <c r="C820" s="73"/>
      <c r="D820" s="73"/>
      <c r="E820" s="73"/>
      <c r="F820" s="73"/>
      <c r="G820" s="74"/>
      <c r="H820" s="153"/>
      <c r="I820" s="72"/>
      <c r="K820" s="658"/>
    </row>
    <row r="821" spans="1:11" customFormat="1" x14ac:dyDescent="0.25">
      <c r="A821" s="678"/>
      <c r="B821" s="75" t="s">
        <v>8117</v>
      </c>
      <c r="C821" s="73"/>
      <c r="D821" s="73"/>
      <c r="E821" s="73"/>
      <c r="F821" s="73"/>
      <c r="G821" s="74"/>
      <c r="H821" s="428"/>
      <c r="I821" s="72"/>
      <c r="K821" s="658"/>
    </row>
    <row r="822" spans="1:11" customFormat="1" x14ac:dyDescent="0.25">
      <c r="A822" s="661"/>
      <c r="B822" s="73"/>
      <c r="C822" s="75" t="s">
        <v>8996</v>
      </c>
      <c r="D822" s="73"/>
      <c r="E822" s="73"/>
      <c r="F822" s="73"/>
      <c r="G822" s="74"/>
      <c r="H822" s="153"/>
      <c r="I822" s="72"/>
      <c r="K822" s="658"/>
    </row>
    <row r="823" spans="1:11" customFormat="1" x14ac:dyDescent="0.25">
      <c r="A823" s="661"/>
      <c r="B823" s="73"/>
      <c r="C823" s="100" t="s">
        <v>8991</v>
      </c>
      <c r="D823" s="73"/>
      <c r="E823" s="73"/>
      <c r="F823" s="73"/>
      <c r="G823" s="74" t="s">
        <v>3</v>
      </c>
      <c r="H823" s="153">
        <v>6.0000000000000001E-3</v>
      </c>
      <c r="I823" s="72"/>
      <c r="K823" s="658"/>
    </row>
    <row r="824" spans="1:11" customFormat="1" x14ac:dyDescent="0.25">
      <c r="A824" s="661"/>
      <c r="B824" s="73"/>
      <c r="C824" s="100"/>
      <c r="D824" s="75" t="s">
        <v>8995</v>
      </c>
      <c r="E824" s="73"/>
      <c r="F824" s="73"/>
      <c r="G824" s="74"/>
      <c r="H824" s="153"/>
      <c r="I824" s="72"/>
      <c r="K824" s="658"/>
    </row>
    <row r="825" spans="1:11" customFormat="1" x14ac:dyDescent="0.25">
      <c r="A825" s="661"/>
      <c r="B825" s="73"/>
      <c r="C825" s="100"/>
      <c r="D825" s="73" t="s">
        <v>8994</v>
      </c>
      <c r="E825" s="73"/>
      <c r="F825" s="73"/>
      <c r="G825" s="74" t="s">
        <v>3</v>
      </c>
      <c r="H825" s="153">
        <f>0.21*0.025*0.2*9*1.15</f>
        <v>1.08675E-2</v>
      </c>
      <c r="I825" s="72"/>
      <c r="K825" s="658"/>
    </row>
    <row r="826" spans="1:11" customFormat="1" x14ac:dyDescent="0.25">
      <c r="A826" s="661"/>
      <c r="B826" s="73"/>
      <c r="C826" s="75" t="s">
        <v>8993</v>
      </c>
      <c r="D826" s="73"/>
      <c r="E826" s="73"/>
      <c r="F826" s="73"/>
      <c r="G826" s="74"/>
      <c r="H826" s="153"/>
      <c r="I826" s="72"/>
      <c r="K826" s="658"/>
    </row>
    <row r="827" spans="1:11" customFormat="1" x14ac:dyDescent="0.25">
      <c r="A827" s="661"/>
      <c r="B827" s="73"/>
      <c r="C827" s="73" t="s">
        <v>8992</v>
      </c>
      <c r="D827" s="73"/>
      <c r="E827" s="73"/>
      <c r="F827" s="73"/>
      <c r="G827" s="74" t="s">
        <v>3</v>
      </c>
      <c r="H827" s="153">
        <f>0.1*0.025*3*9*1.11</f>
        <v>7.4925000000000033E-2</v>
      </c>
      <c r="I827" s="72"/>
      <c r="K827" s="658"/>
    </row>
    <row r="828" spans="1:11" customFormat="1" x14ac:dyDescent="0.25">
      <c r="A828" s="661"/>
      <c r="B828" s="73"/>
      <c r="C828" s="100" t="s">
        <v>8991</v>
      </c>
      <c r="D828" s="73"/>
      <c r="E828" s="73"/>
      <c r="F828" s="73"/>
      <c r="G828" s="74" t="s">
        <v>3</v>
      </c>
      <c r="H828" s="153">
        <f>0.003</f>
        <v>3.0000000000000001E-3</v>
      </c>
      <c r="I828" s="72"/>
      <c r="K828" s="658"/>
    </row>
    <row r="829" spans="1:11" customFormat="1" x14ac:dyDescent="0.25">
      <c r="A829" s="661"/>
      <c r="B829" s="73"/>
      <c r="C829" s="73"/>
      <c r="D829" s="73"/>
      <c r="E829" s="73"/>
      <c r="F829" s="73"/>
      <c r="G829" s="74"/>
      <c r="H829" s="153"/>
      <c r="I829" s="72"/>
      <c r="K829" s="658"/>
    </row>
    <row r="830" spans="1:11" customFormat="1" x14ac:dyDescent="0.25">
      <c r="A830" s="678"/>
      <c r="B830" s="75" t="s">
        <v>8990</v>
      </c>
      <c r="C830" s="73"/>
      <c r="D830" s="73"/>
      <c r="E830" s="73"/>
      <c r="F830" s="73"/>
      <c r="G830" s="74"/>
      <c r="H830" s="153"/>
      <c r="I830" s="72"/>
      <c r="K830" s="658"/>
    </row>
    <row r="831" spans="1:11" customFormat="1" x14ac:dyDescent="0.25">
      <c r="A831" s="661"/>
      <c r="B831" s="73"/>
      <c r="C831" s="75" t="s">
        <v>8989</v>
      </c>
      <c r="D831" s="73"/>
      <c r="E831" s="73"/>
      <c r="F831" s="73"/>
      <c r="G831" s="74"/>
      <c r="H831" s="153"/>
      <c r="I831" s="72"/>
      <c r="K831" s="658"/>
    </row>
    <row r="832" spans="1:11" customFormat="1" x14ac:dyDescent="0.25">
      <c r="A832" s="661"/>
      <c r="B832" s="73"/>
      <c r="C832" s="73" t="s">
        <v>1643</v>
      </c>
      <c r="D832" s="73"/>
      <c r="E832" s="73"/>
      <c r="F832" s="73"/>
      <c r="G832" s="74" t="s">
        <v>3</v>
      </c>
      <c r="H832" s="153">
        <f>0.09*0.082*3*8.5*1.125</f>
        <v>0.21171375000000001</v>
      </c>
      <c r="I832" s="72"/>
      <c r="K832" s="658"/>
    </row>
    <row r="833" spans="1:11" customFormat="1" x14ac:dyDescent="0.25">
      <c r="A833" s="661"/>
      <c r="B833" s="73"/>
      <c r="C833" s="73"/>
      <c r="D833" s="73"/>
      <c r="E833" s="73"/>
      <c r="F833" s="73"/>
      <c r="G833" s="74"/>
      <c r="H833" s="153"/>
      <c r="I833" s="72"/>
      <c r="K833" s="658"/>
    </row>
    <row r="834" spans="1:11" customFormat="1" x14ac:dyDescent="0.25">
      <c r="A834" s="678"/>
      <c r="B834" s="75" t="s">
        <v>8112</v>
      </c>
      <c r="C834" s="73"/>
      <c r="D834" s="73"/>
      <c r="E834" s="73"/>
      <c r="F834" s="73"/>
      <c r="G834" s="74"/>
      <c r="H834" s="153"/>
      <c r="I834" s="72"/>
      <c r="K834" s="658"/>
    </row>
    <row r="835" spans="1:11" customFormat="1" x14ac:dyDescent="0.25">
      <c r="A835" s="661"/>
      <c r="B835" s="73"/>
      <c r="C835" s="75" t="s">
        <v>8988</v>
      </c>
      <c r="D835" s="73"/>
      <c r="E835" s="73"/>
      <c r="F835" s="73"/>
      <c r="G835" s="74"/>
      <c r="H835" s="153"/>
      <c r="I835" s="72"/>
      <c r="K835" s="658"/>
    </row>
    <row r="836" spans="1:11" customFormat="1" x14ac:dyDescent="0.25">
      <c r="A836" s="661"/>
      <c r="B836" s="73"/>
      <c r="C836" s="100" t="s">
        <v>379</v>
      </c>
      <c r="D836" s="73"/>
      <c r="E836" s="73"/>
      <c r="F836" s="73"/>
      <c r="G836" s="74" t="s">
        <v>195</v>
      </c>
      <c r="H836" s="153">
        <v>0.22</v>
      </c>
      <c r="I836" s="72"/>
      <c r="K836" s="658"/>
    </row>
    <row r="837" spans="1:11" customFormat="1" x14ac:dyDescent="0.25">
      <c r="A837" s="661"/>
      <c r="B837" s="73"/>
      <c r="C837" s="73" t="s">
        <v>5415</v>
      </c>
      <c r="D837" s="73"/>
      <c r="E837" s="73"/>
      <c r="F837" s="73"/>
      <c r="G837" s="74" t="s">
        <v>3</v>
      </c>
      <c r="H837" s="153">
        <v>5.0000000000000001E-3</v>
      </c>
      <c r="I837" s="72"/>
      <c r="K837" s="658"/>
    </row>
    <row r="838" spans="1:11" customFormat="1" x14ac:dyDescent="0.25">
      <c r="A838" s="661"/>
      <c r="B838" s="73"/>
      <c r="C838" s="73" t="s">
        <v>672</v>
      </c>
      <c r="D838" s="73"/>
      <c r="E838" s="73"/>
      <c r="F838" s="73"/>
      <c r="G838" s="74" t="s">
        <v>3</v>
      </c>
      <c r="H838" s="153">
        <f>H837*2</f>
        <v>0.01</v>
      </c>
      <c r="I838" s="72"/>
      <c r="K838" s="658"/>
    </row>
    <row r="839" spans="1:11" customFormat="1" x14ac:dyDescent="0.25">
      <c r="A839" s="661"/>
      <c r="B839" s="73"/>
      <c r="C839" s="73" t="s">
        <v>1938</v>
      </c>
      <c r="D839" s="73"/>
      <c r="E839" s="73"/>
      <c r="F839" s="73"/>
      <c r="G839" s="74" t="s">
        <v>3</v>
      </c>
      <c r="H839" s="153">
        <f>0.001</f>
        <v>1E-3</v>
      </c>
      <c r="I839" s="72"/>
      <c r="K839" s="658"/>
    </row>
    <row r="840" spans="1:11" customFormat="1" x14ac:dyDescent="0.25">
      <c r="A840" s="661"/>
      <c r="B840" s="73"/>
      <c r="C840" s="73"/>
      <c r="D840" s="73"/>
      <c r="E840" s="73"/>
      <c r="F840" s="73"/>
      <c r="G840" s="74"/>
      <c r="H840" s="153"/>
      <c r="I840" s="72"/>
      <c r="K840" s="658"/>
    </row>
    <row r="841" spans="1:11" customFormat="1" x14ac:dyDescent="0.25">
      <c r="A841" s="678"/>
      <c r="B841" s="75" t="s">
        <v>8987</v>
      </c>
      <c r="C841" s="73"/>
      <c r="D841" s="73"/>
      <c r="E841" s="73"/>
      <c r="F841" s="73"/>
      <c r="G841" s="74"/>
      <c r="H841" s="153"/>
      <c r="I841" s="72"/>
      <c r="K841" s="658"/>
    </row>
    <row r="842" spans="1:11" customFormat="1" x14ac:dyDescent="0.25">
      <c r="A842" s="661"/>
      <c r="B842" s="73" t="s">
        <v>140</v>
      </c>
      <c r="C842" s="73"/>
      <c r="D842" s="73"/>
      <c r="E842" s="73"/>
      <c r="F842" s="73"/>
      <c r="G842" s="74" t="s">
        <v>3</v>
      </c>
      <c r="H842" s="153">
        <f>0.05*0.08*1.2</f>
        <v>4.7999999999999996E-3</v>
      </c>
      <c r="I842" s="72"/>
      <c r="K842" s="658"/>
    </row>
    <row r="843" spans="1:11" customFormat="1" ht="17.25" x14ac:dyDescent="0.25">
      <c r="A843" s="661"/>
      <c r="B843" s="73" t="s">
        <v>23</v>
      </c>
      <c r="C843" s="73"/>
      <c r="D843" s="73"/>
      <c r="E843" s="73"/>
      <c r="F843" s="73"/>
      <c r="G843" s="74" t="s">
        <v>596</v>
      </c>
      <c r="H843" s="153">
        <f>H842*2</f>
        <v>9.5999999999999992E-3</v>
      </c>
      <c r="I843" s="72"/>
      <c r="K843" s="658"/>
    </row>
    <row r="844" spans="1:11" customFormat="1" x14ac:dyDescent="0.25">
      <c r="A844" s="661"/>
      <c r="B844" s="73" t="s">
        <v>142</v>
      </c>
      <c r="C844" s="73"/>
      <c r="D844" s="73"/>
      <c r="E844" s="73"/>
      <c r="F844" s="73"/>
      <c r="G844" s="74" t="s">
        <v>3</v>
      </c>
      <c r="H844" s="153">
        <f>H842/4</f>
        <v>1.1999999999999999E-3</v>
      </c>
      <c r="I844" s="72"/>
      <c r="K844" s="658"/>
    </row>
    <row r="845" spans="1:11" customFormat="1" x14ac:dyDescent="0.25">
      <c r="A845" s="661"/>
      <c r="B845" s="186" t="s">
        <v>8</v>
      </c>
      <c r="C845" s="186"/>
      <c r="D845" s="186"/>
      <c r="E845" s="186"/>
      <c r="F845" s="73"/>
      <c r="G845" s="74" t="s">
        <v>3</v>
      </c>
      <c r="H845" s="153">
        <v>0.01</v>
      </c>
      <c r="I845" s="72"/>
      <c r="K845" s="658"/>
    </row>
    <row r="846" spans="1:11" customFormat="1" x14ac:dyDescent="0.25">
      <c r="A846" s="661"/>
      <c r="B846" s="186" t="s">
        <v>1453</v>
      </c>
      <c r="C846" s="186"/>
      <c r="D846" s="186"/>
      <c r="E846" s="186"/>
      <c r="F846" s="73"/>
      <c r="G846" s="74" t="s">
        <v>3</v>
      </c>
      <c r="H846" s="153">
        <f>0.3*H845</f>
        <v>3.0000000000000001E-3</v>
      </c>
      <c r="I846" s="72"/>
      <c r="K846" s="658"/>
    </row>
    <row r="847" spans="1:11" customFormat="1" x14ac:dyDescent="0.25">
      <c r="A847" s="661"/>
      <c r="B847" s="186" t="s">
        <v>72</v>
      </c>
      <c r="C847" s="186"/>
      <c r="D847" s="186"/>
      <c r="E847" s="186"/>
      <c r="F847" s="73"/>
      <c r="G847" s="74" t="s">
        <v>3</v>
      </c>
      <c r="H847" s="153">
        <f>0.3*0.011*2*1.45</f>
        <v>9.5699999999999986E-3</v>
      </c>
      <c r="I847" s="72"/>
      <c r="K847" s="658"/>
    </row>
    <row r="848" spans="1:11" customFormat="1" x14ac:dyDescent="0.25">
      <c r="A848" s="661"/>
      <c r="B848" s="186" t="s">
        <v>11</v>
      </c>
      <c r="C848" s="186"/>
      <c r="D848" s="186"/>
      <c r="E848" s="186"/>
      <c r="F848" s="73"/>
      <c r="G848" s="74" t="s">
        <v>3</v>
      </c>
      <c r="H848" s="153">
        <f>0.3*H847</f>
        <v>2.8709999999999994E-3</v>
      </c>
      <c r="I848" s="72"/>
      <c r="K848" s="658"/>
    </row>
    <row r="849" spans="1:11" customFormat="1" x14ac:dyDescent="0.25">
      <c r="A849" s="661"/>
      <c r="B849" s="73"/>
      <c r="C849" s="75" t="s">
        <v>8986</v>
      </c>
      <c r="D849" s="73"/>
      <c r="E849" s="73"/>
      <c r="F849" s="73"/>
      <c r="G849" s="74"/>
      <c r="H849" s="153"/>
      <c r="I849" s="72"/>
      <c r="K849" s="658"/>
    </row>
    <row r="850" spans="1:11" customFormat="1" x14ac:dyDescent="0.25">
      <c r="A850" s="661"/>
      <c r="B850" s="73"/>
      <c r="C850" s="73" t="s">
        <v>172</v>
      </c>
      <c r="D850" s="73"/>
      <c r="E850" s="73"/>
      <c r="F850" s="73"/>
      <c r="G850" s="74" t="s">
        <v>3</v>
      </c>
      <c r="H850" s="153">
        <v>6.5000000000000002E-2</v>
      </c>
      <c r="I850" s="72"/>
      <c r="J850" t="s">
        <v>3341</v>
      </c>
      <c r="K850" s="658"/>
    </row>
    <row r="851" spans="1:11" customFormat="1" x14ac:dyDescent="0.25">
      <c r="A851" s="661"/>
      <c r="B851" s="73"/>
      <c r="C851" s="75" t="s">
        <v>8985</v>
      </c>
      <c r="D851" s="73"/>
      <c r="E851" s="73"/>
      <c r="F851" s="73"/>
      <c r="G851" s="74"/>
      <c r="H851" s="153"/>
      <c r="I851" s="72"/>
      <c r="K851" s="658"/>
    </row>
    <row r="852" spans="1:11" customFormat="1" x14ac:dyDescent="0.25">
      <c r="A852" s="661"/>
      <c r="B852" s="73"/>
      <c r="C852" s="73" t="s">
        <v>8984</v>
      </c>
      <c r="D852" s="73"/>
      <c r="E852" s="73"/>
      <c r="F852" s="73"/>
      <c r="G852" s="74" t="s">
        <v>3</v>
      </c>
      <c r="H852" s="153">
        <f>0.025*0.012*2.5*8*1.12</f>
        <v>6.7200000000000011E-3</v>
      </c>
      <c r="I852" s="72"/>
      <c r="K852" s="658"/>
    </row>
    <row r="853" spans="1:11" customFormat="1" x14ac:dyDescent="0.25">
      <c r="A853" s="661"/>
      <c r="B853" s="73"/>
      <c r="C853" s="73"/>
      <c r="D853" s="73"/>
      <c r="E853" s="73"/>
      <c r="F853" s="73"/>
      <c r="G853" s="74"/>
      <c r="H853" s="153"/>
      <c r="I853" s="72"/>
      <c r="K853" s="658"/>
    </row>
    <row r="854" spans="1:11" customFormat="1" x14ac:dyDescent="0.25">
      <c r="A854" s="678"/>
      <c r="B854" s="75" t="s">
        <v>8983</v>
      </c>
      <c r="C854" s="73"/>
      <c r="D854" s="73"/>
      <c r="E854" s="73"/>
      <c r="F854" s="73"/>
      <c r="G854" s="74"/>
      <c r="H854" s="153"/>
      <c r="I854" s="72"/>
      <c r="K854" s="658"/>
    </row>
    <row r="855" spans="1:11" customFormat="1" x14ac:dyDescent="0.25">
      <c r="A855" s="661"/>
      <c r="B855" s="73"/>
      <c r="C855" s="75" t="s">
        <v>1136</v>
      </c>
      <c r="D855" s="73"/>
      <c r="E855" s="73"/>
      <c r="F855" s="73"/>
      <c r="G855" s="74"/>
      <c r="H855" s="153"/>
      <c r="I855" s="72"/>
      <c r="K855" s="658"/>
    </row>
    <row r="856" spans="1:11" customFormat="1" x14ac:dyDescent="0.25">
      <c r="A856" s="661"/>
      <c r="B856" s="73"/>
      <c r="C856" s="73" t="s">
        <v>984</v>
      </c>
      <c r="D856" s="73"/>
      <c r="E856" s="73"/>
      <c r="F856" s="73"/>
      <c r="G856" s="74" t="s">
        <v>3</v>
      </c>
      <c r="H856" s="153">
        <f>0.165*0.035*1*8*1.15</f>
        <v>5.3130000000000004E-2</v>
      </c>
      <c r="I856" s="72"/>
      <c r="K856" s="658"/>
    </row>
    <row r="857" spans="1:11" customFormat="1" x14ac:dyDescent="0.25">
      <c r="A857" s="661"/>
      <c r="B857" s="73"/>
      <c r="C857" s="73"/>
      <c r="D857" s="73"/>
      <c r="E857" s="73"/>
      <c r="F857" s="73"/>
      <c r="G857" s="74"/>
      <c r="H857" s="153"/>
      <c r="I857" s="72"/>
      <c r="K857" s="658"/>
    </row>
    <row r="858" spans="1:11" customFormat="1" x14ac:dyDescent="0.25">
      <c r="A858" s="678"/>
      <c r="B858" s="75" t="s">
        <v>8982</v>
      </c>
      <c r="C858" s="73"/>
      <c r="D858" s="73"/>
      <c r="E858" s="73"/>
      <c r="F858" s="73"/>
      <c r="G858" s="74"/>
      <c r="H858" s="153"/>
      <c r="I858" s="72"/>
      <c r="K858" s="658"/>
    </row>
    <row r="859" spans="1:11" customFormat="1" x14ac:dyDescent="0.25">
      <c r="A859" s="661"/>
      <c r="B859" s="77" t="s">
        <v>39</v>
      </c>
      <c r="C859" s="73"/>
      <c r="D859" s="73"/>
      <c r="E859" s="73"/>
      <c r="F859" s="73"/>
      <c r="G859" s="74" t="s">
        <v>3</v>
      </c>
      <c r="H859" s="153">
        <f>0.095*3.14*0.07*1.2+0.02*3.14*0.08*1.05</f>
        <v>3.0332400000000006E-2</v>
      </c>
      <c r="I859" s="72"/>
      <c r="K859" s="658"/>
    </row>
    <row r="860" spans="1:11" customFormat="1" ht="17.25" x14ac:dyDescent="0.25">
      <c r="A860" s="661"/>
      <c r="B860" s="73" t="s">
        <v>1055</v>
      </c>
      <c r="C860" s="73"/>
      <c r="D860" s="73"/>
      <c r="E860" s="73"/>
      <c r="F860" s="73"/>
      <c r="G860" s="74" t="s">
        <v>596</v>
      </c>
      <c r="H860" s="153">
        <f>H859</f>
        <v>3.0332400000000006E-2</v>
      </c>
      <c r="I860" s="72"/>
      <c r="K860" s="658"/>
    </row>
    <row r="861" spans="1:11" customFormat="1" x14ac:dyDescent="0.25">
      <c r="A861" s="661"/>
      <c r="B861" s="73" t="s">
        <v>1021</v>
      </c>
      <c r="C861" s="73"/>
      <c r="D861" s="73"/>
      <c r="E861" s="73"/>
      <c r="F861" s="73"/>
      <c r="G861" s="74" t="s">
        <v>3</v>
      </c>
      <c r="H861" s="153">
        <f>0.1*3.14*0.15*2*0.15*2*1.43</f>
        <v>4.0411800000000005E-2</v>
      </c>
      <c r="I861" s="72"/>
      <c r="K861" s="658"/>
    </row>
    <row r="862" spans="1:11" customFormat="1" x14ac:dyDescent="0.25">
      <c r="A862" s="661"/>
      <c r="B862" s="73" t="s">
        <v>661</v>
      </c>
      <c r="C862" s="73"/>
      <c r="D862" s="73"/>
      <c r="E862" s="73"/>
      <c r="F862" s="73"/>
      <c r="G862" s="74" t="s">
        <v>3</v>
      </c>
      <c r="H862" s="153">
        <f>0.3*H861</f>
        <v>1.212354E-2</v>
      </c>
      <c r="I862" s="72"/>
      <c r="K862" s="658"/>
    </row>
    <row r="863" spans="1:11" customFormat="1" x14ac:dyDescent="0.25">
      <c r="A863" s="661"/>
      <c r="B863" s="73"/>
      <c r="C863" s="75" t="s">
        <v>8981</v>
      </c>
      <c r="D863" s="73"/>
      <c r="E863" s="73"/>
      <c r="F863" s="73"/>
      <c r="G863" s="74"/>
      <c r="H863" s="153"/>
      <c r="I863" s="72"/>
      <c r="K863" s="658"/>
    </row>
    <row r="864" spans="1:11" customFormat="1" x14ac:dyDescent="0.25">
      <c r="A864" s="661"/>
      <c r="B864" s="73"/>
      <c r="C864" s="73" t="s">
        <v>8980</v>
      </c>
      <c r="D864" s="73"/>
      <c r="E864" s="73"/>
      <c r="F864" s="73"/>
      <c r="G864" s="74" t="s">
        <v>3</v>
      </c>
      <c r="H864" s="153">
        <f>(0.185*0.185+0.097*3.14*0.105*1.15)*2*8*1.03</f>
        <v>1.1701300168</v>
      </c>
      <c r="I864" s="72"/>
      <c r="K864" s="658"/>
    </row>
    <row r="865" spans="1:11" customFormat="1" x14ac:dyDescent="0.25">
      <c r="A865" s="661"/>
      <c r="B865" s="73"/>
      <c r="C865" s="73"/>
      <c r="D865" s="73"/>
      <c r="E865" s="73"/>
      <c r="F865" s="73"/>
      <c r="G865" s="74"/>
      <c r="H865" s="153"/>
      <c r="I865" s="72"/>
      <c r="K865" s="658"/>
    </row>
    <row r="866" spans="1:11" customFormat="1" x14ac:dyDescent="0.25">
      <c r="A866" s="678"/>
      <c r="B866" s="75" t="s">
        <v>8979</v>
      </c>
      <c r="C866" s="73"/>
      <c r="D866" s="73"/>
      <c r="E866" s="73"/>
      <c r="F866" s="73"/>
      <c r="G866" s="74"/>
      <c r="H866" s="153"/>
      <c r="I866" s="72"/>
      <c r="K866" s="658"/>
    </row>
    <row r="867" spans="1:11" customFormat="1" x14ac:dyDescent="0.25">
      <c r="A867" s="661"/>
      <c r="B867" s="73" t="s">
        <v>8978</v>
      </c>
      <c r="C867" s="73"/>
      <c r="D867" s="73"/>
      <c r="E867" s="73"/>
      <c r="F867" s="73"/>
      <c r="G867" s="74" t="s">
        <v>3</v>
      </c>
      <c r="H867" s="153">
        <f>0.11*0.11*1*8</f>
        <v>9.6799999999999997E-2</v>
      </c>
      <c r="I867" s="72"/>
      <c r="K867" s="658"/>
    </row>
    <row r="868" spans="1:11" customFormat="1" x14ac:dyDescent="0.25">
      <c r="A868" s="661"/>
      <c r="B868" s="73"/>
      <c r="C868" s="73"/>
      <c r="D868" s="73"/>
      <c r="E868" s="73"/>
      <c r="F868" s="73"/>
      <c r="G868" s="74"/>
      <c r="H868" s="153"/>
      <c r="I868" s="72"/>
      <c r="K868" s="658"/>
    </row>
    <row r="869" spans="1:11" customFormat="1" x14ac:dyDescent="0.25">
      <c r="A869" s="678"/>
      <c r="B869" s="75" t="s">
        <v>8977</v>
      </c>
      <c r="C869" s="73"/>
      <c r="D869" s="73"/>
      <c r="E869" s="73"/>
      <c r="F869" s="73"/>
      <c r="G869" s="74"/>
      <c r="H869" s="153"/>
      <c r="I869" s="72"/>
      <c r="K869" s="658"/>
    </row>
    <row r="870" spans="1:11" customFormat="1" x14ac:dyDescent="0.25">
      <c r="A870" s="661"/>
      <c r="B870" s="77" t="s">
        <v>39</v>
      </c>
      <c r="C870" s="73"/>
      <c r="D870" s="73"/>
      <c r="E870" s="73"/>
      <c r="F870" s="73"/>
      <c r="G870" s="74" t="s">
        <v>3</v>
      </c>
      <c r="H870" s="153">
        <f>(0.1*2+0.4)*0.06*1.2</f>
        <v>4.3200000000000002E-2</v>
      </c>
      <c r="I870" s="72"/>
      <c r="K870" s="658"/>
    </row>
    <row r="871" spans="1:11" customFormat="1" ht="17.25" x14ac:dyDescent="0.25">
      <c r="A871" s="661"/>
      <c r="B871" s="73" t="s">
        <v>1055</v>
      </c>
      <c r="C871" s="73"/>
      <c r="D871" s="73"/>
      <c r="E871" s="73"/>
      <c r="F871" s="73"/>
      <c r="G871" s="74" t="s">
        <v>596</v>
      </c>
      <c r="H871" s="153">
        <f>H870</f>
        <v>4.3200000000000002E-2</v>
      </c>
      <c r="I871" s="72"/>
      <c r="K871" s="658"/>
    </row>
    <row r="872" spans="1:11" customFormat="1" x14ac:dyDescent="0.25">
      <c r="A872" s="661"/>
      <c r="B872" s="77" t="s">
        <v>8</v>
      </c>
      <c r="C872" s="77"/>
      <c r="D872" s="77"/>
      <c r="E872" s="73"/>
      <c r="F872" s="73"/>
      <c r="G872" s="74" t="s">
        <v>3</v>
      </c>
      <c r="H872" s="153">
        <v>7.0000000000000007E-2</v>
      </c>
      <c r="I872" s="72"/>
      <c r="K872" s="658"/>
    </row>
    <row r="873" spans="1:11" customFormat="1" x14ac:dyDescent="0.25">
      <c r="A873" s="661"/>
      <c r="B873" s="77" t="s">
        <v>12</v>
      </c>
      <c r="C873" s="77"/>
      <c r="D873" s="77"/>
      <c r="E873" s="73"/>
      <c r="F873" s="73"/>
      <c r="G873" s="74" t="s">
        <v>3</v>
      </c>
      <c r="H873" s="153">
        <f>0.3*H872+0.2*H874</f>
        <v>3.6000000000000004E-2</v>
      </c>
      <c r="I873" s="72"/>
      <c r="K873" s="658"/>
    </row>
    <row r="874" spans="1:11" customFormat="1" x14ac:dyDescent="0.25">
      <c r="A874" s="661"/>
      <c r="B874" s="77" t="s">
        <v>8976</v>
      </c>
      <c r="C874" s="77"/>
      <c r="D874" s="77"/>
      <c r="E874" s="73"/>
      <c r="F874" s="73"/>
      <c r="G874" s="74" t="s">
        <v>3</v>
      </c>
      <c r="H874" s="153">
        <f>0.075</f>
        <v>7.4999999999999997E-2</v>
      </c>
      <c r="I874" s="72"/>
      <c r="K874" s="658"/>
    </row>
    <row r="875" spans="1:11" customFormat="1" x14ac:dyDescent="0.25">
      <c r="A875" s="661"/>
      <c r="B875" s="73"/>
      <c r="C875" s="75" t="s">
        <v>8975</v>
      </c>
      <c r="D875" s="73"/>
      <c r="E875" s="73"/>
      <c r="F875" s="73"/>
      <c r="G875" s="74"/>
      <c r="H875" s="153"/>
      <c r="I875" s="72"/>
      <c r="K875" s="658"/>
    </row>
    <row r="876" spans="1:11" customFormat="1" x14ac:dyDescent="0.25">
      <c r="A876" s="661"/>
      <c r="B876" s="73"/>
      <c r="C876" s="73" t="s">
        <v>412</v>
      </c>
      <c r="D876" s="73"/>
      <c r="E876" s="73"/>
      <c r="F876" s="73"/>
      <c r="G876" s="74" t="s">
        <v>3</v>
      </c>
      <c r="H876" s="153">
        <f>0.71*0.03*2*8*1.13</f>
        <v>0.38510399999999995</v>
      </c>
      <c r="I876" s="72"/>
      <c r="J876" s="2"/>
      <c r="K876" s="658"/>
    </row>
    <row r="877" spans="1:11" customFormat="1" x14ac:dyDescent="0.25">
      <c r="A877" s="661"/>
      <c r="B877" s="73"/>
      <c r="C877" s="75" t="s">
        <v>8974</v>
      </c>
      <c r="D877" s="73"/>
      <c r="E877" s="73"/>
      <c r="F877" s="73"/>
      <c r="G877" s="74"/>
      <c r="H877" s="153"/>
      <c r="I877" s="72"/>
      <c r="K877" s="658"/>
    </row>
    <row r="878" spans="1:11" customFormat="1" x14ac:dyDescent="0.25">
      <c r="A878" s="661"/>
      <c r="B878" s="73"/>
      <c r="C878" s="73" t="s">
        <v>415</v>
      </c>
      <c r="D878" s="73"/>
      <c r="E878" s="73"/>
      <c r="F878" s="73"/>
      <c r="G878" s="74" t="s">
        <v>3</v>
      </c>
      <c r="H878" s="153">
        <f>0.715*0.055*1.5*8*1.145</f>
        <v>0.54032550000000001</v>
      </c>
      <c r="I878" s="72"/>
      <c r="K878" s="658"/>
    </row>
    <row r="879" spans="1:11" customFormat="1" x14ac:dyDescent="0.25">
      <c r="A879" s="661"/>
      <c r="B879" s="73"/>
      <c r="C879" s="75" t="s">
        <v>8973</v>
      </c>
      <c r="D879" s="73"/>
      <c r="E879" s="73"/>
      <c r="F879" s="73"/>
      <c r="G879" s="74"/>
      <c r="H879" s="153"/>
      <c r="I879" s="72"/>
      <c r="K879" s="658"/>
    </row>
    <row r="880" spans="1:11" customFormat="1" x14ac:dyDescent="0.25">
      <c r="A880" s="661"/>
      <c r="B880" s="73"/>
      <c r="C880" s="73" t="s">
        <v>55</v>
      </c>
      <c r="D880" s="73"/>
      <c r="E880" s="73"/>
      <c r="F880" s="73"/>
      <c r="G880" s="74" t="s">
        <v>3</v>
      </c>
      <c r="H880" s="153">
        <f>0.1*0.012*3*8*1.15</f>
        <v>3.3120000000000004E-2</v>
      </c>
      <c r="I880" s="72"/>
      <c r="K880" s="658"/>
    </row>
    <row r="881" spans="1:11" customFormat="1" x14ac:dyDescent="0.25">
      <c r="A881" s="661"/>
      <c r="B881" s="73"/>
      <c r="C881" s="75" t="s">
        <v>8972</v>
      </c>
      <c r="D881" s="73"/>
      <c r="E881" s="73"/>
      <c r="F881" s="73"/>
      <c r="G881" s="74"/>
      <c r="H881" s="153"/>
      <c r="I881" s="72"/>
      <c r="K881" s="658"/>
    </row>
    <row r="882" spans="1:11" customFormat="1" x14ac:dyDescent="0.25">
      <c r="A882" s="661"/>
      <c r="B882" s="73"/>
      <c r="C882" s="73" t="s">
        <v>412</v>
      </c>
      <c r="D882" s="73"/>
      <c r="E882" s="73"/>
      <c r="F882" s="73"/>
      <c r="G882" s="74" t="s">
        <v>3</v>
      </c>
      <c r="H882" s="153">
        <f>0.195*0.03*2*8*1.12</f>
        <v>0.10483200000000001</v>
      </c>
      <c r="I882" s="72"/>
      <c r="K882" s="658"/>
    </row>
    <row r="883" spans="1:11" customFormat="1" x14ac:dyDescent="0.25">
      <c r="A883" s="661"/>
      <c r="B883" s="73"/>
      <c r="C883" s="75" t="s">
        <v>8971</v>
      </c>
      <c r="D883" s="73"/>
      <c r="E883" s="73"/>
      <c r="F883" s="73"/>
      <c r="G883" s="74"/>
      <c r="H883" s="153"/>
      <c r="I883" s="72"/>
      <c r="K883" s="658"/>
    </row>
    <row r="884" spans="1:11" customFormat="1" x14ac:dyDescent="0.25">
      <c r="A884" s="661"/>
      <c r="B884" s="73"/>
      <c r="C884" s="73" t="s">
        <v>415</v>
      </c>
      <c r="D884" s="73"/>
      <c r="E884" s="73"/>
      <c r="F884" s="73"/>
      <c r="G884" s="74" t="s">
        <v>3</v>
      </c>
      <c r="H884" s="153">
        <f>0.12*0.025*1.5*8*1.12</f>
        <v>4.0320000000000009E-2</v>
      </c>
      <c r="I884" s="72"/>
      <c r="K884" s="658"/>
    </row>
    <row r="885" spans="1:11" customFormat="1" x14ac:dyDescent="0.25">
      <c r="A885" s="661"/>
      <c r="B885" s="73"/>
      <c r="C885" s="73"/>
      <c r="D885" s="73"/>
      <c r="E885" s="73"/>
      <c r="F885" s="73"/>
      <c r="G885" s="74"/>
      <c r="H885" s="153"/>
      <c r="I885" s="72"/>
      <c r="K885" s="658"/>
    </row>
    <row r="886" spans="1:11" customFormat="1" x14ac:dyDescent="0.25">
      <c r="A886" s="678"/>
      <c r="B886" s="75" t="s">
        <v>8970</v>
      </c>
      <c r="C886" s="73"/>
      <c r="D886" s="73"/>
      <c r="E886" s="73"/>
      <c r="F886" s="73"/>
      <c r="G886" s="74"/>
      <c r="H886" s="153"/>
      <c r="I886" s="72"/>
      <c r="K886" s="658"/>
    </row>
    <row r="887" spans="1:11" customFormat="1" x14ac:dyDescent="0.25">
      <c r="A887" s="661"/>
      <c r="B887" s="73"/>
      <c r="C887" s="75" t="s">
        <v>8969</v>
      </c>
      <c r="D887" s="73"/>
      <c r="E887" s="73"/>
      <c r="F887" s="73"/>
      <c r="G887" s="74"/>
      <c r="H887" s="153"/>
      <c r="I887" s="72"/>
      <c r="K887" s="658"/>
    </row>
    <row r="888" spans="1:11" customFormat="1" x14ac:dyDescent="0.25">
      <c r="A888" s="661"/>
      <c r="B888" s="73"/>
      <c r="C888" s="73" t="s">
        <v>8</v>
      </c>
      <c r="D888" s="73"/>
      <c r="E888" s="73"/>
      <c r="F888" s="73"/>
      <c r="G888" s="74" t="s">
        <v>3</v>
      </c>
      <c r="H888" s="153">
        <f>H889*0.8</f>
        <v>7.6396320000000018E-2</v>
      </c>
      <c r="I888" s="72"/>
      <c r="K888" s="658"/>
    </row>
    <row r="889" spans="1:11" customFormat="1" x14ac:dyDescent="0.25">
      <c r="A889" s="661"/>
      <c r="B889" s="73"/>
      <c r="C889" s="73" t="s">
        <v>5630</v>
      </c>
      <c r="D889" s="73"/>
      <c r="E889" s="73"/>
      <c r="F889" s="73"/>
      <c r="G889" s="74" t="s">
        <v>3</v>
      </c>
      <c r="H889" s="153">
        <f>(0.51*0.73-0.36*0.2)*0.15*2*1.06</f>
        <v>9.5495400000000008E-2</v>
      </c>
      <c r="I889" s="72"/>
      <c r="K889" s="658"/>
    </row>
    <row r="890" spans="1:11" customFormat="1" x14ac:dyDescent="0.25">
      <c r="A890" s="661"/>
      <c r="B890" s="73"/>
      <c r="C890" s="73" t="s">
        <v>12</v>
      </c>
      <c r="D890" s="73"/>
      <c r="E890" s="73"/>
      <c r="F890" s="73"/>
      <c r="G890" s="74" t="s">
        <v>3</v>
      </c>
      <c r="H890" s="153">
        <f>0.3*(H889+H888)</f>
        <v>5.1567516000000008E-2</v>
      </c>
      <c r="I890" s="72"/>
      <c r="K890" s="658"/>
    </row>
    <row r="891" spans="1:11" customFormat="1" x14ac:dyDescent="0.25">
      <c r="A891" s="661"/>
      <c r="B891" s="73"/>
      <c r="C891" s="73"/>
      <c r="D891" s="75" t="s">
        <v>8968</v>
      </c>
      <c r="E891" s="73"/>
      <c r="F891" s="73"/>
      <c r="G891" s="74"/>
      <c r="H891" s="153"/>
      <c r="I891" s="72"/>
      <c r="K891" s="658"/>
    </row>
    <row r="892" spans="1:11" customFormat="1" x14ac:dyDescent="0.25">
      <c r="A892" s="661"/>
      <c r="B892" s="73"/>
      <c r="C892" s="73"/>
      <c r="D892" s="73" t="s">
        <v>7966</v>
      </c>
      <c r="E892" s="73"/>
      <c r="F892" s="73"/>
      <c r="G892" s="74" t="s">
        <v>3</v>
      </c>
      <c r="H892" s="153">
        <f>0.52*0.74*3*8*1.105</f>
        <v>10.204896000000002</v>
      </c>
      <c r="I892" s="72"/>
      <c r="K892" s="658"/>
    </row>
    <row r="893" spans="1:11" customFormat="1" x14ac:dyDescent="0.25">
      <c r="A893" s="661"/>
      <c r="B893" s="73"/>
      <c r="C893" s="73"/>
      <c r="D893" s="73"/>
      <c r="E893" s="73"/>
      <c r="F893" s="73"/>
      <c r="G893" s="74"/>
      <c r="H893" s="153"/>
      <c r="I893" s="72"/>
      <c r="K893" s="658"/>
    </row>
    <row r="894" spans="1:11" customFormat="1" x14ac:dyDescent="0.25">
      <c r="A894" s="678"/>
      <c r="B894" s="75" t="s">
        <v>8967</v>
      </c>
      <c r="C894" s="73"/>
      <c r="D894" s="73"/>
      <c r="E894" s="73"/>
      <c r="F894" s="73"/>
      <c r="G894" s="74"/>
      <c r="H894" s="153"/>
      <c r="I894" s="72"/>
      <c r="K894" s="658"/>
    </row>
    <row r="895" spans="1:11" customFormat="1" x14ac:dyDescent="0.25">
      <c r="A895" s="661"/>
      <c r="B895" s="73"/>
      <c r="C895" s="75" t="s">
        <v>8966</v>
      </c>
      <c r="D895" s="73"/>
      <c r="E895" s="73"/>
      <c r="F895" s="73"/>
      <c r="G895" s="74"/>
      <c r="H895" s="153"/>
      <c r="I895" s="72"/>
      <c r="K895" s="658"/>
    </row>
    <row r="896" spans="1:11" customFormat="1" x14ac:dyDescent="0.25">
      <c r="A896" s="661"/>
      <c r="B896" s="73"/>
      <c r="C896" s="73" t="s">
        <v>8965</v>
      </c>
      <c r="D896" s="73"/>
      <c r="E896" s="73"/>
      <c r="F896" s="73"/>
      <c r="G896" s="74" t="s">
        <v>195</v>
      </c>
      <c r="H896" s="153">
        <v>0.46</v>
      </c>
      <c r="I896" s="72"/>
      <c r="K896" s="658"/>
    </row>
    <row r="897" spans="1:11" customFormat="1" x14ac:dyDescent="0.25">
      <c r="A897" s="661"/>
      <c r="B897" s="73"/>
      <c r="C897" s="73" t="s">
        <v>671</v>
      </c>
      <c r="D897" s="73"/>
      <c r="E897" s="73"/>
      <c r="F897" s="73"/>
      <c r="G897" s="74" t="s">
        <v>3</v>
      </c>
      <c r="H897" s="153">
        <f>0.01</f>
        <v>0.01</v>
      </c>
      <c r="I897" s="72"/>
      <c r="K897" s="658"/>
    </row>
    <row r="898" spans="1:11" customFormat="1" x14ac:dyDescent="0.25">
      <c r="A898" s="661"/>
      <c r="B898" s="73"/>
      <c r="C898" s="73" t="s">
        <v>672</v>
      </c>
      <c r="D898" s="73"/>
      <c r="E898" s="73"/>
      <c r="F898" s="73"/>
      <c r="G898" s="74" t="s">
        <v>3</v>
      </c>
      <c r="H898" s="153">
        <f>2.5*H897</f>
        <v>2.5000000000000001E-2</v>
      </c>
      <c r="I898" s="72"/>
      <c r="K898" s="658"/>
    </row>
    <row r="899" spans="1:11" customFormat="1" x14ac:dyDescent="0.25">
      <c r="A899" s="661"/>
      <c r="B899" s="73"/>
      <c r="C899" s="73" t="s">
        <v>1372</v>
      </c>
      <c r="D899" s="73"/>
      <c r="E899" s="73"/>
      <c r="F899" s="73"/>
      <c r="G899" s="74" t="s">
        <v>3</v>
      </c>
      <c r="H899" s="153">
        <v>5.0000000000000001E-3</v>
      </c>
      <c r="I899" s="72"/>
      <c r="K899" s="658"/>
    </row>
    <row r="900" spans="1:11" customFormat="1" x14ac:dyDescent="0.25">
      <c r="A900" s="661"/>
      <c r="B900" s="73"/>
      <c r="C900" s="73"/>
      <c r="D900" s="73"/>
      <c r="E900" s="73"/>
      <c r="F900" s="73"/>
      <c r="G900" s="74"/>
      <c r="H900" s="153"/>
      <c r="I900" s="72"/>
      <c r="K900" s="658"/>
    </row>
    <row r="901" spans="1:11" customFormat="1" x14ac:dyDescent="0.25">
      <c r="A901" s="678"/>
      <c r="B901" s="75" t="s">
        <v>8964</v>
      </c>
      <c r="C901" s="73"/>
      <c r="D901" s="73"/>
      <c r="E901" s="73"/>
      <c r="F901" s="73"/>
      <c r="G901" s="74"/>
      <c r="H901" s="153"/>
      <c r="I901" s="72"/>
      <c r="K901" s="658"/>
    </row>
    <row r="902" spans="1:11" customFormat="1" x14ac:dyDescent="0.25">
      <c r="A902" s="661"/>
      <c r="B902" s="77" t="s">
        <v>39</v>
      </c>
      <c r="C902" s="73"/>
      <c r="D902" s="73"/>
      <c r="E902" s="73"/>
      <c r="F902" s="73"/>
      <c r="G902" s="74" t="s">
        <v>3</v>
      </c>
      <c r="H902" s="153">
        <f>0.02*3.14*3*0.08*1.2</f>
        <v>1.8086400000000002E-2</v>
      </c>
      <c r="I902" s="72"/>
      <c r="K902" s="658"/>
    </row>
    <row r="903" spans="1:11" customFormat="1" ht="17.25" x14ac:dyDescent="0.25">
      <c r="A903" s="661"/>
      <c r="B903" s="73" t="s">
        <v>1055</v>
      </c>
      <c r="C903" s="73"/>
      <c r="D903" s="73"/>
      <c r="E903" s="73"/>
      <c r="F903" s="73"/>
      <c r="G903" s="74" t="s">
        <v>596</v>
      </c>
      <c r="H903" s="153">
        <f>H902</f>
        <v>1.8086400000000002E-2</v>
      </c>
      <c r="I903" s="72"/>
      <c r="K903" s="658"/>
    </row>
    <row r="904" spans="1:11" customFormat="1" x14ac:dyDescent="0.25">
      <c r="A904" s="661"/>
      <c r="B904" s="73"/>
      <c r="C904" s="75" t="s">
        <v>8963</v>
      </c>
      <c r="D904" s="73"/>
      <c r="E904" s="73"/>
      <c r="F904" s="73"/>
      <c r="G904" s="74"/>
      <c r="H904" s="153"/>
      <c r="I904" s="72"/>
      <c r="K904" s="658"/>
    </row>
    <row r="905" spans="1:11" customFormat="1" x14ac:dyDescent="0.25">
      <c r="A905" s="661"/>
      <c r="B905" s="73"/>
      <c r="C905" s="73" t="s">
        <v>8962</v>
      </c>
      <c r="D905" s="73"/>
      <c r="E905" s="73"/>
      <c r="F905" s="73"/>
      <c r="G905" s="74" t="s">
        <v>3</v>
      </c>
      <c r="H905" s="153">
        <v>1.43</v>
      </c>
      <c r="I905" s="72"/>
      <c r="J905" t="s">
        <v>8961</v>
      </c>
      <c r="K905" s="658"/>
    </row>
    <row r="906" spans="1:11" customFormat="1" x14ac:dyDescent="0.25">
      <c r="A906" s="661"/>
      <c r="B906" s="73"/>
      <c r="C906" s="73" t="s">
        <v>489</v>
      </c>
      <c r="D906" s="73"/>
      <c r="E906" s="73"/>
      <c r="F906" s="73"/>
      <c r="G906" s="74" t="s">
        <v>3</v>
      </c>
      <c r="H906" s="153">
        <f>1.32*0.016*2-0.002</f>
        <v>4.0239999999999998E-2</v>
      </c>
      <c r="I906" s="72"/>
      <c r="K906" s="658"/>
    </row>
    <row r="907" spans="1:11" customFormat="1" x14ac:dyDescent="0.25">
      <c r="A907" s="661"/>
      <c r="B907" s="73"/>
      <c r="C907" s="73" t="s">
        <v>490</v>
      </c>
      <c r="D907" s="73"/>
      <c r="E907" s="73"/>
      <c r="F907" s="73"/>
      <c r="G907" s="74" t="s">
        <v>3</v>
      </c>
      <c r="H907" s="153">
        <f>0.3*H906</f>
        <v>1.2071999999999999E-2</v>
      </c>
      <c r="I907" s="72"/>
      <c r="K907" s="658"/>
    </row>
    <row r="908" spans="1:11" customFormat="1" x14ac:dyDescent="0.25">
      <c r="A908" s="661"/>
      <c r="B908" s="73"/>
      <c r="C908" s="75" t="s">
        <v>8960</v>
      </c>
      <c r="D908" s="73"/>
      <c r="E908" s="73"/>
      <c r="F908" s="73"/>
      <c r="G908" s="74"/>
      <c r="H908" s="153"/>
      <c r="I908" s="72"/>
      <c r="K908" s="658"/>
    </row>
    <row r="909" spans="1:11" customFormat="1" x14ac:dyDescent="0.25">
      <c r="A909" s="661"/>
      <c r="B909" s="73"/>
      <c r="C909" s="73" t="s">
        <v>8959</v>
      </c>
      <c r="D909" s="73"/>
      <c r="E909" s="73"/>
      <c r="F909" s="73"/>
      <c r="G909" s="74" t="s">
        <v>3</v>
      </c>
      <c r="H909" s="153">
        <v>0.03</v>
      </c>
      <c r="I909" s="72"/>
      <c r="K909" s="658"/>
    </row>
    <row r="910" spans="1:11" customFormat="1" x14ac:dyDescent="0.25">
      <c r="A910" s="661"/>
      <c r="B910" s="73"/>
      <c r="C910" s="73"/>
      <c r="D910" s="73"/>
      <c r="E910" s="73"/>
      <c r="F910" s="73"/>
      <c r="G910" s="74"/>
      <c r="H910" s="153"/>
      <c r="I910" s="72"/>
      <c r="K910" s="658"/>
    </row>
    <row r="911" spans="1:11" customFormat="1" x14ac:dyDescent="0.25">
      <c r="A911" s="678"/>
      <c r="B911" s="75" t="s">
        <v>8958</v>
      </c>
      <c r="C911" s="73"/>
      <c r="D911" s="73"/>
      <c r="E911" s="73"/>
      <c r="F911" s="73"/>
      <c r="G911" s="74"/>
      <c r="H911" s="153"/>
      <c r="I911" s="72"/>
      <c r="K911" s="658"/>
    </row>
    <row r="912" spans="1:11" customFormat="1" x14ac:dyDescent="0.25">
      <c r="A912" s="661"/>
      <c r="B912" s="77" t="s">
        <v>39</v>
      </c>
      <c r="C912" s="73"/>
      <c r="D912" s="73"/>
      <c r="E912" s="73"/>
      <c r="F912" s="73"/>
      <c r="G912" s="74" t="s">
        <v>3</v>
      </c>
      <c r="H912" s="153">
        <f>0.022*3.14*2*0.07*1.2</f>
        <v>1.1605440000000002E-2</v>
      </c>
      <c r="I912" s="72"/>
      <c r="K912" s="658"/>
    </row>
    <row r="913" spans="1:11" customFormat="1" ht="17.25" x14ac:dyDescent="0.25">
      <c r="A913" s="661"/>
      <c r="B913" s="73" t="s">
        <v>1055</v>
      </c>
      <c r="C913" s="73"/>
      <c r="D913" s="73"/>
      <c r="E913" s="73"/>
      <c r="F913" s="73"/>
      <c r="G913" s="74" t="s">
        <v>596</v>
      </c>
      <c r="H913" s="153">
        <f>H912</f>
        <v>1.1605440000000002E-2</v>
      </c>
      <c r="I913" s="72"/>
      <c r="K913" s="658"/>
    </row>
    <row r="914" spans="1:11" customFormat="1" x14ac:dyDescent="0.25">
      <c r="A914" s="661"/>
      <c r="B914" s="73"/>
      <c r="C914" s="75" t="s">
        <v>8957</v>
      </c>
      <c r="D914" s="73"/>
      <c r="E914" s="73"/>
      <c r="F914" s="73"/>
      <c r="G914" s="74"/>
      <c r="H914" s="153"/>
      <c r="I914" s="72"/>
      <c r="K914" s="658"/>
    </row>
    <row r="915" spans="1:11" customFormat="1" x14ac:dyDescent="0.25">
      <c r="A915" s="661"/>
      <c r="B915" s="73"/>
      <c r="C915" s="73" t="s">
        <v>226</v>
      </c>
      <c r="D915" s="73"/>
      <c r="E915" s="73"/>
      <c r="F915" s="73"/>
      <c r="G915" s="74" t="s">
        <v>3</v>
      </c>
      <c r="H915" s="153">
        <f>0.265*0.41*5*8*1.1205</f>
        <v>4.8696930000000007</v>
      </c>
      <c r="I915" s="72"/>
      <c r="K915" s="658"/>
    </row>
    <row r="916" spans="1:11" customFormat="1" x14ac:dyDescent="0.25">
      <c r="A916" s="661"/>
      <c r="B916" s="73"/>
      <c r="C916" s="73"/>
      <c r="D916" s="73"/>
      <c r="E916" s="73"/>
      <c r="F916" s="73"/>
      <c r="G916" s="74"/>
      <c r="H916" s="153"/>
      <c r="I916" s="72"/>
      <c r="K916" s="658"/>
    </row>
    <row r="917" spans="1:11" customFormat="1" x14ac:dyDescent="0.25">
      <c r="A917" s="678"/>
      <c r="B917" s="75" t="s">
        <v>8956</v>
      </c>
      <c r="C917" s="73"/>
      <c r="D917" s="73"/>
      <c r="E917" s="73"/>
      <c r="F917" s="73"/>
      <c r="G917" s="74"/>
      <c r="H917" s="153"/>
      <c r="I917" s="72"/>
      <c r="K917" s="658"/>
    </row>
    <row r="918" spans="1:11" customFormat="1" x14ac:dyDescent="0.25">
      <c r="A918" s="661"/>
      <c r="B918" s="77" t="s">
        <v>39</v>
      </c>
      <c r="C918" s="73"/>
      <c r="D918" s="73"/>
      <c r="E918" s="73"/>
      <c r="F918" s="73"/>
      <c r="G918" s="74" t="s">
        <v>3</v>
      </c>
      <c r="H918" s="153">
        <f>0.075*0.08*1.2</f>
        <v>7.1999999999999998E-3</v>
      </c>
      <c r="I918" s="72"/>
      <c r="K918" s="658"/>
    </row>
    <row r="919" spans="1:11" customFormat="1" ht="17.25" x14ac:dyDescent="0.25">
      <c r="A919" s="661"/>
      <c r="B919" s="73" t="s">
        <v>1055</v>
      </c>
      <c r="C919" s="73"/>
      <c r="D919" s="73"/>
      <c r="E919" s="73"/>
      <c r="F919" s="73"/>
      <c r="G919" s="74" t="s">
        <v>596</v>
      </c>
      <c r="H919" s="153">
        <f>H918</f>
        <v>7.1999999999999998E-3</v>
      </c>
      <c r="I919" s="72"/>
      <c r="K919" s="658"/>
    </row>
    <row r="920" spans="1:11" customFormat="1" x14ac:dyDescent="0.25">
      <c r="A920" s="661"/>
      <c r="B920" s="73" t="s">
        <v>8</v>
      </c>
      <c r="C920" s="73"/>
      <c r="D920" s="73"/>
      <c r="E920" s="73"/>
      <c r="F920" s="73"/>
      <c r="G920" s="74" t="s">
        <v>3</v>
      </c>
      <c r="H920" s="153">
        <f>0.8*H922</f>
        <v>1.5912000000000003E-2</v>
      </c>
      <c r="I920" s="72"/>
      <c r="K920" s="658"/>
    </row>
    <row r="921" spans="1:11" customFormat="1" x14ac:dyDescent="0.25">
      <c r="A921" s="661"/>
      <c r="B921" s="73" t="s">
        <v>12</v>
      </c>
      <c r="C921" s="73"/>
      <c r="D921" s="73"/>
      <c r="E921" s="73"/>
      <c r="F921" s="73"/>
      <c r="G921" s="74" t="s">
        <v>3</v>
      </c>
      <c r="H921" s="153">
        <f>0.3*H920</f>
        <v>4.7736000000000002E-3</v>
      </c>
      <c r="I921" s="72"/>
      <c r="K921" s="658"/>
    </row>
    <row r="922" spans="1:11" customFormat="1" x14ac:dyDescent="0.25">
      <c r="A922" s="661"/>
      <c r="B922" s="73" t="s">
        <v>72</v>
      </c>
      <c r="C922" s="73"/>
      <c r="D922" s="73"/>
      <c r="E922" s="73"/>
      <c r="F922" s="73"/>
      <c r="G922" s="74" t="s">
        <v>3</v>
      </c>
      <c r="H922" s="153">
        <f>0.15*0.17*2*0.15*2*1.3</f>
        <v>1.9890000000000001E-2</v>
      </c>
      <c r="I922" s="72"/>
      <c r="K922" s="658"/>
    </row>
    <row r="923" spans="1:11" customFormat="1" x14ac:dyDescent="0.25">
      <c r="A923" s="661"/>
      <c r="B923" s="73" t="s">
        <v>11</v>
      </c>
      <c r="C923" s="73"/>
      <c r="D923" s="73"/>
      <c r="E923" s="73"/>
      <c r="F923" s="73"/>
      <c r="G923" s="74" t="s">
        <v>3</v>
      </c>
      <c r="H923" s="153">
        <f>0.3*H922</f>
        <v>5.9670000000000001E-3</v>
      </c>
      <c r="I923" s="72"/>
      <c r="K923" s="658"/>
    </row>
    <row r="924" spans="1:11" customFormat="1" x14ac:dyDescent="0.25">
      <c r="A924" s="661"/>
      <c r="B924" s="73" t="s">
        <v>13</v>
      </c>
      <c r="C924" s="73"/>
      <c r="D924" s="73"/>
      <c r="E924" s="73"/>
      <c r="F924" s="73"/>
      <c r="G924" s="74" t="s">
        <v>3</v>
      </c>
      <c r="H924" s="153">
        <f>0.05</f>
        <v>0.05</v>
      </c>
      <c r="I924" s="72"/>
      <c r="K924" s="658"/>
    </row>
    <row r="925" spans="1:11" customFormat="1" x14ac:dyDescent="0.25">
      <c r="A925" s="661"/>
      <c r="B925" s="73"/>
      <c r="C925" s="75" t="s">
        <v>8955</v>
      </c>
      <c r="D925" s="73"/>
      <c r="E925" s="73"/>
      <c r="F925" s="73"/>
      <c r="G925" s="74"/>
      <c r="H925" s="153"/>
      <c r="I925" s="72"/>
      <c r="K925" s="658"/>
    </row>
    <row r="926" spans="1:11" customFormat="1" x14ac:dyDescent="0.25">
      <c r="A926" s="661"/>
      <c r="B926" s="73"/>
      <c r="C926" s="73" t="s">
        <v>7829</v>
      </c>
      <c r="D926" s="73"/>
      <c r="E926" s="73"/>
      <c r="F926" s="73"/>
      <c r="G926" s="74" t="s">
        <v>3</v>
      </c>
      <c r="H926" s="153">
        <f>0.15*0.17*3*8*1.12</f>
        <v>0.68544000000000016</v>
      </c>
      <c r="I926" s="72"/>
      <c r="K926" s="658"/>
    </row>
    <row r="927" spans="1:11" customFormat="1" x14ac:dyDescent="0.25">
      <c r="A927" s="661"/>
      <c r="B927" s="73"/>
      <c r="C927" s="73"/>
      <c r="D927" s="73"/>
      <c r="E927" s="73"/>
      <c r="F927" s="73"/>
      <c r="G927" s="74"/>
      <c r="H927" s="153"/>
      <c r="I927" s="72"/>
      <c r="K927" s="658"/>
    </row>
    <row r="928" spans="1:11" customFormat="1" x14ac:dyDescent="0.25">
      <c r="A928" s="678"/>
      <c r="B928" s="75" t="s">
        <v>8954</v>
      </c>
      <c r="C928" s="73"/>
      <c r="D928" s="73"/>
      <c r="E928" s="73"/>
      <c r="F928" s="73"/>
      <c r="G928" s="74"/>
      <c r="H928" s="153"/>
      <c r="I928" s="72"/>
      <c r="K928" s="658"/>
    </row>
    <row r="929" spans="1:11" customFormat="1" x14ac:dyDescent="0.25">
      <c r="A929" s="661"/>
      <c r="B929" s="73" t="s">
        <v>8952</v>
      </c>
      <c r="C929" s="73"/>
      <c r="D929" s="73"/>
      <c r="E929" s="73"/>
      <c r="F929" s="73"/>
      <c r="G929" s="74" t="s">
        <v>3</v>
      </c>
      <c r="H929" s="153">
        <f>1.745*0.58*1.5*8*1.12-0.003</f>
        <v>13.599624</v>
      </c>
      <c r="I929" s="72"/>
      <c r="K929" s="658"/>
    </row>
    <row r="930" spans="1:11" customFormat="1" x14ac:dyDescent="0.25">
      <c r="A930" s="661"/>
      <c r="B930" s="73"/>
      <c r="C930" s="73"/>
      <c r="D930" s="73"/>
      <c r="E930" s="73"/>
      <c r="F930" s="73"/>
      <c r="G930" s="74"/>
      <c r="H930" s="153"/>
      <c r="I930" s="72"/>
      <c r="K930" s="658"/>
    </row>
    <row r="931" spans="1:11" customFormat="1" x14ac:dyDescent="0.25">
      <c r="A931" s="678"/>
      <c r="B931" s="75" t="s">
        <v>8953</v>
      </c>
      <c r="C931" s="73"/>
      <c r="D931" s="73"/>
      <c r="E931" s="73"/>
      <c r="F931" s="73"/>
      <c r="G931" s="74"/>
      <c r="H931" s="153"/>
      <c r="I931" s="72"/>
      <c r="K931" s="658"/>
    </row>
    <row r="932" spans="1:11" customFormat="1" x14ac:dyDescent="0.25">
      <c r="A932" s="661"/>
      <c r="B932" s="73" t="s">
        <v>8952</v>
      </c>
      <c r="C932" s="73"/>
      <c r="D932" s="73"/>
      <c r="E932" s="73"/>
      <c r="F932" s="73"/>
      <c r="G932" s="74" t="s">
        <v>3</v>
      </c>
      <c r="H932" s="153">
        <f>1.745*0.58*1.5*8*1.12-0.003</f>
        <v>13.599624</v>
      </c>
      <c r="I932" s="72"/>
      <c r="K932" s="658"/>
    </row>
    <row r="933" spans="1:11" customFormat="1" x14ac:dyDescent="0.25">
      <c r="A933" s="661"/>
      <c r="B933" s="73"/>
      <c r="C933" s="73"/>
      <c r="D933" s="73"/>
      <c r="E933" s="73"/>
      <c r="F933" s="73"/>
      <c r="G933" s="74"/>
      <c r="H933" s="153"/>
      <c r="I933" s="72"/>
      <c r="K933" s="658"/>
    </row>
    <row r="934" spans="1:11" customFormat="1" x14ac:dyDescent="0.25">
      <c r="A934" s="678"/>
      <c r="B934" s="75" t="s">
        <v>8951</v>
      </c>
      <c r="C934" s="73"/>
      <c r="D934" s="73"/>
      <c r="E934" s="73"/>
      <c r="F934" s="73"/>
      <c r="G934" s="74"/>
      <c r="H934" s="153"/>
      <c r="I934" s="72"/>
      <c r="K934" s="658"/>
    </row>
    <row r="935" spans="1:11" customFormat="1" x14ac:dyDescent="0.25">
      <c r="A935" s="661"/>
      <c r="B935" s="73" t="s">
        <v>8950</v>
      </c>
      <c r="C935" s="73"/>
      <c r="D935" s="73"/>
      <c r="E935" s="73"/>
      <c r="F935" s="73"/>
      <c r="G935" s="74" t="s">
        <v>3</v>
      </c>
      <c r="H935" s="153">
        <f>0.03*0.02*5*8*1.12</f>
        <v>2.6879999999999998E-2</v>
      </c>
      <c r="I935" s="72"/>
      <c r="K935" s="658"/>
    </row>
    <row r="936" spans="1:11" customFormat="1" x14ac:dyDescent="0.25">
      <c r="A936" s="661"/>
      <c r="B936" s="73"/>
      <c r="C936" s="73"/>
      <c r="D936" s="73"/>
      <c r="E936" s="73"/>
      <c r="F936" s="73"/>
      <c r="G936" s="74"/>
      <c r="H936" s="153"/>
      <c r="I936" s="72"/>
      <c r="K936" s="658"/>
    </row>
    <row r="937" spans="1:11" customFormat="1" x14ac:dyDescent="0.25">
      <c r="A937" s="678"/>
      <c r="B937" s="75" t="s">
        <v>8949</v>
      </c>
      <c r="C937" s="73"/>
      <c r="D937" s="73"/>
      <c r="E937" s="73"/>
      <c r="F937" s="73"/>
      <c r="G937" s="74"/>
      <c r="H937" s="153"/>
      <c r="I937" s="72"/>
      <c r="K937" s="658"/>
    </row>
    <row r="938" spans="1:11" customFormat="1" x14ac:dyDescent="0.25">
      <c r="A938" s="661"/>
      <c r="B938" s="73" t="s">
        <v>8932</v>
      </c>
      <c r="C938" s="73"/>
      <c r="D938" s="73"/>
      <c r="E938" s="73"/>
      <c r="F938" s="73"/>
      <c r="G938" s="74" t="s">
        <v>3</v>
      </c>
      <c r="H938" s="153">
        <v>0.01</v>
      </c>
      <c r="I938" s="72"/>
      <c r="K938" s="658"/>
    </row>
    <row r="939" spans="1:11" customFormat="1" x14ac:dyDescent="0.25">
      <c r="A939" s="661"/>
      <c r="B939" s="73" t="s">
        <v>163</v>
      </c>
      <c r="C939" s="73"/>
      <c r="D939" s="73"/>
      <c r="E939" s="73"/>
      <c r="F939" s="73"/>
      <c r="G939" s="74" t="s">
        <v>3</v>
      </c>
      <c r="H939" s="153">
        <v>0.01</v>
      </c>
      <c r="I939" s="72"/>
      <c r="K939" s="658"/>
    </row>
    <row r="940" spans="1:11" customFormat="1" x14ac:dyDescent="0.25">
      <c r="A940" s="661"/>
      <c r="B940" s="73" t="s">
        <v>164</v>
      </c>
      <c r="C940" s="73"/>
      <c r="D940" s="73"/>
      <c r="E940" s="73"/>
      <c r="F940" s="73"/>
      <c r="G940" s="74" t="s">
        <v>3</v>
      </c>
      <c r="H940" s="153">
        <f>0.3*(H939+H938)</f>
        <v>6.0000000000000001E-3</v>
      </c>
      <c r="I940" s="72"/>
      <c r="K940" s="658"/>
    </row>
    <row r="941" spans="1:11" customFormat="1" x14ac:dyDescent="0.25">
      <c r="A941" s="661"/>
      <c r="B941" s="73" t="s">
        <v>72</v>
      </c>
      <c r="C941" s="73"/>
      <c r="D941" s="73"/>
      <c r="E941" s="73"/>
      <c r="F941" s="73"/>
      <c r="G941" s="74" t="s">
        <v>3</v>
      </c>
      <c r="H941" s="153">
        <f>0.63*0.011*2*1.1</f>
        <v>1.5246000000000001E-2</v>
      </c>
      <c r="I941" s="72"/>
      <c r="K941" s="658"/>
    </row>
    <row r="942" spans="1:11" customFormat="1" x14ac:dyDescent="0.25">
      <c r="A942" s="661"/>
      <c r="B942" s="73" t="s">
        <v>11</v>
      </c>
      <c r="C942" s="73"/>
      <c r="D942" s="73"/>
      <c r="E942" s="73"/>
      <c r="F942" s="73"/>
      <c r="G942" s="74" t="s">
        <v>3</v>
      </c>
      <c r="H942" s="153">
        <f>0.3*H941</f>
        <v>4.5738000000000003E-3</v>
      </c>
      <c r="I942" s="72"/>
      <c r="K942" s="658"/>
    </row>
    <row r="943" spans="1:11" customFormat="1" x14ac:dyDescent="0.25">
      <c r="A943" s="661"/>
      <c r="B943" s="73"/>
      <c r="C943" s="75" t="s">
        <v>8948</v>
      </c>
      <c r="D943" s="73"/>
      <c r="E943" s="73"/>
      <c r="F943" s="73"/>
      <c r="G943" s="74"/>
      <c r="H943" s="153"/>
      <c r="I943" s="72"/>
      <c r="K943" s="658"/>
    </row>
    <row r="944" spans="1:11" customFormat="1" x14ac:dyDescent="0.25">
      <c r="A944" s="661"/>
      <c r="B944" s="73"/>
      <c r="C944" s="73" t="s">
        <v>2957</v>
      </c>
      <c r="D944" s="73"/>
      <c r="E944" s="73"/>
      <c r="F944" s="73"/>
      <c r="G944" s="74" t="s">
        <v>3</v>
      </c>
      <c r="H944" s="153">
        <v>0.19</v>
      </c>
      <c r="I944" s="72"/>
      <c r="J944" t="s">
        <v>8947</v>
      </c>
      <c r="K944" s="658"/>
    </row>
    <row r="945" spans="1:12" customFormat="1" x14ac:dyDescent="0.25">
      <c r="A945" s="661"/>
      <c r="B945" s="73"/>
      <c r="C945" s="73"/>
      <c r="D945" s="73"/>
      <c r="E945" s="73"/>
      <c r="F945" s="73"/>
      <c r="G945" s="74"/>
      <c r="H945" s="153"/>
      <c r="I945" s="72"/>
      <c r="K945" s="658"/>
    </row>
    <row r="946" spans="1:12" customFormat="1" x14ac:dyDescent="0.25">
      <c r="A946" s="678"/>
      <c r="B946" s="75" t="s">
        <v>8946</v>
      </c>
      <c r="C946" s="73"/>
      <c r="D946" s="73"/>
      <c r="E946" s="73"/>
      <c r="F946" s="73"/>
      <c r="G946" s="74"/>
      <c r="H946" s="153"/>
      <c r="I946" s="72"/>
      <c r="K946" s="658"/>
    </row>
    <row r="947" spans="1:12" customFormat="1" x14ac:dyDescent="0.25">
      <c r="A947" s="661"/>
      <c r="B947" s="580" t="s">
        <v>6724</v>
      </c>
      <c r="C947" s="75"/>
      <c r="D947" s="75"/>
      <c r="E947" s="75"/>
      <c r="F947" s="73"/>
      <c r="G947" s="74" t="s">
        <v>3</v>
      </c>
      <c r="H947" s="427">
        <f>(0.12+5.6+2.2+0.62+1.4)*0.05*1.3+0.004</f>
        <v>0.65010000000000001</v>
      </c>
      <c r="I947" s="72"/>
      <c r="K947" s="658"/>
    </row>
    <row r="948" spans="1:12" customFormat="1" ht="17.25" x14ac:dyDescent="0.25">
      <c r="A948" s="661"/>
      <c r="B948" s="204" t="s">
        <v>6723</v>
      </c>
      <c r="C948" s="75"/>
      <c r="D948" s="75"/>
      <c r="E948" s="75"/>
      <c r="F948" s="73"/>
      <c r="G948" s="74" t="s">
        <v>596</v>
      </c>
      <c r="H948" s="153">
        <f>1.09*H947</f>
        <v>0.70860900000000004</v>
      </c>
      <c r="I948" s="72"/>
      <c r="K948" s="658"/>
    </row>
    <row r="949" spans="1:12" customFormat="1" x14ac:dyDescent="0.25">
      <c r="A949" s="661"/>
      <c r="B949" s="73" t="s">
        <v>13</v>
      </c>
      <c r="C949" s="73"/>
      <c r="D949" s="73"/>
      <c r="E949" s="73"/>
      <c r="F949" s="73"/>
      <c r="G949" s="74" t="s">
        <v>3</v>
      </c>
      <c r="H949" s="153">
        <v>0.15</v>
      </c>
      <c r="I949" s="72"/>
      <c r="K949" s="658"/>
    </row>
    <row r="950" spans="1:12" customFormat="1" x14ac:dyDescent="0.25">
      <c r="A950" s="661"/>
      <c r="B950" s="73" t="s">
        <v>8932</v>
      </c>
      <c r="C950" s="73"/>
      <c r="D950" s="73"/>
      <c r="E950" s="73"/>
      <c r="F950" s="73"/>
      <c r="G950" s="74" t="s">
        <v>3</v>
      </c>
      <c r="H950" s="153">
        <v>0.2</v>
      </c>
      <c r="I950" s="72"/>
      <c r="K950" s="658">
        <f>0.71</f>
        <v>0.71</v>
      </c>
      <c r="L950">
        <v>100</v>
      </c>
    </row>
    <row r="951" spans="1:12" customFormat="1" x14ac:dyDescent="0.25">
      <c r="A951" s="661"/>
      <c r="B951" s="73" t="s">
        <v>163</v>
      </c>
      <c r="C951" s="73"/>
      <c r="D951" s="73"/>
      <c r="E951" s="73"/>
      <c r="F951" s="73"/>
      <c r="G951" s="74" t="s">
        <v>3</v>
      </c>
      <c r="H951" s="153">
        <v>0.2</v>
      </c>
      <c r="I951" s="72"/>
      <c r="K951" s="658">
        <v>0.87</v>
      </c>
      <c r="L951">
        <f>K951*L950/K950</f>
        <v>122.53521126760565</v>
      </c>
    </row>
    <row r="952" spans="1:12" customFormat="1" x14ac:dyDescent="0.25">
      <c r="A952" s="661"/>
      <c r="B952" s="73" t="s">
        <v>164</v>
      </c>
      <c r="C952" s="73"/>
      <c r="D952" s="73"/>
      <c r="E952" s="73"/>
      <c r="F952" s="73"/>
      <c r="G952" s="74" t="s">
        <v>3</v>
      </c>
      <c r="H952" s="153">
        <f>0.3*(H951+H950)</f>
        <v>0.12</v>
      </c>
      <c r="I952" s="72"/>
      <c r="K952" s="658"/>
    </row>
    <row r="953" spans="1:12" customFormat="1" x14ac:dyDescent="0.25">
      <c r="A953" s="661"/>
      <c r="B953" s="73" t="s">
        <v>72</v>
      </c>
      <c r="C953" s="73"/>
      <c r="D953" s="73"/>
      <c r="E953" s="73"/>
      <c r="F953" s="73"/>
      <c r="G953" s="74" t="s">
        <v>3</v>
      </c>
      <c r="H953" s="153">
        <f>1.4*0.355*2*0.15*2*1.208</f>
        <v>0.36022559999999992</v>
      </c>
      <c r="I953" s="72"/>
      <c r="K953" s="658"/>
    </row>
    <row r="954" spans="1:12" customFormat="1" x14ac:dyDescent="0.25">
      <c r="A954" s="661"/>
      <c r="B954" s="73" t="s">
        <v>11</v>
      </c>
      <c r="C954" s="73"/>
      <c r="D954" s="73"/>
      <c r="E954" s="73"/>
      <c r="F954" s="73"/>
      <c r="G954" s="74" t="s">
        <v>3</v>
      </c>
      <c r="H954" s="153">
        <f>0.3*H953</f>
        <v>0.10806767999999997</v>
      </c>
      <c r="I954" s="72"/>
      <c r="K954" s="658"/>
    </row>
    <row r="955" spans="1:12" customFormat="1" x14ac:dyDescent="0.25">
      <c r="A955" s="661"/>
      <c r="B955" s="73"/>
      <c r="C955" s="75" t="s">
        <v>8945</v>
      </c>
      <c r="D955" s="73"/>
      <c r="E955" s="73"/>
      <c r="F955" s="73"/>
      <c r="G955" s="74"/>
      <c r="H955" s="153"/>
      <c r="I955" s="72"/>
      <c r="K955" s="658"/>
    </row>
    <row r="956" spans="1:12" customFormat="1" x14ac:dyDescent="0.25">
      <c r="A956" s="661"/>
      <c r="B956" s="73"/>
      <c r="C956" s="73" t="s">
        <v>213</v>
      </c>
      <c r="D956" s="73"/>
      <c r="E956" s="73"/>
      <c r="F956" s="73"/>
      <c r="G956" s="74" t="s">
        <v>3</v>
      </c>
      <c r="H956" s="153">
        <f>1.45*0.405*3*2.7*1.18</f>
        <v>5.6129354999999999</v>
      </c>
      <c r="I956" s="72"/>
      <c r="J956" s="153"/>
      <c r="K956" s="658"/>
    </row>
    <row r="957" spans="1:12" customFormat="1" x14ac:dyDescent="0.25">
      <c r="A957" s="661"/>
      <c r="B957" s="73"/>
      <c r="C957" s="75" t="s">
        <v>8944</v>
      </c>
      <c r="D957" s="73"/>
      <c r="E957" s="73"/>
      <c r="F957" s="73"/>
      <c r="G957" s="74"/>
      <c r="H957" s="153"/>
      <c r="I957" s="72"/>
      <c r="J957" s="153"/>
      <c r="K957" s="658"/>
    </row>
    <row r="958" spans="1:12" customFormat="1" x14ac:dyDescent="0.25">
      <c r="A958" s="661"/>
      <c r="B958" s="73"/>
      <c r="C958" s="73" t="s">
        <v>213</v>
      </c>
      <c r="D958" s="73"/>
      <c r="E958" s="73"/>
      <c r="F958" s="73"/>
      <c r="G958" s="74" t="s">
        <v>3</v>
      </c>
      <c r="H958" s="153">
        <f>0.1*0.27*3*2.7*1.18</f>
        <v>0.25806600000000007</v>
      </c>
      <c r="I958" s="72"/>
      <c r="J958" s="153"/>
      <c r="K958" s="658"/>
    </row>
    <row r="959" spans="1:12" customFormat="1" x14ac:dyDescent="0.25">
      <c r="A959" s="661"/>
      <c r="B959" s="73"/>
      <c r="C959" s="75" t="s">
        <v>8943</v>
      </c>
      <c r="D959" s="73"/>
      <c r="E959" s="73"/>
      <c r="F959" s="73"/>
      <c r="G959" s="74"/>
      <c r="H959" s="153"/>
      <c r="I959" s="72"/>
      <c r="J959" s="153"/>
      <c r="K959" s="658"/>
    </row>
    <row r="960" spans="1:12" customFormat="1" x14ac:dyDescent="0.25">
      <c r="A960" s="661"/>
      <c r="B960" s="73"/>
      <c r="C960" s="73" t="s">
        <v>213</v>
      </c>
      <c r="D960" s="73"/>
      <c r="E960" s="73"/>
      <c r="F960" s="73"/>
      <c r="G960" s="74" t="s">
        <v>3</v>
      </c>
      <c r="H960" s="153">
        <f>0.065*1.395*3*2.7*1.18</f>
        <v>0.86667165000000002</v>
      </c>
      <c r="I960" s="72"/>
      <c r="J960" s="153"/>
      <c r="K960" s="658"/>
    </row>
    <row r="961" spans="1:11" customFormat="1" x14ac:dyDescent="0.25">
      <c r="A961" s="661"/>
      <c r="B961" s="73"/>
      <c r="C961" s="75" t="s">
        <v>8942</v>
      </c>
      <c r="D961" s="73"/>
      <c r="E961" s="73"/>
      <c r="F961" s="73"/>
      <c r="G961" s="74"/>
      <c r="H961" s="153"/>
      <c r="I961" s="72"/>
      <c r="J961" s="153"/>
      <c r="K961" s="658"/>
    </row>
    <row r="962" spans="1:11" customFormat="1" x14ac:dyDescent="0.25">
      <c r="A962" s="661"/>
      <c r="B962" s="73"/>
      <c r="C962" s="73" t="s">
        <v>213</v>
      </c>
      <c r="D962" s="73"/>
      <c r="E962" s="73"/>
      <c r="F962" s="73"/>
      <c r="G962" s="74" t="s">
        <v>3</v>
      </c>
      <c r="H962" s="153">
        <f>0.075*0.27*3*2.7*1.18</f>
        <v>0.19354949999999999</v>
      </c>
      <c r="I962" s="72"/>
      <c r="J962" s="153"/>
      <c r="K962" s="658"/>
    </row>
    <row r="963" spans="1:11" customFormat="1" x14ac:dyDescent="0.25">
      <c r="A963" s="661"/>
      <c r="B963" s="73"/>
      <c r="C963" s="75" t="s">
        <v>8941</v>
      </c>
      <c r="D963" s="73"/>
      <c r="E963" s="73"/>
      <c r="F963" s="73"/>
      <c r="G963" s="74"/>
      <c r="H963" s="153"/>
      <c r="I963" s="72"/>
      <c r="J963" s="153"/>
      <c r="K963" s="658"/>
    </row>
    <row r="964" spans="1:11" customFormat="1" x14ac:dyDescent="0.25">
      <c r="A964" s="661"/>
      <c r="B964" s="73"/>
      <c r="C964" s="73" t="s">
        <v>213</v>
      </c>
      <c r="D964" s="73"/>
      <c r="E964" s="73"/>
      <c r="F964" s="73"/>
      <c r="G964" s="74" t="s">
        <v>3</v>
      </c>
      <c r="H964" s="153">
        <f>0.05*0.83*3*2.7*1.18</f>
        <v>0.39665699999999998</v>
      </c>
      <c r="I964" s="72"/>
      <c r="J964" s="153"/>
      <c r="K964" s="658"/>
    </row>
    <row r="965" spans="1:11" customFormat="1" x14ac:dyDescent="0.25">
      <c r="A965" s="661"/>
      <c r="B965" s="73"/>
      <c r="C965" s="75" t="s">
        <v>8940</v>
      </c>
      <c r="D965" s="73"/>
      <c r="E965" s="73"/>
      <c r="F965" s="73"/>
      <c r="G965" s="74"/>
      <c r="H965" s="153"/>
      <c r="I965" s="72"/>
      <c r="J965" s="153"/>
      <c r="K965" s="658"/>
    </row>
    <row r="966" spans="1:11" customFormat="1" x14ac:dyDescent="0.25">
      <c r="A966" s="661"/>
      <c r="B966" s="73"/>
      <c r="C966" s="73" t="s">
        <v>213</v>
      </c>
      <c r="D966" s="73"/>
      <c r="E966" s="73"/>
      <c r="F966" s="73"/>
      <c r="G966" s="74" t="s">
        <v>3</v>
      </c>
      <c r="H966" s="153">
        <f>0.04*0.03*3*2.7*1.18</f>
        <v>1.1469600000000002E-2</v>
      </c>
      <c r="I966" s="72"/>
      <c r="J966" s="153"/>
      <c r="K966" s="658"/>
    </row>
    <row r="967" spans="1:11" customFormat="1" x14ac:dyDescent="0.25">
      <c r="A967" s="661"/>
      <c r="B967" s="73"/>
      <c r="C967" s="73"/>
      <c r="D967" s="73"/>
      <c r="E967" s="73"/>
      <c r="F967" s="73"/>
      <c r="G967" s="74"/>
      <c r="H967" s="153"/>
      <c r="I967" s="72"/>
      <c r="J967" s="153"/>
      <c r="K967" s="658"/>
    </row>
    <row r="968" spans="1:11" customFormat="1" x14ac:dyDescent="0.25">
      <c r="A968" s="678"/>
      <c r="B968" s="75" t="s">
        <v>8939</v>
      </c>
      <c r="C968" s="73"/>
      <c r="D968" s="73"/>
      <c r="E968" s="73"/>
      <c r="F968" s="73"/>
      <c r="G968" s="74"/>
      <c r="H968" s="153"/>
      <c r="I968" s="72"/>
      <c r="J968" s="2"/>
      <c r="K968" s="658"/>
    </row>
    <row r="969" spans="1:11" customFormat="1" x14ac:dyDescent="0.25">
      <c r="A969" s="661"/>
      <c r="B969" s="580" t="s">
        <v>6724</v>
      </c>
      <c r="C969" s="75"/>
      <c r="D969" s="75"/>
      <c r="E969" s="75"/>
      <c r="F969" s="73"/>
      <c r="G969" s="74" t="s">
        <v>3</v>
      </c>
      <c r="H969" s="427">
        <f>0.65*1.23</f>
        <v>0.79949999999999999</v>
      </c>
      <c r="I969" s="72"/>
      <c r="K969" s="658"/>
    </row>
    <row r="970" spans="1:11" customFormat="1" ht="17.25" x14ac:dyDescent="0.25">
      <c r="A970" s="661"/>
      <c r="B970" s="204" t="s">
        <v>6723</v>
      </c>
      <c r="C970" s="75"/>
      <c r="D970" s="75"/>
      <c r="E970" s="75"/>
      <c r="F970" s="73"/>
      <c r="G970" s="74" t="s">
        <v>596</v>
      </c>
      <c r="H970" s="153">
        <f>1.09*H969</f>
        <v>0.87145500000000009</v>
      </c>
      <c r="I970" s="72"/>
      <c r="J970" s="2"/>
      <c r="K970" s="658"/>
    </row>
    <row r="971" spans="1:11" customFormat="1" x14ac:dyDescent="0.25">
      <c r="A971" s="661"/>
      <c r="B971" s="73" t="s">
        <v>13</v>
      </c>
      <c r="C971" s="73"/>
      <c r="D971" s="73"/>
      <c r="E971" s="73"/>
      <c r="F971" s="73"/>
      <c r="G971" s="74" t="s">
        <v>3</v>
      </c>
      <c r="H971" s="153">
        <v>0.2</v>
      </c>
      <c r="I971" s="72"/>
      <c r="K971" s="658"/>
    </row>
    <row r="972" spans="1:11" customFormat="1" x14ac:dyDescent="0.25">
      <c r="A972" s="661"/>
      <c r="B972" s="73" t="s">
        <v>8932</v>
      </c>
      <c r="C972" s="73"/>
      <c r="D972" s="73"/>
      <c r="E972" s="73"/>
      <c r="F972" s="73"/>
      <c r="G972" s="74" t="s">
        <v>3</v>
      </c>
      <c r="H972" s="153">
        <v>0.25</v>
      </c>
      <c r="I972" s="72"/>
      <c r="J972" s="2"/>
      <c r="K972" s="658"/>
    </row>
    <row r="973" spans="1:11" customFormat="1" x14ac:dyDescent="0.25">
      <c r="A973" s="661"/>
      <c r="B973" s="73" t="s">
        <v>163</v>
      </c>
      <c r="C973" s="73"/>
      <c r="D973" s="73"/>
      <c r="E973" s="73"/>
      <c r="F973" s="73"/>
      <c r="G973" s="74" t="s">
        <v>3</v>
      </c>
      <c r="H973" s="153">
        <v>0.25</v>
      </c>
      <c r="I973" s="72"/>
      <c r="J973" s="2"/>
      <c r="K973" s="658"/>
    </row>
    <row r="974" spans="1:11" customFormat="1" x14ac:dyDescent="0.25">
      <c r="A974" s="661"/>
      <c r="B974" s="73" t="s">
        <v>164</v>
      </c>
      <c r="C974" s="73"/>
      <c r="D974" s="73"/>
      <c r="E974" s="73"/>
      <c r="F974" s="73"/>
      <c r="G974" s="74" t="s">
        <v>3</v>
      </c>
      <c r="H974" s="153">
        <f>0.3*(H973+H972)</f>
        <v>0.15</v>
      </c>
      <c r="I974" s="72"/>
      <c r="J974" s="2"/>
      <c r="K974" s="658"/>
    </row>
    <row r="975" spans="1:11" customFormat="1" x14ac:dyDescent="0.25">
      <c r="A975" s="661"/>
      <c r="B975" s="73" t="s">
        <v>72</v>
      </c>
      <c r="C975" s="73"/>
      <c r="D975" s="73"/>
      <c r="E975" s="73"/>
      <c r="F975" s="73"/>
      <c r="G975" s="74" t="s">
        <v>3</v>
      </c>
      <c r="H975" s="153">
        <f>1.63*0.355*2*0.15*2*1.2089</f>
        <v>0.41971799099999996</v>
      </c>
      <c r="I975" s="72"/>
      <c r="J975" s="10"/>
      <c r="K975" s="658"/>
    </row>
    <row r="976" spans="1:11" customFormat="1" x14ac:dyDescent="0.25">
      <c r="A976" s="661"/>
      <c r="B976" s="73" t="s">
        <v>11</v>
      </c>
      <c r="C976" s="73"/>
      <c r="D976" s="73"/>
      <c r="E976" s="73"/>
      <c r="F976" s="73"/>
      <c r="G976" s="74" t="s">
        <v>3</v>
      </c>
      <c r="H976" s="153">
        <f>0.3*H975</f>
        <v>0.12591539729999998</v>
      </c>
      <c r="I976" s="72"/>
      <c r="J976" s="2"/>
      <c r="K976" s="658"/>
    </row>
    <row r="977" spans="1:11" customFormat="1" x14ac:dyDescent="0.25">
      <c r="A977" s="661"/>
      <c r="B977" s="73"/>
      <c r="C977" s="75" t="s">
        <v>8938</v>
      </c>
      <c r="D977" s="73"/>
      <c r="E977" s="73"/>
      <c r="F977" s="73"/>
      <c r="G977" s="74"/>
      <c r="H977" s="153"/>
      <c r="I977" s="72"/>
      <c r="K977" s="658"/>
    </row>
    <row r="978" spans="1:11" customFormat="1" x14ac:dyDescent="0.25">
      <c r="A978" s="661"/>
      <c r="B978" s="73"/>
      <c r="C978" s="73" t="s">
        <v>213</v>
      </c>
      <c r="D978" s="73"/>
      <c r="E978" s="73"/>
      <c r="F978" s="73"/>
      <c r="G978" s="74" t="s">
        <v>3</v>
      </c>
      <c r="H978" s="153">
        <f>0.065*1.624*3*2.7*1.18</f>
        <v>1.0089424800000002</v>
      </c>
      <c r="I978" s="72"/>
      <c r="J978" s="2"/>
      <c r="K978" s="658"/>
    </row>
    <row r="979" spans="1:11" customFormat="1" x14ac:dyDescent="0.25">
      <c r="A979" s="661"/>
      <c r="B979" s="73"/>
      <c r="C979" s="75" t="s">
        <v>8937</v>
      </c>
      <c r="D979" s="73"/>
      <c r="E979" s="73"/>
      <c r="F979" s="73"/>
      <c r="G979" s="74"/>
      <c r="H979" s="153"/>
      <c r="I979" s="72"/>
      <c r="K979" s="658"/>
    </row>
    <row r="980" spans="1:11" customFormat="1" x14ac:dyDescent="0.25">
      <c r="A980" s="661"/>
      <c r="B980" s="73"/>
      <c r="C980" s="73" t="s">
        <v>213</v>
      </c>
      <c r="D980" s="73"/>
      <c r="E980" s="73"/>
      <c r="F980" s="73"/>
      <c r="G980" s="74" t="s">
        <v>3</v>
      </c>
      <c r="H980" s="153">
        <f>0.05*0.285*3*2.7*1.18</f>
        <v>0.1362015</v>
      </c>
      <c r="I980" s="72"/>
      <c r="J980" s="2"/>
      <c r="K980" s="658"/>
    </row>
    <row r="981" spans="1:11" customFormat="1" x14ac:dyDescent="0.25">
      <c r="A981" s="661"/>
      <c r="B981" s="73"/>
      <c r="C981" s="75" t="s">
        <v>8936</v>
      </c>
      <c r="D981" s="73"/>
      <c r="E981" s="73"/>
      <c r="F981" s="73"/>
      <c r="G981" s="74"/>
      <c r="H981" s="153"/>
      <c r="I981" s="72"/>
      <c r="K981" s="658"/>
    </row>
    <row r="982" spans="1:11" customFormat="1" x14ac:dyDescent="0.25">
      <c r="A982" s="661"/>
      <c r="B982" s="73"/>
      <c r="C982" s="73" t="s">
        <v>213</v>
      </c>
      <c r="D982" s="73"/>
      <c r="E982" s="73"/>
      <c r="F982" s="73"/>
      <c r="G982" s="74" t="s">
        <v>3</v>
      </c>
      <c r="H982" s="153">
        <f>0.05*0.47*3*2.7*1.18</f>
        <v>0.22461300000000001</v>
      </c>
      <c r="I982" s="72"/>
      <c r="J982" s="2"/>
      <c r="K982" s="658"/>
    </row>
    <row r="983" spans="1:11" customFormat="1" x14ac:dyDescent="0.25">
      <c r="A983" s="661"/>
      <c r="B983" s="73"/>
      <c r="C983" s="75" t="s">
        <v>8935</v>
      </c>
      <c r="D983" s="73"/>
      <c r="E983" s="73"/>
      <c r="F983" s="73"/>
      <c r="G983" s="74"/>
      <c r="H983" s="153"/>
      <c r="I983" s="72"/>
      <c r="K983" s="658"/>
    </row>
    <row r="984" spans="1:11" customFormat="1" x14ac:dyDescent="0.25">
      <c r="A984" s="661"/>
      <c r="B984" s="73"/>
      <c r="C984" s="73" t="s">
        <v>213</v>
      </c>
      <c r="D984" s="73"/>
      <c r="E984" s="73"/>
      <c r="F984" s="73"/>
      <c r="G984" s="74" t="s">
        <v>3</v>
      </c>
      <c r="H984" s="153">
        <f>1.68*0.405*3*2.7*1.18</f>
        <v>6.5032631999999992</v>
      </c>
      <c r="I984" s="72"/>
      <c r="J984" s="2"/>
      <c r="K984" s="658"/>
    </row>
    <row r="985" spans="1:11" customFormat="1" x14ac:dyDescent="0.25">
      <c r="A985" s="661"/>
      <c r="B985" s="73"/>
      <c r="C985" s="73"/>
      <c r="D985" s="73"/>
      <c r="E985" s="73"/>
      <c r="F985" s="73"/>
      <c r="G985" s="74"/>
      <c r="H985" s="153"/>
      <c r="I985" s="72"/>
      <c r="K985" s="658"/>
    </row>
    <row r="986" spans="1:11" customFormat="1" x14ac:dyDescent="0.25">
      <c r="A986" s="678"/>
      <c r="B986" s="75" t="s">
        <v>8934</v>
      </c>
      <c r="C986" s="73"/>
      <c r="D986" s="73"/>
      <c r="E986" s="73"/>
      <c r="F986" s="73"/>
      <c r="G986" s="74"/>
      <c r="H986" s="153"/>
      <c r="I986" s="72"/>
      <c r="J986" s="2"/>
      <c r="K986" s="658"/>
    </row>
    <row r="987" spans="1:11" customFormat="1" x14ac:dyDescent="0.25">
      <c r="A987" s="661"/>
      <c r="B987" s="580" t="s">
        <v>6724</v>
      </c>
      <c r="C987" s="75"/>
      <c r="D987" s="75"/>
      <c r="E987" s="75"/>
      <c r="F987" s="73"/>
      <c r="G987" s="74" t="s">
        <v>3</v>
      </c>
      <c r="H987" s="427">
        <f>0.65*1.23</f>
        <v>0.79949999999999999</v>
      </c>
      <c r="I987" s="72"/>
      <c r="K987" s="658"/>
    </row>
    <row r="988" spans="1:11" customFormat="1" ht="17.25" x14ac:dyDescent="0.25">
      <c r="A988" s="661"/>
      <c r="B988" s="204" t="s">
        <v>6723</v>
      </c>
      <c r="C988" s="75"/>
      <c r="D988" s="75"/>
      <c r="E988" s="75"/>
      <c r="F988" s="73"/>
      <c r="G988" s="74" t="s">
        <v>596</v>
      </c>
      <c r="H988" s="153">
        <f>1.09*H987</f>
        <v>0.87145500000000009</v>
      </c>
      <c r="I988" s="72"/>
      <c r="K988" s="658"/>
    </row>
    <row r="989" spans="1:11" customFormat="1" x14ac:dyDescent="0.25">
      <c r="A989" s="661"/>
      <c r="B989" s="73" t="s">
        <v>13</v>
      </c>
      <c r="C989" s="73"/>
      <c r="D989" s="73"/>
      <c r="E989" s="73"/>
      <c r="F989" s="73"/>
      <c r="G989" s="74" t="s">
        <v>3</v>
      </c>
      <c r="H989" s="153">
        <v>0.2</v>
      </c>
      <c r="I989" s="72"/>
      <c r="K989" s="658"/>
    </row>
    <row r="990" spans="1:11" customFormat="1" x14ac:dyDescent="0.25">
      <c r="A990" s="661"/>
      <c r="B990" s="73" t="s">
        <v>8932</v>
      </c>
      <c r="C990" s="73"/>
      <c r="D990" s="73"/>
      <c r="E990" s="73"/>
      <c r="F990" s="73"/>
      <c r="G990" s="74" t="s">
        <v>3</v>
      </c>
      <c r="H990" s="153">
        <v>0.25</v>
      </c>
      <c r="I990" s="72"/>
      <c r="K990" s="658"/>
    </row>
    <row r="991" spans="1:11" customFormat="1" x14ac:dyDescent="0.25">
      <c r="A991" s="661"/>
      <c r="B991" s="73" t="s">
        <v>163</v>
      </c>
      <c r="C991" s="73"/>
      <c r="D991" s="73"/>
      <c r="E991" s="73"/>
      <c r="F991" s="73"/>
      <c r="G991" s="74" t="s">
        <v>3</v>
      </c>
      <c r="H991" s="153">
        <v>0.25</v>
      </c>
      <c r="I991" s="72"/>
      <c r="K991" s="658"/>
    </row>
    <row r="992" spans="1:11" customFormat="1" x14ac:dyDescent="0.25">
      <c r="A992" s="661"/>
      <c r="B992" s="73" t="s">
        <v>164</v>
      </c>
      <c r="C992" s="73"/>
      <c r="D992" s="73"/>
      <c r="E992" s="73"/>
      <c r="F992" s="73"/>
      <c r="G992" s="74" t="s">
        <v>3</v>
      </c>
      <c r="H992" s="153">
        <f>0.3*(H991+H990)</f>
        <v>0.15</v>
      </c>
      <c r="I992" s="72"/>
      <c r="K992" s="658"/>
    </row>
    <row r="993" spans="1:11" customFormat="1" x14ac:dyDescent="0.25">
      <c r="A993" s="661"/>
      <c r="B993" s="73" t="s">
        <v>72</v>
      </c>
      <c r="C993" s="73"/>
      <c r="D993" s="73"/>
      <c r="E993" s="73"/>
      <c r="F993" s="73"/>
      <c r="G993" s="74" t="s">
        <v>3</v>
      </c>
      <c r="H993" s="153">
        <f>1.63*0.355*2*0.15*2*1.2089</f>
        <v>0.41971799099999996</v>
      </c>
      <c r="I993" s="72"/>
      <c r="K993" s="658"/>
    </row>
    <row r="994" spans="1:11" customFormat="1" x14ac:dyDescent="0.25">
      <c r="A994" s="661"/>
      <c r="B994" s="73" t="s">
        <v>11</v>
      </c>
      <c r="C994" s="73"/>
      <c r="D994" s="73"/>
      <c r="E994" s="73"/>
      <c r="F994" s="73"/>
      <c r="G994" s="74" t="s">
        <v>3</v>
      </c>
      <c r="H994" s="153">
        <f>0.3*H993</f>
        <v>0.12591539729999998</v>
      </c>
      <c r="I994" s="72"/>
      <c r="K994" s="658"/>
    </row>
    <row r="995" spans="1:11" customFormat="1" x14ac:dyDescent="0.25">
      <c r="A995" s="661"/>
      <c r="B995" s="73"/>
      <c r="C995" s="73"/>
      <c r="D995" s="73"/>
      <c r="E995" s="73"/>
      <c r="F995" s="73"/>
      <c r="G995" s="74"/>
      <c r="H995" s="153"/>
      <c r="I995" s="72"/>
      <c r="K995" s="658"/>
    </row>
    <row r="996" spans="1:11" customFormat="1" x14ac:dyDescent="0.25">
      <c r="A996" s="678"/>
      <c r="B996" s="75" t="s">
        <v>8933</v>
      </c>
      <c r="C996" s="73"/>
      <c r="D996" s="73"/>
      <c r="E996" s="73"/>
      <c r="F996" s="73"/>
      <c r="G996" s="74"/>
      <c r="H996" s="153"/>
      <c r="I996" s="72"/>
      <c r="K996" s="658"/>
    </row>
    <row r="997" spans="1:11" customFormat="1" x14ac:dyDescent="0.25">
      <c r="A997" s="661"/>
      <c r="B997" s="580" t="s">
        <v>6724</v>
      </c>
      <c r="C997" s="75"/>
      <c r="D997" s="75"/>
      <c r="E997" s="75"/>
      <c r="F997" s="73"/>
      <c r="G997" s="74" t="s">
        <v>3</v>
      </c>
      <c r="H997" s="427">
        <f>0.65*0.04*1.2</f>
        <v>3.1200000000000002E-2</v>
      </c>
      <c r="I997" s="72"/>
      <c r="K997" s="658"/>
    </row>
    <row r="998" spans="1:11" customFormat="1" ht="17.25" x14ac:dyDescent="0.25">
      <c r="A998" s="661"/>
      <c r="B998" s="204" t="s">
        <v>6723</v>
      </c>
      <c r="C998" s="75"/>
      <c r="D998" s="75"/>
      <c r="E998" s="75"/>
      <c r="F998" s="73"/>
      <c r="G998" s="74" t="s">
        <v>596</v>
      </c>
      <c r="H998" s="153">
        <f>1.09*H997</f>
        <v>3.4008000000000004E-2</v>
      </c>
      <c r="I998" s="72"/>
      <c r="K998" s="658"/>
    </row>
    <row r="999" spans="1:11" customFormat="1" x14ac:dyDescent="0.25">
      <c r="A999" s="661"/>
      <c r="B999" s="73" t="s">
        <v>13</v>
      </c>
      <c r="C999" s="73"/>
      <c r="D999" s="73"/>
      <c r="E999" s="73"/>
      <c r="F999" s="73"/>
      <c r="G999" s="74" t="s">
        <v>3</v>
      </c>
      <c r="H999" s="153">
        <v>0.15</v>
      </c>
      <c r="I999" s="72"/>
      <c r="K999" s="658"/>
    </row>
    <row r="1000" spans="1:11" customFormat="1" x14ac:dyDescent="0.25">
      <c r="A1000" s="661"/>
      <c r="B1000" s="73" t="s">
        <v>8932</v>
      </c>
      <c r="C1000" s="73"/>
      <c r="D1000" s="73"/>
      <c r="E1000" s="73"/>
      <c r="F1000" s="73"/>
      <c r="G1000" s="74" t="s">
        <v>3</v>
      </c>
      <c r="H1000" s="153">
        <v>0.01</v>
      </c>
      <c r="I1000" s="72"/>
      <c r="K1000" s="658"/>
    </row>
    <row r="1001" spans="1:11" customFormat="1" x14ac:dyDescent="0.25">
      <c r="A1001" s="661"/>
      <c r="B1001" s="73" t="s">
        <v>163</v>
      </c>
      <c r="C1001" s="73"/>
      <c r="D1001" s="73"/>
      <c r="E1001" s="73"/>
      <c r="F1001" s="73"/>
      <c r="G1001" s="74" t="s">
        <v>3</v>
      </c>
      <c r="H1001" s="153">
        <v>0.01</v>
      </c>
      <c r="I1001" s="72"/>
      <c r="K1001" s="658"/>
    </row>
    <row r="1002" spans="1:11" customFormat="1" x14ac:dyDescent="0.25">
      <c r="A1002" s="661"/>
      <c r="B1002" s="73" t="s">
        <v>164</v>
      </c>
      <c r="C1002" s="73"/>
      <c r="D1002" s="73"/>
      <c r="E1002" s="73"/>
      <c r="F1002" s="73"/>
      <c r="G1002" s="74" t="s">
        <v>3</v>
      </c>
      <c r="H1002" s="153">
        <f>0.3*(H1001+H1000)</f>
        <v>6.0000000000000001E-3</v>
      </c>
      <c r="I1002" s="72"/>
      <c r="K1002" s="658"/>
    </row>
    <row r="1003" spans="1:11" customFormat="1" x14ac:dyDescent="0.25">
      <c r="A1003" s="661"/>
      <c r="B1003" s="73" t="s">
        <v>72</v>
      </c>
      <c r="C1003" s="73"/>
      <c r="D1003" s="73"/>
      <c r="E1003" s="73"/>
      <c r="F1003" s="73"/>
      <c r="G1003" s="74" t="s">
        <v>3</v>
      </c>
      <c r="H1003" s="153">
        <v>1.4999999999999999E-2</v>
      </c>
      <c r="I1003" s="72"/>
      <c r="K1003" s="658"/>
    </row>
    <row r="1004" spans="1:11" customFormat="1" x14ac:dyDescent="0.25">
      <c r="A1004" s="661"/>
      <c r="B1004" s="73" t="s">
        <v>11</v>
      </c>
      <c r="C1004" s="73"/>
      <c r="D1004" s="73"/>
      <c r="E1004" s="73"/>
      <c r="F1004" s="73"/>
      <c r="G1004" s="74" t="s">
        <v>3</v>
      </c>
      <c r="H1004" s="153">
        <f>0.3*H1003</f>
        <v>4.4999999999999997E-3</v>
      </c>
      <c r="I1004" s="72"/>
      <c r="K1004" s="658"/>
    </row>
    <row r="1005" spans="1:11" customFormat="1" x14ac:dyDescent="0.25">
      <c r="A1005" s="661"/>
      <c r="B1005" s="73"/>
      <c r="C1005" s="75" t="s">
        <v>8931</v>
      </c>
      <c r="D1005" s="73"/>
      <c r="E1005" s="73"/>
      <c r="F1005" s="73"/>
      <c r="G1005" s="74"/>
      <c r="H1005" s="153"/>
      <c r="I1005" s="72"/>
      <c r="K1005" s="658"/>
    </row>
    <row r="1006" spans="1:11" customFormat="1" x14ac:dyDescent="0.25">
      <c r="A1006" s="661"/>
      <c r="B1006" s="73"/>
      <c r="C1006" s="73" t="s">
        <v>213</v>
      </c>
      <c r="D1006" s="73"/>
      <c r="E1006" s="73"/>
      <c r="F1006" s="73"/>
      <c r="G1006" s="74" t="s">
        <v>3</v>
      </c>
      <c r="H1006" s="153">
        <f>0.195*0.07*3*2.7*1.12</f>
        <v>0.12383280000000003</v>
      </c>
      <c r="I1006" s="72"/>
      <c r="K1006" s="658"/>
    </row>
    <row r="1007" spans="1:11" customFormat="1" x14ac:dyDescent="0.25">
      <c r="A1007" s="661"/>
      <c r="B1007" s="73"/>
      <c r="C1007" s="75" t="s">
        <v>8930</v>
      </c>
      <c r="D1007" s="73"/>
      <c r="E1007" s="73"/>
      <c r="F1007" s="73"/>
      <c r="G1007" s="74"/>
      <c r="H1007" s="153"/>
      <c r="I1007" s="72"/>
      <c r="K1007" s="658"/>
    </row>
    <row r="1008" spans="1:11" customFormat="1" x14ac:dyDescent="0.25">
      <c r="A1008" s="661"/>
      <c r="B1008" s="73"/>
      <c r="C1008" s="73" t="s">
        <v>8928</v>
      </c>
      <c r="D1008" s="73"/>
      <c r="E1008" s="73"/>
      <c r="F1008" s="73"/>
      <c r="G1008" s="74" t="s">
        <v>3</v>
      </c>
      <c r="H1008" s="153">
        <f>1.72*0.0755</f>
        <v>0.12986</v>
      </c>
      <c r="I1008" s="72"/>
      <c r="K1008" s="658"/>
    </row>
    <row r="1009" spans="1:11" customFormat="1" x14ac:dyDescent="0.25">
      <c r="A1009" s="661"/>
      <c r="B1009" s="73"/>
      <c r="C1009" s="75" t="s">
        <v>8929</v>
      </c>
      <c r="D1009" s="73"/>
      <c r="E1009" s="73"/>
      <c r="F1009" s="73"/>
      <c r="G1009" s="74"/>
      <c r="H1009" s="153"/>
      <c r="I1009" s="72"/>
      <c r="K1009" s="658"/>
    </row>
    <row r="1010" spans="1:11" customFormat="1" x14ac:dyDescent="0.25">
      <c r="A1010" s="661"/>
      <c r="B1010" s="73"/>
      <c r="C1010" s="73" t="s">
        <v>8928</v>
      </c>
      <c r="D1010" s="73"/>
      <c r="E1010" s="73"/>
      <c r="F1010" s="73"/>
      <c r="G1010" s="74" t="s">
        <v>3</v>
      </c>
      <c r="H1010" s="153">
        <f>1.72*0.0755</f>
        <v>0.12986</v>
      </c>
      <c r="I1010" s="72"/>
      <c r="K1010" s="658"/>
    </row>
    <row r="1011" spans="1:11" customFormat="1" x14ac:dyDescent="0.25">
      <c r="A1011" s="661"/>
      <c r="B1011" s="73"/>
      <c r="C1011" s="73"/>
      <c r="D1011" s="73"/>
      <c r="E1011" s="73"/>
      <c r="F1011" s="73"/>
      <c r="G1011" s="74"/>
      <c r="H1011" s="153"/>
      <c r="I1011" s="72"/>
      <c r="K1011" s="658"/>
    </row>
    <row r="1012" spans="1:11" customFormat="1" x14ac:dyDescent="0.25">
      <c r="A1012" s="678"/>
      <c r="B1012" s="75" t="s">
        <v>8927</v>
      </c>
      <c r="C1012" s="73"/>
      <c r="D1012" s="73"/>
      <c r="E1012" s="73"/>
      <c r="F1012" s="73"/>
      <c r="G1012" s="74"/>
      <c r="H1012" s="153"/>
      <c r="I1012" s="72"/>
      <c r="K1012" s="658"/>
    </row>
    <row r="1013" spans="1:11" customFormat="1" x14ac:dyDescent="0.25">
      <c r="A1013" s="661"/>
      <c r="B1013" s="73" t="s">
        <v>671</v>
      </c>
      <c r="C1013" s="73"/>
      <c r="D1013" s="73"/>
      <c r="E1013" s="73"/>
      <c r="F1013" s="73"/>
      <c r="G1013" s="74" t="s">
        <v>3</v>
      </c>
      <c r="H1013" s="153">
        <v>8.0000000000000002E-3</v>
      </c>
      <c r="I1013" s="72"/>
      <c r="K1013" s="658"/>
    </row>
    <row r="1014" spans="1:11" customFormat="1" x14ac:dyDescent="0.25">
      <c r="A1014" s="661"/>
      <c r="B1014" s="73" t="s">
        <v>672</v>
      </c>
      <c r="C1014" s="73"/>
      <c r="D1014" s="73"/>
      <c r="E1014" s="73"/>
      <c r="F1014" s="73"/>
      <c r="G1014" s="74" t="s">
        <v>3</v>
      </c>
      <c r="H1014" s="153">
        <f>2.5*H1013</f>
        <v>0.02</v>
      </c>
      <c r="I1014" s="72"/>
      <c r="K1014" s="658"/>
    </row>
    <row r="1015" spans="1:11" customFormat="1" x14ac:dyDescent="0.25">
      <c r="A1015" s="661"/>
      <c r="B1015" s="73"/>
      <c r="C1015" s="75" t="s">
        <v>8926</v>
      </c>
      <c r="D1015" s="73"/>
      <c r="E1015" s="73"/>
      <c r="F1015" s="73"/>
      <c r="G1015" s="74"/>
      <c r="H1015" s="153"/>
      <c r="I1015" s="72"/>
      <c r="K1015" s="658"/>
    </row>
    <row r="1016" spans="1:11" customFormat="1" x14ac:dyDescent="0.25">
      <c r="A1016" s="661"/>
      <c r="B1016" s="73"/>
      <c r="C1016" s="73" t="s">
        <v>8925</v>
      </c>
      <c r="D1016" s="73"/>
      <c r="E1016" s="73"/>
      <c r="F1016" s="73"/>
      <c r="G1016" s="74" t="s">
        <v>195</v>
      </c>
      <c r="H1016" s="153">
        <v>2.52</v>
      </c>
      <c r="I1016" s="72"/>
      <c r="K1016" s="658"/>
    </row>
    <row r="1017" spans="1:11" customFormat="1" x14ac:dyDescent="0.25">
      <c r="A1017" s="661"/>
      <c r="B1017" s="73"/>
      <c r="C1017" s="73"/>
      <c r="D1017" s="73"/>
      <c r="E1017" s="73"/>
      <c r="F1017" s="73"/>
      <c r="G1017" s="74"/>
      <c r="H1017" s="153"/>
      <c r="I1017" s="72"/>
      <c r="K1017" s="658"/>
    </row>
    <row r="1018" spans="1:11" customFormat="1" x14ac:dyDescent="0.25">
      <c r="A1018" s="678"/>
      <c r="B1018" s="75" t="s">
        <v>8924</v>
      </c>
      <c r="C1018" s="73"/>
      <c r="D1018" s="73"/>
      <c r="E1018" s="73"/>
      <c r="F1018" s="73"/>
      <c r="G1018" s="74"/>
      <c r="H1018" s="153"/>
      <c r="I1018" s="72"/>
      <c r="K1018" s="658"/>
    </row>
    <row r="1019" spans="1:11" customFormat="1" x14ac:dyDescent="0.25">
      <c r="A1019" s="661"/>
      <c r="B1019" s="73"/>
      <c r="C1019" s="75" t="s">
        <v>8923</v>
      </c>
      <c r="D1019" s="73"/>
      <c r="E1019" s="73"/>
      <c r="F1019" s="73"/>
      <c r="G1019" s="74"/>
      <c r="H1019" s="153"/>
      <c r="I1019" s="72"/>
      <c r="K1019" s="658"/>
    </row>
    <row r="1020" spans="1:11" customFormat="1" x14ac:dyDescent="0.25">
      <c r="A1020" s="661"/>
      <c r="B1020" s="73"/>
      <c r="C1020" s="73" t="s">
        <v>140</v>
      </c>
      <c r="D1020" s="73"/>
      <c r="E1020" s="73"/>
      <c r="F1020" s="73"/>
      <c r="G1020" s="74" t="s">
        <v>3</v>
      </c>
      <c r="H1020" s="153">
        <f>0.032*0.08*1.2</f>
        <v>3.0720000000000001E-3</v>
      </c>
      <c r="I1020" s="72"/>
      <c r="K1020" s="658"/>
    </row>
    <row r="1021" spans="1:11" customFormat="1" ht="17.25" x14ac:dyDescent="0.25">
      <c r="A1021" s="661"/>
      <c r="B1021" s="73"/>
      <c r="C1021" s="73" t="s">
        <v>23</v>
      </c>
      <c r="D1021" s="73"/>
      <c r="E1021" s="73"/>
      <c r="F1021" s="73"/>
      <c r="G1021" s="74" t="s">
        <v>596</v>
      </c>
      <c r="H1021" s="153">
        <f>H1020*2</f>
        <v>6.1440000000000002E-3</v>
      </c>
      <c r="I1021" s="72"/>
      <c r="K1021" s="658"/>
    </row>
    <row r="1022" spans="1:11" customFormat="1" x14ac:dyDescent="0.25">
      <c r="A1022" s="661"/>
      <c r="B1022" s="73"/>
      <c r="C1022" s="73" t="s">
        <v>142</v>
      </c>
      <c r="D1022" s="73"/>
      <c r="E1022" s="73"/>
      <c r="F1022" s="73"/>
      <c r="G1022" s="74" t="s">
        <v>3</v>
      </c>
      <c r="H1022" s="153">
        <f>H1020/4</f>
        <v>7.6800000000000002E-4</v>
      </c>
      <c r="I1022" s="72"/>
      <c r="K1022" s="658"/>
    </row>
    <row r="1023" spans="1:11" customFormat="1" x14ac:dyDescent="0.25">
      <c r="A1023" s="661"/>
      <c r="B1023" s="73"/>
      <c r="C1023" s="73" t="s">
        <v>143</v>
      </c>
      <c r="D1023" s="73"/>
      <c r="E1023" s="73"/>
      <c r="F1023" s="73"/>
      <c r="G1023" s="74" t="s">
        <v>3</v>
      </c>
      <c r="H1023" s="153">
        <f>H1025</f>
        <v>1.0449999999999999E-2</v>
      </c>
      <c r="I1023" s="72"/>
      <c r="K1023" s="658"/>
    </row>
    <row r="1024" spans="1:11" customFormat="1" x14ac:dyDescent="0.25">
      <c r="A1024" s="661"/>
      <c r="B1024" s="73"/>
      <c r="C1024" s="73" t="s">
        <v>8</v>
      </c>
      <c r="D1024" s="73"/>
      <c r="E1024" s="73"/>
      <c r="F1024" s="73"/>
      <c r="G1024" s="74" t="s">
        <v>3</v>
      </c>
      <c r="H1024" s="153">
        <f>H1025</f>
        <v>1.0449999999999999E-2</v>
      </c>
      <c r="I1024" s="72"/>
      <c r="K1024" s="658"/>
    </row>
    <row r="1025" spans="1:11" customFormat="1" x14ac:dyDescent="0.25">
      <c r="A1025" s="661"/>
      <c r="B1025" s="73"/>
      <c r="C1025" s="73" t="s">
        <v>115</v>
      </c>
      <c r="D1025" s="73"/>
      <c r="E1025" s="73"/>
      <c r="F1025" s="73"/>
      <c r="G1025" s="74" t="s">
        <v>3</v>
      </c>
      <c r="H1025" s="153">
        <f>0.38*0.011*2*1.25</f>
        <v>1.0449999999999999E-2</v>
      </c>
      <c r="I1025" s="72"/>
      <c r="K1025" s="658"/>
    </row>
    <row r="1026" spans="1:11" customFormat="1" x14ac:dyDescent="0.25">
      <c r="A1026" s="661"/>
      <c r="B1026" s="73"/>
      <c r="C1026" s="73" t="s">
        <v>12</v>
      </c>
      <c r="D1026" s="73"/>
      <c r="E1026" s="73"/>
      <c r="F1026" s="73"/>
      <c r="G1026" s="74" t="s">
        <v>3</v>
      </c>
      <c r="H1026" s="153">
        <f>0.3*(H1025+H1024+H1023)</f>
        <v>9.4049999999999984E-3</v>
      </c>
      <c r="I1026" s="72"/>
      <c r="K1026" s="658"/>
    </row>
    <row r="1027" spans="1:11" customFormat="1" x14ac:dyDescent="0.25">
      <c r="A1027" s="661"/>
      <c r="B1027" s="73"/>
      <c r="C1027" s="73"/>
      <c r="D1027" s="75" t="s">
        <v>8922</v>
      </c>
      <c r="E1027" s="73"/>
      <c r="F1027" s="73"/>
      <c r="G1027" s="74"/>
      <c r="H1027" s="153"/>
      <c r="I1027" s="72"/>
      <c r="K1027" s="658"/>
    </row>
    <row r="1028" spans="1:11" customFormat="1" x14ac:dyDescent="0.25">
      <c r="A1028" s="661"/>
      <c r="B1028" s="73"/>
      <c r="C1028" s="73"/>
      <c r="D1028" s="73" t="s">
        <v>408</v>
      </c>
      <c r="E1028" s="73"/>
      <c r="F1028" s="73"/>
      <c r="G1028" s="74" t="s">
        <v>3</v>
      </c>
      <c r="H1028" s="153">
        <v>9.5000000000000001E-2</v>
      </c>
      <c r="I1028" s="72"/>
      <c r="J1028" t="s">
        <v>8921</v>
      </c>
      <c r="K1028" s="658"/>
    </row>
    <row r="1029" spans="1:11" customFormat="1" x14ac:dyDescent="0.25">
      <c r="A1029" s="661"/>
      <c r="B1029" s="73"/>
      <c r="C1029" s="75" t="s">
        <v>8920</v>
      </c>
      <c r="D1029" s="73"/>
      <c r="E1029" s="73"/>
      <c r="F1029" s="73"/>
      <c r="G1029" s="153"/>
      <c r="H1029" s="153"/>
      <c r="I1029" s="72"/>
      <c r="K1029" s="658"/>
    </row>
    <row r="1030" spans="1:11" customFormat="1" x14ac:dyDescent="0.25">
      <c r="A1030" s="661"/>
      <c r="B1030" s="73"/>
      <c r="C1030" s="73" t="s">
        <v>140</v>
      </c>
      <c r="D1030" s="73"/>
      <c r="E1030" s="73"/>
      <c r="F1030" s="73"/>
      <c r="G1030" s="74" t="s">
        <v>3</v>
      </c>
      <c r="H1030" s="153">
        <f>0.065*0.08*1.2</f>
        <v>6.2400000000000008E-3</v>
      </c>
      <c r="I1030" s="72"/>
      <c r="K1030" s="658"/>
    </row>
    <row r="1031" spans="1:11" customFormat="1" ht="17.25" x14ac:dyDescent="0.25">
      <c r="A1031" s="661"/>
      <c r="B1031" s="73"/>
      <c r="C1031" s="73" t="s">
        <v>23</v>
      </c>
      <c r="D1031" s="73"/>
      <c r="E1031" s="73"/>
      <c r="F1031" s="73"/>
      <c r="G1031" s="74" t="s">
        <v>596</v>
      </c>
      <c r="H1031" s="153">
        <f>H1030*2</f>
        <v>1.2480000000000002E-2</v>
      </c>
      <c r="I1031" s="72"/>
      <c r="K1031" s="658"/>
    </row>
    <row r="1032" spans="1:11" customFormat="1" x14ac:dyDescent="0.25">
      <c r="A1032" s="661"/>
      <c r="B1032" s="73"/>
      <c r="C1032" s="73" t="s">
        <v>142</v>
      </c>
      <c r="D1032" s="73"/>
      <c r="E1032" s="73"/>
      <c r="F1032" s="73"/>
      <c r="G1032" s="74" t="s">
        <v>3</v>
      </c>
      <c r="H1032" s="153">
        <f>H1030/4</f>
        <v>1.5600000000000002E-3</v>
      </c>
      <c r="I1032" s="72"/>
      <c r="K1032" s="658"/>
    </row>
    <row r="1033" spans="1:11" customFormat="1" x14ac:dyDescent="0.25">
      <c r="A1033" s="661"/>
      <c r="B1033" s="73"/>
      <c r="C1033" s="73" t="s">
        <v>143</v>
      </c>
      <c r="D1033" s="73"/>
      <c r="E1033" s="73"/>
      <c r="F1033" s="73"/>
      <c r="G1033" s="74" t="s">
        <v>3</v>
      </c>
      <c r="H1033" s="153">
        <f>H1035</f>
        <v>1.0296E-2</v>
      </c>
      <c r="I1033" s="72"/>
      <c r="K1033" s="658"/>
    </row>
    <row r="1034" spans="1:11" customFormat="1" x14ac:dyDescent="0.25">
      <c r="A1034" s="661"/>
      <c r="B1034" s="73"/>
      <c r="C1034" s="73" t="s">
        <v>8</v>
      </c>
      <c r="D1034" s="73"/>
      <c r="E1034" s="73"/>
      <c r="F1034" s="73"/>
      <c r="G1034" s="74" t="s">
        <v>3</v>
      </c>
      <c r="H1034" s="153">
        <f>H1035</f>
        <v>1.0296E-2</v>
      </c>
      <c r="I1034" s="72"/>
      <c r="K1034" s="658"/>
    </row>
    <row r="1035" spans="1:11" customFormat="1" x14ac:dyDescent="0.25">
      <c r="A1035" s="661"/>
      <c r="B1035" s="73"/>
      <c r="C1035" s="73" t="s">
        <v>115</v>
      </c>
      <c r="D1035" s="73"/>
      <c r="E1035" s="73"/>
      <c r="F1035" s="73"/>
      <c r="G1035" s="74" t="s">
        <v>3</v>
      </c>
      <c r="H1035" s="153">
        <f>0.36*0.011*2*1.3</f>
        <v>1.0296E-2</v>
      </c>
      <c r="I1035" s="72"/>
      <c r="K1035" s="658"/>
    </row>
    <row r="1036" spans="1:11" customFormat="1" x14ac:dyDescent="0.25">
      <c r="A1036" s="661"/>
      <c r="B1036" s="73"/>
      <c r="C1036" s="73" t="s">
        <v>12</v>
      </c>
      <c r="D1036" s="73"/>
      <c r="E1036" s="73"/>
      <c r="F1036" s="73"/>
      <c r="G1036" s="74" t="s">
        <v>3</v>
      </c>
      <c r="H1036" s="153">
        <f>0.3*(H1035+H1034+H1033)</f>
        <v>9.2663999999999993E-3</v>
      </c>
      <c r="I1036" s="72"/>
      <c r="K1036" s="658"/>
    </row>
    <row r="1037" spans="1:11" customFormat="1" x14ac:dyDescent="0.25">
      <c r="A1037" s="661"/>
      <c r="B1037" s="73"/>
      <c r="C1037" s="73"/>
      <c r="D1037" s="75" t="s">
        <v>8919</v>
      </c>
      <c r="E1037" s="73"/>
      <c r="F1037" s="73"/>
      <c r="G1037" s="74"/>
      <c r="H1037" s="153"/>
      <c r="I1037" s="72"/>
      <c r="K1037" s="658"/>
    </row>
    <row r="1038" spans="1:11" customFormat="1" x14ac:dyDescent="0.25">
      <c r="A1038" s="661"/>
      <c r="B1038" s="73"/>
      <c r="C1038" s="73"/>
      <c r="D1038" s="73" t="s">
        <v>928</v>
      </c>
      <c r="E1038" s="73"/>
      <c r="F1038" s="73"/>
      <c r="G1038" s="74" t="s">
        <v>3</v>
      </c>
      <c r="H1038" s="153">
        <v>0.09</v>
      </c>
      <c r="I1038" s="72"/>
      <c r="J1038" t="s">
        <v>8918</v>
      </c>
      <c r="K1038" s="658"/>
    </row>
    <row r="1039" spans="1:11" customFormat="1" x14ac:dyDescent="0.25">
      <c r="A1039" s="661"/>
      <c r="B1039" s="73"/>
      <c r="C1039" s="75" t="s">
        <v>8917</v>
      </c>
      <c r="D1039" s="73"/>
      <c r="E1039" s="73"/>
      <c r="F1039" s="73"/>
      <c r="G1039" s="74"/>
      <c r="H1039" s="153"/>
      <c r="I1039" s="72"/>
      <c r="K1039" s="658"/>
    </row>
    <row r="1040" spans="1:11" customFormat="1" x14ac:dyDescent="0.25">
      <c r="A1040" s="661"/>
      <c r="B1040" s="73"/>
      <c r="C1040" s="73" t="s">
        <v>8916</v>
      </c>
      <c r="D1040" s="73"/>
      <c r="E1040" s="73"/>
      <c r="F1040" s="73"/>
      <c r="G1040" s="74" t="s">
        <v>195</v>
      </c>
      <c r="H1040" s="153">
        <v>0.25</v>
      </c>
      <c r="I1040" s="72"/>
      <c r="K1040" s="658"/>
    </row>
    <row r="1041" spans="1:11" customFormat="1" x14ac:dyDescent="0.25">
      <c r="A1041" s="661"/>
      <c r="B1041" s="73"/>
      <c r="C1041" s="73"/>
      <c r="D1041" s="73"/>
      <c r="E1041" s="73"/>
      <c r="F1041" s="73"/>
      <c r="G1041" s="74"/>
      <c r="H1041" s="153"/>
      <c r="I1041" s="72"/>
      <c r="K1041" s="658"/>
    </row>
    <row r="1042" spans="1:11" customFormat="1" x14ac:dyDescent="0.25">
      <c r="A1042" s="678"/>
      <c r="B1042" s="75" t="s">
        <v>8915</v>
      </c>
      <c r="C1042" s="73"/>
      <c r="D1042" s="73"/>
      <c r="E1042" s="73"/>
      <c r="F1042" s="73"/>
      <c r="G1042" s="74"/>
      <c r="H1042" s="153"/>
      <c r="I1042" s="72"/>
      <c r="K1042" s="658"/>
    </row>
    <row r="1043" spans="1:11" customFormat="1" x14ac:dyDescent="0.25">
      <c r="A1043" s="661"/>
      <c r="B1043" s="73"/>
      <c r="C1043" s="75" t="s">
        <v>8914</v>
      </c>
      <c r="D1043" s="73"/>
      <c r="E1043" s="73"/>
      <c r="F1043" s="73"/>
      <c r="G1043" s="74"/>
      <c r="H1043" s="153"/>
      <c r="I1043" s="72"/>
      <c r="K1043" s="658"/>
    </row>
    <row r="1044" spans="1:11" customFormat="1" x14ac:dyDescent="0.25">
      <c r="A1044" s="661"/>
      <c r="B1044" s="73"/>
      <c r="C1044" s="73" t="s">
        <v>140</v>
      </c>
      <c r="D1044" s="73"/>
      <c r="E1044" s="73"/>
      <c r="F1044" s="73"/>
      <c r="G1044" s="74" t="s">
        <v>3</v>
      </c>
      <c r="H1044" s="153">
        <f>0.1*0.08*1.2</f>
        <v>9.5999999999999992E-3</v>
      </c>
      <c r="I1044" s="72"/>
      <c r="K1044" s="658"/>
    </row>
    <row r="1045" spans="1:11" customFormat="1" ht="17.25" x14ac:dyDescent="0.25">
      <c r="A1045" s="661"/>
      <c r="B1045" s="73"/>
      <c r="C1045" s="73" t="s">
        <v>23</v>
      </c>
      <c r="D1045" s="73"/>
      <c r="E1045" s="73"/>
      <c r="F1045" s="73"/>
      <c r="G1045" s="74" t="s">
        <v>596</v>
      </c>
      <c r="H1045" s="153">
        <f>H1044*2</f>
        <v>1.9199999999999998E-2</v>
      </c>
      <c r="I1045" s="72"/>
      <c r="K1045" s="658"/>
    </row>
    <row r="1046" spans="1:11" customFormat="1" x14ac:dyDescent="0.25">
      <c r="A1046" s="661"/>
      <c r="B1046" s="73"/>
      <c r="C1046" s="73" t="s">
        <v>142</v>
      </c>
      <c r="D1046" s="73"/>
      <c r="E1046" s="73"/>
      <c r="F1046" s="73"/>
      <c r="G1046" s="74" t="s">
        <v>3</v>
      </c>
      <c r="H1046" s="153">
        <f>H1044/4</f>
        <v>2.3999999999999998E-3</v>
      </c>
      <c r="I1046" s="72"/>
      <c r="K1046" s="658"/>
    </row>
    <row r="1047" spans="1:11" customFormat="1" x14ac:dyDescent="0.25">
      <c r="A1047" s="661"/>
      <c r="B1047" s="73"/>
      <c r="C1047" s="73" t="s">
        <v>143</v>
      </c>
      <c r="D1047" s="73"/>
      <c r="E1047" s="73"/>
      <c r="F1047" s="73"/>
      <c r="G1047" s="74" t="s">
        <v>3</v>
      </c>
      <c r="H1047" s="153">
        <f>H1048</f>
        <v>2.6399999999999996E-2</v>
      </c>
      <c r="I1047" s="72"/>
      <c r="K1047" s="658"/>
    </row>
    <row r="1048" spans="1:11" customFormat="1" x14ac:dyDescent="0.25">
      <c r="A1048" s="661"/>
      <c r="B1048" s="73"/>
      <c r="C1048" s="73" t="s">
        <v>8</v>
      </c>
      <c r="D1048" s="73"/>
      <c r="E1048" s="73"/>
      <c r="F1048" s="73"/>
      <c r="G1048" s="74" t="s">
        <v>3</v>
      </c>
      <c r="H1048" s="153">
        <f>H1049*0.8</f>
        <v>2.6399999999999996E-2</v>
      </c>
      <c r="I1048" s="72"/>
      <c r="K1048" s="658"/>
    </row>
    <row r="1049" spans="1:11" customFormat="1" x14ac:dyDescent="0.25">
      <c r="A1049" s="661"/>
      <c r="B1049" s="73"/>
      <c r="C1049" s="73" t="s">
        <v>115</v>
      </c>
      <c r="D1049" s="73"/>
      <c r="E1049" s="73"/>
      <c r="F1049" s="73"/>
      <c r="G1049" s="74" t="s">
        <v>3</v>
      </c>
      <c r="H1049" s="153">
        <f>1.25*0.011*2*1.2</f>
        <v>3.2999999999999995E-2</v>
      </c>
      <c r="I1049" s="72"/>
      <c r="K1049" s="658"/>
    </row>
    <row r="1050" spans="1:11" customFormat="1" x14ac:dyDescent="0.25">
      <c r="A1050" s="661"/>
      <c r="B1050" s="73"/>
      <c r="C1050" s="73" t="s">
        <v>12</v>
      </c>
      <c r="D1050" s="73"/>
      <c r="E1050" s="73"/>
      <c r="F1050" s="73"/>
      <c r="G1050" s="74" t="s">
        <v>3</v>
      </c>
      <c r="H1050" s="153">
        <f>0.3*(H1049+H1048+H1047)</f>
        <v>2.5739999999999996E-2</v>
      </c>
      <c r="I1050" s="72"/>
      <c r="K1050" s="658"/>
    </row>
    <row r="1051" spans="1:11" customFormat="1" x14ac:dyDescent="0.25">
      <c r="A1051" s="661"/>
      <c r="B1051" s="73"/>
      <c r="C1051" s="73"/>
      <c r="D1051" s="75" t="s">
        <v>8913</v>
      </c>
      <c r="E1051" s="73"/>
      <c r="F1051" s="73"/>
      <c r="G1051" s="74"/>
      <c r="H1051" s="153"/>
      <c r="I1051" s="72"/>
      <c r="K1051" s="658"/>
    </row>
    <row r="1052" spans="1:11" customFormat="1" x14ac:dyDescent="0.25">
      <c r="A1052" s="661"/>
      <c r="B1052" s="73"/>
      <c r="C1052" s="73"/>
      <c r="D1052" s="73" t="s">
        <v>8912</v>
      </c>
      <c r="E1052" s="73"/>
      <c r="F1052" s="73"/>
      <c r="G1052" s="74" t="s">
        <v>3</v>
      </c>
      <c r="H1052" s="153">
        <v>0.155</v>
      </c>
      <c r="I1052" s="72"/>
      <c r="J1052" t="s">
        <v>8911</v>
      </c>
      <c r="K1052" s="658"/>
    </row>
    <row r="1053" spans="1:11" customFormat="1" x14ac:dyDescent="0.25">
      <c r="A1053" s="661"/>
      <c r="B1053" s="73"/>
      <c r="C1053" s="73"/>
      <c r="D1053" s="75" t="s">
        <v>8910</v>
      </c>
      <c r="E1053" s="73"/>
      <c r="F1053" s="73"/>
      <c r="G1053" s="74"/>
      <c r="H1053" s="153"/>
      <c r="I1053" s="72"/>
      <c r="K1053" s="658"/>
    </row>
    <row r="1054" spans="1:11" customFormat="1" x14ac:dyDescent="0.25">
      <c r="A1054" s="661"/>
      <c r="B1054" s="73"/>
      <c r="C1054" s="73"/>
      <c r="D1054" s="73" t="s">
        <v>408</v>
      </c>
      <c r="E1054" s="73"/>
      <c r="F1054" s="73"/>
      <c r="G1054" s="74" t="s">
        <v>3</v>
      </c>
      <c r="H1054" s="153">
        <v>5.0999999999999997E-2</v>
      </c>
      <c r="I1054" s="72"/>
      <c r="J1054" t="s">
        <v>1251</v>
      </c>
      <c r="K1054" s="658"/>
    </row>
    <row r="1055" spans="1:11" customFormat="1" x14ac:dyDescent="0.25">
      <c r="A1055" s="661"/>
      <c r="B1055" s="73"/>
      <c r="C1055" s="75" t="s">
        <v>8909</v>
      </c>
      <c r="D1055" s="73"/>
      <c r="E1055" s="73"/>
      <c r="F1055" s="73"/>
      <c r="G1055" s="74"/>
      <c r="H1055" s="153"/>
      <c r="I1055" s="72"/>
      <c r="K1055" s="658"/>
    </row>
    <row r="1056" spans="1:11" customFormat="1" x14ac:dyDescent="0.25">
      <c r="A1056" s="661"/>
      <c r="B1056" s="73"/>
      <c r="C1056" s="73" t="s">
        <v>140</v>
      </c>
      <c r="D1056" s="73"/>
      <c r="E1056" s="73"/>
      <c r="F1056" s="73"/>
      <c r="G1056" s="74" t="s">
        <v>3</v>
      </c>
      <c r="H1056" s="153">
        <f>0.065*0.08*1.2</f>
        <v>6.2400000000000008E-3</v>
      </c>
      <c r="I1056" s="72"/>
      <c r="K1056" s="658"/>
    </row>
    <row r="1057" spans="1:11" customFormat="1" ht="17.25" x14ac:dyDescent="0.25">
      <c r="A1057" s="661"/>
      <c r="B1057" s="73"/>
      <c r="C1057" s="73" t="s">
        <v>23</v>
      </c>
      <c r="D1057" s="73"/>
      <c r="E1057" s="73"/>
      <c r="F1057" s="73"/>
      <c r="G1057" s="74" t="s">
        <v>596</v>
      </c>
      <c r="H1057" s="153">
        <f>H1056*2</f>
        <v>1.2480000000000002E-2</v>
      </c>
      <c r="I1057" s="72"/>
      <c r="K1057" s="658"/>
    </row>
    <row r="1058" spans="1:11" customFormat="1" x14ac:dyDescent="0.25">
      <c r="A1058" s="661"/>
      <c r="B1058" s="73"/>
      <c r="C1058" s="73" t="s">
        <v>142</v>
      </c>
      <c r="D1058" s="73"/>
      <c r="E1058" s="73"/>
      <c r="F1058" s="73"/>
      <c r="G1058" s="74" t="s">
        <v>3</v>
      </c>
      <c r="H1058" s="153">
        <f>H1056/4</f>
        <v>1.5600000000000002E-3</v>
      </c>
      <c r="I1058" s="72"/>
      <c r="K1058" s="658"/>
    </row>
    <row r="1059" spans="1:11" customFormat="1" x14ac:dyDescent="0.25">
      <c r="A1059" s="661"/>
      <c r="B1059" s="73"/>
      <c r="C1059" s="73" t="s">
        <v>143</v>
      </c>
      <c r="D1059" s="73"/>
      <c r="E1059" s="73"/>
      <c r="F1059" s="73"/>
      <c r="G1059" s="74" t="s">
        <v>3</v>
      </c>
      <c r="H1059" s="153">
        <f>H1060</f>
        <v>1.485E-2</v>
      </c>
      <c r="I1059" s="72"/>
      <c r="K1059" s="658"/>
    </row>
    <row r="1060" spans="1:11" customFormat="1" x14ac:dyDescent="0.25">
      <c r="A1060" s="661"/>
      <c r="B1060" s="73"/>
      <c r="C1060" s="73" t="s">
        <v>8</v>
      </c>
      <c r="D1060" s="73"/>
      <c r="E1060" s="73"/>
      <c r="F1060" s="73"/>
      <c r="G1060" s="74" t="s">
        <v>3</v>
      </c>
      <c r="H1060" s="153">
        <f>H1061</f>
        <v>1.485E-2</v>
      </c>
      <c r="I1060" s="72"/>
      <c r="K1060" s="658"/>
    </row>
    <row r="1061" spans="1:11" customFormat="1" x14ac:dyDescent="0.25">
      <c r="A1061" s="661"/>
      <c r="B1061" s="73"/>
      <c r="C1061" s="73" t="s">
        <v>115</v>
      </c>
      <c r="D1061" s="73"/>
      <c r="E1061" s="73"/>
      <c r="F1061" s="73"/>
      <c r="G1061" s="74" t="s">
        <v>3</v>
      </c>
      <c r="H1061" s="153">
        <f>0.5*0.011*2*1.35</f>
        <v>1.485E-2</v>
      </c>
      <c r="I1061" s="72"/>
      <c r="K1061" s="658"/>
    </row>
    <row r="1062" spans="1:11" customFormat="1" x14ac:dyDescent="0.25">
      <c r="A1062" s="661"/>
      <c r="B1062" s="73"/>
      <c r="C1062" s="73" t="s">
        <v>12</v>
      </c>
      <c r="D1062" s="73"/>
      <c r="E1062" s="73"/>
      <c r="F1062" s="73"/>
      <c r="G1062" s="74" t="s">
        <v>3</v>
      </c>
      <c r="H1062" s="153">
        <f>0.3*(H1061+H1060+H1059)</f>
        <v>1.3365E-2</v>
      </c>
      <c r="I1062" s="72"/>
      <c r="K1062" s="658"/>
    </row>
    <row r="1063" spans="1:11" customFormat="1" x14ac:dyDescent="0.25">
      <c r="A1063" s="661"/>
      <c r="B1063" s="73"/>
      <c r="C1063" s="75"/>
      <c r="D1063" s="75" t="s">
        <v>8908</v>
      </c>
      <c r="E1063" s="73"/>
      <c r="F1063" s="73"/>
      <c r="G1063" s="74"/>
      <c r="H1063" s="153"/>
      <c r="I1063" s="72"/>
      <c r="K1063" s="658"/>
    </row>
    <row r="1064" spans="1:11" customFormat="1" x14ac:dyDescent="0.25">
      <c r="A1064" s="661"/>
      <c r="B1064" s="73"/>
      <c r="C1064" s="73"/>
      <c r="D1064" s="73" t="s">
        <v>928</v>
      </c>
      <c r="E1064" s="73"/>
      <c r="F1064" s="73"/>
      <c r="G1064" s="74" t="s">
        <v>3</v>
      </c>
      <c r="H1064" s="153">
        <v>0.13500000000000001</v>
      </c>
      <c r="I1064" s="72"/>
      <c r="J1064" t="s">
        <v>5713</v>
      </c>
      <c r="K1064" s="658"/>
    </row>
    <row r="1065" spans="1:11" customFormat="1" x14ac:dyDescent="0.25">
      <c r="A1065" s="661"/>
      <c r="B1065" s="73"/>
      <c r="C1065" s="75" t="s">
        <v>8907</v>
      </c>
      <c r="D1065" s="73"/>
      <c r="E1065" s="73"/>
      <c r="F1065" s="73"/>
      <c r="G1065" s="74"/>
      <c r="H1065" s="153"/>
      <c r="I1065" s="72"/>
      <c r="K1065" s="658"/>
    </row>
    <row r="1066" spans="1:11" customFormat="1" x14ac:dyDescent="0.25">
      <c r="A1066" s="661"/>
      <c r="B1066" s="73"/>
      <c r="C1066" s="73" t="s">
        <v>8906</v>
      </c>
      <c r="D1066" s="73"/>
      <c r="E1066" s="73"/>
      <c r="F1066" s="73"/>
      <c r="G1066" s="74" t="s">
        <v>195</v>
      </c>
      <c r="H1066" s="153">
        <f>0.14</f>
        <v>0.14000000000000001</v>
      </c>
      <c r="I1066" s="72"/>
      <c r="K1066" s="658"/>
    </row>
    <row r="1067" spans="1:11" customFormat="1" x14ac:dyDescent="0.25">
      <c r="A1067" s="661"/>
      <c r="B1067" s="73"/>
      <c r="C1067" s="73"/>
      <c r="D1067" s="73"/>
      <c r="E1067" s="73"/>
      <c r="F1067" s="73"/>
      <c r="G1067" s="74"/>
      <c r="H1067" s="153"/>
      <c r="I1067" s="72"/>
      <c r="K1067" s="658"/>
    </row>
    <row r="1068" spans="1:11" customFormat="1" x14ac:dyDescent="0.25">
      <c r="A1068" s="678"/>
      <c r="B1068" s="75" t="s">
        <v>8905</v>
      </c>
      <c r="C1068" s="73"/>
      <c r="D1068" s="73"/>
      <c r="E1068" s="73"/>
      <c r="F1068" s="73"/>
      <c r="G1068" s="74"/>
      <c r="H1068" s="153"/>
      <c r="I1068" s="72"/>
      <c r="K1068" s="658"/>
    </row>
    <row r="1069" spans="1:11" customFormat="1" x14ac:dyDescent="0.25">
      <c r="A1069" s="661"/>
      <c r="B1069" s="73"/>
      <c r="C1069" s="75" t="s">
        <v>8904</v>
      </c>
      <c r="D1069" s="73"/>
      <c r="E1069" s="73"/>
      <c r="F1069" s="73"/>
      <c r="G1069" s="74"/>
      <c r="H1069" s="153"/>
      <c r="I1069" s="72"/>
      <c r="K1069" s="658"/>
    </row>
    <row r="1070" spans="1:11" customFormat="1" x14ac:dyDescent="0.25">
      <c r="A1070" s="661"/>
      <c r="B1070" s="73"/>
      <c r="C1070" s="77" t="s">
        <v>39</v>
      </c>
      <c r="D1070" s="73"/>
      <c r="E1070" s="73"/>
      <c r="F1070" s="73"/>
      <c r="G1070" s="74" t="s">
        <v>3</v>
      </c>
      <c r="H1070" s="153">
        <f>(0.03*3.14+0.04)*0.08*1.2</f>
        <v>1.2883200000000001E-2</v>
      </c>
      <c r="I1070" s="72"/>
      <c r="K1070" s="658"/>
    </row>
    <row r="1071" spans="1:11" customFormat="1" ht="17.25" x14ac:dyDescent="0.25">
      <c r="A1071" s="661"/>
      <c r="B1071" s="73"/>
      <c r="C1071" s="73" t="s">
        <v>1055</v>
      </c>
      <c r="D1071" s="73"/>
      <c r="E1071" s="73"/>
      <c r="F1071" s="73"/>
      <c r="G1071" s="74" t="s">
        <v>596</v>
      </c>
      <c r="H1071" s="153">
        <f>H1070</f>
        <v>1.2883200000000001E-2</v>
      </c>
      <c r="I1071" s="72"/>
      <c r="K1071" s="658"/>
    </row>
    <row r="1072" spans="1:11" customFormat="1" x14ac:dyDescent="0.25">
      <c r="A1072" s="661"/>
      <c r="B1072" s="73"/>
      <c r="C1072" s="73"/>
      <c r="D1072" s="75" t="s">
        <v>8903</v>
      </c>
      <c r="E1072" s="73"/>
      <c r="F1072" s="73"/>
      <c r="G1072" s="74"/>
      <c r="H1072" s="153"/>
      <c r="I1072" s="72"/>
      <c r="K1072" s="658"/>
    </row>
    <row r="1073" spans="1:11" customFormat="1" x14ac:dyDescent="0.25">
      <c r="A1073" s="661"/>
      <c r="B1073" s="73"/>
      <c r="C1073" s="73"/>
      <c r="D1073" s="73" t="s">
        <v>1143</v>
      </c>
      <c r="E1073" s="73"/>
      <c r="F1073" s="73"/>
      <c r="G1073" s="74" t="s">
        <v>3</v>
      </c>
      <c r="H1073" s="153">
        <f>0.08*0.06*3*8*1.13</f>
        <v>0.13017599999999999</v>
      </c>
      <c r="I1073" s="72"/>
      <c r="K1073" s="658"/>
    </row>
    <row r="1074" spans="1:11" customFormat="1" x14ac:dyDescent="0.25">
      <c r="A1074" s="661"/>
      <c r="B1074" s="73"/>
      <c r="C1074" s="73"/>
      <c r="D1074" s="75" t="s">
        <v>8902</v>
      </c>
      <c r="E1074" s="73"/>
      <c r="F1074" s="73"/>
      <c r="G1074" s="74"/>
      <c r="H1074" s="153"/>
      <c r="I1074" s="72"/>
      <c r="K1074" s="658"/>
    </row>
    <row r="1075" spans="1:11" customFormat="1" x14ac:dyDescent="0.25">
      <c r="A1075" s="661"/>
      <c r="B1075" s="73"/>
      <c r="C1075" s="73"/>
      <c r="D1075" s="73" t="s">
        <v>8901</v>
      </c>
      <c r="E1075" s="73"/>
      <c r="F1075" s="73"/>
      <c r="G1075" s="74" t="s">
        <v>3</v>
      </c>
      <c r="H1075" s="153">
        <v>0.20499999999999999</v>
      </c>
      <c r="I1075" s="72"/>
      <c r="J1075" t="s">
        <v>8900</v>
      </c>
      <c r="K1075" s="658"/>
    </row>
    <row r="1076" spans="1:11" customFormat="1" x14ac:dyDescent="0.25">
      <c r="A1076" s="661"/>
      <c r="B1076" s="73"/>
      <c r="C1076" s="73"/>
      <c r="D1076" s="73"/>
      <c r="E1076" s="73"/>
      <c r="F1076" s="73"/>
      <c r="G1076" s="74"/>
      <c r="H1076" s="153"/>
      <c r="I1076" s="72"/>
      <c r="K1076" s="658"/>
    </row>
    <row r="1077" spans="1:11" customFormat="1" x14ac:dyDescent="0.25">
      <c r="A1077" s="678"/>
      <c r="B1077" s="75" t="s">
        <v>8899</v>
      </c>
      <c r="C1077" s="73"/>
      <c r="D1077" s="73"/>
      <c r="E1077" s="73"/>
      <c r="F1077" s="73"/>
      <c r="G1077" s="74"/>
      <c r="H1077" s="153"/>
      <c r="I1077" s="72"/>
      <c r="K1077" s="658"/>
    </row>
    <row r="1078" spans="1:11" customFormat="1" x14ac:dyDescent="0.25">
      <c r="A1078" s="661"/>
      <c r="B1078" s="77" t="s">
        <v>39</v>
      </c>
      <c r="C1078" s="73"/>
      <c r="D1078" s="73"/>
      <c r="E1078" s="73"/>
      <c r="F1078" s="73"/>
      <c r="G1078" s="74" t="s">
        <v>3</v>
      </c>
      <c r="H1078" s="153">
        <f>0.13*0.08*1.2</f>
        <v>1.2480000000000002E-2</v>
      </c>
      <c r="I1078" s="72"/>
      <c r="K1078" s="658"/>
    </row>
    <row r="1079" spans="1:11" customFormat="1" ht="17.25" x14ac:dyDescent="0.25">
      <c r="A1079" s="661"/>
      <c r="B1079" s="73" t="s">
        <v>1055</v>
      </c>
      <c r="C1079" s="73"/>
      <c r="D1079" s="73"/>
      <c r="E1079" s="73"/>
      <c r="F1079" s="73"/>
      <c r="G1079" s="74" t="s">
        <v>596</v>
      </c>
      <c r="H1079" s="153">
        <f>H1078</f>
        <v>1.2480000000000002E-2</v>
      </c>
      <c r="I1079" s="72"/>
      <c r="K1079" s="658"/>
    </row>
    <row r="1080" spans="1:11" customFormat="1" x14ac:dyDescent="0.25">
      <c r="A1080" s="661"/>
      <c r="B1080" s="73" t="s">
        <v>8</v>
      </c>
      <c r="C1080" s="73"/>
      <c r="D1080" s="73"/>
      <c r="E1080" s="73"/>
      <c r="F1080" s="73"/>
      <c r="G1080" s="74" t="s">
        <v>3</v>
      </c>
      <c r="H1080" s="153">
        <f>H1082*0.869</f>
        <v>6.5070719999999985E-2</v>
      </c>
      <c r="I1080" s="72"/>
      <c r="K1080" s="658"/>
    </row>
    <row r="1081" spans="1:11" customFormat="1" x14ac:dyDescent="0.25">
      <c r="A1081" s="661"/>
      <c r="B1081" s="73" t="s">
        <v>12</v>
      </c>
      <c r="C1081" s="73"/>
      <c r="D1081" s="73"/>
      <c r="E1081" s="73"/>
      <c r="F1081" s="73"/>
      <c r="G1081" s="74" t="s">
        <v>3</v>
      </c>
      <c r="H1081" s="153">
        <f>0.32*H1080</f>
        <v>2.0822630399999997E-2</v>
      </c>
      <c r="I1081" s="72"/>
      <c r="K1081" s="658"/>
    </row>
    <row r="1082" spans="1:11" customFormat="1" x14ac:dyDescent="0.25">
      <c r="A1082" s="661"/>
      <c r="B1082" s="73" t="s">
        <v>72</v>
      </c>
      <c r="C1082" s="73"/>
      <c r="D1082" s="73"/>
      <c r="E1082" s="73"/>
      <c r="F1082" s="73"/>
      <c r="G1082" s="74" t="s">
        <v>3</v>
      </c>
      <c r="H1082" s="153">
        <f>(0.48*0.13*2+0.48*0.13*2)*0.15*2</f>
        <v>7.4879999999999988E-2</v>
      </c>
      <c r="I1082" s="72"/>
      <c r="K1082" s="658"/>
    </row>
    <row r="1083" spans="1:11" customFormat="1" x14ac:dyDescent="0.25">
      <c r="A1083" s="661"/>
      <c r="B1083" s="73" t="s">
        <v>11</v>
      </c>
      <c r="C1083" s="73"/>
      <c r="D1083" s="73"/>
      <c r="E1083" s="73"/>
      <c r="F1083" s="73"/>
      <c r="G1083" s="74" t="s">
        <v>3</v>
      </c>
      <c r="H1083" s="153">
        <f>0.3*H1082</f>
        <v>2.2463999999999994E-2</v>
      </c>
      <c r="I1083" s="72"/>
      <c r="K1083" s="658"/>
    </row>
    <row r="1084" spans="1:11" customFormat="1" x14ac:dyDescent="0.25">
      <c r="A1084" s="661"/>
      <c r="B1084" s="73" t="s">
        <v>13</v>
      </c>
      <c r="C1084" s="73"/>
      <c r="D1084" s="73"/>
      <c r="E1084" s="73"/>
      <c r="F1084" s="73"/>
      <c r="G1084" s="74" t="s">
        <v>3</v>
      </c>
      <c r="H1084" s="153">
        <v>7.0000000000000007E-2</v>
      </c>
      <c r="I1084" s="72"/>
      <c r="K1084" s="658"/>
    </row>
    <row r="1085" spans="1:11" customFormat="1" x14ac:dyDescent="0.25">
      <c r="A1085" s="661"/>
      <c r="B1085" s="73"/>
      <c r="C1085" s="75" t="s">
        <v>8898</v>
      </c>
      <c r="D1085" s="73"/>
      <c r="E1085" s="73"/>
      <c r="F1085" s="73"/>
      <c r="G1085" s="74"/>
      <c r="H1085" s="153"/>
      <c r="I1085" s="72"/>
      <c r="K1085" s="658"/>
    </row>
    <row r="1086" spans="1:11" customFormat="1" x14ac:dyDescent="0.25">
      <c r="A1086" s="661"/>
      <c r="B1086" s="73"/>
      <c r="C1086" s="73" t="s">
        <v>150</v>
      </c>
      <c r="D1086" s="73"/>
      <c r="E1086" s="73"/>
      <c r="F1086" s="73"/>
      <c r="G1086" s="74" t="s">
        <v>3</v>
      </c>
      <c r="H1086" s="153">
        <f>0.48*0.13*2*8*1.122</f>
        <v>1.1202048</v>
      </c>
      <c r="I1086" s="72"/>
      <c r="K1086" s="658"/>
    </row>
    <row r="1087" spans="1:11" customFormat="1" x14ac:dyDescent="0.25">
      <c r="A1087" s="661"/>
      <c r="B1087" s="73"/>
      <c r="C1087" s="75" t="s">
        <v>8897</v>
      </c>
      <c r="D1087" s="73"/>
      <c r="E1087" s="73"/>
      <c r="F1087" s="73"/>
      <c r="G1087" s="74"/>
      <c r="H1087" s="153"/>
      <c r="I1087" s="72"/>
      <c r="K1087" s="658"/>
    </row>
    <row r="1088" spans="1:11" customFormat="1" x14ac:dyDescent="0.25">
      <c r="A1088" s="661"/>
      <c r="B1088" s="73"/>
      <c r="C1088" s="73" t="s">
        <v>150</v>
      </c>
      <c r="D1088" s="73"/>
      <c r="E1088" s="73"/>
      <c r="F1088" s="73"/>
      <c r="G1088" s="74" t="s">
        <v>3</v>
      </c>
      <c r="H1088" s="153">
        <f>0.48*0.13*2*2*8*1.12-0.001</f>
        <v>2.2354160000000003</v>
      </c>
      <c r="I1088" s="72"/>
      <c r="K1088" s="658"/>
    </row>
    <row r="1089" spans="1:11" customFormat="1" x14ac:dyDescent="0.25">
      <c r="A1089" s="661"/>
      <c r="B1089" s="73"/>
      <c r="C1089" s="73"/>
      <c r="D1089" s="73"/>
      <c r="E1089" s="73"/>
      <c r="F1089" s="73"/>
      <c r="G1089" s="74"/>
      <c r="H1089" s="153"/>
      <c r="I1089" s="72"/>
      <c r="K1089" s="658"/>
    </row>
    <row r="1090" spans="1:11" customFormat="1" x14ac:dyDescent="0.25">
      <c r="A1090" s="678"/>
      <c r="B1090" s="75" t="s">
        <v>8896</v>
      </c>
      <c r="C1090" s="73"/>
      <c r="D1090" s="73"/>
      <c r="E1090" s="73"/>
      <c r="F1090" s="73"/>
      <c r="G1090" s="74"/>
      <c r="H1090" s="153"/>
      <c r="I1090" s="72"/>
      <c r="K1090" s="658"/>
    </row>
    <row r="1091" spans="1:11" customFormat="1" x14ac:dyDescent="0.25">
      <c r="A1091" s="661"/>
      <c r="B1091" s="580" t="s">
        <v>6724</v>
      </c>
      <c r="C1091" s="75"/>
      <c r="D1091" s="75"/>
      <c r="E1091" s="75"/>
      <c r="F1091" s="73"/>
      <c r="G1091" s="74" t="s">
        <v>3</v>
      </c>
      <c r="H1091" s="427">
        <f>0.3*0.05*1.2</f>
        <v>1.7999999999999999E-2</v>
      </c>
      <c r="I1091" s="72"/>
      <c r="K1091" s="658"/>
    </row>
    <row r="1092" spans="1:11" customFormat="1" ht="17.25" x14ac:dyDescent="0.25">
      <c r="A1092" s="661"/>
      <c r="B1092" s="204" t="s">
        <v>6723</v>
      </c>
      <c r="C1092" s="75"/>
      <c r="D1092" s="75"/>
      <c r="E1092" s="75"/>
      <c r="F1092" s="73"/>
      <c r="G1092" s="74" t="s">
        <v>596</v>
      </c>
      <c r="H1092" s="153">
        <f>1.09*H1091</f>
        <v>1.9619999999999999E-2</v>
      </c>
      <c r="I1092" s="72"/>
      <c r="K1092" s="658"/>
    </row>
    <row r="1093" spans="1:11" customFormat="1" x14ac:dyDescent="0.25">
      <c r="A1093" s="661"/>
      <c r="B1093" s="73" t="s">
        <v>114</v>
      </c>
      <c r="C1093" s="73"/>
      <c r="D1093" s="73"/>
      <c r="E1093" s="73"/>
      <c r="F1093" s="73"/>
      <c r="G1093" s="74" t="s">
        <v>3</v>
      </c>
      <c r="H1093" s="153">
        <f>H1095*0.8</f>
        <v>5.9848320000000003E-2</v>
      </c>
      <c r="I1093" s="72"/>
      <c r="K1093" s="658"/>
    </row>
    <row r="1094" spans="1:11" customFormat="1" x14ac:dyDescent="0.25">
      <c r="A1094" s="661"/>
      <c r="B1094" s="73" t="s">
        <v>164</v>
      </c>
      <c r="C1094" s="73"/>
      <c r="D1094" s="73"/>
      <c r="E1094" s="73"/>
      <c r="F1094" s="73"/>
      <c r="G1094" s="74" t="s">
        <v>3</v>
      </c>
      <c r="H1094" s="153">
        <f>0.3*H1093</f>
        <v>1.7954496E-2</v>
      </c>
      <c r="I1094" s="72"/>
      <c r="K1094" s="658"/>
    </row>
    <row r="1095" spans="1:11" customFormat="1" x14ac:dyDescent="0.25">
      <c r="A1095" s="661"/>
      <c r="B1095" s="73" t="s">
        <v>36</v>
      </c>
      <c r="C1095" s="73"/>
      <c r="D1095" s="73"/>
      <c r="E1095" s="73"/>
      <c r="F1095" s="73"/>
      <c r="G1095" s="74" t="s">
        <v>3</v>
      </c>
      <c r="H1095" s="153">
        <f>0.305*0.365*2*0.15*2*1.12</f>
        <v>7.4810399999999999E-2</v>
      </c>
      <c r="I1095" s="72"/>
      <c r="K1095" s="658"/>
    </row>
    <row r="1096" spans="1:11" customFormat="1" x14ac:dyDescent="0.25">
      <c r="A1096" s="661"/>
      <c r="B1096" s="73" t="s">
        <v>12</v>
      </c>
      <c r="C1096" s="73"/>
      <c r="D1096" s="73"/>
      <c r="E1096" s="73"/>
      <c r="F1096" s="73"/>
      <c r="G1096" s="74" t="s">
        <v>3</v>
      </c>
      <c r="H1096" s="153">
        <f>0.3*H1095</f>
        <v>2.244312E-2</v>
      </c>
      <c r="I1096" s="72"/>
      <c r="K1096" s="658"/>
    </row>
    <row r="1097" spans="1:11" customFormat="1" x14ac:dyDescent="0.25">
      <c r="A1097" s="661"/>
      <c r="B1097" s="73" t="s">
        <v>37</v>
      </c>
      <c r="C1097" s="73"/>
      <c r="D1097" s="73"/>
      <c r="E1097" s="73"/>
      <c r="F1097" s="73"/>
      <c r="G1097" s="74" t="s">
        <v>3</v>
      </c>
      <c r="H1097" s="153">
        <f>(0.1*0.05*0.03*0.02+0.055*0.07)*0.2*2</f>
        <v>1.5412000000000004E-3</v>
      </c>
      <c r="I1097" s="72"/>
      <c r="K1097" s="658"/>
    </row>
    <row r="1098" spans="1:11" customFormat="1" x14ac:dyDescent="0.25">
      <c r="A1098" s="661"/>
      <c r="B1098" s="73"/>
      <c r="C1098" s="75" t="s">
        <v>8895</v>
      </c>
      <c r="D1098" s="73"/>
      <c r="E1098" s="73"/>
      <c r="F1098" s="73"/>
      <c r="G1098" s="74"/>
      <c r="H1098" s="153"/>
      <c r="I1098" s="72"/>
      <c r="K1098" s="658"/>
    </row>
    <row r="1099" spans="1:11" customFormat="1" x14ac:dyDescent="0.25">
      <c r="A1099" s="661"/>
      <c r="B1099" s="73"/>
      <c r="C1099" s="73"/>
      <c r="D1099" s="75" t="s">
        <v>8894</v>
      </c>
      <c r="E1099" s="73"/>
      <c r="F1099" s="73"/>
      <c r="G1099" s="74"/>
      <c r="H1099" s="153"/>
      <c r="I1099" s="72"/>
      <c r="K1099" s="658"/>
    </row>
    <row r="1100" spans="1:11" customFormat="1" x14ac:dyDescent="0.25">
      <c r="A1100" s="661"/>
      <c r="B1100" s="73"/>
      <c r="C1100" s="73"/>
      <c r="D1100" s="73" t="s">
        <v>8893</v>
      </c>
      <c r="E1100" s="73"/>
      <c r="F1100" s="73"/>
      <c r="G1100" s="74" t="s">
        <v>3</v>
      </c>
      <c r="H1100" s="153">
        <f>0.025*0.05*1*2.7*1.15</f>
        <v>3.8812500000000006E-3</v>
      </c>
      <c r="I1100" s="72"/>
      <c r="K1100" s="658"/>
    </row>
    <row r="1101" spans="1:11" customFormat="1" x14ac:dyDescent="0.25">
      <c r="A1101" s="661"/>
      <c r="B1101" s="73"/>
      <c r="C1101" s="75" t="s">
        <v>8892</v>
      </c>
      <c r="D1101" s="73"/>
      <c r="E1101" s="73"/>
      <c r="F1101" s="73"/>
      <c r="G1101" s="74"/>
      <c r="H1101" s="153"/>
      <c r="I1101" s="72"/>
      <c r="K1101" s="658"/>
    </row>
    <row r="1102" spans="1:11" customFormat="1" x14ac:dyDescent="0.25">
      <c r="A1102" s="661"/>
      <c r="B1102" s="73"/>
      <c r="C1102" s="100" t="s">
        <v>8891</v>
      </c>
      <c r="D1102" s="73"/>
      <c r="E1102" s="73"/>
      <c r="F1102" s="73"/>
      <c r="G1102" s="74" t="s">
        <v>3</v>
      </c>
      <c r="H1102" s="153">
        <f>0.365*0.305*2*2.7*1.15-0.001</f>
        <v>0.69032824999999998</v>
      </c>
      <c r="I1102" s="72"/>
      <c r="K1102" s="658"/>
    </row>
    <row r="1103" spans="1:11" customFormat="1" x14ac:dyDescent="0.25">
      <c r="A1103" s="661"/>
      <c r="B1103" s="73"/>
      <c r="C1103" s="75" t="s">
        <v>8890</v>
      </c>
      <c r="D1103" s="73"/>
      <c r="E1103" s="73"/>
      <c r="F1103" s="73"/>
      <c r="G1103" s="74"/>
      <c r="H1103" s="153"/>
      <c r="I1103" s="72"/>
      <c r="K1103" s="658"/>
    </row>
    <row r="1104" spans="1:11" customFormat="1" x14ac:dyDescent="0.25">
      <c r="A1104" s="661"/>
      <c r="B1104" s="73"/>
      <c r="C1104" s="73" t="s">
        <v>8889</v>
      </c>
      <c r="D1104" s="73"/>
      <c r="E1104" s="73"/>
      <c r="F1104" s="73"/>
      <c r="G1104" s="74" t="s">
        <v>3</v>
      </c>
      <c r="H1104" s="153">
        <f>0.23*0.045*3*2.7*1.15</f>
        <v>9.6410250000000003E-2</v>
      </c>
      <c r="I1104" s="72"/>
      <c r="K1104" s="658"/>
    </row>
    <row r="1105" spans="1:11" customFormat="1" x14ac:dyDescent="0.25">
      <c r="A1105" s="661"/>
      <c r="B1105" s="73"/>
      <c r="C1105" s="75"/>
      <c r="D1105" s="73"/>
      <c r="E1105" s="73"/>
      <c r="F1105" s="73"/>
      <c r="G1105" s="74"/>
      <c r="H1105" s="153"/>
      <c r="I1105" s="72"/>
      <c r="K1105" s="658"/>
    </row>
    <row r="1106" spans="1:11" customFormat="1" x14ac:dyDescent="0.25">
      <c r="A1106" s="678"/>
      <c r="B1106" s="75" t="s">
        <v>8888</v>
      </c>
      <c r="C1106" s="73"/>
      <c r="D1106" s="73"/>
      <c r="E1106" s="73"/>
      <c r="F1106" s="73"/>
      <c r="G1106" s="74"/>
      <c r="H1106" s="153"/>
      <c r="I1106" s="72"/>
      <c r="K1106" s="658"/>
    </row>
    <row r="1107" spans="1:11" customFormat="1" x14ac:dyDescent="0.25">
      <c r="A1107" s="661"/>
      <c r="B1107" s="77" t="s">
        <v>39</v>
      </c>
      <c r="C1107" s="73"/>
      <c r="D1107" s="73"/>
      <c r="E1107" s="73"/>
      <c r="F1107" s="73"/>
      <c r="G1107" s="74" t="s">
        <v>3</v>
      </c>
      <c r="H1107" s="153">
        <f>0.13*0.08*1.2</f>
        <v>1.2480000000000002E-2</v>
      </c>
      <c r="I1107" s="72"/>
      <c r="K1107" s="658"/>
    </row>
    <row r="1108" spans="1:11" customFormat="1" ht="17.25" x14ac:dyDescent="0.25">
      <c r="A1108" s="661"/>
      <c r="B1108" s="73" t="s">
        <v>1055</v>
      </c>
      <c r="C1108" s="73"/>
      <c r="D1108" s="73"/>
      <c r="E1108" s="73"/>
      <c r="F1108" s="73"/>
      <c r="G1108" s="74" t="s">
        <v>596</v>
      </c>
      <c r="H1108" s="153">
        <f>H1107</f>
        <v>1.2480000000000002E-2</v>
      </c>
      <c r="I1108" s="72"/>
      <c r="K1108" s="658"/>
    </row>
    <row r="1109" spans="1:11" customFormat="1" x14ac:dyDescent="0.25">
      <c r="A1109" s="661"/>
      <c r="B1109" s="73" t="s">
        <v>8</v>
      </c>
      <c r="C1109" s="73"/>
      <c r="D1109" s="73"/>
      <c r="E1109" s="73"/>
      <c r="F1109" s="73"/>
      <c r="G1109" s="74" t="s">
        <v>3</v>
      </c>
      <c r="H1109" s="153">
        <f>H1111*0.869</f>
        <v>6.5070719999999985E-2</v>
      </c>
      <c r="I1109" s="72"/>
      <c r="K1109" s="658"/>
    </row>
    <row r="1110" spans="1:11" customFormat="1" x14ac:dyDescent="0.25">
      <c r="A1110" s="661"/>
      <c r="B1110" s="73" t="s">
        <v>12</v>
      </c>
      <c r="C1110" s="73"/>
      <c r="D1110" s="73"/>
      <c r="E1110" s="73"/>
      <c r="F1110" s="73"/>
      <c r="G1110" s="74" t="s">
        <v>3</v>
      </c>
      <c r="H1110" s="153">
        <f>0.32*H1109</f>
        <v>2.0822630399999997E-2</v>
      </c>
      <c r="I1110" s="72"/>
      <c r="K1110" s="658"/>
    </row>
    <row r="1111" spans="1:11" customFormat="1" x14ac:dyDescent="0.25">
      <c r="A1111" s="661"/>
      <c r="B1111" s="73" t="s">
        <v>72</v>
      </c>
      <c r="C1111" s="73"/>
      <c r="D1111" s="73"/>
      <c r="E1111" s="73"/>
      <c r="F1111" s="73"/>
      <c r="G1111" s="74" t="s">
        <v>3</v>
      </c>
      <c r="H1111" s="153">
        <f>(0.48*0.13*2+0.48*0.13*2)*0.15*2</f>
        <v>7.4879999999999988E-2</v>
      </c>
      <c r="I1111" s="72"/>
      <c r="K1111" s="658"/>
    </row>
    <row r="1112" spans="1:11" customFormat="1" x14ac:dyDescent="0.25">
      <c r="A1112" s="661"/>
      <c r="B1112" s="73" t="s">
        <v>11</v>
      </c>
      <c r="C1112" s="73"/>
      <c r="D1112" s="73"/>
      <c r="E1112" s="73"/>
      <c r="F1112" s="73"/>
      <c r="G1112" s="74" t="s">
        <v>3</v>
      </c>
      <c r="H1112" s="153">
        <f>0.3*H1111</f>
        <v>2.2463999999999994E-2</v>
      </c>
      <c r="I1112" s="72"/>
      <c r="K1112" s="658"/>
    </row>
    <row r="1113" spans="1:11" customFormat="1" x14ac:dyDescent="0.25">
      <c r="A1113" s="661"/>
      <c r="B1113" s="73"/>
      <c r="C1113" s="75" t="s">
        <v>8887</v>
      </c>
      <c r="D1113" s="73"/>
      <c r="E1113" s="73"/>
      <c r="F1113" s="73"/>
      <c r="G1113" s="74"/>
      <c r="H1113" s="153"/>
      <c r="I1113" s="72"/>
      <c r="K1113" s="658"/>
    </row>
    <row r="1114" spans="1:11" customFormat="1" x14ac:dyDescent="0.25">
      <c r="A1114" s="661"/>
      <c r="B1114" s="73"/>
      <c r="C1114" s="73" t="s">
        <v>150</v>
      </c>
      <c r="D1114" s="73"/>
      <c r="E1114" s="73"/>
      <c r="F1114" s="73"/>
      <c r="G1114" s="74" t="s">
        <v>3</v>
      </c>
      <c r="H1114" s="153">
        <f>0.48*0.13*2*8*1.122</f>
        <v>1.1202048</v>
      </c>
      <c r="I1114" s="72"/>
      <c r="K1114" s="658"/>
    </row>
    <row r="1115" spans="1:11" customFormat="1" x14ac:dyDescent="0.25">
      <c r="A1115" s="661"/>
      <c r="B1115" s="73"/>
      <c r="C1115" s="75" t="s">
        <v>8886</v>
      </c>
      <c r="D1115" s="73"/>
      <c r="E1115" s="73"/>
      <c r="F1115" s="73"/>
      <c r="G1115" s="74"/>
      <c r="H1115" s="153"/>
      <c r="I1115" s="72"/>
      <c r="K1115" s="658"/>
    </row>
    <row r="1116" spans="1:11" customFormat="1" x14ac:dyDescent="0.25">
      <c r="A1116" s="661"/>
      <c r="B1116" s="73"/>
      <c r="C1116" s="73" t="s">
        <v>150</v>
      </c>
      <c r="D1116" s="73"/>
      <c r="E1116" s="73"/>
      <c r="F1116" s="73"/>
      <c r="G1116" s="74" t="s">
        <v>3</v>
      </c>
      <c r="H1116" s="153">
        <f>0.48*0.13*2*2*8*1.12-0.001</f>
        <v>2.2354160000000003</v>
      </c>
      <c r="I1116" s="72"/>
      <c r="K1116" s="658"/>
    </row>
    <row r="1117" spans="1:11" customFormat="1" x14ac:dyDescent="0.25">
      <c r="A1117" s="661"/>
      <c r="B1117" s="73"/>
      <c r="C1117" s="73"/>
      <c r="D1117" s="73"/>
      <c r="E1117" s="73"/>
      <c r="F1117" s="73"/>
      <c r="G1117" s="74"/>
      <c r="H1117" s="153"/>
      <c r="I1117" s="72"/>
      <c r="K1117" s="658"/>
    </row>
    <row r="1118" spans="1:11" customFormat="1" x14ac:dyDescent="0.25">
      <c r="A1118" s="678"/>
      <c r="B1118" s="75" t="s">
        <v>8885</v>
      </c>
      <c r="C1118" s="75"/>
      <c r="D1118" s="73"/>
      <c r="E1118" s="73"/>
      <c r="F1118" s="73"/>
      <c r="G1118" s="74"/>
      <c r="H1118" s="153"/>
      <c r="I1118" s="72"/>
      <c r="K1118" s="658"/>
    </row>
    <row r="1119" spans="1:11" customFormat="1" x14ac:dyDescent="0.25">
      <c r="A1119" s="661"/>
      <c r="B1119" s="73" t="s">
        <v>114</v>
      </c>
      <c r="C1119" s="75"/>
      <c r="D1119" s="73"/>
      <c r="E1119" s="73"/>
      <c r="F1119" s="73"/>
      <c r="G1119" s="74" t="s">
        <v>3</v>
      </c>
      <c r="H1119" s="153">
        <f>H1121</f>
        <v>1.1440000000000001E-2</v>
      </c>
      <c r="I1119" s="72"/>
      <c r="K1119" s="658"/>
    </row>
    <row r="1120" spans="1:11" customFormat="1" x14ac:dyDescent="0.25">
      <c r="A1120" s="661"/>
      <c r="B1120" s="73" t="s">
        <v>164</v>
      </c>
      <c r="C1120" s="75"/>
      <c r="D1120" s="73"/>
      <c r="E1120" s="73"/>
      <c r="F1120" s="73"/>
      <c r="G1120" s="74" t="s">
        <v>3</v>
      </c>
      <c r="H1120" s="153">
        <f>0.3*H1119</f>
        <v>3.4320000000000002E-3</v>
      </c>
      <c r="I1120" s="72"/>
      <c r="K1120" s="658"/>
    </row>
    <row r="1121" spans="1:11" customFormat="1" x14ac:dyDescent="0.25">
      <c r="A1121" s="661"/>
      <c r="B1121" s="73" t="s">
        <v>115</v>
      </c>
      <c r="C1121" s="75"/>
      <c r="D1121" s="73"/>
      <c r="E1121" s="73"/>
      <c r="F1121" s="73"/>
      <c r="G1121" s="74" t="s">
        <v>3</v>
      </c>
      <c r="H1121" s="153">
        <f>0.4*0.011*2*1.3</f>
        <v>1.1440000000000001E-2</v>
      </c>
      <c r="I1121" s="72"/>
      <c r="K1121" s="658"/>
    </row>
    <row r="1122" spans="1:11" customFormat="1" x14ac:dyDescent="0.25">
      <c r="A1122" s="661"/>
      <c r="B1122" s="73" t="s">
        <v>12</v>
      </c>
      <c r="C1122" s="73"/>
      <c r="D1122" s="73"/>
      <c r="E1122" s="73"/>
      <c r="F1122" s="73"/>
      <c r="G1122" s="74" t="s">
        <v>3</v>
      </c>
      <c r="H1122" s="153">
        <f>0.3*H1121</f>
        <v>3.4320000000000002E-3</v>
      </c>
      <c r="I1122" s="72"/>
      <c r="K1122" s="658"/>
    </row>
    <row r="1123" spans="1:11" customFormat="1" x14ac:dyDescent="0.25">
      <c r="A1123" s="661"/>
      <c r="B1123" s="73"/>
      <c r="C1123" s="75" t="s">
        <v>8884</v>
      </c>
      <c r="D1123" s="73"/>
      <c r="E1123" s="73"/>
      <c r="F1123" s="73"/>
      <c r="G1123" s="74"/>
      <c r="H1123" s="153"/>
      <c r="I1123" s="72"/>
      <c r="K1123" s="658"/>
    </row>
    <row r="1124" spans="1:11" customFormat="1" x14ac:dyDescent="0.25">
      <c r="A1124" s="661"/>
      <c r="B1124" s="73"/>
      <c r="C1124" s="73" t="s">
        <v>1484</v>
      </c>
      <c r="D1124" s="73"/>
      <c r="E1124" s="73"/>
      <c r="F1124" s="73"/>
      <c r="G1124" s="74" t="s">
        <v>3</v>
      </c>
      <c r="H1124" s="153">
        <v>0.11</v>
      </c>
      <c r="I1124" s="72"/>
      <c r="J1124" t="s">
        <v>8881</v>
      </c>
      <c r="K1124" s="658"/>
    </row>
    <row r="1125" spans="1:11" customFormat="1" x14ac:dyDescent="0.25">
      <c r="A1125" s="661"/>
      <c r="B1125" s="73"/>
      <c r="C1125" s="73"/>
      <c r="D1125" s="73"/>
      <c r="E1125" s="73"/>
      <c r="F1125" s="73"/>
      <c r="G1125" s="74"/>
      <c r="H1125" s="153"/>
      <c r="I1125" s="72"/>
      <c r="K1125" s="658"/>
    </row>
    <row r="1126" spans="1:11" customFormat="1" x14ac:dyDescent="0.25">
      <c r="A1126" s="678"/>
      <c r="B1126" s="75" t="s">
        <v>8883</v>
      </c>
      <c r="C1126" s="73"/>
      <c r="D1126" s="73"/>
      <c r="E1126" s="73"/>
      <c r="F1126" s="73"/>
      <c r="G1126" s="74"/>
      <c r="H1126" s="153"/>
      <c r="I1126" s="72"/>
      <c r="K1126" s="658"/>
    </row>
    <row r="1127" spans="1:11" customFormat="1" x14ac:dyDescent="0.25">
      <c r="A1127" s="661"/>
      <c r="B1127" s="77" t="s">
        <v>124</v>
      </c>
      <c r="C1127" s="73"/>
      <c r="D1127" s="73"/>
      <c r="E1127" s="73"/>
      <c r="F1127" s="73"/>
      <c r="G1127" s="74" t="s">
        <v>3</v>
      </c>
      <c r="H1127" s="153">
        <f>0.012*3.14*3*0.08*1.2</f>
        <v>1.0851840000000001E-2</v>
      </c>
      <c r="I1127" s="72"/>
      <c r="K1127" s="658"/>
    </row>
    <row r="1128" spans="1:11" customFormat="1" ht="17.25" x14ac:dyDescent="0.25">
      <c r="A1128" s="661"/>
      <c r="B1128" s="77" t="s">
        <v>168</v>
      </c>
      <c r="C1128" s="73"/>
      <c r="D1128" s="73"/>
      <c r="E1128" s="73"/>
      <c r="F1128" s="73"/>
      <c r="G1128" s="74" t="s">
        <v>596</v>
      </c>
      <c r="H1128" s="153">
        <f>H1127*1.09</f>
        <v>1.1828505600000002E-2</v>
      </c>
      <c r="I1128" s="72"/>
      <c r="K1128" s="658"/>
    </row>
    <row r="1129" spans="1:11" customFormat="1" x14ac:dyDescent="0.25">
      <c r="A1129" s="661"/>
      <c r="B1129" s="73" t="s">
        <v>114</v>
      </c>
      <c r="C1129" s="75"/>
      <c r="D1129" s="73"/>
      <c r="E1129" s="73"/>
      <c r="F1129" s="73"/>
      <c r="G1129" s="74" t="s">
        <v>3</v>
      </c>
      <c r="H1129" s="153">
        <f>H1131</f>
        <v>1.7159999999999998E-2</v>
      </c>
      <c r="I1129" s="72"/>
      <c r="K1129" s="658"/>
    </row>
    <row r="1130" spans="1:11" customFormat="1" x14ac:dyDescent="0.25">
      <c r="A1130" s="661"/>
      <c r="B1130" s="73" t="s">
        <v>164</v>
      </c>
      <c r="C1130" s="75"/>
      <c r="D1130" s="73"/>
      <c r="E1130" s="73"/>
      <c r="F1130" s="73"/>
      <c r="G1130" s="74" t="s">
        <v>3</v>
      </c>
      <c r="H1130" s="153">
        <f>0.3*H1129</f>
        <v>5.1479999999999989E-3</v>
      </c>
      <c r="I1130" s="72"/>
      <c r="K1130" s="658"/>
    </row>
    <row r="1131" spans="1:11" customFormat="1" x14ac:dyDescent="0.25">
      <c r="A1131" s="661"/>
      <c r="B1131" s="73" t="s">
        <v>115</v>
      </c>
      <c r="C1131" s="75"/>
      <c r="D1131" s="73"/>
      <c r="E1131" s="73"/>
      <c r="F1131" s="73"/>
      <c r="G1131" s="74" t="s">
        <v>3</v>
      </c>
      <c r="H1131" s="153">
        <f>0.6*0.011*2*1.3</f>
        <v>1.7159999999999998E-2</v>
      </c>
      <c r="I1131" s="72"/>
      <c r="K1131" s="658"/>
    </row>
    <row r="1132" spans="1:11" customFormat="1" x14ac:dyDescent="0.25">
      <c r="A1132" s="661"/>
      <c r="B1132" s="73" t="s">
        <v>12</v>
      </c>
      <c r="C1132" s="73"/>
      <c r="D1132" s="73"/>
      <c r="E1132" s="73"/>
      <c r="F1132" s="73"/>
      <c r="G1132" s="74" t="s">
        <v>3</v>
      </c>
      <c r="H1132" s="153">
        <f>0.3*H1131</f>
        <v>5.1479999999999989E-3</v>
      </c>
      <c r="I1132" s="72"/>
      <c r="K1132" s="658"/>
    </row>
    <row r="1133" spans="1:11" customFormat="1" x14ac:dyDescent="0.25">
      <c r="A1133" s="661"/>
      <c r="B1133" s="73"/>
      <c r="C1133" s="75" t="s">
        <v>8882</v>
      </c>
      <c r="D1133" s="73"/>
      <c r="E1133" s="73"/>
      <c r="F1133" s="73"/>
      <c r="G1133" s="74"/>
      <c r="H1133" s="153"/>
      <c r="I1133" s="72"/>
      <c r="K1133" s="658"/>
    </row>
    <row r="1134" spans="1:11" customFormat="1" x14ac:dyDescent="0.25">
      <c r="A1134" s="661"/>
      <c r="B1134" s="73"/>
      <c r="C1134" s="73" t="s">
        <v>1481</v>
      </c>
      <c r="D1134" s="73"/>
      <c r="E1134" s="73"/>
      <c r="F1134" s="73"/>
      <c r="G1134" s="74" t="s">
        <v>3</v>
      </c>
      <c r="H1134" s="153">
        <v>0.14000000000000001</v>
      </c>
      <c r="I1134" s="72"/>
      <c r="J1134" t="s">
        <v>8881</v>
      </c>
      <c r="K1134" s="658"/>
    </row>
    <row r="1135" spans="1:11" customFormat="1" x14ac:dyDescent="0.25">
      <c r="A1135" s="661"/>
      <c r="B1135" s="73"/>
      <c r="C1135" s="75" t="s">
        <v>8880</v>
      </c>
      <c r="D1135" s="73"/>
      <c r="E1135" s="73"/>
      <c r="F1135" s="73"/>
      <c r="G1135" s="74"/>
      <c r="H1135" s="153"/>
      <c r="I1135" s="72"/>
      <c r="K1135" s="658"/>
    </row>
    <row r="1136" spans="1:11" customFormat="1" x14ac:dyDescent="0.25">
      <c r="A1136" s="661"/>
      <c r="B1136" s="73"/>
      <c r="C1136" s="73" t="s">
        <v>1484</v>
      </c>
      <c r="D1136" s="73"/>
      <c r="E1136" s="73"/>
      <c r="F1136" s="73"/>
      <c r="G1136" s="74" t="s">
        <v>3</v>
      </c>
      <c r="H1136" s="153">
        <v>8.5000000000000006E-2</v>
      </c>
      <c r="I1136" s="72"/>
      <c r="J1136" t="s">
        <v>5072</v>
      </c>
      <c r="K1136" s="658"/>
    </row>
    <row r="1137" spans="1:11" customFormat="1" x14ac:dyDescent="0.25">
      <c r="A1137" s="661"/>
      <c r="B1137" s="73"/>
      <c r="C1137" s="73"/>
      <c r="D1137" s="73"/>
      <c r="E1137" s="73"/>
      <c r="F1137" s="73"/>
      <c r="G1137" s="74"/>
      <c r="H1137" s="153"/>
      <c r="I1137" s="72"/>
      <c r="K1137" s="658"/>
    </row>
    <row r="1138" spans="1:11" customFormat="1" x14ac:dyDescent="0.25">
      <c r="A1138" s="678"/>
      <c r="B1138" s="75" t="s">
        <v>8879</v>
      </c>
      <c r="C1138" s="73"/>
      <c r="D1138" s="73"/>
      <c r="E1138" s="73"/>
      <c r="F1138" s="73"/>
      <c r="G1138" s="74"/>
      <c r="H1138" s="153"/>
      <c r="I1138" s="72"/>
      <c r="K1138" s="658"/>
    </row>
    <row r="1139" spans="1:11" customFormat="1" x14ac:dyDescent="0.25">
      <c r="A1139" s="661"/>
      <c r="B1139" s="77" t="s">
        <v>124</v>
      </c>
      <c r="C1139" s="73"/>
      <c r="D1139" s="73"/>
      <c r="E1139" s="73"/>
      <c r="F1139" s="73"/>
      <c r="G1139" s="74" t="s">
        <v>3</v>
      </c>
      <c r="H1139" s="153">
        <f>0.012*3.14*2*0.08*1.2</f>
        <v>7.234560000000001E-3</v>
      </c>
      <c r="I1139" s="72"/>
      <c r="K1139" s="658"/>
    </row>
    <row r="1140" spans="1:11" customFormat="1" ht="17.25" x14ac:dyDescent="0.25">
      <c r="A1140" s="661"/>
      <c r="B1140" s="77" t="s">
        <v>168</v>
      </c>
      <c r="C1140" s="73"/>
      <c r="D1140" s="73"/>
      <c r="E1140" s="73"/>
      <c r="F1140" s="73"/>
      <c r="G1140" s="74" t="s">
        <v>596</v>
      </c>
      <c r="H1140" s="153">
        <f>H1139*1.09</f>
        <v>7.885670400000001E-3</v>
      </c>
      <c r="I1140" s="72"/>
      <c r="K1140" s="658"/>
    </row>
    <row r="1141" spans="1:11" customFormat="1" x14ac:dyDescent="0.25">
      <c r="A1141" s="661"/>
      <c r="B1141" s="73" t="s">
        <v>114</v>
      </c>
      <c r="C1141" s="75"/>
      <c r="D1141" s="73"/>
      <c r="E1141" s="73"/>
      <c r="F1141" s="73"/>
      <c r="G1141" s="74" t="s">
        <v>3</v>
      </c>
      <c r="H1141" s="153">
        <f>H1143</f>
        <v>1.001E-2</v>
      </c>
      <c r="I1141" s="72"/>
      <c r="K1141" s="658"/>
    </row>
    <row r="1142" spans="1:11" customFormat="1" x14ac:dyDescent="0.25">
      <c r="A1142" s="661"/>
      <c r="B1142" s="73" t="s">
        <v>164</v>
      </c>
      <c r="C1142" s="75"/>
      <c r="D1142" s="73"/>
      <c r="E1142" s="73"/>
      <c r="F1142" s="73"/>
      <c r="G1142" s="74" t="s">
        <v>3</v>
      </c>
      <c r="H1142" s="153">
        <f>0.3*H1141</f>
        <v>3.003E-3</v>
      </c>
      <c r="I1142" s="72"/>
      <c r="K1142" s="658"/>
    </row>
    <row r="1143" spans="1:11" customFormat="1" x14ac:dyDescent="0.25">
      <c r="A1143" s="661"/>
      <c r="B1143" s="73" t="s">
        <v>115</v>
      </c>
      <c r="C1143" s="75"/>
      <c r="D1143" s="73"/>
      <c r="E1143" s="73"/>
      <c r="F1143" s="73"/>
      <c r="G1143" s="74" t="s">
        <v>3</v>
      </c>
      <c r="H1143" s="153">
        <f>0.35*0.011*2*1.3</f>
        <v>1.001E-2</v>
      </c>
      <c r="I1143" s="72"/>
      <c r="K1143" s="658"/>
    </row>
    <row r="1144" spans="1:11" customFormat="1" x14ac:dyDescent="0.25">
      <c r="A1144" s="661"/>
      <c r="B1144" s="73" t="s">
        <v>12</v>
      </c>
      <c r="C1144" s="73"/>
      <c r="D1144" s="73"/>
      <c r="E1144" s="73"/>
      <c r="F1144" s="73"/>
      <c r="G1144" s="74" t="s">
        <v>3</v>
      </c>
      <c r="H1144" s="153">
        <f>0.3*H1143</f>
        <v>3.003E-3</v>
      </c>
      <c r="I1144" s="72"/>
      <c r="K1144" s="658"/>
    </row>
    <row r="1145" spans="1:11" customFormat="1" x14ac:dyDescent="0.25">
      <c r="A1145" s="661"/>
      <c r="B1145" s="73"/>
      <c r="C1145" s="75" t="s">
        <v>8878</v>
      </c>
      <c r="D1145" s="73"/>
      <c r="E1145" s="73"/>
      <c r="F1145" s="73"/>
      <c r="G1145" s="74"/>
      <c r="H1145" s="153"/>
      <c r="I1145" s="72"/>
      <c r="K1145" s="658"/>
    </row>
    <row r="1146" spans="1:11" customFormat="1" x14ac:dyDescent="0.25">
      <c r="A1146" s="661"/>
      <c r="B1146" s="73"/>
      <c r="C1146" s="73" t="s">
        <v>1484</v>
      </c>
      <c r="D1146" s="73"/>
      <c r="E1146" s="73"/>
      <c r="F1146" s="73"/>
      <c r="G1146" s="74" t="s">
        <v>3</v>
      </c>
      <c r="H1146" s="153">
        <v>4.1000000000000002E-2</v>
      </c>
      <c r="I1146" s="72"/>
      <c r="J1146" t="s">
        <v>6007</v>
      </c>
      <c r="K1146" s="658"/>
    </row>
    <row r="1147" spans="1:11" customFormat="1" x14ac:dyDescent="0.25">
      <c r="A1147" s="661"/>
      <c r="B1147" s="73"/>
      <c r="C1147" s="75" t="s">
        <v>8877</v>
      </c>
      <c r="D1147" s="73"/>
      <c r="E1147" s="73"/>
      <c r="F1147" s="73"/>
      <c r="G1147" s="74"/>
      <c r="H1147" s="153"/>
      <c r="I1147" s="72"/>
      <c r="K1147" s="658"/>
    </row>
    <row r="1148" spans="1:11" customFormat="1" x14ac:dyDescent="0.25">
      <c r="A1148" s="661"/>
      <c r="B1148" s="73"/>
      <c r="C1148" s="73" t="s">
        <v>1484</v>
      </c>
      <c r="D1148" s="73"/>
      <c r="E1148" s="73"/>
      <c r="F1148" s="73"/>
      <c r="G1148" s="74" t="s">
        <v>3</v>
      </c>
      <c r="H1148" s="153">
        <v>0.11</v>
      </c>
      <c r="I1148" s="72"/>
      <c r="J1148" t="s">
        <v>8876</v>
      </c>
      <c r="K1148" s="658"/>
    </row>
    <row r="1149" spans="1:11" customFormat="1" x14ac:dyDescent="0.25">
      <c r="A1149" s="661"/>
      <c r="B1149" s="73"/>
      <c r="C1149" s="73"/>
      <c r="D1149" s="73"/>
      <c r="E1149" s="73"/>
      <c r="F1149" s="73"/>
      <c r="G1149" s="74"/>
      <c r="H1149" s="153"/>
      <c r="I1149" s="72"/>
      <c r="K1149" s="658"/>
    </row>
    <row r="1150" spans="1:11" customFormat="1" x14ac:dyDescent="0.25">
      <c r="A1150" s="678"/>
      <c r="B1150" s="75" t="s">
        <v>8875</v>
      </c>
      <c r="C1150" s="73"/>
      <c r="D1150" s="73"/>
      <c r="E1150" s="73"/>
      <c r="F1150" s="73"/>
      <c r="G1150" s="74"/>
      <c r="H1150" s="153"/>
      <c r="I1150" s="72"/>
      <c r="K1150" s="658"/>
    </row>
    <row r="1151" spans="1:11" customFormat="1" x14ac:dyDescent="0.25">
      <c r="A1151" s="661"/>
      <c r="B1151" s="77" t="s">
        <v>124</v>
      </c>
      <c r="C1151" s="73"/>
      <c r="D1151" s="73"/>
      <c r="E1151" s="73"/>
      <c r="F1151" s="73"/>
      <c r="G1151" s="74" t="s">
        <v>3</v>
      </c>
      <c r="H1151" s="153">
        <f>0.013*3.14*5*0.08*1.2</f>
        <v>1.9593600000000003E-2</v>
      </c>
      <c r="I1151" s="72"/>
      <c r="K1151" s="658"/>
    </row>
    <row r="1152" spans="1:11" customFormat="1" ht="17.25" x14ac:dyDescent="0.25">
      <c r="A1152" s="661"/>
      <c r="B1152" s="77" t="s">
        <v>168</v>
      </c>
      <c r="C1152" s="73"/>
      <c r="D1152" s="73"/>
      <c r="E1152" s="73"/>
      <c r="F1152" s="73"/>
      <c r="G1152" s="74" t="s">
        <v>596</v>
      </c>
      <c r="H1152" s="153">
        <f>H1151*1.09</f>
        <v>2.1357024000000006E-2</v>
      </c>
      <c r="I1152" s="72"/>
      <c r="K1152" s="658"/>
    </row>
    <row r="1153" spans="1:11" customFormat="1" x14ac:dyDescent="0.25">
      <c r="A1153" s="661"/>
      <c r="B1153" s="73" t="s">
        <v>114</v>
      </c>
      <c r="C1153" s="75"/>
      <c r="D1153" s="73"/>
      <c r="E1153" s="73"/>
      <c r="F1153" s="73"/>
      <c r="G1153" s="74" t="s">
        <v>3</v>
      </c>
      <c r="H1153" s="153">
        <f>H1155</f>
        <v>2.0591999999999999E-2</v>
      </c>
      <c r="I1153" s="72"/>
      <c r="K1153" s="658"/>
    </row>
    <row r="1154" spans="1:11" customFormat="1" x14ac:dyDescent="0.25">
      <c r="A1154" s="661"/>
      <c r="B1154" s="73" t="s">
        <v>164</v>
      </c>
      <c r="C1154" s="75"/>
      <c r="D1154" s="73"/>
      <c r="E1154" s="73"/>
      <c r="F1154" s="73"/>
      <c r="G1154" s="74" t="s">
        <v>3</v>
      </c>
      <c r="H1154" s="153">
        <f>0.3*H1153</f>
        <v>6.1775999999999992E-3</v>
      </c>
      <c r="I1154" s="72"/>
      <c r="K1154" s="658"/>
    </row>
    <row r="1155" spans="1:11" customFormat="1" x14ac:dyDescent="0.25">
      <c r="A1155" s="661"/>
      <c r="B1155" s="73" t="s">
        <v>115</v>
      </c>
      <c r="C1155" s="75"/>
      <c r="D1155" s="73"/>
      <c r="E1155" s="73"/>
      <c r="F1155" s="73"/>
      <c r="G1155" s="74" t="s">
        <v>3</v>
      </c>
      <c r="H1155" s="153">
        <f>0.72*0.011*2*1.3</f>
        <v>2.0591999999999999E-2</v>
      </c>
      <c r="I1155" s="72"/>
      <c r="K1155" s="658"/>
    </row>
    <row r="1156" spans="1:11" customFormat="1" x14ac:dyDescent="0.25">
      <c r="A1156" s="661"/>
      <c r="B1156" s="73" t="s">
        <v>12</v>
      </c>
      <c r="C1156" s="73"/>
      <c r="D1156" s="73"/>
      <c r="E1156" s="73"/>
      <c r="F1156" s="73"/>
      <c r="G1156" s="74" t="s">
        <v>3</v>
      </c>
      <c r="H1156" s="153">
        <f>0.3*H1155</f>
        <v>6.1775999999999992E-3</v>
      </c>
      <c r="I1156" s="72"/>
      <c r="K1156" s="658"/>
    </row>
    <row r="1157" spans="1:11" customFormat="1" x14ac:dyDescent="0.25">
      <c r="A1157" s="661"/>
      <c r="B1157" s="73"/>
      <c r="C1157" s="75" t="s">
        <v>8874</v>
      </c>
      <c r="D1157" s="73"/>
      <c r="E1157" s="73"/>
      <c r="F1157" s="73"/>
      <c r="G1157" s="74"/>
      <c r="H1157" s="153"/>
      <c r="I1157" s="72"/>
      <c r="K1157" s="658"/>
    </row>
    <row r="1158" spans="1:11" customFormat="1" x14ac:dyDescent="0.25">
      <c r="A1158" s="661"/>
      <c r="B1158" s="73"/>
      <c r="C1158" s="73" t="s">
        <v>1484</v>
      </c>
      <c r="D1158" s="73"/>
      <c r="E1158" s="73"/>
      <c r="F1158" s="73"/>
      <c r="G1158" s="74" t="s">
        <v>3</v>
      </c>
      <c r="H1158" s="153">
        <v>0.03</v>
      </c>
      <c r="I1158" s="72"/>
      <c r="J1158" t="s">
        <v>8873</v>
      </c>
      <c r="K1158" s="658"/>
    </row>
    <row r="1159" spans="1:11" customFormat="1" x14ac:dyDescent="0.25">
      <c r="A1159" s="661"/>
      <c r="B1159" s="73"/>
      <c r="C1159" s="75" t="s">
        <v>8872</v>
      </c>
      <c r="D1159" s="73"/>
      <c r="E1159" s="73"/>
      <c r="F1159" s="73"/>
      <c r="G1159" s="74"/>
      <c r="H1159" s="153"/>
      <c r="I1159" s="72"/>
      <c r="K1159" s="658"/>
    </row>
    <row r="1160" spans="1:11" customFormat="1" x14ac:dyDescent="0.25">
      <c r="A1160" s="661"/>
      <c r="B1160" s="73"/>
      <c r="C1160" s="73" t="s">
        <v>1484</v>
      </c>
      <c r="D1160" s="73"/>
      <c r="E1160" s="73"/>
      <c r="F1160" s="73"/>
      <c r="G1160" s="74" t="s">
        <v>3</v>
      </c>
      <c r="H1160" s="153">
        <v>7.0999999999999994E-2</v>
      </c>
      <c r="I1160" s="72"/>
      <c r="J1160" t="s">
        <v>8871</v>
      </c>
      <c r="K1160" s="658"/>
    </row>
    <row r="1161" spans="1:11" customFormat="1" x14ac:dyDescent="0.25">
      <c r="A1161" s="661"/>
      <c r="B1161" s="73"/>
      <c r="C1161" s="75" t="s">
        <v>8870</v>
      </c>
      <c r="D1161" s="73"/>
      <c r="E1161" s="73"/>
      <c r="F1161" s="73"/>
      <c r="G1161" s="74"/>
      <c r="H1161" s="153"/>
      <c r="I1161" s="72"/>
      <c r="K1161" s="658"/>
    </row>
    <row r="1162" spans="1:11" customFormat="1" x14ac:dyDescent="0.25">
      <c r="A1162" s="661"/>
      <c r="B1162" s="73"/>
      <c r="C1162" s="73" t="s">
        <v>1481</v>
      </c>
      <c r="D1162" s="73"/>
      <c r="E1162" s="73"/>
      <c r="F1162" s="73"/>
      <c r="G1162" s="74" t="s">
        <v>3</v>
      </c>
      <c r="H1162" s="153">
        <v>0.13500000000000001</v>
      </c>
      <c r="I1162" s="72"/>
      <c r="J1162" t="s">
        <v>8604</v>
      </c>
      <c r="K1162" s="658"/>
    </row>
    <row r="1163" spans="1:11" customFormat="1" x14ac:dyDescent="0.25">
      <c r="A1163" s="661"/>
      <c r="B1163" s="73"/>
      <c r="C1163" s="75" t="s">
        <v>8869</v>
      </c>
      <c r="D1163" s="73"/>
      <c r="E1163" s="73"/>
      <c r="F1163" s="73"/>
      <c r="G1163" s="74"/>
      <c r="H1163" s="153"/>
      <c r="I1163" s="72"/>
      <c r="K1163" s="658"/>
    </row>
    <row r="1164" spans="1:11" customFormat="1" x14ac:dyDescent="0.25">
      <c r="A1164" s="661"/>
      <c r="B1164" s="73"/>
      <c r="C1164" s="73" t="s">
        <v>1481</v>
      </c>
      <c r="D1164" s="73"/>
      <c r="E1164" s="73"/>
      <c r="F1164" s="73"/>
      <c r="G1164" s="74" t="s">
        <v>3</v>
      </c>
      <c r="H1164" s="153">
        <v>6.5000000000000002E-2</v>
      </c>
      <c r="I1164" s="72"/>
      <c r="J1164" t="s">
        <v>8868</v>
      </c>
      <c r="K1164" s="658"/>
    </row>
    <row r="1165" spans="1:11" customFormat="1" x14ac:dyDescent="0.25">
      <c r="A1165" s="661"/>
      <c r="B1165" s="73"/>
      <c r="C1165" s="73"/>
      <c r="D1165" s="73"/>
      <c r="E1165" s="73"/>
      <c r="F1165" s="73"/>
      <c r="G1165" s="74"/>
      <c r="H1165" s="153"/>
      <c r="I1165" s="72"/>
      <c r="K1165" s="658"/>
    </row>
    <row r="1166" spans="1:11" customFormat="1" x14ac:dyDescent="0.25">
      <c r="A1166" s="678"/>
      <c r="B1166" s="75" t="s">
        <v>8867</v>
      </c>
      <c r="C1166" s="73"/>
      <c r="D1166" s="73"/>
      <c r="E1166" s="73"/>
      <c r="F1166" s="73"/>
      <c r="G1166" s="74"/>
      <c r="H1166" s="153"/>
      <c r="I1166" s="72"/>
      <c r="K1166" s="658"/>
    </row>
    <row r="1167" spans="1:11" customFormat="1" x14ac:dyDescent="0.25">
      <c r="A1167" s="661"/>
      <c r="B1167" s="73" t="s">
        <v>114</v>
      </c>
      <c r="C1167" s="75"/>
      <c r="D1167" s="73"/>
      <c r="E1167" s="73"/>
      <c r="F1167" s="73"/>
      <c r="G1167" s="74" t="s">
        <v>3</v>
      </c>
      <c r="H1167" s="153">
        <f>H1169</f>
        <v>7.8650000000000005E-3</v>
      </c>
      <c r="I1167" s="72"/>
      <c r="K1167" s="658"/>
    </row>
    <row r="1168" spans="1:11" customFormat="1" x14ac:dyDescent="0.25">
      <c r="A1168" s="661"/>
      <c r="B1168" s="73" t="s">
        <v>164</v>
      </c>
      <c r="C1168" s="75"/>
      <c r="D1168" s="73"/>
      <c r="E1168" s="73"/>
      <c r="F1168" s="73"/>
      <c r="G1168" s="74" t="s">
        <v>3</v>
      </c>
      <c r="H1168" s="153">
        <f>0.3*H1167</f>
        <v>2.3595000000000001E-3</v>
      </c>
      <c r="I1168" s="72"/>
      <c r="K1168" s="658"/>
    </row>
    <row r="1169" spans="1:11" customFormat="1" x14ac:dyDescent="0.25">
      <c r="A1169" s="661"/>
      <c r="B1169" s="73" t="s">
        <v>115</v>
      </c>
      <c r="C1169" s="75"/>
      <c r="D1169" s="73"/>
      <c r="E1169" s="73"/>
      <c r="F1169" s="73"/>
      <c r="G1169" s="74" t="s">
        <v>3</v>
      </c>
      <c r="H1169" s="153">
        <f>0.275*0.011*2*1.3</f>
        <v>7.8650000000000005E-3</v>
      </c>
      <c r="I1169" s="72"/>
      <c r="K1169" s="658"/>
    </row>
    <row r="1170" spans="1:11" customFormat="1" x14ac:dyDescent="0.25">
      <c r="A1170" s="661"/>
      <c r="B1170" s="73" t="s">
        <v>12</v>
      </c>
      <c r="C1170" s="73"/>
      <c r="D1170" s="73"/>
      <c r="E1170" s="73"/>
      <c r="F1170" s="73"/>
      <c r="G1170" s="74" t="s">
        <v>3</v>
      </c>
      <c r="H1170" s="153">
        <f>0.3*H1169</f>
        <v>2.3595000000000001E-3</v>
      </c>
      <c r="I1170" s="72"/>
      <c r="K1170" s="658"/>
    </row>
    <row r="1171" spans="1:11" customFormat="1" x14ac:dyDescent="0.25">
      <c r="A1171" s="661"/>
      <c r="B1171" s="73"/>
      <c r="C1171" s="75" t="s">
        <v>8866</v>
      </c>
      <c r="D1171" s="73"/>
      <c r="E1171" s="73"/>
      <c r="F1171" s="73"/>
      <c r="G1171" s="74"/>
      <c r="H1171" s="153"/>
      <c r="I1171" s="72"/>
      <c r="K1171" s="658"/>
    </row>
    <row r="1172" spans="1:11" customFormat="1" x14ac:dyDescent="0.25">
      <c r="A1172" s="661"/>
      <c r="B1172" s="73"/>
      <c r="C1172" s="73" t="s">
        <v>1484</v>
      </c>
      <c r="D1172" s="73"/>
      <c r="E1172" s="73"/>
      <c r="F1172" s="73"/>
      <c r="G1172" s="74" t="s">
        <v>3</v>
      </c>
      <c r="H1172" s="153">
        <v>8.5000000000000006E-2</v>
      </c>
      <c r="I1172" s="72"/>
      <c r="J1172" t="s">
        <v>2041</v>
      </c>
      <c r="K1172" s="658"/>
    </row>
    <row r="1173" spans="1:11" customFormat="1" x14ac:dyDescent="0.25">
      <c r="A1173" s="661"/>
      <c r="B1173" s="73"/>
      <c r="C1173" s="73"/>
      <c r="D1173" s="73"/>
      <c r="E1173" s="73"/>
      <c r="F1173" s="73"/>
      <c r="G1173" s="74"/>
      <c r="H1173" s="153"/>
      <c r="I1173" s="72"/>
      <c r="K1173" s="658"/>
    </row>
    <row r="1174" spans="1:11" customFormat="1" x14ac:dyDescent="0.25">
      <c r="A1174" s="678"/>
      <c r="B1174" s="75" t="s">
        <v>8865</v>
      </c>
      <c r="C1174" s="73"/>
      <c r="D1174" s="73"/>
      <c r="E1174" s="73"/>
      <c r="F1174" s="73"/>
      <c r="G1174" s="74"/>
      <c r="H1174" s="153"/>
      <c r="I1174" s="72"/>
      <c r="K1174" s="658"/>
    </row>
    <row r="1175" spans="1:11" customFormat="1" x14ac:dyDescent="0.25">
      <c r="A1175" s="661"/>
      <c r="B1175" s="73" t="s">
        <v>114</v>
      </c>
      <c r="C1175" s="75"/>
      <c r="D1175" s="73"/>
      <c r="E1175" s="73"/>
      <c r="F1175" s="73"/>
      <c r="G1175" s="74" t="s">
        <v>3</v>
      </c>
      <c r="H1175" s="153">
        <f>H1177</f>
        <v>5.7200000000000003E-3</v>
      </c>
      <c r="I1175" s="72"/>
      <c r="K1175" s="658"/>
    </row>
    <row r="1176" spans="1:11" customFormat="1" x14ac:dyDescent="0.25">
      <c r="A1176" s="661"/>
      <c r="B1176" s="73" t="s">
        <v>164</v>
      </c>
      <c r="C1176" s="75"/>
      <c r="D1176" s="73"/>
      <c r="E1176" s="73"/>
      <c r="F1176" s="73"/>
      <c r="G1176" s="74" t="s">
        <v>3</v>
      </c>
      <c r="H1176" s="153">
        <f>0.3*H1175</f>
        <v>1.7160000000000001E-3</v>
      </c>
      <c r="I1176" s="72"/>
      <c r="K1176" s="658"/>
    </row>
    <row r="1177" spans="1:11" customFormat="1" x14ac:dyDescent="0.25">
      <c r="A1177" s="661"/>
      <c r="B1177" s="73" t="s">
        <v>115</v>
      </c>
      <c r="C1177" s="75"/>
      <c r="D1177" s="73"/>
      <c r="E1177" s="73"/>
      <c r="F1177" s="73"/>
      <c r="G1177" s="74" t="s">
        <v>3</v>
      </c>
      <c r="H1177" s="153">
        <f>0.2*0.011*2*1.3</f>
        <v>5.7200000000000003E-3</v>
      </c>
      <c r="I1177" s="72"/>
      <c r="K1177" s="658"/>
    </row>
    <row r="1178" spans="1:11" customFormat="1" x14ac:dyDescent="0.25">
      <c r="A1178" s="661"/>
      <c r="B1178" s="73" t="s">
        <v>12</v>
      </c>
      <c r="C1178" s="73"/>
      <c r="D1178" s="73"/>
      <c r="E1178" s="73"/>
      <c r="F1178" s="73"/>
      <c r="G1178" s="74" t="s">
        <v>3</v>
      </c>
      <c r="H1178" s="153">
        <f>0.3*H1177</f>
        <v>1.7160000000000001E-3</v>
      </c>
      <c r="I1178" s="72"/>
      <c r="K1178" s="658"/>
    </row>
    <row r="1179" spans="1:11" customFormat="1" x14ac:dyDescent="0.25">
      <c r="A1179" s="661"/>
      <c r="B1179" s="73"/>
      <c r="C1179" s="75" t="s">
        <v>8864</v>
      </c>
      <c r="D1179" s="73"/>
      <c r="E1179" s="73"/>
      <c r="F1179" s="73"/>
      <c r="G1179" s="74"/>
      <c r="H1179" s="153"/>
      <c r="I1179" s="72"/>
      <c r="K1179" s="658"/>
    </row>
    <row r="1180" spans="1:11" customFormat="1" x14ac:dyDescent="0.25">
      <c r="A1180" s="661"/>
      <c r="B1180" s="73"/>
      <c r="C1180" s="73" t="s">
        <v>1484</v>
      </c>
      <c r="D1180" s="73"/>
      <c r="E1180" s="73"/>
      <c r="F1180" s="73"/>
      <c r="G1180" s="74" t="s">
        <v>3</v>
      </c>
      <c r="H1180" s="153">
        <v>5.5E-2</v>
      </c>
      <c r="I1180" s="72"/>
      <c r="J1180" t="s">
        <v>8863</v>
      </c>
      <c r="K1180" s="658"/>
    </row>
    <row r="1181" spans="1:11" customFormat="1" x14ac:dyDescent="0.25">
      <c r="A1181" s="661"/>
      <c r="B1181" s="73"/>
      <c r="C1181" s="73"/>
      <c r="D1181" s="73"/>
      <c r="E1181" s="73"/>
      <c r="F1181" s="73"/>
      <c r="G1181" s="74"/>
      <c r="H1181" s="153"/>
      <c r="I1181" s="72"/>
      <c r="K1181" s="658"/>
    </row>
    <row r="1182" spans="1:11" customFormat="1" x14ac:dyDescent="0.25">
      <c r="A1182" s="678"/>
      <c r="B1182" s="75" t="s">
        <v>8862</v>
      </c>
      <c r="C1182" s="73"/>
      <c r="D1182" s="73"/>
      <c r="E1182" s="73"/>
      <c r="F1182" s="73"/>
      <c r="G1182" s="74"/>
      <c r="H1182" s="153"/>
      <c r="I1182" s="72"/>
      <c r="K1182" s="658"/>
    </row>
    <row r="1183" spans="1:11" customFormat="1" x14ac:dyDescent="0.25">
      <c r="A1183" s="661"/>
      <c r="B1183" s="77" t="s">
        <v>124</v>
      </c>
      <c r="C1183" s="73"/>
      <c r="D1183" s="73"/>
      <c r="E1183" s="73"/>
      <c r="F1183" s="73"/>
      <c r="G1183" s="74" t="s">
        <v>3</v>
      </c>
      <c r="H1183" s="153">
        <f>0.012*3.14*2*0.08*1.2</f>
        <v>7.234560000000001E-3</v>
      </c>
      <c r="I1183" s="72"/>
      <c r="K1183" s="658"/>
    </row>
    <row r="1184" spans="1:11" customFormat="1" ht="17.25" x14ac:dyDescent="0.25">
      <c r="A1184" s="661"/>
      <c r="B1184" s="77" t="s">
        <v>168</v>
      </c>
      <c r="C1184" s="73"/>
      <c r="D1184" s="73"/>
      <c r="E1184" s="73"/>
      <c r="F1184" s="73"/>
      <c r="G1184" s="74" t="s">
        <v>596</v>
      </c>
      <c r="H1184" s="153">
        <f>H1183*1.09</f>
        <v>7.885670400000001E-3</v>
      </c>
      <c r="I1184" s="72"/>
      <c r="K1184" s="658"/>
    </row>
    <row r="1185" spans="1:11" customFormat="1" x14ac:dyDescent="0.25">
      <c r="A1185" s="661"/>
      <c r="B1185" s="73" t="s">
        <v>114</v>
      </c>
      <c r="C1185" s="75"/>
      <c r="D1185" s="73"/>
      <c r="E1185" s="73"/>
      <c r="F1185" s="73"/>
      <c r="G1185" s="74" t="s">
        <v>3</v>
      </c>
      <c r="H1185" s="153">
        <f>H1187</f>
        <v>9.1519999999999987E-3</v>
      </c>
      <c r="I1185" s="72"/>
      <c r="K1185" s="658"/>
    </row>
    <row r="1186" spans="1:11" customFormat="1" x14ac:dyDescent="0.25">
      <c r="A1186" s="661"/>
      <c r="B1186" s="73" t="s">
        <v>164</v>
      </c>
      <c r="C1186" s="75"/>
      <c r="D1186" s="73"/>
      <c r="E1186" s="73"/>
      <c r="F1186" s="73"/>
      <c r="G1186" s="74" t="s">
        <v>3</v>
      </c>
      <c r="H1186" s="153">
        <f>0.3*H1185</f>
        <v>2.7455999999999995E-3</v>
      </c>
      <c r="I1186" s="72"/>
      <c r="K1186" s="658"/>
    </row>
    <row r="1187" spans="1:11" customFormat="1" x14ac:dyDescent="0.25">
      <c r="A1187" s="661"/>
      <c r="B1187" s="73" t="s">
        <v>6248</v>
      </c>
      <c r="C1187" s="75"/>
      <c r="D1187" s="73"/>
      <c r="E1187" s="73"/>
      <c r="F1187" s="73"/>
      <c r="G1187" s="74" t="s">
        <v>3</v>
      </c>
      <c r="H1187" s="153">
        <f>0.32*0.011*2*1.3</f>
        <v>9.1519999999999987E-3</v>
      </c>
      <c r="I1187" s="72"/>
      <c r="K1187" s="658"/>
    </row>
    <row r="1188" spans="1:11" customFormat="1" x14ac:dyDescent="0.25">
      <c r="A1188" s="661"/>
      <c r="B1188" s="73" t="s">
        <v>12</v>
      </c>
      <c r="C1188" s="73"/>
      <c r="D1188" s="73"/>
      <c r="E1188" s="73"/>
      <c r="F1188" s="73"/>
      <c r="G1188" s="74" t="s">
        <v>3</v>
      </c>
      <c r="H1188" s="153">
        <f>0.3*H1187</f>
        <v>2.7455999999999995E-3</v>
      </c>
      <c r="I1188" s="72"/>
      <c r="K1188" s="658"/>
    </row>
    <row r="1189" spans="1:11" customFormat="1" x14ac:dyDescent="0.25">
      <c r="A1189" s="661"/>
      <c r="B1189" s="73"/>
      <c r="C1189" s="75" t="s">
        <v>8861</v>
      </c>
      <c r="D1189" s="73"/>
      <c r="E1189" s="73"/>
      <c r="F1189" s="73"/>
      <c r="G1189" s="74"/>
      <c r="H1189" s="153"/>
      <c r="I1189" s="72"/>
      <c r="K1189" s="658"/>
    </row>
    <row r="1190" spans="1:11" customFormat="1" x14ac:dyDescent="0.25">
      <c r="A1190" s="661"/>
      <c r="B1190" s="73"/>
      <c r="C1190" s="73" t="s">
        <v>1484</v>
      </c>
      <c r="D1190" s="73"/>
      <c r="E1190" s="73"/>
      <c r="F1190" s="73"/>
      <c r="G1190" s="74" t="s">
        <v>3</v>
      </c>
      <c r="H1190" s="153">
        <v>0.11</v>
      </c>
      <c r="I1190" s="72"/>
      <c r="J1190" t="s">
        <v>8860</v>
      </c>
      <c r="K1190" s="658"/>
    </row>
    <row r="1191" spans="1:11" customFormat="1" x14ac:dyDescent="0.25">
      <c r="A1191" s="661"/>
      <c r="B1191" s="73"/>
      <c r="C1191" s="73"/>
      <c r="D1191" s="73"/>
      <c r="E1191" s="73"/>
      <c r="F1191" s="73"/>
      <c r="G1191" s="74"/>
      <c r="H1191" s="153"/>
      <c r="I1191" s="72"/>
      <c r="K1191" s="658"/>
    </row>
    <row r="1192" spans="1:11" customFormat="1" x14ac:dyDescent="0.25">
      <c r="A1192" s="678"/>
      <c r="B1192" s="75" t="s">
        <v>8859</v>
      </c>
      <c r="C1192" s="73"/>
      <c r="D1192" s="73"/>
      <c r="E1192" s="73"/>
      <c r="F1192" s="73"/>
      <c r="G1192" s="74"/>
      <c r="H1192" s="153"/>
      <c r="I1192" s="72"/>
      <c r="K1192" s="658"/>
    </row>
    <row r="1193" spans="1:11" customFormat="1" x14ac:dyDescent="0.25">
      <c r="A1193" s="661"/>
      <c r="B1193" s="77" t="s">
        <v>124</v>
      </c>
      <c r="C1193" s="73"/>
      <c r="D1193" s="73"/>
      <c r="E1193" s="73"/>
      <c r="F1193" s="73"/>
      <c r="G1193" s="74" t="s">
        <v>3</v>
      </c>
      <c r="H1193" s="153">
        <f>0.014*3.14*3*0.08*1.2</f>
        <v>1.2660480000000002E-2</v>
      </c>
      <c r="I1193" s="72"/>
      <c r="K1193" s="658"/>
    </row>
    <row r="1194" spans="1:11" customFormat="1" ht="17.25" x14ac:dyDescent="0.25">
      <c r="A1194" s="661"/>
      <c r="B1194" s="77" t="s">
        <v>168</v>
      </c>
      <c r="C1194" s="73"/>
      <c r="D1194" s="73"/>
      <c r="E1194" s="73"/>
      <c r="F1194" s="73"/>
      <c r="G1194" s="74" t="s">
        <v>596</v>
      </c>
      <c r="H1194" s="153">
        <f>H1193*1.09</f>
        <v>1.3799923200000003E-2</v>
      </c>
      <c r="I1194" s="72"/>
      <c r="K1194" s="658"/>
    </row>
    <row r="1195" spans="1:11" customFormat="1" x14ac:dyDescent="0.25">
      <c r="A1195" s="661"/>
      <c r="B1195" s="73" t="s">
        <v>114</v>
      </c>
      <c r="C1195" s="75"/>
      <c r="D1195" s="73"/>
      <c r="E1195" s="73"/>
      <c r="F1195" s="73"/>
      <c r="G1195" s="74" t="s">
        <v>3</v>
      </c>
      <c r="H1195" s="153">
        <f>H1197</f>
        <v>1.5730000000000001E-2</v>
      </c>
      <c r="I1195" s="72"/>
      <c r="K1195" s="658"/>
    </row>
    <row r="1196" spans="1:11" customFormat="1" x14ac:dyDescent="0.25">
      <c r="A1196" s="661"/>
      <c r="B1196" s="73" t="s">
        <v>164</v>
      </c>
      <c r="C1196" s="75"/>
      <c r="D1196" s="73"/>
      <c r="E1196" s="73"/>
      <c r="F1196" s="73"/>
      <c r="G1196" s="74" t="s">
        <v>3</v>
      </c>
      <c r="H1196" s="153">
        <f>0.3*H1195</f>
        <v>4.7190000000000001E-3</v>
      </c>
      <c r="I1196" s="72"/>
      <c r="K1196" s="658"/>
    </row>
    <row r="1197" spans="1:11" customFormat="1" x14ac:dyDescent="0.25">
      <c r="A1197" s="661"/>
      <c r="B1197" s="73" t="s">
        <v>4337</v>
      </c>
      <c r="C1197" s="75"/>
      <c r="D1197" s="73"/>
      <c r="E1197" s="73"/>
      <c r="F1197" s="73"/>
      <c r="G1197" s="74" t="s">
        <v>3</v>
      </c>
      <c r="H1197" s="153">
        <f>0.55*0.011*2*1.3</f>
        <v>1.5730000000000001E-2</v>
      </c>
      <c r="I1197" s="72"/>
      <c r="K1197" s="658"/>
    </row>
    <row r="1198" spans="1:11" customFormat="1" x14ac:dyDescent="0.25">
      <c r="A1198" s="661"/>
      <c r="B1198" s="73" t="s">
        <v>12</v>
      </c>
      <c r="C1198" s="73"/>
      <c r="D1198" s="73"/>
      <c r="E1198" s="73"/>
      <c r="F1198" s="73"/>
      <c r="G1198" s="74" t="s">
        <v>3</v>
      </c>
      <c r="H1198" s="153">
        <f>0.3*H1197</f>
        <v>4.7190000000000001E-3</v>
      </c>
      <c r="I1198" s="72"/>
      <c r="K1198" s="658"/>
    </row>
    <row r="1199" spans="1:11" customFormat="1" x14ac:dyDescent="0.25">
      <c r="A1199" s="661"/>
      <c r="B1199" s="73"/>
      <c r="C1199" s="75" t="s">
        <v>8858</v>
      </c>
      <c r="D1199" s="73"/>
      <c r="E1199" s="73"/>
      <c r="F1199" s="73"/>
      <c r="G1199" s="74"/>
      <c r="H1199" s="153"/>
      <c r="I1199" s="72"/>
      <c r="K1199" s="658"/>
    </row>
    <row r="1200" spans="1:11" customFormat="1" x14ac:dyDescent="0.25">
      <c r="A1200" s="661"/>
      <c r="B1200" s="73"/>
      <c r="C1200" s="73" t="s">
        <v>1481</v>
      </c>
      <c r="D1200" s="73"/>
      <c r="E1200" s="73"/>
      <c r="F1200" s="73"/>
      <c r="G1200" s="74" t="s">
        <v>3</v>
      </c>
      <c r="H1200" s="153">
        <f>0.069*1.18</f>
        <v>8.1420000000000006E-2</v>
      </c>
      <c r="I1200" s="72"/>
      <c r="J1200" t="s">
        <v>8840</v>
      </c>
      <c r="K1200" s="658"/>
    </row>
    <row r="1201" spans="1:11" customFormat="1" x14ac:dyDescent="0.25">
      <c r="A1201" s="661"/>
      <c r="B1201" s="73"/>
      <c r="C1201" s="75" t="s">
        <v>8857</v>
      </c>
      <c r="D1201" s="73"/>
      <c r="E1201" s="73"/>
      <c r="F1201" s="73"/>
      <c r="G1201" s="74"/>
      <c r="H1201" s="153"/>
      <c r="I1201" s="72"/>
      <c r="K1201" s="658"/>
    </row>
    <row r="1202" spans="1:11" customFormat="1" x14ac:dyDescent="0.25">
      <c r="A1202" s="661"/>
      <c r="B1202" s="73"/>
      <c r="C1202" s="73" t="s">
        <v>1481</v>
      </c>
      <c r="D1202" s="73"/>
      <c r="E1202" s="73"/>
      <c r="F1202" s="73"/>
      <c r="G1202" s="74" t="s">
        <v>3</v>
      </c>
      <c r="H1202" s="153">
        <f>0.066*1.21</f>
        <v>7.986E-2</v>
      </c>
      <c r="I1202" s="72"/>
      <c r="J1202" t="s">
        <v>5683</v>
      </c>
      <c r="K1202" s="658"/>
    </row>
    <row r="1203" spans="1:11" customFormat="1" x14ac:dyDescent="0.25">
      <c r="A1203" s="661"/>
      <c r="B1203" s="73"/>
      <c r="C1203" s="75" t="s">
        <v>8856</v>
      </c>
      <c r="D1203" s="73"/>
      <c r="E1203" s="73"/>
      <c r="F1203" s="73"/>
      <c r="G1203" s="74"/>
      <c r="H1203" s="153"/>
      <c r="I1203" s="72"/>
      <c r="K1203" s="658"/>
    </row>
    <row r="1204" spans="1:11" customFormat="1" x14ac:dyDescent="0.25">
      <c r="A1204" s="661"/>
      <c r="B1204" s="73"/>
      <c r="C1204" s="73" t="s">
        <v>1484</v>
      </c>
      <c r="D1204" s="73"/>
      <c r="E1204" s="73"/>
      <c r="F1204" s="73"/>
      <c r="G1204" s="74" t="s">
        <v>3</v>
      </c>
      <c r="H1204" s="153">
        <v>0.02</v>
      </c>
      <c r="I1204" s="72"/>
      <c r="J1204" t="s">
        <v>8855</v>
      </c>
      <c r="K1204" s="658"/>
    </row>
    <row r="1205" spans="1:11" customFormat="1" x14ac:dyDescent="0.25">
      <c r="A1205" s="661"/>
      <c r="B1205" s="73"/>
      <c r="C1205" s="73"/>
      <c r="D1205" s="73"/>
      <c r="E1205" s="73"/>
      <c r="F1205" s="73"/>
      <c r="G1205" s="74"/>
      <c r="H1205" s="153"/>
      <c r="I1205" s="72"/>
      <c r="K1205" s="658"/>
    </row>
    <row r="1206" spans="1:11" customFormat="1" x14ac:dyDescent="0.25">
      <c r="A1206" s="678"/>
      <c r="B1206" s="75" t="s">
        <v>8854</v>
      </c>
      <c r="C1206" s="73"/>
      <c r="D1206" s="73"/>
      <c r="E1206" s="73"/>
      <c r="F1206" s="73"/>
      <c r="G1206" s="74"/>
      <c r="H1206" s="153"/>
      <c r="I1206" s="72"/>
      <c r="K1206" s="658"/>
    </row>
    <row r="1207" spans="1:11" customFormat="1" x14ac:dyDescent="0.25">
      <c r="A1207" s="661"/>
      <c r="B1207" s="77" t="s">
        <v>124</v>
      </c>
      <c r="C1207" s="73"/>
      <c r="D1207" s="73"/>
      <c r="E1207" s="73"/>
      <c r="F1207" s="73"/>
      <c r="G1207" s="74" t="s">
        <v>3</v>
      </c>
      <c r="H1207" s="153">
        <f>0.012*3.14*2*0.08*1.2</f>
        <v>7.234560000000001E-3</v>
      </c>
      <c r="I1207" s="72"/>
      <c r="K1207" s="658"/>
    </row>
    <row r="1208" spans="1:11" customFormat="1" ht="17.25" x14ac:dyDescent="0.25">
      <c r="A1208" s="661"/>
      <c r="B1208" s="77" t="s">
        <v>168</v>
      </c>
      <c r="C1208" s="73"/>
      <c r="D1208" s="73"/>
      <c r="E1208" s="73"/>
      <c r="F1208" s="73"/>
      <c r="G1208" s="74" t="s">
        <v>596</v>
      </c>
      <c r="H1208" s="153">
        <f>H1207*1.09</f>
        <v>7.885670400000001E-3</v>
      </c>
      <c r="I1208" s="72"/>
      <c r="K1208" s="658"/>
    </row>
    <row r="1209" spans="1:11" customFormat="1" x14ac:dyDescent="0.25">
      <c r="A1209" s="661"/>
      <c r="B1209" s="100" t="s">
        <v>114</v>
      </c>
      <c r="C1209" s="73"/>
      <c r="D1209" s="73"/>
      <c r="E1209" s="73"/>
      <c r="F1209" s="73"/>
      <c r="G1209" s="74" t="s">
        <v>3</v>
      </c>
      <c r="H1209" s="153">
        <v>7.0000000000000001E-3</v>
      </c>
      <c r="I1209" s="72"/>
      <c r="K1209" s="658"/>
    </row>
    <row r="1210" spans="1:11" customFormat="1" x14ac:dyDescent="0.25">
      <c r="A1210" s="661"/>
      <c r="B1210" s="100" t="s">
        <v>164</v>
      </c>
      <c r="C1210" s="73"/>
      <c r="D1210" s="73"/>
      <c r="E1210" s="73"/>
      <c r="F1210" s="73"/>
      <c r="G1210" s="74" t="s">
        <v>3</v>
      </c>
      <c r="H1210" s="153">
        <f>0.3*H1209</f>
        <v>2.0999999999999999E-3</v>
      </c>
      <c r="I1210" s="72"/>
      <c r="K1210" s="658"/>
    </row>
    <row r="1211" spans="1:11" customFormat="1" x14ac:dyDescent="0.25">
      <c r="A1211" s="661"/>
      <c r="B1211" s="100" t="s">
        <v>8</v>
      </c>
      <c r="C1211" s="73"/>
      <c r="D1211" s="73"/>
      <c r="E1211" s="73"/>
      <c r="F1211" s="73"/>
      <c r="G1211" s="74" t="s">
        <v>3</v>
      </c>
      <c r="H1211" s="153">
        <v>7.0000000000000001E-3</v>
      </c>
      <c r="I1211" s="72"/>
      <c r="K1211" s="658"/>
    </row>
    <row r="1212" spans="1:11" customFormat="1" x14ac:dyDescent="0.25">
      <c r="A1212" s="661"/>
      <c r="B1212" s="100" t="s">
        <v>12</v>
      </c>
      <c r="C1212" s="73"/>
      <c r="D1212" s="73"/>
      <c r="E1212" s="73"/>
      <c r="F1212" s="73"/>
      <c r="G1212" s="74" t="s">
        <v>3</v>
      </c>
      <c r="H1212" s="153">
        <f>0.3*H1211</f>
        <v>2.0999999999999999E-3</v>
      </c>
      <c r="I1212" s="72"/>
      <c r="K1212" s="658"/>
    </row>
    <row r="1213" spans="1:11" customFormat="1" x14ac:dyDescent="0.25">
      <c r="A1213" s="661"/>
      <c r="B1213" s="100" t="s">
        <v>72</v>
      </c>
      <c r="C1213" s="73"/>
      <c r="D1213" s="73"/>
      <c r="E1213" s="73"/>
      <c r="F1213" s="73"/>
      <c r="G1213" s="74" t="s">
        <v>3</v>
      </c>
      <c r="H1213" s="153">
        <f>0.55*0.011*2*1.2</f>
        <v>1.4519999999999998E-2</v>
      </c>
      <c r="I1213" s="72"/>
      <c r="K1213" s="658"/>
    </row>
    <row r="1214" spans="1:11" customFormat="1" x14ac:dyDescent="0.25">
      <c r="A1214" s="661"/>
      <c r="B1214" s="100" t="s">
        <v>11</v>
      </c>
      <c r="C1214" s="73"/>
      <c r="D1214" s="73"/>
      <c r="E1214" s="73"/>
      <c r="F1214" s="73"/>
      <c r="G1214" s="74" t="s">
        <v>3</v>
      </c>
      <c r="H1214" s="153">
        <f>0.3*H1213</f>
        <v>4.3559999999999996E-3</v>
      </c>
      <c r="I1214" s="72"/>
      <c r="K1214" s="658"/>
    </row>
    <row r="1215" spans="1:11" customFormat="1" x14ac:dyDescent="0.25">
      <c r="A1215" s="661"/>
      <c r="B1215" s="73"/>
      <c r="C1215" s="73"/>
      <c r="D1215" s="73"/>
      <c r="E1215" s="73"/>
      <c r="F1215" s="73"/>
      <c r="G1215" s="74"/>
      <c r="H1215" s="153"/>
      <c r="I1215" s="72"/>
      <c r="K1215" s="658"/>
    </row>
    <row r="1216" spans="1:11" customFormat="1" x14ac:dyDescent="0.25">
      <c r="A1216" s="678"/>
      <c r="B1216" s="75" t="s">
        <v>8853</v>
      </c>
      <c r="C1216" s="73"/>
      <c r="D1216" s="73"/>
      <c r="E1216" s="73"/>
      <c r="F1216" s="73"/>
      <c r="G1216" s="74"/>
      <c r="H1216" s="153"/>
      <c r="I1216" s="72"/>
      <c r="K1216" s="658"/>
    </row>
    <row r="1217" spans="1:11" customFormat="1" x14ac:dyDescent="0.25">
      <c r="A1217" s="661"/>
      <c r="B1217" s="77" t="s">
        <v>124</v>
      </c>
      <c r="C1217" s="73"/>
      <c r="D1217" s="73"/>
      <c r="E1217" s="73"/>
      <c r="F1217" s="73"/>
      <c r="G1217" s="74" t="s">
        <v>3</v>
      </c>
      <c r="H1217" s="153">
        <f>0.012*3.14*2*0.05*1.39</f>
        <v>5.2375200000000007E-3</v>
      </c>
      <c r="I1217" s="72"/>
      <c r="K1217" s="658"/>
    </row>
    <row r="1218" spans="1:11" customFormat="1" ht="17.25" x14ac:dyDescent="0.25">
      <c r="A1218" s="661"/>
      <c r="B1218" s="77" t="s">
        <v>168</v>
      </c>
      <c r="C1218" s="73"/>
      <c r="D1218" s="73"/>
      <c r="E1218" s="73"/>
      <c r="F1218" s="73"/>
      <c r="G1218" s="74" t="s">
        <v>596</v>
      </c>
      <c r="H1218" s="153">
        <f>H1217*1.09</f>
        <v>5.7088968000000009E-3</v>
      </c>
      <c r="I1218" s="72"/>
      <c r="K1218" s="658"/>
    </row>
    <row r="1219" spans="1:11" customFormat="1" x14ac:dyDescent="0.25">
      <c r="A1219" s="661"/>
      <c r="B1219" s="100" t="s">
        <v>114</v>
      </c>
      <c r="C1219" s="73"/>
      <c r="D1219" s="73"/>
      <c r="E1219" s="73"/>
      <c r="F1219" s="73"/>
      <c r="G1219" s="74" t="s">
        <v>3</v>
      </c>
      <c r="H1219" s="153">
        <v>6.0000000000000001E-3</v>
      </c>
      <c r="I1219" s="72"/>
      <c r="K1219" s="658"/>
    </row>
    <row r="1220" spans="1:11" customFormat="1" x14ac:dyDescent="0.25">
      <c r="A1220" s="661"/>
      <c r="B1220" s="100" t="s">
        <v>164</v>
      </c>
      <c r="C1220" s="73"/>
      <c r="D1220" s="73"/>
      <c r="E1220" s="73"/>
      <c r="F1220" s="73"/>
      <c r="G1220" s="74" t="s">
        <v>3</v>
      </c>
      <c r="H1220" s="153">
        <f>0.3*H1219</f>
        <v>1.8E-3</v>
      </c>
      <c r="I1220" s="72"/>
      <c r="K1220" s="658"/>
    </row>
    <row r="1221" spans="1:11" customFormat="1" x14ac:dyDescent="0.25">
      <c r="A1221" s="661"/>
      <c r="B1221" s="100" t="s">
        <v>8</v>
      </c>
      <c r="C1221" s="73"/>
      <c r="D1221" s="73"/>
      <c r="E1221" s="73"/>
      <c r="F1221" s="73"/>
      <c r="G1221" s="74" t="s">
        <v>3</v>
      </c>
      <c r="H1221" s="153">
        <v>6.0000000000000001E-3</v>
      </c>
      <c r="I1221" s="72"/>
      <c r="K1221" s="658"/>
    </row>
    <row r="1222" spans="1:11" customFormat="1" x14ac:dyDescent="0.25">
      <c r="A1222" s="661"/>
      <c r="B1222" s="100" t="s">
        <v>12</v>
      </c>
      <c r="C1222" s="73"/>
      <c r="D1222" s="73"/>
      <c r="E1222" s="73"/>
      <c r="F1222" s="73"/>
      <c r="G1222" s="74" t="s">
        <v>3</v>
      </c>
      <c r="H1222" s="153">
        <f>0.3*H1221</f>
        <v>1.8E-3</v>
      </c>
      <c r="I1222" s="72"/>
      <c r="K1222" s="658"/>
    </row>
    <row r="1223" spans="1:11" customFormat="1" x14ac:dyDescent="0.25">
      <c r="A1223" s="661"/>
      <c r="B1223" s="100" t="s">
        <v>72</v>
      </c>
      <c r="C1223" s="73"/>
      <c r="D1223" s="73"/>
      <c r="E1223" s="73"/>
      <c r="F1223" s="73"/>
      <c r="G1223" s="74" t="s">
        <v>3</v>
      </c>
      <c r="H1223" s="153">
        <f>0.45*0.011*2*1.2</f>
        <v>1.1879999999999998E-2</v>
      </c>
      <c r="I1223" s="72"/>
      <c r="K1223" s="658"/>
    </row>
    <row r="1224" spans="1:11" customFormat="1" x14ac:dyDescent="0.25">
      <c r="A1224" s="661"/>
      <c r="B1224" s="100" t="s">
        <v>11</v>
      </c>
      <c r="C1224" s="73"/>
      <c r="D1224" s="73"/>
      <c r="E1224" s="73"/>
      <c r="F1224" s="73"/>
      <c r="G1224" s="74" t="s">
        <v>3</v>
      </c>
      <c r="H1224" s="153">
        <f>0.3*H1223</f>
        <v>3.5639999999999995E-3</v>
      </c>
      <c r="I1224" s="72"/>
      <c r="K1224" s="658"/>
    </row>
    <row r="1225" spans="1:11" customFormat="1" x14ac:dyDescent="0.25">
      <c r="A1225" s="661"/>
      <c r="B1225" s="73"/>
      <c r="C1225" s="73"/>
      <c r="D1225" s="73"/>
      <c r="E1225" s="73"/>
      <c r="F1225" s="73"/>
      <c r="G1225" s="74"/>
      <c r="H1225" s="153"/>
      <c r="I1225" s="72"/>
      <c r="K1225" s="658"/>
    </row>
    <row r="1226" spans="1:11" customFormat="1" x14ac:dyDescent="0.25">
      <c r="A1226" s="678"/>
      <c r="B1226" s="75" t="s">
        <v>8852</v>
      </c>
      <c r="C1226" s="73"/>
      <c r="D1226" s="73"/>
      <c r="E1226" s="73"/>
      <c r="F1226" s="73"/>
      <c r="G1226" s="74"/>
      <c r="H1226" s="153"/>
      <c r="I1226" s="72"/>
      <c r="K1226" s="658"/>
    </row>
    <row r="1227" spans="1:11" customFormat="1" x14ac:dyDescent="0.25">
      <c r="A1227" s="661"/>
      <c r="B1227" s="77" t="s">
        <v>124</v>
      </c>
      <c r="C1227" s="73"/>
      <c r="D1227" s="73"/>
      <c r="E1227" s="73"/>
      <c r="F1227" s="73"/>
      <c r="G1227" s="74" t="s">
        <v>3</v>
      </c>
      <c r="H1227" s="153">
        <f>0.032*0.08*1.2</f>
        <v>3.0720000000000001E-3</v>
      </c>
      <c r="I1227" s="72"/>
      <c r="K1227" s="658"/>
    </row>
    <row r="1228" spans="1:11" customFormat="1" ht="17.25" x14ac:dyDescent="0.25">
      <c r="A1228" s="661"/>
      <c r="B1228" s="77" t="s">
        <v>168</v>
      </c>
      <c r="C1228" s="73"/>
      <c r="D1228" s="73"/>
      <c r="E1228" s="73"/>
      <c r="F1228" s="73"/>
      <c r="G1228" s="74" t="s">
        <v>596</v>
      </c>
      <c r="H1228" s="153">
        <f>H1227*1.09</f>
        <v>3.3484800000000005E-3</v>
      </c>
      <c r="I1228" s="72"/>
      <c r="K1228" s="658"/>
    </row>
    <row r="1229" spans="1:11" customFormat="1" x14ac:dyDescent="0.25">
      <c r="A1229" s="661"/>
      <c r="B1229" s="73" t="s">
        <v>114</v>
      </c>
      <c r="C1229" s="75"/>
      <c r="D1229" s="73"/>
      <c r="E1229" s="73"/>
      <c r="F1229" s="73"/>
      <c r="G1229" s="74" t="s">
        <v>3</v>
      </c>
      <c r="H1229" s="153">
        <f>H1231</f>
        <v>7.1500000000000001E-3</v>
      </c>
      <c r="I1229" s="72"/>
      <c r="K1229" s="658"/>
    </row>
    <row r="1230" spans="1:11" customFormat="1" x14ac:dyDescent="0.25">
      <c r="A1230" s="661"/>
      <c r="B1230" s="73" t="s">
        <v>164</v>
      </c>
      <c r="C1230" s="75"/>
      <c r="D1230" s="73"/>
      <c r="E1230" s="73"/>
      <c r="F1230" s="73"/>
      <c r="G1230" s="74" t="s">
        <v>3</v>
      </c>
      <c r="H1230" s="153">
        <f>0.3*H1229</f>
        <v>2.1449999999999998E-3</v>
      </c>
      <c r="I1230" s="72"/>
      <c r="K1230" s="658"/>
    </row>
    <row r="1231" spans="1:11" customFormat="1" x14ac:dyDescent="0.25">
      <c r="A1231" s="661"/>
      <c r="B1231" s="73" t="s">
        <v>401</v>
      </c>
      <c r="C1231" s="75"/>
      <c r="D1231" s="73"/>
      <c r="E1231" s="73"/>
      <c r="F1231" s="73"/>
      <c r="G1231" s="74" t="s">
        <v>3</v>
      </c>
      <c r="H1231" s="153">
        <f>0.25*0.011*2*1.3</f>
        <v>7.1500000000000001E-3</v>
      </c>
      <c r="I1231" s="72"/>
      <c r="K1231" s="658"/>
    </row>
    <row r="1232" spans="1:11" customFormat="1" x14ac:dyDescent="0.25">
      <c r="A1232" s="661"/>
      <c r="B1232" s="73" t="s">
        <v>12</v>
      </c>
      <c r="C1232" s="73"/>
      <c r="D1232" s="73"/>
      <c r="E1232" s="73"/>
      <c r="F1232" s="73"/>
      <c r="G1232" s="74" t="s">
        <v>3</v>
      </c>
      <c r="H1232" s="153">
        <f>0.3*H1231</f>
        <v>2.1449999999999998E-3</v>
      </c>
      <c r="I1232" s="72"/>
      <c r="K1232" s="658"/>
    </row>
    <row r="1233" spans="1:11" customFormat="1" x14ac:dyDescent="0.25">
      <c r="A1233" s="661"/>
      <c r="B1233" s="73"/>
      <c r="C1233" s="75" t="s">
        <v>8851</v>
      </c>
      <c r="D1233" s="73"/>
      <c r="E1233" s="73"/>
      <c r="F1233" s="73"/>
      <c r="G1233" s="74"/>
      <c r="H1233" s="153"/>
      <c r="I1233" s="72"/>
      <c r="K1233" s="658"/>
    </row>
    <row r="1234" spans="1:11" customFormat="1" x14ac:dyDescent="0.25">
      <c r="A1234" s="661"/>
      <c r="B1234" s="73"/>
      <c r="C1234" s="73" t="s">
        <v>2405</v>
      </c>
      <c r="D1234" s="73"/>
      <c r="E1234" s="73"/>
      <c r="F1234" s="73"/>
      <c r="G1234" s="74" t="s">
        <v>3</v>
      </c>
      <c r="H1234" s="153">
        <v>5.1999999999999998E-2</v>
      </c>
      <c r="I1234" s="72"/>
      <c r="J1234" t="s">
        <v>8840</v>
      </c>
      <c r="K1234" s="658"/>
    </row>
    <row r="1235" spans="1:11" customFormat="1" x14ac:dyDescent="0.25">
      <c r="A1235" s="661"/>
      <c r="B1235" s="73"/>
      <c r="C1235" s="73"/>
      <c r="D1235" s="73"/>
      <c r="E1235" s="73"/>
      <c r="F1235" s="73"/>
      <c r="G1235" s="74"/>
      <c r="H1235" s="153"/>
      <c r="I1235" s="72"/>
      <c r="K1235" s="658"/>
    </row>
    <row r="1236" spans="1:11" customFormat="1" x14ac:dyDescent="0.25">
      <c r="A1236" s="678"/>
      <c r="B1236" s="75" t="s">
        <v>8850</v>
      </c>
      <c r="C1236" s="73"/>
      <c r="D1236" s="73"/>
      <c r="E1236" s="73"/>
      <c r="F1236" s="73"/>
      <c r="G1236" s="74"/>
      <c r="H1236" s="153"/>
      <c r="I1236" s="72"/>
      <c r="K1236" s="658"/>
    </row>
    <row r="1237" spans="1:11" customFormat="1" x14ac:dyDescent="0.25">
      <c r="A1237" s="661"/>
      <c r="B1237" s="77" t="s">
        <v>124</v>
      </c>
      <c r="C1237" s="73"/>
      <c r="D1237" s="73"/>
      <c r="E1237" s="73"/>
      <c r="F1237" s="73"/>
      <c r="G1237" s="74" t="s">
        <v>3</v>
      </c>
      <c r="H1237" s="153">
        <f>0.014*3.14*3*0.08*1.2</f>
        <v>1.2660480000000002E-2</v>
      </c>
      <c r="I1237" s="72"/>
      <c r="K1237" s="658"/>
    </row>
    <row r="1238" spans="1:11" customFormat="1" ht="17.25" x14ac:dyDescent="0.25">
      <c r="A1238" s="661"/>
      <c r="B1238" s="77" t="s">
        <v>168</v>
      </c>
      <c r="C1238" s="73"/>
      <c r="D1238" s="73"/>
      <c r="E1238" s="73"/>
      <c r="F1238" s="73"/>
      <c r="G1238" s="74" t="s">
        <v>596</v>
      </c>
      <c r="H1238" s="153">
        <f>H1237*1.09</f>
        <v>1.3799923200000003E-2</v>
      </c>
      <c r="I1238" s="72"/>
      <c r="K1238" s="658"/>
    </row>
    <row r="1239" spans="1:11" customFormat="1" x14ac:dyDescent="0.25">
      <c r="A1239" s="661"/>
      <c r="B1239" s="73" t="s">
        <v>114</v>
      </c>
      <c r="C1239" s="75"/>
      <c r="D1239" s="73"/>
      <c r="E1239" s="73"/>
      <c r="F1239" s="73"/>
      <c r="G1239" s="74" t="s">
        <v>3</v>
      </c>
      <c r="H1239" s="153">
        <f>H1241</f>
        <v>4.2899999999999995E-3</v>
      </c>
      <c r="I1239" s="72"/>
      <c r="K1239" s="658"/>
    </row>
    <row r="1240" spans="1:11" customFormat="1" x14ac:dyDescent="0.25">
      <c r="A1240" s="661"/>
      <c r="B1240" s="73" t="s">
        <v>164</v>
      </c>
      <c r="C1240" s="75"/>
      <c r="D1240" s="73"/>
      <c r="E1240" s="73"/>
      <c r="F1240" s="73"/>
      <c r="G1240" s="74" t="s">
        <v>3</v>
      </c>
      <c r="H1240" s="153">
        <f>0.3*H1239</f>
        <v>1.2869999999999997E-3</v>
      </c>
      <c r="I1240" s="72"/>
      <c r="K1240" s="658"/>
    </row>
    <row r="1241" spans="1:11" customFormat="1" x14ac:dyDescent="0.25">
      <c r="A1241" s="661"/>
      <c r="B1241" s="73" t="s">
        <v>401</v>
      </c>
      <c r="C1241" s="75"/>
      <c r="D1241" s="73"/>
      <c r="E1241" s="73"/>
      <c r="F1241" s="73"/>
      <c r="G1241" s="74" t="s">
        <v>3</v>
      </c>
      <c r="H1241" s="153">
        <f>0.15*0.011*2*1.3</f>
        <v>4.2899999999999995E-3</v>
      </c>
      <c r="I1241" s="72"/>
      <c r="K1241" s="658"/>
    </row>
    <row r="1242" spans="1:11" customFormat="1" x14ac:dyDescent="0.25">
      <c r="A1242" s="661"/>
      <c r="B1242" s="73" t="s">
        <v>12</v>
      </c>
      <c r="C1242" s="73"/>
      <c r="D1242" s="73"/>
      <c r="E1242" s="73"/>
      <c r="F1242" s="73"/>
      <c r="G1242" s="74" t="s">
        <v>3</v>
      </c>
      <c r="H1242" s="153">
        <f>0.3*H1241</f>
        <v>1.2869999999999997E-3</v>
      </c>
      <c r="I1242" s="72"/>
      <c r="K1242" s="658"/>
    </row>
    <row r="1243" spans="1:11" customFormat="1" x14ac:dyDescent="0.25">
      <c r="A1243" s="661"/>
      <c r="B1243" s="73"/>
      <c r="C1243" s="75" t="s">
        <v>8849</v>
      </c>
      <c r="D1243" s="73"/>
      <c r="E1243" s="73"/>
      <c r="F1243" s="73"/>
      <c r="G1243" s="74"/>
      <c r="H1243" s="153"/>
      <c r="I1243" s="72"/>
      <c r="K1243" s="658"/>
    </row>
    <row r="1244" spans="1:11" customFormat="1" x14ac:dyDescent="0.25">
      <c r="A1244" s="661"/>
      <c r="B1244" s="73"/>
      <c r="C1244" s="73" t="s">
        <v>1481</v>
      </c>
      <c r="D1244" s="73"/>
      <c r="E1244" s="73"/>
      <c r="F1244" s="73"/>
      <c r="G1244" s="74" t="s">
        <v>3</v>
      </c>
      <c r="H1244" s="153">
        <v>0.05</v>
      </c>
      <c r="I1244" s="72"/>
      <c r="J1244" t="s">
        <v>4582</v>
      </c>
      <c r="K1244" s="658"/>
    </row>
    <row r="1245" spans="1:11" customFormat="1" x14ac:dyDescent="0.25">
      <c r="A1245" s="661"/>
      <c r="B1245" s="73"/>
      <c r="C1245" s="73"/>
      <c r="D1245" s="73"/>
      <c r="E1245" s="73"/>
      <c r="F1245" s="73"/>
      <c r="G1245" s="74"/>
      <c r="H1245" s="153"/>
      <c r="I1245" s="72"/>
      <c r="K1245" s="658"/>
    </row>
    <row r="1246" spans="1:11" customFormat="1" x14ac:dyDescent="0.25">
      <c r="A1246" s="678"/>
      <c r="B1246" s="75" t="s">
        <v>8848</v>
      </c>
      <c r="C1246" s="73"/>
      <c r="D1246" s="73"/>
      <c r="E1246" s="73"/>
      <c r="F1246" s="73"/>
      <c r="G1246" s="74"/>
      <c r="H1246" s="153"/>
      <c r="I1246" s="72"/>
      <c r="K1246" s="658"/>
    </row>
    <row r="1247" spans="1:11" customFormat="1" x14ac:dyDescent="0.25">
      <c r="A1247" s="661"/>
      <c r="B1247" s="77" t="s">
        <v>124</v>
      </c>
      <c r="C1247" s="73"/>
      <c r="D1247" s="73"/>
      <c r="E1247" s="73"/>
      <c r="F1247" s="73"/>
      <c r="G1247" s="74" t="s">
        <v>3</v>
      </c>
      <c r="H1247" s="153">
        <f>0.014*3.14*2*0.08*1.2</f>
        <v>8.4403200000000012E-3</v>
      </c>
      <c r="I1247" s="72"/>
      <c r="K1247" s="658"/>
    </row>
    <row r="1248" spans="1:11" customFormat="1" ht="17.25" x14ac:dyDescent="0.25">
      <c r="A1248" s="661"/>
      <c r="B1248" s="77" t="s">
        <v>168</v>
      </c>
      <c r="C1248" s="73"/>
      <c r="D1248" s="73"/>
      <c r="E1248" s="73"/>
      <c r="F1248" s="73"/>
      <c r="G1248" s="74" t="s">
        <v>596</v>
      </c>
      <c r="H1248" s="153">
        <f>H1247*1.09</f>
        <v>9.1999488000000015E-3</v>
      </c>
      <c r="I1248" s="72"/>
      <c r="K1248" s="658"/>
    </row>
    <row r="1249" spans="1:11" customFormat="1" x14ac:dyDescent="0.25">
      <c r="A1249" s="661"/>
      <c r="B1249" s="73" t="s">
        <v>114</v>
      </c>
      <c r="C1249" s="75"/>
      <c r="D1249" s="73"/>
      <c r="E1249" s="73"/>
      <c r="F1249" s="73"/>
      <c r="G1249" s="74" t="s">
        <v>3</v>
      </c>
      <c r="H1249" s="153">
        <f>H1251</f>
        <v>8.7449999999999993E-3</v>
      </c>
      <c r="I1249" s="72"/>
      <c r="K1249" s="658"/>
    </row>
    <row r="1250" spans="1:11" customFormat="1" x14ac:dyDescent="0.25">
      <c r="A1250" s="661"/>
      <c r="B1250" s="73" t="s">
        <v>164</v>
      </c>
      <c r="C1250" s="75"/>
      <c r="D1250" s="73"/>
      <c r="E1250" s="73"/>
      <c r="F1250" s="73"/>
      <c r="G1250" s="74" t="s">
        <v>3</v>
      </c>
      <c r="H1250" s="153">
        <f>0.3*H1249</f>
        <v>2.6234999999999995E-3</v>
      </c>
      <c r="I1250" s="72"/>
      <c r="K1250" s="658"/>
    </row>
    <row r="1251" spans="1:11" customFormat="1" x14ac:dyDescent="0.25">
      <c r="A1251" s="661"/>
      <c r="B1251" s="73" t="s">
        <v>401</v>
      </c>
      <c r="C1251" s="75"/>
      <c r="D1251" s="73"/>
      <c r="E1251" s="73"/>
      <c r="F1251" s="73"/>
      <c r="G1251" s="74" t="s">
        <v>3</v>
      </c>
      <c r="H1251" s="153">
        <f>0.25*0.011*2*1.59</f>
        <v>8.7449999999999993E-3</v>
      </c>
      <c r="I1251" s="72"/>
      <c r="K1251" s="658"/>
    </row>
    <row r="1252" spans="1:11" customFormat="1" x14ac:dyDescent="0.25">
      <c r="A1252" s="661"/>
      <c r="B1252" s="73" t="s">
        <v>12</v>
      </c>
      <c r="C1252" s="73"/>
      <c r="D1252" s="73"/>
      <c r="E1252" s="73"/>
      <c r="F1252" s="73"/>
      <c r="G1252" s="74" t="s">
        <v>3</v>
      </c>
      <c r="H1252" s="153">
        <f>0.3*H1251</f>
        <v>2.6234999999999995E-3</v>
      </c>
      <c r="I1252" s="72"/>
      <c r="K1252" s="658"/>
    </row>
    <row r="1253" spans="1:11" customFormat="1" x14ac:dyDescent="0.25">
      <c r="A1253" s="661"/>
      <c r="B1253" s="73"/>
      <c r="C1253" s="75" t="s">
        <v>8847</v>
      </c>
      <c r="D1253" s="73"/>
      <c r="E1253" s="73"/>
      <c r="F1253" s="73"/>
      <c r="G1253" s="74"/>
      <c r="H1253" s="153"/>
      <c r="I1253" s="72"/>
      <c r="K1253" s="658"/>
    </row>
    <row r="1254" spans="1:11" customFormat="1" x14ac:dyDescent="0.25">
      <c r="A1254" s="661"/>
      <c r="B1254" s="73"/>
      <c r="C1254" s="73" t="s">
        <v>1481</v>
      </c>
      <c r="D1254" s="73"/>
      <c r="E1254" s="73"/>
      <c r="F1254" s="73"/>
      <c r="G1254" s="74" t="s">
        <v>3</v>
      </c>
      <c r="H1254" s="153">
        <v>8.5000000000000006E-2</v>
      </c>
      <c r="I1254" s="72"/>
      <c r="J1254" t="s">
        <v>8846</v>
      </c>
      <c r="K1254" s="658"/>
    </row>
    <row r="1255" spans="1:11" customFormat="1" x14ac:dyDescent="0.25">
      <c r="A1255" s="661"/>
      <c r="B1255" s="73"/>
      <c r="C1255" s="73"/>
      <c r="D1255" s="73"/>
      <c r="E1255" s="73"/>
      <c r="F1255" s="73"/>
      <c r="G1255" s="74"/>
      <c r="H1255" s="153"/>
      <c r="I1255" s="72"/>
      <c r="K1255" s="658"/>
    </row>
    <row r="1256" spans="1:11" customFormat="1" x14ac:dyDescent="0.25">
      <c r="A1256" s="678"/>
      <c r="B1256" s="75" t="s">
        <v>8845</v>
      </c>
      <c r="C1256" s="73"/>
      <c r="D1256" s="73"/>
      <c r="E1256" s="73"/>
      <c r="F1256" s="73"/>
      <c r="G1256" s="74"/>
      <c r="H1256" s="153"/>
      <c r="I1256" s="72"/>
      <c r="K1256" s="658"/>
    </row>
    <row r="1257" spans="1:11" customFormat="1" x14ac:dyDescent="0.25">
      <c r="A1257" s="661"/>
      <c r="B1257" s="77" t="s">
        <v>124</v>
      </c>
      <c r="C1257" s="73"/>
      <c r="D1257" s="73"/>
      <c r="E1257" s="73"/>
      <c r="F1257" s="73"/>
      <c r="G1257" s="74" t="s">
        <v>3</v>
      </c>
      <c r="H1257" s="153">
        <f>0.014*3.14*2*0.08*1.2</f>
        <v>8.4403200000000012E-3</v>
      </c>
      <c r="I1257" s="72"/>
      <c r="K1257" s="658"/>
    </row>
    <row r="1258" spans="1:11" customFormat="1" ht="17.25" x14ac:dyDescent="0.25">
      <c r="A1258" s="661"/>
      <c r="B1258" s="77" t="s">
        <v>168</v>
      </c>
      <c r="C1258" s="73"/>
      <c r="D1258" s="73"/>
      <c r="E1258" s="73"/>
      <c r="F1258" s="73"/>
      <c r="G1258" s="74" t="s">
        <v>596</v>
      </c>
      <c r="H1258" s="153">
        <f>H1257*1.09</f>
        <v>9.1999488000000015E-3</v>
      </c>
      <c r="I1258" s="72"/>
      <c r="K1258" s="658"/>
    </row>
    <row r="1259" spans="1:11" customFormat="1" x14ac:dyDescent="0.25">
      <c r="A1259" s="661"/>
      <c r="B1259" s="73" t="s">
        <v>114</v>
      </c>
      <c r="C1259" s="75"/>
      <c r="D1259" s="73"/>
      <c r="E1259" s="73"/>
      <c r="F1259" s="73"/>
      <c r="G1259" s="74" t="s">
        <v>3</v>
      </c>
      <c r="H1259" s="153">
        <f>H1261</f>
        <v>8.7449999999999993E-3</v>
      </c>
      <c r="I1259" s="72"/>
      <c r="K1259" s="658"/>
    </row>
    <row r="1260" spans="1:11" customFormat="1" x14ac:dyDescent="0.25">
      <c r="A1260" s="661"/>
      <c r="B1260" s="73" t="s">
        <v>164</v>
      </c>
      <c r="C1260" s="75"/>
      <c r="D1260" s="73"/>
      <c r="E1260" s="73"/>
      <c r="F1260" s="73"/>
      <c r="G1260" s="74" t="s">
        <v>3</v>
      </c>
      <c r="H1260" s="153">
        <f>0.3*H1259</f>
        <v>2.6234999999999995E-3</v>
      </c>
      <c r="I1260" s="72"/>
      <c r="K1260" s="658"/>
    </row>
    <row r="1261" spans="1:11" customFormat="1" x14ac:dyDescent="0.25">
      <c r="A1261" s="661"/>
      <c r="B1261" s="73" t="s">
        <v>401</v>
      </c>
      <c r="C1261" s="75"/>
      <c r="D1261" s="73"/>
      <c r="E1261" s="73"/>
      <c r="F1261" s="73"/>
      <c r="G1261" s="74" t="s">
        <v>3</v>
      </c>
      <c r="H1261" s="153">
        <f>0.25*0.011*2*1.59</f>
        <v>8.7449999999999993E-3</v>
      </c>
      <c r="I1261" s="72"/>
      <c r="K1261" s="658"/>
    </row>
    <row r="1262" spans="1:11" customFormat="1" x14ac:dyDescent="0.25">
      <c r="A1262" s="661"/>
      <c r="B1262" s="73" t="s">
        <v>12</v>
      </c>
      <c r="C1262" s="73"/>
      <c r="D1262" s="73"/>
      <c r="E1262" s="73"/>
      <c r="F1262" s="73"/>
      <c r="G1262" s="74" t="s">
        <v>3</v>
      </c>
      <c r="H1262" s="153">
        <f>0.3*H1261</f>
        <v>2.6234999999999995E-3</v>
      </c>
      <c r="I1262" s="72"/>
      <c r="K1262" s="658"/>
    </row>
    <row r="1263" spans="1:11" customFormat="1" x14ac:dyDescent="0.25">
      <c r="A1263" s="661"/>
      <c r="B1263" s="73"/>
      <c r="C1263" s="75" t="s">
        <v>8844</v>
      </c>
      <c r="D1263" s="73"/>
      <c r="E1263" s="73"/>
      <c r="F1263" s="73"/>
      <c r="G1263" s="74"/>
      <c r="H1263" s="153"/>
      <c r="I1263" s="72"/>
      <c r="K1263" s="658"/>
    </row>
    <row r="1264" spans="1:11" customFormat="1" x14ac:dyDescent="0.25">
      <c r="A1264" s="661"/>
      <c r="B1264" s="73"/>
      <c r="C1264" s="73" t="s">
        <v>1481</v>
      </c>
      <c r="D1264" s="73"/>
      <c r="E1264" s="73"/>
      <c r="F1264" s="73"/>
      <c r="G1264" s="74" t="s">
        <v>3</v>
      </c>
      <c r="H1264" s="153">
        <v>8.5000000000000006E-2</v>
      </c>
      <c r="I1264" s="72"/>
      <c r="J1264" t="s">
        <v>8843</v>
      </c>
      <c r="K1264" s="658"/>
    </row>
    <row r="1265" spans="1:11" customFormat="1" x14ac:dyDescent="0.25">
      <c r="A1265" s="661"/>
      <c r="B1265" s="73"/>
      <c r="C1265" s="73"/>
      <c r="D1265" s="73"/>
      <c r="E1265" s="73"/>
      <c r="F1265" s="73"/>
      <c r="G1265" s="74"/>
      <c r="H1265" s="153"/>
      <c r="I1265" s="72"/>
      <c r="K1265" s="658"/>
    </row>
    <row r="1266" spans="1:11" customFormat="1" x14ac:dyDescent="0.25">
      <c r="A1266" s="678"/>
      <c r="B1266" s="75" t="s">
        <v>8842</v>
      </c>
      <c r="C1266" s="73"/>
      <c r="D1266" s="73"/>
      <c r="E1266" s="73"/>
      <c r="F1266" s="73"/>
      <c r="G1266" s="74"/>
      <c r="H1266" s="153"/>
      <c r="I1266" s="72"/>
      <c r="K1266" s="658"/>
    </row>
    <row r="1267" spans="1:11" customFormat="1" x14ac:dyDescent="0.25">
      <c r="A1267" s="661"/>
      <c r="B1267" s="77" t="s">
        <v>124</v>
      </c>
      <c r="C1267" s="73"/>
      <c r="D1267" s="73"/>
      <c r="E1267" s="73"/>
      <c r="F1267" s="73"/>
      <c r="G1267" s="74" t="s">
        <v>3</v>
      </c>
      <c r="H1267" s="153">
        <f>0.008*3.14*5*0.08*1.2</f>
        <v>1.20576E-2</v>
      </c>
      <c r="I1267" s="72"/>
      <c r="K1267" s="658"/>
    </row>
    <row r="1268" spans="1:11" customFormat="1" ht="17.25" x14ac:dyDescent="0.25">
      <c r="A1268" s="661"/>
      <c r="B1268" s="77" t="s">
        <v>168</v>
      </c>
      <c r="C1268" s="73"/>
      <c r="D1268" s="73"/>
      <c r="E1268" s="73"/>
      <c r="F1268" s="73"/>
      <c r="G1268" s="74" t="s">
        <v>596</v>
      </c>
      <c r="H1268" s="153">
        <f>H1267*1.09</f>
        <v>1.3142784000000001E-2</v>
      </c>
      <c r="I1268" s="72"/>
      <c r="K1268" s="658"/>
    </row>
    <row r="1269" spans="1:11" customFormat="1" x14ac:dyDescent="0.25">
      <c r="A1269" s="661"/>
      <c r="B1269" s="73" t="s">
        <v>114</v>
      </c>
      <c r="C1269" s="75"/>
      <c r="D1269" s="73"/>
      <c r="E1269" s="73"/>
      <c r="F1269" s="73"/>
      <c r="G1269" s="74" t="s">
        <v>3</v>
      </c>
      <c r="H1269" s="153">
        <f>H1271</f>
        <v>2.2880000000000001E-2</v>
      </c>
      <c r="I1269" s="72"/>
      <c r="K1269" s="658"/>
    </row>
    <row r="1270" spans="1:11" customFormat="1" x14ac:dyDescent="0.25">
      <c r="A1270" s="661"/>
      <c r="B1270" s="73" t="s">
        <v>164</v>
      </c>
      <c r="C1270" s="75"/>
      <c r="D1270" s="73"/>
      <c r="E1270" s="73"/>
      <c r="F1270" s="73"/>
      <c r="G1270" s="74" t="s">
        <v>3</v>
      </c>
      <c r="H1270" s="153">
        <f>0.3*H1269</f>
        <v>6.8640000000000003E-3</v>
      </c>
      <c r="I1270" s="72"/>
      <c r="K1270" s="658"/>
    </row>
    <row r="1271" spans="1:11" customFormat="1" x14ac:dyDescent="0.25">
      <c r="A1271" s="661"/>
      <c r="B1271" s="73" t="s">
        <v>401</v>
      </c>
      <c r="C1271" s="75"/>
      <c r="D1271" s="73"/>
      <c r="E1271" s="73"/>
      <c r="F1271" s="73"/>
      <c r="G1271" s="74" t="s">
        <v>3</v>
      </c>
      <c r="H1271" s="153">
        <f>0.8*0.011*2*1.3</f>
        <v>2.2880000000000001E-2</v>
      </c>
      <c r="I1271" s="72"/>
      <c r="K1271" s="658"/>
    </row>
    <row r="1272" spans="1:11" customFormat="1" x14ac:dyDescent="0.25">
      <c r="A1272" s="661"/>
      <c r="B1272" s="73" t="s">
        <v>12</v>
      </c>
      <c r="C1272" s="73"/>
      <c r="D1272" s="73"/>
      <c r="E1272" s="73"/>
      <c r="F1272" s="73"/>
      <c r="G1272" s="74" t="s">
        <v>3</v>
      </c>
      <c r="H1272" s="153">
        <f>0.3*H1271</f>
        <v>6.8640000000000003E-3</v>
      </c>
      <c r="I1272" s="72"/>
      <c r="K1272" s="658"/>
    </row>
    <row r="1273" spans="1:11" customFormat="1" x14ac:dyDescent="0.25">
      <c r="A1273" s="661"/>
      <c r="B1273" s="73"/>
      <c r="C1273" s="75" t="s">
        <v>8841</v>
      </c>
      <c r="D1273" s="73"/>
      <c r="E1273" s="73"/>
      <c r="F1273" s="73"/>
      <c r="G1273" s="74"/>
      <c r="H1273" s="153"/>
      <c r="I1273" s="72"/>
      <c r="K1273" s="658"/>
    </row>
    <row r="1274" spans="1:11" customFormat="1" x14ac:dyDescent="0.25">
      <c r="A1274" s="661"/>
      <c r="B1274" s="73"/>
      <c r="C1274" s="73" t="s">
        <v>2405</v>
      </c>
      <c r="D1274" s="73"/>
      <c r="E1274" s="73"/>
      <c r="F1274" s="73"/>
      <c r="G1274" s="74" t="s">
        <v>3</v>
      </c>
      <c r="H1274" s="153">
        <v>5.5E-2</v>
      </c>
      <c r="I1274" s="72"/>
      <c r="J1274" t="s">
        <v>8840</v>
      </c>
      <c r="K1274" s="658"/>
    </row>
    <row r="1275" spans="1:11" customFormat="1" x14ac:dyDescent="0.25">
      <c r="A1275" s="661"/>
      <c r="B1275" s="73"/>
      <c r="C1275" s="75" t="s">
        <v>8839</v>
      </c>
      <c r="D1275" s="73"/>
      <c r="E1275" s="73"/>
      <c r="F1275" s="73"/>
      <c r="G1275" s="74"/>
      <c r="H1275" s="153"/>
      <c r="I1275" s="72"/>
      <c r="K1275" s="658"/>
    </row>
    <row r="1276" spans="1:11" customFormat="1" x14ac:dyDescent="0.25">
      <c r="A1276" s="661"/>
      <c r="B1276" s="73"/>
      <c r="C1276" s="73" t="s">
        <v>2405</v>
      </c>
      <c r="D1276" s="73"/>
      <c r="E1276" s="73"/>
      <c r="F1276" s="73"/>
      <c r="G1276" s="74" t="s">
        <v>3</v>
      </c>
      <c r="H1276" s="153">
        <v>5.5E-2</v>
      </c>
      <c r="I1276" s="72"/>
      <c r="J1276" t="s">
        <v>6493</v>
      </c>
      <c r="K1276" s="658"/>
    </row>
    <row r="1277" spans="1:11" customFormat="1" x14ac:dyDescent="0.25">
      <c r="A1277" s="661"/>
      <c r="B1277" s="73"/>
      <c r="C1277" s="75" t="s">
        <v>8838</v>
      </c>
      <c r="D1277" s="73"/>
      <c r="E1277" s="73"/>
      <c r="F1277" s="73"/>
      <c r="G1277" s="74"/>
      <c r="H1277" s="153"/>
      <c r="I1277" s="72"/>
      <c r="K1277" s="658"/>
    </row>
    <row r="1278" spans="1:11" customFormat="1" x14ac:dyDescent="0.25">
      <c r="A1278" s="661"/>
      <c r="B1278" s="73"/>
      <c r="C1278" s="73" t="s">
        <v>2405</v>
      </c>
      <c r="D1278" s="73"/>
      <c r="E1278" s="73"/>
      <c r="F1278" s="73"/>
      <c r="G1278" s="74" t="s">
        <v>3</v>
      </c>
      <c r="H1278" s="153">
        <v>0.06</v>
      </c>
      <c r="I1278" s="72"/>
      <c r="J1278" t="s">
        <v>3624</v>
      </c>
      <c r="K1278" s="658"/>
    </row>
    <row r="1279" spans="1:11" customFormat="1" x14ac:dyDescent="0.25">
      <c r="A1279" s="661"/>
      <c r="B1279" s="73"/>
      <c r="C1279" s="73"/>
      <c r="D1279" s="73"/>
      <c r="E1279" s="73"/>
      <c r="F1279" s="73"/>
      <c r="G1279" s="74"/>
      <c r="H1279" s="153"/>
      <c r="I1279" s="72"/>
      <c r="K1279" s="658"/>
    </row>
    <row r="1280" spans="1:11" customFormat="1" x14ac:dyDescent="0.25">
      <c r="A1280" s="678"/>
      <c r="B1280" s="75" t="s">
        <v>8837</v>
      </c>
      <c r="C1280" s="73"/>
      <c r="D1280" s="73"/>
      <c r="E1280" s="73"/>
      <c r="F1280" s="73"/>
      <c r="G1280" s="74"/>
      <c r="H1280" s="153"/>
      <c r="I1280" s="72"/>
      <c r="K1280" s="658"/>
    </row>
    <row r="1281" spans="1:11" customFormat="1" x14ac:dyDescent="0.25">
      <c r="A1281" s="661"/>
      <c r="B1281" s="77" t="s">
        <v>124</v>
      </c>
      <c r="C1281" s="73"/>
      <c r="D1281" s="73"/>
      <c r="E1281" s="73"/>
      <c r="F1281" s="73"/>
      <c r="G1281" s="74" t="s">
        <v>3</v>
      </c>
      <c r="H1281" s="153">
        <f>0.014*3.14*2*0.08*1.2</f>
        <v>8.4403200000000012E-3</v>
      </c>
      <c r="I1281" s="72"/>
      <c r="K1281" s="658"/>
    </row>
    <row r="1282" spans="1:11" customFormat="1" ht="17.25" x14ac:dyDescent="0.25">
      <c r="A1282" s="661"/>
      <c r="B1282" s="77" t="s">
        <v>168</v>
      </c>
      <c r="C1282" s="73"/>
      <c r="D1282" s="73"/>
      <c r="E1282" s="73"/>
      <c r="F1282" s="73"/>
      <c r="G1282" s="74" t="s">
        <v>596</v>
      </c>
      <c r="H1282" s="153">
        <f>H1281*1.09</f>
        <v>9.1999488000000015E-3</v>
      </c>
      <c r="I1282" s="72"/>
      <c r="K1282" s="658"/>
    </row>
    <row r="1283" spans="1:11" customFormat="1" x14ac:dyDescent="0.25">
      <c r="A1283" s="661"/>
      <c r="B1283" s="73" t="s">
        <v>114</v>
      </c>
      <c r="C1283" s="75"/>
      <c r="D1283" s="73"/>
      <c r="E1283" s="73"/>
      <c r="F1283" s="73"/>
      <c r="G1283" s="74" t="s">
        <v>3</v>
      </c>
      <c r="H1283" s="153">
        <f>H1285</f>
        <v>1.0702999999999999E-2</v>
      </c>
      <c r="I1283" s="72"/>
      <c r="K1283" s="658"/>
    </row>
    <row r="1284" spans="1:11" customFormat="1" x14ac:dyDescent="0.25">
      <c r="A1284" s="661"/>
      <c r="B1284" s="73" t="s">
        <v>164</v>
      </c>
      <c r="C1284" s="75"/>
      <c r="D1284" s="73"/>
      <c r="E1284" s="73"/>
      <c r="F1284" s="73"/>
      <c r="G1284" s="74" t="s">
        <v>3</v>
      </c>
      <c r="H1284" s="153">
        <f>0.3*H1283</f>
        <v>3.2108999999999996E-3</v>
      </c>
      <c r="I1284" s="72"/>
      <c r="K1284" s="658"/>
    </row>
    <row r="1285" spans="1:11" customFormat="1" x14ac:dyDescent="0.25">
      <c r="A1285" s="661"/>
      <c r="B1285" s="73" t="s">
        <v>401</v>
      </c>
      <c r="C1285" s="75"/>
      <c r="D1285" s="73"/>
      <c r="E1285" s="73"/>
      <c r="F1285" s="73"/>
      <c r="G1285" s="74" t="s">
        <v>3</v>
      </c>
      <c r="H1285" s="153">
        <f>0.35*0.011*2*1.39</f>
        <v>1.0702999999999999E-2</v>
      </c>
      <c r="I1285" s="72"/>
      <c r="K1285" s="658"/>
    </row>
    <row r="1286" spans="1:11" customFormat="1" x14ac:dyDescent="0.25">
      <c r="A1286" s="661"/>
      <c r="B1286" s="73" t="s">
        <v>12</v>
      </c>
      <c r="C1286" s="73"/>
      <c r="D1286" s="73"/>
      <c r="E1286" s="73"/>
      <c r="F1286" s="73"/>
      <c r="G1286" s="74" t="s">
        <v>3</v>
      </c>
      <c r="H1286" s="153">
        <f>0.3*H1285</f>
        <v>3.2108999999999996E-3</v>
      </c>
      <c r="I1286" s="72"/>
      <c r="K1286" s="658"/>
    </row>
    <row r="1287" spans="1:11" customFormat="1" x14ac:dyDescent="0.25">
      <c r="A1287" s="661"/>
      <c r="B1287" s="73"/>
      <c r="C1287" s="75" t="s">
        <v>8836</v>
      </c>
      <c r="D1287" s="73"/>
      <c r="E1287" s="73"/>
      <c r="F1287" s="73"/>
      <c r="G1287" s="74"/>
      <c r="H1287" s="153"/>
      <c r="I1287" s="72"/>
      <c r="K1287" s="658"/>
    </row>
    <row r="1288" spans="1:11" customFormat="1" x14ac:dyDescent="0.25">
      <c r="A1288" s="661"/>
      <c r="B1288" s="73"/>
      <c r="C1288" s="73" t="s">
        <v>1481</v>
      </c>
      <c r="D1288" s="73"/>
      <c r="E1288" s="73"/>
      <c r="F1288" s="73"/>
      <c r="G1288" s="74" t="s">
        <v>3</v>
      </c>
      <c r="H1288" s="153">
        <v>0.08</v>
      </c>
      <c r="I1288" s="72"/>
      <c r="J1288" t="s">
        <v>1256</v>
      </c>
      <c r="K1288" s="658"/>
    </row>
    <row r="1289" spans="1:11" customFormat="1" x14ac:dyDescent="0.25">
      <c r="A1289" s="661"/>
      <c r="B1289" s="73"/>
      <c r="C1289" s="75" t="s">
        <v>8835</v>
      </c>
      <c r="D1289" s="73"/>
      <c r="E1289" s="73"/>
      <c r="F1289" s="73"/>
      <c r="G1289" s="74"/>
      <c r="H1289" s="153"/>
      <c r="I1289" s="72"/>
      <c r="K1289" s="658"/>
    </row>
    <row r="1290" spans="1:11" customFormat="1" x14ac:dyDescent="0.25">
      <c r="A1290" s="661"/>
      <c r="B1290" s="73"/>
      <c r="C1290" s="73" t="s">
        <v>1481</v>
      </c>
      <c r="D1290" s="73"/>
      <c r="E1290" s="73"/>
      <c r="F1290" s="73"/>
      <c r="G1290" s="74" t="s">
        <v>3</v>
      </c>
      <c r="H1290" s="153">
        <v>5.5E-2</v>
      </c>
      <c r="I1290" s="72"/>
      <c r="J1290" t="s">
        <v>8746</v>
      </c>
      <c r="K1290" s="658"/>
    </row>
    <row r="1291" spans="1:11" customFormat="1" x14ac:dyDescent="0.25">
      <c r="A1291" s="661"/>
      <c r="B1291" s="73"/>
      <c r="C1291" s="73"/>
      <c r="D1291" s="73"/>
      <c r="E1291" s="73"/>
      <c r="F1291" s="73"/>
      <c r="G1291" s="74"/>
      <c r="H1291" s="153"/>
      <c r="I1291" s="72"/>
      <c r="K1291" s="658"/>
    </row>
    <row r="1292" spans="1:11" customFormat="1" x14ac:dyDescent="0.25">
      <c r="A1292" s="678"/>
      <c r="B1292" s="75" t="s">
        <v>8834</v>
      </c>
      <c r="C1292" s="73"/>
      <c r="D1292" s="73"/>
      <c r="E1292" s="73"/>
      <c r="F1292" s="73"/>
      <c r="G1292" s="74"/>
      <c r="H1292" s="153"/>
      <c r="I1292" s="72"/>
      <c r="K1292" s="658"/>
    </row>
    <row r="1293" spans="1:11" customFormat="1" x14ac:dyDescent="0.25">
      <c r="A1293" s="661"/>
      <c r="B1293" s="77" t="s">
        <v>124</v>
      </c>
      <c r="C1293" s="73"/>
      <c r="D1293" s="73"/>
      <c r="E1293" s="73"/>
      <c r="F1293" s="73"/>
      <c r="G1293" s="74" t="s">
        <v>3</v>
      </c>
      <c r="H1293" s="153">
        <f>0.014*3.14*0.08*1.2</f>
        <v>4.2201600000000006E-3</v>
      </c>
      <c r="I1293" s="72"/>
      <c r="K1293" s="658"/>
    </row>
    <row r="1294" spans="1:11" customFormat="1" ht="17.25" x14ac:dyDescent="0.25">
      <c r="A1294" s="661"/>
      <c r="B1294" s="77" t="s">
        <v>168</v>
      </c>
      <c r="C1294" s="73"/>
      <c r="D1294" s="73"/>
      <c r="E1294" s="73"/>
      <c r="F1294" s="73"/>
      <c r="G1294" s="74" t="s">
        <v>596</v>
      </c>
      <c r="H1294" s="153">
        <f>H1293*1.09</f>
        <v>4.5999744000000007E-3</v>
      </c>
      <c r="I1294" s="72"/>
      <c r="K1294" s="658"/>
    </row>
    <row r="1295" spans="1:11" customFormat="1" x14ac:dyDescent="0.25">
      <c r="A1295" s="661"/>
      <c r="B1295" s="73" t="s">
        <v>114</v>
      </c>
      <c r="C1295" s="75"/>
      <c r="D1295" s="73"/>
      <c r="E1295" s="73"/>
      <c r="F1295" s="73"/>
      <c r="G1295" s="74" t="s">
        <v>3</v>
      </c>
      <c r="H1295" s="153">
        <f>H1297</f>
        <v>5.0093999999999993E-2</v>
      </c>
      <c r="I1295" s="72"/>
      <c r="K1295" s="658"/>
    </row>
    <row r="1296" spans="1:11" customFormat="1" x14ac:dyDescent="0.25">
      <c r="A1296" s="661"/>
      <c r="B1296" s="73" t="s">
        <v>164</v>
      </c>
      <c r="C1296" s="75"/>
      <c r="D1296" s="73"/>
      <c r="E1296" s="73"/>
      <c r="F1296" s="73"/>
      <c r="G1296" s="74" t="s">
        <v>3</v>
      </c>
      <c r="H1296" s="153">
        <f>0.3*H1295</f>
        <v>1.5028199999999997E-2</v>
      </c>
      <c r="I1296" s="72"/>
      <c r="K1296" s="658"/>
    </row>
    <row r="1297" spans="1:11" customFormat="1" x14ac:dyDescent="0.25">
      <c r="A1297" s="661"/>
      <c r="B1297" s="73" t="s">
        <v>401</v>
      </c>
      <c r="C1297" s="75"/>
      <c r="D1297" s="73"/>
      <c r="E1297" s="73"/>
      <c r="F1297" s="73"/>
      <c r="G1297" s="74" t="s">
        <v>3</v>
      </c>
      <c r="H1297" s="153">
        <f>1.98*0.011*2*1.15</f>
        <v>5.0093999999999993E-2</v>
      </c>
      <c r="I1297" s="72"/>
      <c r="K1297" s="658"/>
    </row>
    <row r="1298" spans="1:11" customFormat="1" x14ac:dyDescent="0.25">
      <c r="A1298" s="661"/>
      <c r="B1298" s="73" t="s">
        <v>12</v>
      </c>
      <c r="C1298" s="73"/>
      <c r="D1298" s="73"/>
      <c r="E1298" s="73"/>
      <c r="F1298" s="73"/>
      <c r="G1298" s="74" t="s">
        <v>3</v>
      </c>
      <c r="H1298" s="153">
        <f>0.3*H1297</f>
        <v>1.5028199999999997E-2</v>
      </c>
      <c r="I1298" s="72"/>
      <c r="K1298" s="658"/>
    </row>
    <row r="1299" spans="1:11" customFormat="1" x14ac:dyDescent="0.25">
      <c r="A1299" s="661"/>
      <c r="B1299" s="73"/>
      <c r="C1299" s="75" t="s">
        <v>8833</v>
      </c>
      <c r="D1299" s="73"/>
      <c r="E1299" s="73"/>
      <c r="F1299" s="73"/>
      <c r="G1299" s="74"/>
      <c r="H1299" s="153"/>
      <c r="I1299" s="72"/>
      <c r="K1299" s="658"/>
    </row>
    <row r="1300" spans="1:11" customFormat="1" x14ac:dyDescent="0.25">
      <c r="A1300" s="661"/>
      <c r="B1300" s="73"/>
      <c r="C1300" s="73" t="s">
        <v>1481</v>
      </c>
      <c r="D1300" s="73"/>
      <c r="E1300" s="73"/>
      <c r="F1300" s="73"/>
      <c r="G1300" s="74" t="s">
        <v>3</v>
      </c>
      <c r="H1300" s="153">
        <v>0.68</v>
      </c>
      <c r="I1300" s="72"/>
      <c r="J1300" t="s">
        <v>8832</v>
      </c>
      <c r="K1300" s="658"/>
    </row>
    <row r="1301" spans="1:11" customFormat="1" x14ac:dyDescent="0.25">
      <c r="A1301" s="661"/>
      <c r="B1301" s="73"/>
      <c r="C1301" s="73"/>
      <c r="D1301" s="73"/>
      <c r="E1301" s="73"/>
      <c r="F1301" s="73"/>
      <c r="G1301" s="74"/>
      <c r="H1301" s="153"/>
      <c r="I1301" s="72"/>
      <c r="K1301" s="658"/>
    </row>
    <row r="1302" spans="1:11" customFormat="1" x14ac:dyDescent="0.25">
      <c r="A1302" s="678"/>
      <c r="B1302" s="75" t="s">
        <v>8831</v>
      </c>
      <c r="C1302" s="73"/>
      <c r="D1302" s="73"/>
      <c r="E1302" s="73"/>
      <c r="F1302" s="73"/>
      <c r="G1302" s="74"/>
      <c r="H1302" s="153"/>
      <c r="I1302" s="72"/>
      <c r="K1302" s="658"/>
    </row>
    <row r="1303" spans="1:11" customFormat="1" x14ac:dyDescent="0.25">
      <c r="A1303" s="661"/>
      <c r="B1303" s="73" t="s">
        <v>114</v>
      </c>
      <c r="C1303" s="75"/>
      <c r="D1303" s="73"/>
      <c r="E1303" s="73"/>
      <c r="F1303" s="73"/>
      <c r="G1303" s="74" t="s">
        <v>3</v>
      </c>
      <c r="H1303" s="153">
        <f>H1305</f>
        <v>3.1679999999999993E-2</v>
      </c>
      <c r="I1303" s="72"/>
      <c r="K1303" s="658"/>
    </row>
    <row r="1304" spans="1:11" customFormat="1" x14ac:dyDescent="0.25">
      <c r="A1304" s="661"/>
      <c r="B1304" s="73" t="s">
        <v>164</v>
      </c>
      <c r="C1304" s="75"/>
      <c r="D1304" s="73"/>
      <c r="E1304" s="73"/>
      <c r="F1304" s="73"/>
      <c r="G1304" s="74" t="s">
        <v>3</v>
      </c>
      <c r="H1304" s="153">
        <f>0.3*H1303</f>
        <v>9.5039999999999968E-3</v>
      </c>
      <c r="I1304" s="72"/>
      <c r="K1304" s="658"/>
    </row>
    <row r="1305" spans="1:11" customFormat="1" x14ac:dyDescent="0.25">
      <c r="A1305" s="661"/>
      <c r="B1305" s="73" t="s">
        <v>401</v>
      </c>
      <c r="C1305" s="75"/>
      <c r="D1305" s="73"/>
      <c r="E1305" s="73"/>
      <c r="F1305" s="73"/>
      <c r="G1305" s="74" t="s">
        <v>3</v>
      </c>
      <c r="H1305" s="153">
        <f>1.2*0.011*2*1.2</f>
        <v>3.1679999999999993E-2</v>
      </c>
      <c r="I1305" s="72"/>
      <c r="K1305" s="658"/>
    </row>
    <row r="1306" spans="1:11" customFormat="1" x14ac:dyDescent="0.25">
      <c r="A1306" s="661"/>
      <c r="B1306" s="73" t="s">
        <v>12</v>
      </c>
      <c r="C1306" s="73"/>
      <c r="D1306" s="73"/>
      <c r="E1306" s="73"/>
      <c r="F1306" s="73"/>
      <c r="G1306" s="74" t="s">
        <v>3</v>
      </c>
      <c r="H1306" s="153">
        <f>0.3*H1305</f>
        <v>9.5039999999999968E-3</v>
      </c>
      <c r="I1306" s="72"/>
      <c r="K1306" s="658"/>
    </row>
    <row r="1307" spans="1:11" customFormat="1" x14ac:dyDescent="0.25">
      <c r="A1307" s="661"/>
      <c r="B1307" s="73"/>
      <c r="C1307" s="75" t="s">
        <v>8830</v>
      </c>
      <c r="D1307" s="73"/>
      <c r="E1307" s="73"/>
      <c r="F1307" s="73"/>
      <c r="G1307" s="74"/>
      <c r="H1307" s="153"/>
      <c r="I1307" s="72"/>
      <c r="K1307" s="658"/>
    </row>
    <row r="1308" spans="1:11" customFormat="1" x14ac:dyDescent="0.25">
      <c r="A1308" s="661"/>
      <c r="B1308" s="73"/>
      <c r="C1308" s="73" t="s">
        <v>1481</v>
      </c>
      <c r="D1308" s="73"/>
      <c r="E1308" s="73"/>
      <c r="F1308" s="73"/>
      <c r="G1308" s="74" t="s">
        <v>3</v>
      </c>
      <c r="H1308" s="153">
        <v>0.435</v>
      </c>
      <c r="I1308" s="72"/>
      <c r="J1308" t="s">
        <v>8556</v>
      </c>
      <c r="K1308" s="658"/>
    </row>
    <row r="1309" spans="1:11" customFormat="1" x14ac:dyDescent="0.25">
      <c r="A1309" s="661"/>
      <c r="B1309" s="73"/>
      <c r="C1309" s="73"/>
      <c r="D1309" s="73"/>
      <c r="E1309" s="73"/>
      <c r="F1309" s="73"/>
      <c r="G1309" s="74"/>
      <c r="H1309" s="153"/>
      <c r="I1309" s="72"/>
      <c r="K1309" s="658"/>
    </row>
    <row r="1310" spans="1:11" customFormat="1" x14ac:dyDescent="0.25">
      <c r="A1310" s="678"/>
      <c r="B1310" s="75" t="s">
        <v>8829</v>
      </c>
      <c r="C1310" s="73"/>
      <c r="D1310" s="73"/>
      <c r="E1310" s="73"/>
      <c r="F1310" s="73"/>
      <c r="G1310" s="74"/>
      <c r="H1310" s="153"/>
      <c r="I1310" s="72"/>
      <c r="K1310" s="658"/>
    </row>
    <row r="1311" spans="1:11" customFormat="1" x14ac:dyDescent="0.25">
      <c r="A1311" s="661"/>
      <c r="B1311" s="73" t="s">
        <v>114</v>
      </c>
      <c r="C1311" s="75"/>
      <c r="D1311" s="73"/>
      <c r="E1311" s="73"/>
      <c r="F1311" s="73"/>
      <c r="G1311" s="74" t="s">
        <v>3</v>
      </c>
      <c r="H1311" s="153">
        <f>H1313</f>
        <v>4.147E-2</v>
      </c>
      <c r="I1311" s="72"/>
      <c r="K1311" s="658"/>
    </row>
    <row r="1312" spans="1:11" customFormat="1" x14ac:dyDescent="0.25">
      <c r="A1312" s="661"/>
      <c r="B1312" s="73" t="s">
        <v>164</v>
      </c>
      <c r="C1312" s="75"/>
      <c r="D1312" s="73"/>
      <c r="E1312" s="73"/>
      <c r="F1312" s="73"/>
      <c r="G1312" s="74" t="s">
        <v>3</v>
      </c>
      <c r="H1312" s="153">
        <f>0.3*H1311</f>
        <v>1.2440999999999999E-2</v>
      </c>
      <c r="I1312" s="72"/>
      <c r="K1312" s="658"/>
    </row>
    <row r="1313" spans="1:11" customFormat="1" x14ac:dyDescent="0.25">
      <c r="A1313" s="661"/>
      <c r="B1313" s="73" t="s">
        <v>401</v>
      </c>
      <c r="C1313" s="75"/>
      <c r="D1313" s="73"/>
      <c r="E1313" s="73"/>
      <c r="F1313" s="73"/>
      <c r="G1313" s="74" t="s">
        <v>3</v>
      </c>
      <c r="H1313" s="153">
        <f>1.45*0.011*2*1.3</f>
        <v>4.147E-2</v>
      </c>
      <c r="I1313" s="72"/>
      <c r="K1313" s="658"/>
    </row>
    <row r="1314" spans="1:11" customFormat="1" x14ac:dyDescent="0.25">
      <c r="A1314" s="661"/>
      <c r="B1314" s="73" t="s">
        <v>12</v>
      </c>
      <c r="C1314" s="73"/>
      <c r="D1314" s="73"/>
      <c r="E1314" s="73"/>
      <c r="F1314" s="73"/>
      <c r="G1314" s="74" t="s">
        <v>3</v>
      </c>
      <c r="H1314" s="153">
        <f>0.3*H1313</f>
        <v>1.2440999999999999E-2</v>
      </c>
      <c r="I1314" s="72"/>
      <c r="K1314" s="658"/>
    </row>
    <row r="1315" spans="1:11" customFormat="1" x14ac:dyDescent="0.25">
      <c r="A1315" s="661"/>
      <c r="B1315" s="73"/>
      <c r="C1315" s="75" t="s">
        <v>8828</v>
      </c>
      <c r="D1315" s="73"/>
      <c r="E1315" s="73"/>
      <c r="F1315" s="73"/>
      <c r="G1315" s="74"/>
      <c r="H1315" s="153"/>
      <c r="I1315" s="72"/>
      <c r="K1315" s="658"/>
    </row>
    <row r="1316" spans="1:11" customFormat="1" ht="15.75" thickBot="1" x14ac:dyDescent="0.3">
      <c r="A1316" s="660"/>
      <c r="B1316" s="68"/>
      <c r="C1316" s="68" t="s">
        <v>1481</v>
      </c>
      <c r="D1316" s="68"/>
      <c r="E1316" s="68"/>
      <c r="F1316" s="68"/>
      <c r="G1316" s="82" t="s">
        <v>3</v>
      </c>
      <c r="H1316" s="89">
        <v>0.51500000000000001</v>
      </c>
      <c r="I1316" s="83"/>
      <c r="J1316" t="s">
        <v>6145</v>
      </c>
      <c r="K1316" s="658"/>
    </row>
    <row r="1317" spans="1:11" customFormat="1" x14ac:dyDescent="0.25">
      <c r="A1317" s="662"/>
      <c r="B1317" s="93"/>
      <c r="C1317" s="93"/>
      <c r="D1317" s="93"/>
      <c r="E1317" s="93"/>
      <c r="F1317" s="93"/>
      <c r="G1317" s="160"/>
      <c r="H1317" s="182" t="s">
        <v>8827</v>
      </c>
      <c r="I1317" s="176"/>
      <c r="K1317" s="658"/>
    </row>
    <row r="1318" spans="1:11" customFormat="1" x14ac:dyDescent="0.25">
      <c r="A1318" s="678"/>
      <c r="B1318" s="75" t="s">
        <v>8826</v>
      </c>
      <c r="C1318" s="73"/>
      <c r="D1318" s="73"/>
      <c r="E1318" s="73"/>
      <c r="F1318" s="73"/>
      <c r="G1318" s="74"/>
      <c r="H1318" s="153"/>
      <c r="I1318" s="72"/>
      <c r="K1318" s="658"/>
    </row>
    <row r="1319" spans="1:11" customFormat="1" x14ac:dyDescent="0.25">
      <c r="A1319" s="661"/>
      <c r="B1319" s="73" t="s">
        <v>114</v>
      </c>
      <c r="C1319" s="75"/>
      <c r="D1319" s="73"/>
      <c r="E1319" s="73"/>
      <c r="F1319" s="73"/>
      <c r="G1319" s="74" t="s">
        <v>3</v>
      </c>
      <c r="H1319" s="153">
        <f>H1321</f>
        <v>3.3175999999999997E-2</v>
      </c>
      <c r="I1319" s="72"/>
      <c r="K1319" s="658"/>
    </row>
    <row r="1320" spans="1:11" customFormat="1" x14ac:dyDescent="0.25">
      <c r="A1320" s="661"/>
      <c r="B1320" s="73" t="s">
        <v>164</v>
      </c>
      <c r="C1320" s="75"/>
      <c r="D1320" s="73"/>
      <c r="E1320" s="73"/>
      <c r="F1320" s="73"/>
      <c r="G1320" s="74" t="s">
        <v>3</v>
      </c>
      <c r="H1320" s="153">
        <f>0.3*H1319</f>
        <v>9.9527999999999995E-3</v>
      </c>
      <c r="I1320" s="72"/>
      <c r="K1320" s="658"/>
    </row>
    <row r="1321" spans="1:11" customFormat="1" x14ac:dyDescent="0.25">
      <c r="A1321" s="661"/>
      <c r="B1321" s="73" t="s">
        <v>401</v>
      </c>
      <c r="C1321" s="75"/>
      <c r="D1321" s="73"/>
      <c r="E1321" s="73"/>
      <c r="F1321" s="73"/>
      <c r="G1321" s="74" t="s">
        <v>3</v>
      </c>
      <c r="H1321" s="153">
        <f>1.16*0.011*2*1.3</f>
        <v>3.3175999999999997E-2</v>
      </c>
      <c r="I1321" s="72"/>
      <c r="K1321" s="658"/>
    </row>
    <row r="1322" spans="1:11" customFormat="1" x14ac:dyDescent="0.25">
      <c r="A1322" s="661"/>
      <c r="B1322" s="73" t="s">
        <v>12</v>
      </c>
      <c r="C1322" s="73"/>
      <c r="D1322" s="73"/>
      <c r="E1322" s="73"/>
      <c r="F1322" s="73"/>
      <c r="G1322" s="74" t="s">
        <v>3</v>
      </c>
      <c r="H1322" s="153">
        <f>0.3*H1321</f>
        <v>9.9527999999999995E-3</v>
      </c>
      <c r="I1322" s="72"/>
      <c r="K1322" s="658"/>
    </row>
    <row r="1323" spans="1:11" customFormat="1" x14ac:dyDescent="0.25">
      <c r="A1323" s="661"/>
      <c r="B1323" s="75"/>
      <c r="C1323" s="75" t="s">
        <v>8825</v>
      </c>
      <c r="D1323" s="73"/>
      <c r="E1323" s="73"/>
      <c r="F1323" s="73"/>
      <c r="G1323" s="74"/>
      <c r="H1323" s="153"/>
      <c r="I1323" s="72"/>
      <c r="K1323" s="658"/>
    </row>
    <row r="1324" spans="1:11" customFormat="1" x14ac:dyDescent="0.25">
      <c r="A1324" s="661"/>
      <c r="B1324" s="73"/>
      <c r="C1324" s="73" t="s">
        <v>1481</v>
      </c>
      <c r="D1324" s="73"/>
      <c r="E1324" s="73"/>
      <c r="F1324" s="73"/>
      <c r="G1324" s="74" t="s">
        <v>3</v>
      </c>
      <c r="H1324" s="153">
        <v>0.42</v>
      </c>
      <c r="I1324" s="72"/>
      <c r="J1324" t="s">
        <v>8752</v>
      </c>
      <c r="K1324" s="658"/>
    </row>
    <row r="1325" spans="1:11" customFormat="1" x14ac:dyDescent="0.25">
      <c r="A1325" s="661"/>
      <c r="B1325" s="73"/>
      <c r="C1325" s="73"/>
      <c r="D1325" s="73"/>
      <c r="E1325" s="73"/>
      <c r="F1325" s="73"/>
      <c r="G1325" s="74"/>
      <c r="H1325" s="153"/>
      <c r="I1325" s="72"/>
      <c r="K1325" s="658"/>
    </row>
    <row r="1326" spans="1:11" customFormat="1" x14ac:dyDescent="0.25">
      <c r="A1326" s="678"/>
      <c r="B1326" s="75" t="s">
        <v>8824</v>
      </c>
      <c r="C1326" s="73"/>
      <c r="D1326" s="73"/>
      <c r="E1326" s="73"/>
      <c r="F1326" s="73"/>
      <c r="G1326" s="74"/>
      <c r="H1326" s="153"/>
      <c r="I1326" s="72"/>
      <c r="K1326" s="658"/>
    </row>
    <row r="1327" spans="1:11" customFormat="1" x14ac:dyDescent="0.25">
      <c r="A1327" s="661"/>
      <c r="B1327" s="73" t="s">
        <v>114</v>
      </c>
      <c r="C1327" s="75"/>
      <c r="D1327" s="73"/>
      <c r="E1327" s="73"/>
      <c r="F1327" s="73"/>
      <c r="G1327" s="74" t="s">
        <v>3</v>
      </c>
      <c r="H1327" s="153">
        <f>H1329</f>
        <v>3.8896E-2</v>
      </c>
      <c r="I1327" s="72"/>
      <c r="K1327" s="658"/>
    </row>
    <row r="1328" spans="1:11" customFormat="1" x14ac:dyDescent="0.25">
      <c r="A1328" s="661"/>
      <c r="B1328" s="73" t="s">
        <v>164</v>
      </c>
      <c r="C1328" s="75"/>
      <c r="D1328" s="73"/>
      <c r="E1328" s="73"/>
      <c r="F1328" s="73"/>
      <c r="G1328" s="74" t="s">
        <v>3</v>
      </c>
      <c r="H1328" s="153">
        <f>0.3*H1327</f>
        <v>1.16688E-2</v>
      </c>
      <c r="I1328" s="72"/>
      <c r="K1328" s="658"/>
    </row>
    <row r="1329" spans="1:11" customFormat="1" x14ac:dyDescent="0.25">
      <c r="A1329" s="661"/>
      <c r="B1329" s="73" t="s">
        <v>401</v>
      </c>
      <c r="C1329" s="75"/>
      <c r="D1329" s="73"/>
      <c r="E1329" s="73"/>
      <c r="F1329" s="73"/>
      <c r="G1329" s="74" t="s">
        <v>3</v>
      </c>
      <c r="H1329" s="153">
        <f>1.36*0.011*2*1.3</f>
        <v>3.8896E-2</v>
      </c>
      <c r="I1329" s="72"/>
      <c r="K1329" s="658"/>
    </row>
    <row r="1330" spans="1:11" customFormat="1" x14ac:dyDescent="0.25">
      <c r="A1330" s="661"/>
      <c r="B1330" s="73" t="s">
        <v>12</v>
      </c>
      <c r="C1330" s="73"/>
      <c r="D1330" s="73"/>
      <c r="E1330" s="73"/>
      <c r="F1330" s="73"/>
      <c r="G1330" s="74" t="s">
        <v>3</v>
      </c>
      <c r="H1330" s="153">
        <f>0.3*H1329</f>
        <v>1.16688E-2</v>
      </c>
      <c r="I1330" s="72"/>
      <c r="K1330" s="658"/>
    </row>
    <row r="1331" spans="1:11" customFormat="1" x14ac:dyDescent="0.25">
      <c r="A1331" s="661"/>
      <c r="B1331" s="73"/>
      <c r="C1331" s="75" t="s">
        <v>8823</v>
      </c>
      <c r="D1331" s="73"/>
      <c r="E1331" s="73"/>
      <c r="F1331" s="73"/>
      <c r="G1331" s="74"/>
      <c r="H1331" s="153"/>
      <c r="I1331" s="72"/>
      <c r="K1331" s="658"/>
    </row>
    <row r="1332" spans="1:11" customFormat="1" x14ac:dyDescent="0.25">
      <c r="A1332" s="661"/>
      <c r="B1332" s="73"/>
      <c r="C1332" s="73" t="s">
        <v>1481</v>
      </c>
      <c r="D1332" s="73"/>
      <c r="E1332" s="73"/>
      <c r="F1332" s="73"/>
      <c r="G1332" s="74" t="s">
        <v>3</v>
      </c>
      <c r="H1332" s="153">
        <v>0.48499999999999999</v>
      </c>
      <c r="I1332" s="72"/>
      <c r="J1332" t="s">
        <v>8822</v>
      </c>
      <c r="K1332" s="658"/>
    </row>
    <row r="1333" spans="1:11" customFormat="1" x14ac:dyDescent="0.25">
      <c r="A1333" s="661"/>
      <c r="B1333" s="73"/>
      <c r="C1333" s="73"/>
      <c r="D1333" s="73"/>
      <c r="E1333" s="73"/>
      <c r="F1333" s="73"/>
      <c r="G1333" s="74"/>
      <c r="H1333" s="153"/>
      <c r="I1333" s="72"/>
      <c r="K1333" s="658"/>
    </row>
    <row r="1334" spans="1:11" customFormat="1" x14ac:dyDescent="0.25">
      <c r="A1334" s="661"/>
      <c r="B1334" s="73"/>
      <c r="C1334" s="73"/>
      <c r="D1334" s="73"/>
      <c r="E1334" s="73"/>
      <c r="F1334" s="73"/>
      <c r="G1334" s="74"/>
      <c r="H1334" s="153"/>
      <c r="I1334" s="72"/>
      <c r="K1334" s="658"/>
    </row>
    <row r="1335" spans="1:11" customFormat="1" x14ac:dyDescent="0.25">
      <c r="A1335" s="678"/>
      <c r="B1335" s="75" t="s">
        <v>8821</v>
      </c>
      <c r="C1335" s="73"/>
      <c r="D1335" s="73"/>
      <c r="E1335" s="73"/>
      <c r="F1335" s="73"/>
      <c r="G1335" s="74"/>
      <c r="H1335" s="153"/>
      <c r="I1335" s="72"/>
      <c r="K1335" s="658"/>
    </row>
    <row r="1336" spans="1:11" customFormat="1" x14ac:dyDescent="0.25">
      <c r="A1336" s="661"/>
      <c r="B1336" s="73" t="s">
        <v>114</v>
      </c>
      <c r="C1336" s="75"/>
      <c r="D1336" s="73"/>
      <c r="E1336" s="73"/>
      <c r="F1336" s="73"/>
      <c r="G1336" s="74" t="s">
        <v>3</v>
      </c>
      <c r="H1336" s="153">
        <f>H1338</f>
        <v>4.6331999999999998E-2</v>
      </c>
      <c r="I1336" s="72"/>
      <c r="K1336" s="658"/>
    </row>
    <row r="1337" spans="1:11" customFormat="1" x14ac:dyDescent="0.25">
      <c r="A1337" s="661"/>
      <c r="B1337" s="73" t="s">
        <v>164</v>
      </c>
      <c r="C1337" s="75"/>
      <c r="D1337" s="73"/>
      <c r="E1337" s="73"/>
      <c r="F1337" s="73"/>
      <c r="G1337" s="74" t="s">
        <v>3</v>
      </c>
      <c r="H1337" s="153">
        <f>0.3*H1336</f>
        <v>1.38996E-2</v>
      </c>
      <c r="I1337" s="72"/>
      <c r="K1337" s="658"/>
    </row>
    <row r="1338" spans="1:11" customFormat="1" x14ac:dyDescent="0.25">
      <c r="A1338" s="661"/>
      <c r="B1338" s="73" t="s">
        <v>401</v>
      </c>
      <c r="C1338" s="75"/>
      <c r="D1338" s="73"/>
      <c r="E1338" s="73"/>
      <c r="F1338" s="73"/>
      <c r="G1338" s="74" t="s">
        <v>3</v>
      </c>
      <c r="H1338" s="153">
        <f>1.62*0.011*2*1.3</f>
        <v>4.6331999999999998E-2</v>
      </c>
      <c r="I1338" s="72"/>
      <c r="K1338" s="658"/>
    </row>
    <row r="1339" spans="1:11" customFormat="1" x14ac:dyDescent="0.25">
      <c r="A1339" s="661"/>
      <c r="B1339" s="73" t="s">
        <v>12</v>
      </c>
      <c r="C1339" s="73"/>
      <c r="D1339" s="73"/>
      <c r="E1339" s="73"/>
      <c r="F1339" s="73"/>
      <c r="G1339" s="74" t="s">
        <v>3</v>
      </c>
      <c r="H1339" s="153">
        <f>0.3*H1338</f>
        <v>1.38996E-2</v>
      </c>
      <c r="I1339" s="72"/>
      <c r="K1339" s="658"/>
    </row>
    <row r="1340" spans="1:11" customFormat="1" x14ac:dyDescent="0.25">
      <c r="A1340" s="661"/>
      <c r="B1340" s="73"/>
      <c r="C1340" s="75" t="s">
        <v>8820</v>
      </c>
      <c r="D1340" s="73"/>
      <c r="E1340" s="73"/>
      <c r="F1340" s="73"/>
      <c r="G1340" s="74"/>
      <c r="H1340" s="153"/>
      <c r="I1340" s="72"/>
      <c r="K1340" s="658"/>
    </row>
    <row r="1341" spans="1:11" customFormat="1" x14ac:dyDescent="0.25">
      <c r="A1341" s="661"/>
      <c r="B1341" s="73"/>
      <c r="C1341" s="73" t="s">
        <v>1481</v>
      </c>
      <c r="D1341" s="73"/>
      <c r="E1341" s="73"/>
      <c r="F1341" s="73"/>
      <c r="G1341" s="74" t="s">
        <v>3</v>
      </c>
      <c r="H1341" s="153">
        <v>0.56499999999999995</v>
      </c>
      <c r="I1341" s="72"/>
      <c r="J1341" t="s">
        <v>8819</v>
      </c>
      <c r="K1341" s="658"/>
    </row>
    <row r="1342" spans="1:11" customFormat="1" x14ac:dyDescent="0.25">
      <c r="A1342" s="661"/>
      <c r="B1342" s="73"/>
      <c r="C1342" s="73"/>
      <c r="D1342" s="73"/>
      <c r="E1342" s="73"/>
      <c r="F1342" s="73"/>
      <c r="G1342" s="74"/>
      <c r="H1342" s="153"/>
      <c r="I1342" s="72"/>
      <c r="K1342" s="658"/>
    </row>
    <row r="1343" spans="1:11" customFormat="1" x14ac:dyDescent="0.25">
      <c r="A1343" s="678"/>
      <c r="B1343" s="75" t="s">
        <v>8818</v>
      </c>
      <c r="C1343" s="73"/>
      <c r="D1343" s="73"/>
      <c r="E1343" s="73"/>
      <c r="F1343" s="73"/>
      <c r="G1343" s="74"/>
      <c r="H1343" s="153"/>
      <c r="I1343" s="72"/>
      <c r="K1343" s="658"/>
    </row>
    <row r="1344" spans="1:11" customFormat="1" x14ac:dyDescent="0.25">
      <c r="A1344" s="661"/>
      <c r="B1344" s="73" t="s">
        <v>114</v>
      </c>
      <c r="C1344" s="75"/>
      <c r="D1344" s="73"/>
      <c r="E1344" s="73"/>
      <c r="F1344" s="73"/>
      <c r="G1344" s="74" t="s">
        <v>3</v>
      </c>
      <c r="H1344" s="153">
        <f>H1346</f>
        <v>3.2889999999999996E-2</v>
      </c>
      <c r="I1344" s="72"/>
      <c r="K1344" s="658"/>
    </row>
    <row r="1345" spans="1:11" customFormat="1" x14ac:dyDescent="0.25">
      <c r="A1345" s="661"/>
      <c r="B1345" s="73" t="s">
        <v>164</v>
      </c>
      <c r="C1345" s="75"/>
      <c r="D1345" s="73"/>
      <c r="E1345" s="73"/>
      <c r="F1345" s="73"/>
      <c r="G1345" s="74" t="s">
        <v>3</v>
      </c>
      <c r="H1345" s="153">
        <f>0.3*H1344</f>
        <v>9.866999999999999E-3</v>
      </c>
      <c r="I1345" s="72"/>
      <c r="K1345" s="658"/>
    </row>
    <row r="1346" spans="1:11" customFormat="1" x14ac:dyDescent="0.25">
      <c r="A1346" s="661"/>
      <c r="B1346" s="73" t="s">
        <v>401</v>
      </c>
      <c r="C1346" s="75"/>
      <c r="D1346" s="73"/>
      <c r="E1346" s="73"/>
      <c r="F1346" s="73"/>
      <c r="G1346" s="74" t="s">
        <v>3</v>
      </c>
      <c r="H1346" s="153">
        <f>1.3*0.011*2*1.15</f>
        <v>3.2889999999999996E-2</v>
      </c>
      <c r="I1346" s="72"/>
      <c r="K1346" s="658"/>
    </row>
    <row r="1347" spans="1:11" customFormat="1" x14ac:dyDescent="0.25">
      <c r="A1347" s="661"/>
      <c r="B1347" s="73" t="s">
        <v>12</v>
      </c>
      <c r="C1347" s="73"/>
      <c r="D1347" s="73"/>
      <c r="E1347" s="73"/>
      <c r="F1347" s="73"/>
      <c r="G1347" s="74" t="s">
        <v>3</v>
      </c>
      <c r="H1347" s="153">
        <f>0.3*H1346</f>
        <v>9.866999999999999E-3</v>
      </c>
      <c r="I1347" s="72"/>
      <c r="K1347" s="658"/>
    </row>
    <row r="1348" spans="1:11" customFormat="1" x14ac:dyDescent="0.25">
      <c r="A1348" s="661"/>
      <c r="B1348" s="73"/>
      <c r="C1348" s="75" t="s">
        <v>8817</v>
      </c>
      <c r="D1348" s="73"/>
      <c r="E1348" s="73"/>
      <c r="F1348" s="73"/>
      <c r="G1348" s="74"/>
      <c r="H1348" s="153"/>
      <c r="I1348" s="72"/>
      <c r="K1348" s="658"/>
    </row>
    <row r="1349" spans="1:11" customFormat="1" x14ac:dyDescent="0.25">
      <c r="A1349" s="661"/>
      <c r="B1349" s="73"/>
      <c r="C1349" s="73" t="s">
        <v>1481</v>
      </c>
      <c r="D1349" s="73"/>
      <c r="E1349" s="73"/>
      <c r="F1349" s="73"/>
      <c r="G1349" s="74" t="s">
        <v>3</v>
      </c>
      <c r="H1349" s="153">
        <v>0.44500000000000001</v>
      </c>
      <c r="I1349" s="72"/>
      <c r="J1349" t="s">
        <v>8816</v>
      </c>
      <c r="K1349" s="658"/>
    </row>
    <row r="1350" spans="1:11" customFormat="1" x14ac:dyDescent="0.25">
      <c r="A1350" s="661"/>
      <c r="B1350" s="73"/>
      <c r="C1350" s="73"/>
      <c r="D1350" s="73"/>
      <c r="E1350" s="73"/>
      <c r="F1350" s="73"/>
      <c r="G1350" s="74"/>
      <c r="H1350" s="153"/>
      <c r="I1350" s="72"/>
      <c r="K1350" s="658"/>
    </row>
    <row r="1351" spans="1:11" customFormat="1" x14ac:dyDescent="0.25">
      <c r="A1351" s="678"/>
      <c r="B1351" s="75" t="s">
        <v>8815</v>
      </c>
      <c r="C1351" s="73"/>
      <c r="D1351" s="73"/>
      <c r="E1351" s="73"/>
      <c r="F1351" s="73"/>
      <c r="G1351" s="74"/>
      <c r="H1351" s="153"/>
      <c r="I1351" s="72"/>
      <c r="K1351" s="658"/>
    </row>
    <row r="1352" spans="1:11" customFormat="1" x14ac:dyDescent="0.25">
      <c r="A1352" s="661"/>
      <c r="B1352" s="73" t="s">
        <v>114</v>
      </c>
      <c r="C1352" s="75"/>
      <c r="D1352" s="73"/>
      <c r="E1352" s="73"/>
      <c r="F1352" s="73"/>
      <c r="G1352" s="74" t="s">
        <v>3</v>
      </c>
      <c r="H1352" s="153">
        <f>H1354</f>
        <v>2.7719999999999998E-2</v>
      </c>
      <c r="I1352" s="72"/>
      <c r="K1352" s="658"/>
    </row>
    <row r="1353" spans="1:11" customFormat="1" x14ac:dyDescent="0.25">
      <c r="A1353" s="661"/>
      <c r="B1353" s="73" t="s">
        <v>164</v>
      </c>
      <c r="C1353" s="75"/>
      <c r="D1353" s="73"/>
      <c r="E1353" s="73"/>
      <c r="F1353" s="73"/>
      <c r="G1353" s="74" t="s">
        <v>3</v>
      </c>
      <c r="H1353" s="153">
        <f>0.3*H1352</f>
        <v>8.3159999999999987E-3</v>
      </c>
      <c r="I1353" s="72"/>
      <c r="K1353" s="658"/>
    </row>
    <row r="1354" spans="1:11" customFormat="1" x14ac:dyDescent="0.25">
      <c r="A1354" s="661"/>
      <c r="B1354" s="73" t="s">
        <v>401</v>
      </c>
      <c r="C1354" s="75"/>
      <c r="D1354" s="73"/>
      <c r="E1354" s="73"/>
      <c r="F1354" s="73"/>
      <c r="G1354" s="74" t="s">
        <v>3</v>
      </c>
      <c r="H1354" s="153">
        <f>1.05*0.011*2*1.2</f>
        <v>2.7719999999999998E-2</v>
      </c>
      <c r="I1354" s="72"/>
      <c r="K1354" s="658"/>
    </row>
    <row r="1355" spans="1:11" customFormat="1" x14ac:dyDescent="0.25">
      <c r="A1355" s="661"/>
      <c r="B1355" s="73" t="s">
        <v>12</v>
      </c>
      <c r="C1355" s="73"/>
      <c r="D1355" s="73"/>
      <c r="E1355" s="73"/>
      <c r="F1355" s="73"/>
      <c r="G1355" s="74" t="s">
        <v>3</v>
      </c>
      <c r="H1355" s="153">
        <f>0.3*H1354</f>
        <v>8.3159999999999987E-3</v>
      </c>
      <c r="I1355" s="72"/>
      <c r="K1355" s="658"/>
    </row>
    <row r="1356" spans="1:11" customFormat="1" x14ac:dyDescent="0.25">
      <c r="A1356" s="661"/>
      <c r="B1356" s="73"/>
      <c r="C1356" s="75" t="s">
        <v>8814</v>
      </c>
      <c r="D1356" s="73"/>
      <c r="E1356" s="73"/>
      <c r="F1356" s="73"/>
      <c r="G1356" s="74"/>
      <c r="H1356" s="153"/>
      <c r="I1356" s="72"/>
      <c r="K1356" s="658"/>
    </row>
    <row r="1357" spans="1:11" customFormat="1" x14ac:dyDescent="0.25">
      <c r="A1357" s="661"/>
      <c r="B1357" s="73"/>
      <c r="C1357" s="73" t="s">
        <v>1481</v>
      </c>
      <c r="D1357" s="73"/>
      <c r="E1357" s="73"/>
      <c r="F1357" s="73"/>
      <c r="G1357" s="74" t="s">
        <v>3</v>
      </c>
      <c r="H1357" s="153">
        <v>0.32</v>
      </c>
      <c r="I1357" s="72"/>
      <c r="J1357" t="s">
        <v>8813</v>
      </c>
      <c r="K1357" s="658"/>
    </row>
    <row r="1358" spans="1:11" customFormat="1" x14ac:dyDescent="0.25">
      <c r="A1358" s="661"/>
      <c r="B1358" s="73"/>
      <c r="C1358" s="73"/>
      <c r="D1358" s="73"/>
      <c r="E1358" s="73"/>
      <c r="F1358" s="73"/>
      <c r="G1358" s="74"/>
      <c r="H1358" s="153"/>
      <c r="I1358" s="72"/>
      <c r="K1358" s="658"/>
    </row>
    <row r="1359" spans="1:11" customFormat="1" x14ac:dyDescent="0.25">
      <c r="A1359" s="678"/>
      <c r="B1359" s="75" t="s">
        <v>8812</v>
      </c>
      <c r="C1359" s="73"/>
      <c r="D1359" s="73"/>
      <c r="E1359" s="73"/>
      <c r="F1359" s="73"/>
      <c r="G1359" s="74"/>
      <c r="H1359" s="153"/>
      <c r="I1359" s="72"/>
      <c r="K1359" s="658"/>
    </row>
    <row r="1360" spans="1:11" customFormat="1" x14ac:dyDescent="0.25">
      <c r="A1360" s="661"/>
      <c r="B1360" s="73" t="s">
        <v>114</v>
      </c>
      <c r="C1360" s="75"/>
      <c r="D1360" s="73"/>
      <c r="E1360" s="73"/>
      <c r="F1360" s="73"/>
      <c r="G1360" s="74" t="s">
        <v>3</v>
      </c>
      <c r="H1360" s="153">
        <f>H1362</f>
        <v>2.6135999999999996E-2</v>
      </c>
      <c r="I1360" s="72"/>
      <c r="K1360" s="658"/>
    </row>
    <row r="1361" spans="1:11" customFormat="1" x14ac:dyDescent="0.25">
      <c r="A1361" s="661"/>
      <c r="B1361" s="73" t="s">
        <v>164</v>
      </c>
      <c r="C1361" s="75"/>
      <c r="D1361" s="73"/>
      <c r="E1361" s="73"/>
      <c r="F1361" s="73"/>
      <c r="G1361" s="74" t="s">
        <v>3</v>
      </c>
      <c r="H1361" s="153">
        <f>0.3*H1360</f>
        <v>7.8407999999999985E-3</v>
      </c>
      <c r="I1361" s="72"/>
      <c r="K1361" s="658"/>
    </row>
    <row r="1362" spans="1:11" customFormat="1" x14ac:dyDescent="0.25">
      <c r="A1362" s="661"/>
      <c r="B1362" s="73" t="s">
        <v>401</v>
      </c>
      <c r="C1362" s="75"/>
      <c r="D1362" s="73"/>
      <c r="E1362" s="73"/>
      <c r="F1362" s="73"/>
      <c r="G1362" s="74" t="s">
        <v>3</v>
      </c>
      <c r="H1362" s="153">
        <f>0.99*0.011*2*1.2</f>
        <v>2.6135999999999996E-2</v>
      </c>
      <c r="I1362" s="72"/>
      <c r="K1362" s="658"/>
    </row>
    <row r="1363" spans="1:11" customFormat="1" x14ac:dyDescent="0.25">
      <c r="A1363" s="661"/>
      <c r="B1363" s="73" t="s">
        <v>12</v>
      </c>
      <c r="C1363" s="73"/>
      <c r="D1363" s="73"/>
      <c r="E1363" s="73"/>
      <c r="F1363" s="73"/>
      <c r="G1363" s="74" t="s">
        <v>3</v>
      </c>
      <c r="H1363" s="153">
        <f>0.3*H1362</f>
        <v>7.8407999999999985E-3</v>
      </c>
      <c r="I1363" s="72"/>
      <c r="K1363" s="658"/>
    </row>
    <row r="1364" spans="1:11" customFormat="1" x14ac:dyDescent="0.25">
      <c r="A1364" s="661"/>
      <c r="B1364" s="73"/>
      <c r="C1364" s="75" t="s">
        <v>8811</v>
      </c>
      <c r="D1364" s="73"/>
      <c r="E1364" s="73"/>
      <c r="F1364" s="73"/>
      <c r="G1364" s="74"/>
      <c r="H1364" s="153"/>
      <c r="I1364" s="72"/>
      <c r="K1364" s="658"/>
    </row>
    <row r="1365" spans="1:11" customFormat="1" x14ac:dyDescent="0.25">
      <c r="A1365" s="661"/>
      <c r="B1365" s="73"/>
      <c r="C1365" s="73" t="s">
        <v>1481</v>
      </c>
      <c r="D1365" s="73"/>
      <c r="E1365" s="73"/>
      <c r="F1365" s="73"/>
      <c r="G1365" s="74" t="s">
        <v>3</v>
      </c>
      <c r="H1365" s="153">
        <v>0.35499999999999998</v>
      </c>
      <c r="I1365" s="72"/>
      <c r="J1365" t="s">
        <v>8810</v>
      </c>
      <c r="K1365" s="658"/>
    </row>
    <row r="1366" spans="1:11" customFormat="1" x14ac:dyDescent="0.25">
      <c r="A1366" s="661"/>
      <c r="B1366" s="73"/>
      <c r="C1366" s="73"/>
      <c r="D1366" s="73"/>
      <c r="E1366" s="73"/>
      <c r="F1366" s="73"/>
      <c r="G1366" s="74"/>
      <c r="H1366" s="153"/>
      <c r="I1366" s="72"/>
      <c r="K1366" s="658"/>
    </row>
    <row r="1367" spans="1:11" customFormat="1" x14ac:dyDescent="0.25">
      <c r="A1367" s="678"/>
      <c r="B1367" s="75" t="s">
        <v>8809</v>
      </c>
      <c r="C1367" s="73"/>
      <c r="D1367" s="73"/>
      <c r="E1367" s="73"/>
      <c r="F1367" s="73"/>
      <c r="G1367" s="74"/>
      <c r="H1367" s="153"/>
      <c r="I1367" s="72"/>
      <c r="K1367" s="658"/>
    </row>
    <row r="1368" spans="1:11" customFormat="1" x14ac:dyDescent="0.25">
      <c r="A1368" s="661"/>
      <c r="B1368" s="73" t="s">
        <v>114</v>
      </c>
      <c r="C1368" s="75"/>
      <c r="D1368" s="73"/>
      <c r="E1368" s="73"/>
      <c r="F1368" s="73"/>
      <c r="G1368" s="74" t="s">
        <v>3</v>
      </c>
      <c r="H1368" s="153">
        <f>H1370</f>
        <v>2.3353000000000002E-2</v>
      </c>
      <c r="I1368" s="72"/>
      <c r="K1368" s="658"/>
    </row>
    <row r="1369" spans="1:11" customFormat="1" x14ac:dyDescent="0.25">
      <c r="A1369" s="661"/>
      <c r="B1369" s="73" t="s">
        <v>164</v>
      </c>
      <c r="C1369" s="75"/>
      <c r="D1369" s="73"/>
      <c r="E1369" s="73"/>
      <c r="F1369" s="73"/>
      <c r="G1369" s="74" t="s">
        <v>3</v>
      </c>
      <c r="H1369" s="153">
        <f>0.3*H1368</f>
        <v>7.0059000000000007E-3</v>
      </c>
      <c r="I1369" s="72"/>
      <c r="K1369" s="658"/>
    </row>
    <row r="1370" spans="1:11" customFormat="1" x14ac:dyDescent="0.25">
      <c r="A1370" s="661"/>
      <c r="B1370" s="73" t="s">
        <v>401</v>
      </c>
      <c r="C1370" s="75"/>
      <c r="D1370" s="73"/>
      <c r="E1370" s="73"/>
      <c r="F1370" s="73"/>
      <c r="G1370" s="74" t="s">
        <v>3</v>
      </c>
      <c r="H1370" s="153">
        <f>0.965*0.011*2*1.1</f>
        <v>2.3353000000000002E-2</v>
      </c>
      <c r="I1370" s="72"/>
      <c r="K1370" s="658"/>
    </row>
    <row r="1371" spans="1:11" customFormat="1" x14ac:dyDescent="0.25">
      <c r="A1371" s="661"/>
      <c r="B1371" s="73" t="s">
        <v>12</v>
      </c>
      <c r="C1371" s="73"/>
      <c r="D1371" s="73"/>
      <c r="E1371" s="73"/>
      <c r="F1371" s="73"/>
      <c r="G1371" s="74" t="s">
        <v>3</v>
      </c>
      <c r="H1371" s="153">
        <f>0.3*H1370</f>
        <v>7.0059000000000007E-3</v>
      </c>
      <c r="I1371" s="72"/>
      <c r="K1371" s="658"/>
    </row>
    <row r="1372" spans="1:11" customFormat="1" x14ac:dyDescent="0.25">
      <c r="A1372" s="661"/>
      <c r="B1372" s="73"/>
      <c r="C1372" s="75" t="s">
        <v>8808</v>
      </c>
      <c r="D1372" s="73"/>
      <c r="E1372" s="73"/>
      <c r="F1372" s="73"/>
      <c r="G1372" s="74"/>
      <c r="H1372" s="153"/>
      <c r="I1372" s="72"/>
      <c r="K1372" s="658"/>
    </row>
    <row r="1373" spans="1:11" customFormat="1" x14ac:dyDescent="0.25">
      <c r="A1373" s="661"/>
      <c r="B1373" s="73"/>
      <c r="C1373" s="73" t="s">
        <v>1481</v>
      </c>
      <c r="D1373" s="73"/>
      <c r="E1373" s="73"/>
      <c r="F1373" s="73"/>
      <c r="G1373" s="74" t="s">
        <v>3</v>
      </c>
      <c r="H1373" s="153">
        <v>0.35</v>
      </c>
      <c r="I1373" s="72"/>
      <c r="J1373" t="s">
        <v>8807</v>
      </c>
      <c r="K1373" s="658"/>
    </row>
    <row r="1374" spans="1:11" customFormat="1" x14ac:dyDescent="0.25">
      <c r="A1374" s="661"/>
      <c r="B1374" s="73"/>
      <c r="C1374" s="73"/>
      <c r="D1374" s="73"/>
      <c r="E1374" s="73"/>
      <c r="F1374" s="73"/>
      <c r="G1374" s="74"/>
      <c r="H1374" s="153"/>
      <c r="I1374" s="72"/>
      <c r="K1374" s="658"/>
    </row>
    <row r="1375" spans="1:11" customFormat="1" x14ac:dyDescent="0.25">
      <c r="A1375" s="678"/>
      <c r="B1375" s="75" t="s">
        <v>8806</v>
      </c>
      <c r="C1375" s="73"/>
      <c r="D1375" s="73"/>
      <c r="E1375" s="73"/>
      <c r="F1375" s="73"/>
      <c r="G1375" s="74"/>
      <c r="H1375" s="153"/>
      <c r="I1375" s="72"/>
      <c r="K1375" s="658"/>
    </row>
    <row r="1376" spans="1:11" customFormat="1" x14ac:dyDescent="0.25">
      <c r="A1376" s="661"/>
      <c r="B1376" s="73" t="s">
        <v>114</v>
      </c>
      <c r="C1376" s="75"/>
      <c r="D1376" s="73"/>
      <c r="E1376" s="73"/>
      <c r="F1376" s="73"/>
      <c r="G1376" s="74" t="s">
        <v>3</v>
      </c>
      <c r="H1376" s="153">
        <f>H1378</f>
        <v>4.0480000000000002E-2</v>
      </c>
      <c r="I1376" s="72"/>
      <c r="K1376" s="658"/>
    </row>
    <row r="1377" spans="1:11" customFormat="1" x14ac:dyDescent="0.25">
      <c r="A1377" s="661"/>
      <c r="B1377" s="73" t="s">
        <v>164</v>
      </c>
      <c r="C1377" s="75"/>
      <c r="D1377" s="73"/>
      <c r="E1377" s="73"/>
      <c r="F1377" s="73"/>
      <c r="G1377" s="74" t="s">
        <v>3</v>
      </c>
      <c r="H1377" s="153">
        <f>0.3*H1376</f>
        <v>1.2144E-2</v>
      </c>
      <c r="I1377" s="72"/>
      <c r="K1377" s="658"/>
    </row>
    <row r="1378" spans="1:11" customFormat="1" x14ac:dyDescent="0.25">
      <c r="A1378" s="661"/>
      <c r="B1378" s="73" t="s">
        <v>401</v>
      </c>
      <c r="C1378" s="75"/>
      <c r="D1378" s="73"/>
      <c r="E1378" s="73"/>
      <c r="F1378" s="73"/>
      <c r="G1378" s="74" t="s">
        <v>3</v>
      </c>
      <c r="H1378" s="153">
        <f>1.6*0.011*2*1.15</f>
        <v>4.0480000000000002E-2</v>
      </c>
      <c r="I1378" s="72"/>
      <c r="K1378" s="658"/>
    </row>
    <row r="1379" spans="1:11" customFormat="1" x14ac:dyDescent="0.25">
      <c r="A1379" s="661"/>
      <c r="B1379" s="73" t="s">
        <v>12</v>
      </c>
      <c r="C1379" s="73"/>
      <c r="D1379" s="73"/>
      <c r="E1379" s="73"/>
      <c r="F1379" s="73"/>
      <c r="G1379" s="74" t="s">
        <v>3</v>
      </c>
      <c r="H1379" s="153">
        <f>0.3*H1378</f>
        <v>1.2144E-2</v>
      </c>
      <c r="I1379" s="72"/>
      <c r="K1379" s="658"/>
    </row>
    <row r="1380" spans="1:11" customFormat="1" x14ac:dyDescent="0.25">
      <c r="A1380" s="661"/>
      <c r="B1380" s="73"/>
      <c r="C1380" s="75" t="s">
        <v>8805</v>
      </c>
      <c r="D1380" s="73"/>
      <c r="E1380" s="73"/>
      <c r="F1380" s="73"/>
      <c r="G1380" s="74"/>
      <c r="H1380" s="153"/>
      <c r="I1380" s="72"/>
      <c r="K1380" s="658"/>
    </row>
    <row r="1381" spans="1:11" customFormat="1" x14ac:dyDescent="0.25">
      <c r="A1381" s="661"/>
      <c r="B1381" s="73"/>
      <c r="C1381" s="73" t="s">
        <v>1481</v>
      </c>
      <c r="D1381" s="73"/>
      <c r="E1381" s="73"/>
      <c r="F1381" s="73"/>
      <c r="G1381" s="74" t="s">
        <v>3</v>
      </c>
      <c r="H1381" s="153">
        <f>0.55</f>
        <v>0.55000000000000004</v>
      </c>
      <c r="I1381" s="72"/>
      <c r="J1381" t="s">
        <v>8804</v>
      </c>
      <c r="K1381" s="658"/>
    </row>
    <row r="1382" spans="1:11" customFormat="1" x14ac:dyDescent="0.25">
      <c r="A1382" s="661"/>
      <c r="B1382" s="73"/>
      <c r="C1382" s="73"/>
      <c r="D1382" s="73"/>
      <c r="E1382" s="73"/>
      <c r="F1382" s="73"/>
      <c r="G1382" s="74"/>
      <c r="H1382" s="153"/>
      <c r="I1382" s="72"/>
      <c r="K1382" s="658"/>
    </row>
    <row r="1383" spans="1:11" customFormat="1" x14ac:dyDescent="0.25">
      <c r="A1383" s="678"/>
      <c r="B1383" s="75" t="s">
        <v>8803</v>
      </c>
      <c r="C1383" s="73"/>
      <c r="D1383" s="73"/>
      <c r="E1383" s="73"/>
      <c r="F1383" s="73"/>
      <c r="G1383" s="74"/>
      <c r="H1383" s="153"/>
      <c r="I1383" s="72"/>
      <c r="K1383" s="658"/>
    </row>
    <row r="1384" spans="1:11" customFormat="1" x14ac:dyDescent="0.25">
      <c r="A1384" s="661"/>
      <c r="B1384" s="77" t="s">
        <v>124</v>
      </c>
      <c r="C1384" s="73"/>
      <c r="D1384" s="73"/>
      <c r="E1384" s="73"/>
      <c r="F1384" s="73"/>
      <c r="G1384" s="74" t="s">
        <v>3</v>
      </c>
      <c r="H1384" s="153">
        <f>0.014*3.14*2*0.08*1.2</f>
        <v>8.4403200000000012E-3</v>
      </c>
      <c r="I1384" s="72"/>
      <c r="K1384" s="658"/>
    </row>
    <row r="1385" spans="1:11" customFormat="1" ht="17.25" x14ac:dyDescent="0.25">
      <c r="A1385" s="661"/>
      <c r="B1385" s="77" t="s">
        <v>168</v>
      </c>
      <c r="C1385" s="73"/>
      <c r="D1385" s="73"/>
      <c r="E1385" s="73"/>
      <c r="F1385" s="73"/>
      <c r="G1385" s="74" t="s">
        <v>596</v>
      </c>
      <c r="H1385" s="153">
        <f>H1384*1.09</f>
        <v>9.1999488000000015E-3</v>
      </c>
      <c r="I1385" s="72"/>
      <c r="K1385" s="658"/>
    </row>
    <row r="1386" spans="1:11" customFormat="1" x14ac:dyDescent="0.25">
      <c r="A1386" s="661"/>
      <c r="B1386" s="73" t="s">
        <v>114</v>
      </c>
      <c r="C1386" s="75"/>
      <c r="D1386" s="73"/>
      <c r="E1386" s="73"/>
      <c r="F1386" s="73"/>
      <c r="G1386" s="74" t="s">
        <v>3</v>
      </c>
      <c r="H1386" s="153">
        <f>H1388</f>
        <v>6.4680000000000001E-2</v>
      </c>
      <c r="I1386" s="72"/>
      <c r="K1386" s="658"/>
    </row>
    <row r="1387" spans="1:11" customFormat="1" x14ac:dyDescent="0.25">
      <c r="A1387" s="661"/>
      <c r="B1387" s="73" t="s">
        <v>164</v>
      </c>
      <c r="C1387" s="75"/>
      <c r="D1387" s="73"/>
      <c r="E1387" s="73"/>
      <c r="F1387" s="73"/>
      <c r="G1387" s="74" t="s">
        <v>3</v>
      </c>
      <c r="H1387" s="153">
        <f>0.3*H1386</f>
        <v>1.9404000000000001E-2</v>
      </c>
      <c r="I1387" s="72"/>
      <c r="K1387" s="658"/>
    </row>
    <row r="1388" spans="1:11" customFormat="1" x14ac:dyDescent="0.25">
      <c r="A1388" s="661"/>
      <c r="B1388" s="73" t="s">
        <v>401</v>
      </c>
      <c r="C1388" s="75"/>
      <c r="D1388" s="73"/>
      <c r="E1388" s="73"/>
      <c r="F1388" s="73"/>
      <c r="G1388" s="74" t="s">
        <v>3</v>
      </c>
      <c r="H1388" s="153">
        <f>2.45*0.011*2*1.2</f>
        <v>6.4680000000000001E-2</v>
      </c>
      <c r="I1388" s="72"/>
      <c r="K1388" s="658"/>
    </row>
    <row r="1389" spans="1:11" customFormat="1" x14ac:dyDescent="0.25">
      <c r="A1389" s="661"/>
      <c r="B1389" s="73" t="s">
        <v>12</v>
      </c>
      <c r="C1389" s="73"/>
      <c r="D1389" s="73"/>
      <c r="E1389" s="73"/>
      <c r="F1389" s="73"/>
      <c r="G1389" s="74" t="s">
        <v>3</v>
      </c>
      <c r="H1389" s="153">
        <f>0.3*H1388</f>
        <v>1.9404000000000001E-2</v>
      </c>
      <c r="I1389" s="72"/>
      <c r="K1389" s="658"/>
    </row>
    <row r="1390" spans="1:11" customFormat="1" x14ac:dyDescent="0.25">
      <c r="A1390" s="661"/>
      <c r="B1390" s="75"/>
      <c r="C1390" s="75" t="s">
        <v>8802</v>
      </c>
      <c r="D1390" s="73"/>
      <c r="E1390" s="73"/>
      <c r="F1390" s="73"/>
      <c r="G1390" s="74"/>
      <c r="H1390" s="153"/>
      <c r="I1390" s="72"/>
      <c r="K1390" s="658"/>
    </row>
    <row r="1391" spans="1:11" customFormat="1" x14ac:dyDescent="0.25">
      <c r="A1391" s="661"/>
      <c r="B1391" s="73"/>
      <c r="C1391" s="73" t="s">
        <v>1481</v>
      </c>
      <c r="D1391" s="73"/>
      <c r="E1391" s="73"/>
      <c r="F1391" s="73"/>
      <c r="G1391" s="74" t="s">
        <v>3</v>
      </c>
      <c r="H1391" s="153">
        <v>0.84</v>
      </c>
      <c r="I1391" s="72"/>
      <c r="J1391" t="s">
        <v>8801</v>
      </c>
      <c r="K1391" s="658"/>
    </row>
    <row r="1392" spans="1:11" customFormat="1" x14ac:dyDescent="0.25">
      <c r="A1392" s="661"/>
      <c r="B1392" s="73"/>
      <c r="C1392" s="75" t="s">
        <v>8800</v>
      </c>
      <c r="D1392" s="73"/>
      <c r="E1392" s="73"/>
      <c r="F1392" s="73"/>
      <c r="G1392" s="74"/>
      <c r="H1392" s="153"/>
      <c r="I1392" s="72"/>
      <c r="K1392" s="658"/>
    </row>
    <row r="1393" spans="1:11" customFormat="1" x14ac:dyDescent="0.25">
      <c r="A1393" s="661"/>
      <c r="B1393" s="73"/>
      <c r="C1393" s="73" t="s">
        <v>1481</v>
      </c>
      <c r="D1393" s="73"/>
      <c r="E1393" s="73"/>
      <c r="F1393" s="73"/>
      <c r="G1393" s="74" t="s">
        <v>3</v>
      </c>
      <c r="H1393" s="153">
        <v>0.04</v>
      </c>
      <c r="I1393" s="72"/>
      <c r="J1393" t="s">
        <v>8799</v>
      </c>
      <c r="K1393" s="658"/>
    </row>
    <row r="1394" spans="1:11" customFormat="1" x14ac:dyDescent="0.25">
      <c r="A1394" s="661"/>
      <c r="B1394" s="73"/>
      <c r="C1394" s="73"/>
      <c r="D1394" s="73"/>
      <c r="E1394" s="73"/>
      <c r="F1394" s="73"/>
      <c r="G1394" s="74"/>
      <c r="H1394" s="153"/>
      <c r="I1394" s="72"/>
      <c r="K1394" s="658"/>
    </row>
    <row r="1395" spans="1:11" customFormat="1" x14ac:dyDescent="0.25">
      <c r="A1395" s="678"/>
      <c r="B1395" s="75" t="s">
        <v>8798</v>
      </c>
      <c r="C1395" s="73"/>
      <c r="D1395" s="73"/>
      <c r="E1395" s="73"/>
      <c r="F1395" s="73"/>
      <c r="G1395" s="74"/>
      <c r="H1395" s="153"/>
      <c r="I1395" s="72"/>
      <c r="K1395" s="658"/>
    </row>
    <row r="1396" spans="1:11" customFormat="1" x14ac:dyDescent="0.25">
      <c r="A1396" s="661"/>
      <c r="B1396" s="73" t="s">
        <v>114</v>
      </c>
      <c r="C1396" s="75"/>
      <c r="D1396" s="73"/>
      <c r="E1396" s="73"/>
      <c r="F1396" s="73"/>
      <c r="G1396" s="74" t="s">
        <v>3</v>
      </c>
      <c r="H1396" s="153">
        <f>H1398</f>
        <v>5.1479999999999991E-2</v>
      </c>
      <c r="I1396" s="72"/>
      <c r="K1396" s="658"/>
    </row>
    <row r="1397" spans="1:11" customFormat="1" x14ac:dyDescent="0.25">
      <c r="A1397" s="661"/>
      <c r="B1397" s="73" t="s">
        <v>164</v>
      </c>
      <c r="C1397" s="75"/>
      <c r="D1397" s="73"/>
      <c r="E1397" s="73"/>
      <c r="F1397" s="73"/>
      <c r="G1397" s="74" t="s">
        <v>3</v>
      </c>
      <c r="H1397" s="153">
        <f>0.3*H1396</f>
        <v>1.5443999999999996E-2</v>
      </c>
      <c r="I1397" s="72"/>
      <c r="K1397" s="658"/>
    </row>
    <row r="1398" spans="1:11" customFormat="1" x14ac:dyDescent="0.25">
      <c r="A1398" s="661"/>
      <c r="B1398" s="73" t="s">
        <v>401</v>
      </c>
      <c r="C1398" s="75"/>
      <c r="D1398" s="73"/>
      <c r="E1398" s="73"/>
      <c r="F1398" s="73"/>
      <c r="G1398" s="74" t="s">
        <v>3</v>
      </c>
      <c r="H1398" s="153">
        <f>1.95*0.011*2*1.2</f>
        <v>5.1479999999999991E-2</v>
      </c>
      <c r="I1398" s="72"/>
      <c r="K1398" s="658"/>
    </row>
    <row r="1399" spans="1:11" customFormat="1" x14ac:dyDescent="0.25">
      <c r="A1399" s="661"/>
      <c r="B1399" s="73" t="s">
        <v>12</v>
      </c>
      <c r="C1399" s="73"/>
      <c r="D1399" s="73"/>
      <c r="E1399" s="73"/>
      <c r="F1399" s="73"/>
      <c r="G1399" s="74" t="s">
        <v>3</v>
      </c>
      <c r="H1399" s="153">
        <f>0.3*H1398</f>
        <v>1.5443999999999996E-2</v>
      </c>
      <c r="I1399" s="72"/>
      <c r="K1399" s="658"/>
    </row>
    <row r="1400" spans="1:11" customFormat="1" x14ac:dyDescent="0.25">
      <c r="A1400" s="661"/>
      <c r="B1400" s="73"/>
      <c r="C1400" s="75" t="s">
        <v>8797</v>
      </c>
      <c r="D1400" s="73"/>
      <c r="E1400" s="73"/>
      <c r="F1400" s="73"/>
      <c r="G1400" s="74"/>
      <c r="H1400" s="153"/>
      <c r="I1400" s="72"/>
      <c r="K1400" s="658"/>
    </row>
    <row r="1401" spans="1:11" customFormat="1" x14ac:dyDescent="0.25">
      <c r="A1401" s="661"/>
      <c r="B1401" s="73"/>
      <c r="C1401" s="73" t="s">
        <v>1481</v>
      </c>
      <c r="D1401" s="73"/>
      <c r="E1401" s="73"/>
      <c r="F1401" s="73"/>
      <c r="G1401" s="74" t="s">
        <v>3</v>
      </c>
      <c r="H1401" s="153">
        <v>0.67500000000000004</v>
      </c>
      <c r="I1401" s="72"/>
      <c r="J1401" t="s">
        <v>8796</v>
      </c>
      <c r="K1401" s="658"/>
    </row>
    <row r="1402" spans="1:11" customFormat="1" x14ac:dyDescent="0.25">
      <c r="A1402" s="661"/>
      <c r="B1402" s="73"/>
      <c r="C1402" s="73"/>
      <c r="D1402" s="73"/>
      <c r="E1402" s="73"/>
      <c r="F1402" s="73"/>
      <c r="G1402" s="74"/>
      <c r="H1402" s="153"/>
      <c r="I1402" s="72"/>
      <c r="K1402" s="658"/>
    </row>
    <row r="1403" spans="1:11" customFormat="1" x14ac:dyDescent="0.25">
      <c r="A1403" s="678"/>
      <c r="B1403" s="75" t="s">
        <v>8795</v>
      </c>
      <c r="C1403" s="73"/>
      <c r="D1403" s="73"/>
      <c r="E1403" s="73"/>
      <c r="F1403" s="73"/>
      <c r="G1403" s="74"/>
      <c r="H1403" s="153"/>
      <c r="I1403" s="72"/>
      <c r="K1403" s="658"/>
    </row>
    <row r="1404" spans="1:11" customFormat="1" x14ac:dyDescent="0.25">
      <c r="A1404" s="661"/>
      <c r="B1404" s="73" t="s">
        <v>114</v>
      </c>
      <c r="C1404" s="75"/>
      <c r="D1404" s="73"/>
      <c r="E1404" s="73"/>
      <c r="F1404" s="73"/>
      <c r="G1404" s="74" t="s">
        <v>3</v>
      </c>
      <c r="H1404" s="153">
        <f>H1406</f>
        <v>3.5639999999999998E-2</v>
      </c>
      <c r="I1404" s="72"/>
      <c r="K1404" s="658"/>
    </row>
    <row r="1405" spans="1:11" customFormat="1" x14ac:dyDescent="0.25">
      <c r="A1405" s="661"/>
      <c r="B1405" s="73" t="s">
        <v>164</v>
      </c>
      <c r="C1405" s="75"/>
      <c r="D1405" s="73"/>
      <c r="E1405" s="73"/>
      <c r="F1405" s="73"/>
      <c r="G1405" s="74" t="s">
        <v>3</v>
      </c>
      <c r="H1405" s="153">
        <f>0.3*H1404</f>
        <v>1.0691999999999998E-2</v>
      </c>
      <c r="I1405" s="72"/>
      <c r="K1405" s="658"/>
    </row>
    <row r="1406" spans="1:11" customFormat="1" x14ac:dyDescent="0.25">
      <c r="A1406" s="661"/>
      <c r="B1406" s="73" t="s">
        <v>401</v>
      </c>
      <c r="C1406" s="75"/>
      <c r="D1406" s="73"/>
      <c r="E1406" s="73"/>
      <c r="F1406" s="73"/>
      <c r="G1406" s="74" t="s">
        <v>3</v>
      </c>
      <c r="H1406" s="153">
        <f>1.35*0.011*2*1.2</f>
        <v>3.5639999999999998E-2</v>
      </c>
      <c r="I1406" s="72"/>
      <c r="K1406" s="658"/>
    </row>
    <row r="1407" spans="1:11" customFormat="1" x14ac:dyDescent="0.25">
      <c r="A1407" s="661"/>
      <c r="B1407" s="73" t="s">
        <v>12</v>
      </c>
      <c r="C1407" s="73"/>
      <c r="D1407" s="73"/>
      <c r="E1407" s="73"/>
      <c r="F1407" s="73"/>
      <c r="G1407" s="74" t="s">
        <v>3</v>
      </c>
      <c r="H1407" s="153">
        <f>0.3*H1406</f>
        <v>1.0691999999999998E-2</v>
      </c>
      <c r="I1407" s="72"/>
      <c r="K1407" s="658"/>
    </row>
    <row r="1408" spans="1:11" customFormat="1" x14ac:dyDescent="0.25">
      <c r="A1408" s="661"/>
      <c r="B1408" s="73"/>
      <c r="C1408" s="75" t="s">
        <v>8794</v>
      </c>
      <c r="D1408" s="73"/>
      <c r="E1408" s="73"/>
      <c r="F1408" s="73"/>
      <c r="G1408" s="74"/>
      <c r="H1408" s="153"/>
      <c r="I1408" s="72"/>
      <c r="K1408" s="658"/>
    </row>
    <row r="1409" spans="1:11" customFormat="1" x14ac:dyDescent="0.25">
      <c r="A1409" s="661"/>
      <c r="B1409" s="73"/>
      <c r="C1409" s="73" t="s">
        <v>1481</v>
      </c>
      <c r="D1409" s="73"/>
      <c r="E1409" s="73"/>
      <c r="F1409" s="73"/>
      <c r="G1409" s="74" t="s">
        <v>3</v>
      </c>
      <c r="H1409" s="153">
        <v>0.46500000000000002</v>
      </c>
      <c r="I1409" s="72"/>
      <c r="J1409" t="s">
        <v>8793</v>
      </c>
      <c r="K1409" s="658"/>
    </row>
    <row r="1410" spans="1:11" customFormat="1" x14ac:dyDescent="0.25">
      <c r="A1410" s="661"/>
      <c r="B1410" s="73"/>
      <c r="C1410" s="73"/>
      <c r="D1410" s="73"/>
      <c r="E1410" s="73"/>
      <c r="F1410" s="73"/>
      <c r="G1410" s="74"/>
      <c r="H1410" s="153"/>
      <c r="I1410" s="72"/>
      <c r="K1410" s="658"/>
    </row>
    <row r="1411" spans="1:11" customFormat="1" x14ac:dyDescent="0.25">
      <c r="A1411" s="683"/>
      <c r="B1411" s="75" t="s">
        <v>8792</v>
      </c>
      <c r="C1411" s="73"/>
      <c r="D1411" s="73"/>
      <c r="E1411" s="73"/>
      <c r="F1411" s="73"/>
      <c r="G1411" s="106"/>
      <c r="H1411" s="427"/>
      <c r="I1411" s="80"/>
      <c r="J1411" s="8"/>
      <c r="K1411" s="674"/>
    </row>
    <row r="1412" spans="1:11" customFormat="1" x14ac:dyDescent="0.25">
      <c r="A1412" s="661"/>
      <c r="B1412" s="73"/>
      <c r="C1412" s="75" t="s">
        <v>8791</v>
      </c>
      <c r="D1412" s="73"/>
      <c r="E1412" s="73"/>
      <c r="F1412" s="73"/>
      <c r="G1412" s="74"/>
      <c r="H1412" s="153"/>
      <c r="I1412" s="72"/>
      <c r="K1412" s="658"/>
    </row>
    <row r="1413" spans="1:11" customFormat="1" x14ac:dyDescent="0.25">
      <c r="A1413" s="661"/>
      <c r="B1413" s="73"/>
      <c r="C1413" s="73" t="s">
        <v>1481</v>
      </c>
      <c r="D1413" s="73"/>
      <c r="E1413" s="73"/>
      <c r="F1413" s="73"/>
      <c r="G1413" s="74" t="s">
        <v>3</v>
      </c>
      <c r="H1413" s="153">
        <v>3.2000000000000001E-2</v>
      </c>
      <c r="I1413" s="72"/>
      <c r="J1413" t="s">
        <v>7912</v>
      </c>
      <c r="K1413" s="658"/>
    </row>
    <row r="1414" spans="1:11" customFormat="1" x14ac:dyDescent="0.25">
      <c r="A1414" s="661"/>
      <c r="B1414" s="73"/>
      <c r="C1414" s="73"/>
      <c r="D1414" s="73"/>
      <c r="E1414" s="73"/>
      <c r="F1414" s="73"/>
      <c r="G1414" s="74"/>
      <c r="H1414" s="153"/>
      <c r="I1414" s="72"/>
      <c r="K1414" s="658"/>
    </row>
    <row r="1415" spans="1:11" customFormat="1" x14ac:dyDescent="0.25">
      <c r="A1415" s="678"/>
      <c r="B1415" s="75" t="s">
        <v>8790</v>
      </c>
      <c r="C1415" s="73"/>
      <c r="D1415" s="73"/>
      <c r="E1415" s="73"/>
      <c r="F1415" s="73"/>
      <c r="G1415" s="106"/>
      <c r="H1415" s="427"/>
      <c r="I1415" s="80"/>
      <c r="J1415" s="8"/>
      <c r="K1415" s="658"/>
    </row>
    <row r="1416" spans="1:11" customFormat="1" x14ac:dyDescent="0.25">
      <c r="A1416" s="661"/>
      <c r="B1416" s="77" t="s">
        <v>124</v>
      </c>
      <c r="C1416" s="73"/>
      <c r="D1416" s="73"/>
      <c r="E1416" s="73"/>
      <c r="F1416" s="73"/>
      <c r="G1416" s="74" t="s">
        <v>3</v>
      </c>
      <c r="H1416" s="153">
        <f>0.014*3.14*2*0.08*1.2</f>
        <v>8.4403200000000012E-3</v>
      </c>
      <c r="I1416" s="72"/>
      <c r="K1416" s="658"/>
    </row>
    <row r="1417" spans="1:11" customFormat="1" ht="17.25" x14ac:dyDescent="0.25">
      <c r="A1417" s="661"/>
      <c r="B1417" s="77" t="s">
        <v>168</v>
      </c>
      <c r="C1417" s="73"/>
      <c r="D1417" s="73"/>
      <c r="E1417" s="73"/>
      <c r="F1417" s="73"/>
      <c r="G1417" s="74" t="s">
        <v>596</v>
      </c>
      <c r="H1417" s="153">
        <f>H1416*1.09</f>
        <v>9.1999488000000015E-3</v>
      </c>
      <c r="I1417" s="72"/>
      <c r="K1417" s="658"/>
    </row>
    <row r="1418" spans="1:11" customFormat="1" x14ac:dyDescent="0.25">
      <c r="A1418" s="661"/>
      <c r="B1418" s="77" t="s">
        <v>114</v>
      </c>
      <c r="C1418" s="77"/>
      <c r="D1418" s="77"/>
      <c r="E1418" s="73"/>
      <c r="F1418" s="73"/>
      <c r="G1418" s="74" t="s">
        <v>3</v>
      </c>
      <c r="H1418" s="153">
        <f>H1420*0.9</f>
        <v>1.3068E-2</v>
      </c>
      <c r="I1418" s="72"/>
      <c r="K1418" s="658"/>
    </row>
    <row r="1419" spans="1:11" customFormat="1" x14ac:dyDescent="0.25">
      <c r="A1419" s="661"/>
      <c r="B1419" s="77" t="s">
        <v>164</v>
      </c>
      <c r="C1419" s="77"/>
      <c r="D1419" s="77"/>
      <c r="E1419" s="73"/>
      <c r="F1419" s="73"/>
      <c r="G1419" s="74" t="s">
        <v>3</v>
      </c>
      <c r="H1419" s="153">
        <f>0.3*H1418</f>
        <v>3.9204000000000001E-3</v>
      </c>
      <c r="I1419" s="72"/>
      <c r="K1419" s="658"/>
    </row>
    <row r="1420" spans="1:11" customFormat="1" x14ac:dyDescent="0.25">
      <c r="A1420" s="661"/>
      <c r="B1420" s="77" t="s">
        <v>115</v>
      </c>
      <c r="C1420" s="77"/>
      <c r="D1420" s="77"/>
      <c r="E1420" s="73"/>
      <c r="F1420" s="73"/>
      <c r="G1420" s="74" t="s">
        <v>3</v>
      </c>
      <c r="H1420" s="153">
        <f>0.6*0.011*2*1.1</f>
        <v>1.452E-2</v>
      </c>
      <c r="I1420" s="72"/>
      <c r="K1420" s="658"/>
    </row>
    <row r="1421" spans="1:11" customFormat="1" x14ac:dyDescent="0.25">
      <c r="A1421" s="661"/>
      <c r="B1421" s="77" t="s">
        <v>12</v>
      </c>
      <c r="C1421" s="77"/>
      <c r="D1421" s="77"/>
      <c r="E1421" s="73"/>
      <c r="F1421" s="73"/>
      <c r="G1421" s="74" t="s">
        <v>3</v>
      </c>
      <c r="H1421" s="153">
        <f>0.3*H1420</f>
        <v>4.3559999999999996E-3</v>
      </c>
      <c r="I1421" s="72"/>
      <c r="K1421" s="658"/>
    </row>
    <row r="1422" spans="1:11" customFormat="1" x14ac:dyDescent="0.25">
      <c r="A1422" s="661"/>
      <c r="B1422" s="73"/>
      <c r="C1422" s="75" t="s">
        <v>8789</v>
      </c>
      <c r="D1422" s="73"/>
      <c r="E1422" s="73"/>
      <c r="F1422" s="73"/>
      <c r="G1422" s="74"/>
      <c r="H1422" s="153"/>
      <c r="I1422" s="72"/>
      <c r="K1422" s="658"/>
    </row>
    <row r="1423" spans="1:11" customFormat="1" x14ac:dyDescent="0.25">
      <c r="A1423" s="661"/>
      <c r="B1423" s="73"/>
      <c r="C1423" s="73" t="s">
        <v>1481</v>
      </c>
      <c r="D1423" s="73"/>
      <c r="E1423" s="73"/>
      <c r="F1423" s="73"/>
      <c r="G1423" s="74" t="s">
        <v>3</v>
      </c>
      <c r="H1423" s="153">
        <v>8.5000000000000006E-2</v>
      </c>
      <c r="I1423" s="72"/>
      <c r="J1423" t="s">
        <v>8788</v>
      </c>
      <c r="K1423" s="658"/>
    </row>
    <row r="1424" spans="1:11" customFormat="1" x14ac:dyDescent="0.25">
      <c r="A1424" s="661"/>
      <c r="B1424" s="73"/>
      <c r="C1424" s="75" t="s">
        <v>8787</v>
      </c>
      <c r="D1424" s="73"/>
      <c r="E1424" s="73"/>
      <c r="F1424" s="73"/>
      <c r="G1424" s="74"/>
      <c r="H1424" s="153"/>
      <c r="I1424" s="72"/>
      <c r="K1424" s="658"/>
    </row>
    <row r="1425" spans="1:11" customFormat="1" x14ac:dyDescent="0.25">
      <c r="A1425" s="661"/>
      <c r="B1425" s="73"/>
      <c r="C1425" s="73" t="s">
        <v>1481</v>
      </c>
      <c r="D1425" s="73"/>
      <c r="E1425" s="73"/>
      <c r="F1425" s="73"/>
      <c r="G1425" s="74" t="s">
        <v>3</v>
      </c>
      <c r="H1425" s="153">
        <v>0.13500000000000001</v>
      </c>
      <c r="I1425" s="72"/>
      <c r="J1425" t="s">
        <v>8786</v>
      </c>
      <c r="K1425" s="658"/>
    </row>
    <row r="1426" spans="1:11" customFormat="1" x14ac:dyDescent="0.25">
      <c r="A1426" s="661"/>
      <c r="B1426" s="73"/>
      <c r="C1426" s="73"/>
      <c r="D1426" s="73"/>
      <c r="E1426" s="73"/>
      <c r="F1426" s="73"/>
      <c r="G1426" s="74"/>
      <c r="H1426" s="153"/>
      <c r="I1426" s="72"/>
      <c r="K1426" s="658"/>
    </row>
    <row r="1427" spans="1:11" customFormat="1" x14ac:dyDescent="0.25">
      <c r="A1427" s="678"/>
      <c r="B1427" s="75" t="s">
        <v>8785</v>
      </c>
      <c r="C1427" s="73"/>
      <c r="D1427" s="73"/>
      <c r="E1427" s="73"/>
      <c r="F1427" s="73"/>
      <c r="G1427" s="74"/>
      <c r="H1427" s="153"/>
      <c r="I1427" s="72"/>
      <c r="K1427" s="658"/>
    </row>
    <row r="1428" spans="1:11" customFormat="1" x14ac:dyDescent="0.25">
      <c r="A1428" s="661"/>
      <c r="B1428" s="77" t="s">
        <v>114</v>
      </c>
      <c r="C1428" s="77"/>
      <c r="D1428" s="77"/>
      <c r="E1428" s="73"/>
      <c r="F1428" s="73"/>
      <c r="G1428" s="74" t="s">
        <v>3</v>
      </c>
      <c r="H1428" s="153">
        <f>H1430*0.9</f>
        <v>4.0055399999999991E-2</v>
      </c>
      <c r="I1428" s="72"/>
      <c r="K1428" s="658"/>
    </row>
    <row r="1429" spans="1:11" customFormat="1" x14ac:dyDescent="0.25">
      <c r="A1429" s="661"/>
      <c r="B1429" s="77" t="s">
        <v>164</v>
      </c>
      <c r="C1429" s="77"/>
      <c r="D1429" s="77"/>
      <c r="E1429" s="73"/>
      <c r="F1429" s="73"/>
      <c r="G1429" s="74" t="s">
        <v>3</v>
      </c>
      <c r="H1429" s="153">
        <f>0.3*H1428</f>
        <v>1.2016619999999997E-2</v>
      </c>
      <c r="I1429" s="72"/>
      <c r="K1429" s="658"/>
    </row>
    <row r="1430" spans="1:11" customFormat="1" x14ac:dyDescent="0.25">
      <c r="A1430" s="661"/>
      <c r="B1430" s="77" t="s">
        <v>115</v>
      </c>
      <c r="C1430" s="77"/>
      <c r="D1430" s="77"/>
      <c r="E1430" s="73"/>
      <c r="F1430" s="73"/>
      <c r="G1430" s="74" t="s">
        <v>3</v>
      </c>
      <c r="H1430" s="153">
        <f>1.7*0.011*2*1.19</f>
        <v>4.450599999999999E-2</v>
      </c>
      <c r="I1430" s="72"/>
      <c r="K1430" s="658"/>
    </row>
    <row r="1431" spans="1:11" customFormat="1" x14ac:dyDescent="0.25">
      <c r="A1431" s="661"/>
      <c r="B1431" s="77" t="s">
        <v>12</v>
      </c>
      <c r="C1431" s="77"/>
      <c r="D1431" s="77"/>
      <c r="E1431" s="73"/>
      <c r="F1431" s="73"/>
      <c r="G1431" s="74" t="s">
        <v>3</v>
      </c>
      <c r="H1431" s="153">
        <f>0.3*H1430</f>
        <v>1.3351799999999997E-2</v>
      </c>
      <c r="I1431" s="72"/>
      <c r="K1431" s="658"/>
    </row>
    <row r="1432" spans="1:11" customFormat="1" x14ac:dyDescent="0.25">
      <c r="A1432" s="661"/>
      <c r="B1432" s="73"/>
      <c r="C1432" s="75" t="s">
        <v>8784</v>
      </c>
      <c r="D1432" s="73"/>
      <c r="E1432" s="73"/>
      <c r="F1432" s="73"/>
      <c r="G1432" s="74"/>
      <c r="H1432" s="153"/>
      <c r="I1432" s="72"/>
      <c r="K1432" s="658"/>
    </row>
    <row r="1433" spans="1:11" customFormat="1" x14ac:dyDescent="0.25">
      <c r="A1433" s="661"/>
      <c r="B1433" s="73"/>
      <c r="C1433" s="73" t="s">
        <v>2405</v>
      </c>
      <c r="D1433" s="73"/>
      <c r="E1433" s="73"/>
      <c r="F1433" s="73"/>
      <c r="G1433" s="74" t="s">
        <v>3</v>
      </c>
      <c r="H1433" s="153">
        <v>0.315</v>
      </c>
      <c r="I1433" s="72"/>
      <c r="J1433" t="s">
        <v>8783</v>
      </c>
      <c r="K1433" s="658"/>
    </row>
    <row r="1434" spans="1:11" customFormat="1" x14ac:dyDescent="0.25">
      <c r="A1434" s="661"/>
      <c r="B1434" s="73"/>
      <c r="C1434" s="73"/>
      <c r="D1434" s="73"/>
      <c r="E1434" s="73"/>
      <c r="F1434" s="73"/>
      <c r="G1434" s="74"/>
      <c r="H1434" s="153"/>
      <c r="I1434" s="72"/>
      <c r="K1434" s="658"/>
    </row>
    <row r="1435" spans="1:11" customFormat="1" x14ac:dyDescent="0.25">
      <c r="A1435" s="678"/>
      <c r="B1435" s="75" t="s">
        <v>8782</v>
      </c>
      <c r="C1435" s="73"/>
      <c r="D1435" s="73"/>
      <c r="E1435" s="73"/>
      <c r="F1435" s="73"/>
      <c r="G1435" s="74"/>
      <c r="H1435" s="153"/>
      <c r="I1435" s="72"/>
      <c r="K1435" s="658"/>
    </row>
    <row r="1436" spans="1:11" customFormat="1" x14ac:dyDescent="0.25">
      <c r="A1436" s="661"/>
      <c r="B1436" s="73" t="s">
        <v>114</v>
      </c>
      <c r="C1436" s="75"/>
      <c r="D1436" s="73"/>
      <c r="E1436" s="73"/>
      <c r="F1436" s="73"/>
      <c r="G1436" s="74" t="s">
        <v>3</v>
      </c>
      <c r="H1436" s="153">
        <f>H1438</f>
        <v>3.5903999999999998E-2</v>
      </c>
      <c r="I1436" s="72"/>
      <c r="K1436" s="658"/>
    </row>
    <row r="1437" spans="1:11" customFormat="1" x14ac:dyDescent="0.25">
      <c r="A1437" s="661"/>
      <c r="B1437" s="73" t="s">
        <v>164</v>
      </c>
      <c r="C1437" s="75"/>
      <c r="D1437" s="73"/>
      <c r="E1437" s="73"/>
      <c r="F1437" s="73"/>
      <c r="G1437" s="74" t="s">
        <v>3</v>
      </c>
      <c r="H1437" s="153">
        <f>0.3*H1436</f>
        <v>1.07712E-2</v>
      </c>
      <c r="I1437" s="72"/>
      <c r="K1437" s="658"/>
    </row>
    <row r="1438" spans="1:11" customFormat="1" x14ac:dyDescent="0.25">
      <c r="A1438" s="661"/>
      <c r="B1438" s="73" t="s">
        <v>401</v>
      </c>
      <c r="C1438" s="75"/>
      <c r="D1438" s="73"/>
      <c r="E1438" s="73"/>
      <c r="F1438" s="73"/>
      <c r="G1438" s="74" t="s">
        <v>3</v>
      </c>
      <c r="H1438" s="153">
        <f>1.36*0.011*2*1.2</f>
        <v>3.5903999999999998E-2</v>
      </c>
      <c r="I1438" s="72"/>
      <c r="K1438" s="658"/>
    </row>
    <row r="1439" spans="1:11" customFormat="1" x14ac:dyDescent="0.25">
      <c r="A1439" s="661"/>
      <c r="B1439" s="73" t="s">
        <v>12</v>
      </c>
      <c r="C1439" s="73"/>
      <c r="D1439" s="73"/>
      <c r="E1439" s="73"/>
      <c r="F1439" s="73"/>
      <c r="G1439" s="74" t="s">
        <v>3</v>
      </c>
      <c r="H1439" s="153">
        <f>0.3*H1438</f>
        <v>1.07712E-2</v>
      </c>
      <c r="I1439" s="72"/>
      <c r="K1439" s="658"/>
    </row>
    <row r="1440" spans="1:11" customFormat="1" x14ac:dyDescent="0.25">
      <c r="A1440" s="661"/>
      <c r="B1440" s="73"/>
      <c r="C1440" s="75" t="s">
        <v>8781</v>
      </c>
      <c r="D1440" s="73"/>
      <c r="E1440" s="73"/>
      <c r="F1440" s="73"/>
      <c r="G1440" s="74"/>
      <c r="H1440" s="153"/>
      <c r="I1440" s="72"/>
      <c r="K1440" s="658"/>
    </row>
    <row r="1441" spans="1:11" customFormat="1" x14ac:dyDescent="0.25">
      <c r="A1441" s="661"/>
      <c r="B1441" s="73"/>
      <c r="C1441" s="73" t="s">
        <v>2405</v>
      </c>
      <c r="D1441" s="73"/>
      <c r="E1441" s="73"/>
      <c r="F1441" s="73"/>
      <c r="G1441" s="74" t="s">
        <v>3</v>
      </c>
      <c r="H1441" s="153">
        <v>0.26</v>
      </c>
      <c r="I1441" s="72"/>
      <c r="J1441" t="s">
        <v>8780</v>
      </c>
      <c r="K1441" s="658"/>
    </row>
    <row r="1442" spans="1:11" customFormat="1" x14ac:dyDescent="0.25">
      <c r="A1442" s="661"/>
      <c r="B1442" s="73"/>
      <c r="C1442" s="73"/>
      <c r="D1442" s="73"/>
      <c r="E1442" s="73"/>
      <c r="F1442" s="73"/>
      <c r="G1442" s="74"/>
      <c r="H1442" s="153"/>
      <c r="I1442" s="72"/>
      <c r="K1442" s="658"/>
    </row>
    <row r="1443" spans="1:11" customFormat="1" x14ac:dyDescent="0.25">
      <c r="A1443" s="678"/>
      <c r="B1443" s="75" t="s">
        <v>8779</v>
      </c>
      <c r="C1443" s="73"/>
      <c r="D1443" s="73"/>
      <c r="E1443" s="73"/>
      <c r="F1443" s="73"/>
      <c r="G1443" s="74"/>
      <c r="H1443" s="153"/>
      <c r="I1443" s="72"/>
      <c r="K1443" s="658"/>
    </row>
    <row r="1444" spans="1:11" customFormat="1" x14ac:dyDescent="0.25">
      <c r="A1444" s="661"/>
      <c r="B1444" s="73" t="s">
        <v>114</v>
      </c>
      <c r="C1444" s="75"/>
      <c r="D1444" s="73"/>
      <c r="E1444" s="73"/>
      <c r="F1444" s="73"/>
      <c r="G1444" s="74" t="s">
        <v>3</v>
      </c>
      <c r="H1444" s="153">
        <f>H1446</f>
        <v>9.7910999999999988E-3</v>
      </c>
      <c r="I1444" s="72"/>
      <c r="K1444" s="658"/>
    </row>
    <row r="1445" spans="1:11" customFormat="1" x14ac:dyDescent="0.25">
      <c r="A1445" s="661"/>
      <c r="B1445" s="73" t="s">
        <v>164</v>
      </c>
      <c r="C1445" s="75"/>
      <c r="D1445" s="73"/>
      <c r="E1445" s="73"/>
      <c r="F1445" s="73"/>
      <c r="G1445" s="74" t="s">
        <v>3</v>
      </c>
      <c r="H1445" s="153">
        <f>0.3*H1444</f>
        <v>2.9373299999999997E-3</v>
      </c>
      <c r="I1445" s="72"/>
      <c r="K1445" s="658"/>
    </row>
    <row r="1446" spans="1:11" customFormat="1" x14ac:dyDescent="0.25">
      <c r="A1446" s="661"/>
      <c r="B1446" s="73" t="s">
        <v>401</v>
      </c>
      <c r="C1446" s="75"/>
      <c r="D1446" s="73"/>
      <c r="E1446" s="73"/>
      <c r="F1446" s="73"/>
      <c r="G1446" s="74" t="s">
        <v>3</v>
      </c>
      <c r="H1446" s="153">
        <f>0.345*0.011*2*1.29</f>
        <v>9.7910999999999988E-3</v>
      </c>
      <c r="I1446" s="72"/>
      <c r="K1446" s="658"/>
    </row>
    <row r="1447" spans="1:11" customFormat="1" x14ac:dyDescent="0.25">
      <c r="A1447" s="661"/>
      <c r="B1447" s="73" t="s">
        <v>12</v>
      </c>
      <c r="C1447" s="73"/>
      <c r="D1447" s="73"/>
      <c r="E1447" s="73"/>
      <c r="F1447" s="73"/>
      <c r="G1447" s="74" t="s">
        <v>3</v>
      </c>
      <c r="H1447" s="153">
        <f>0.3*H1446</f>
        <v>2.9373299999999997E-3</v>
      </c>
      <c r="I1447" s="72"/>
      <c r="K1447" s="658"/>
    </row>
    <row r="1448" spans="1:11" customFormat="1" x14ac:dyDescent="0.25">
      <c r="A1448" s="661"/>
      <c r="B1448" s="73"/>
      <c r="C1448" s="75" t="s">
        <v>8778</v>
      </c>
      <c r="D1448" s="73"/>
      <c r="E1448" s="73"/>
      <c r="F1448" s="73"/>
      <c r="G1448" s="74"/>
      <c r="H1448" s="153"/>
      <c r="I1448" s="72"/>
      <c r="K1448" s="658"/>
    </row>
    <row r="1449" spans="1:11" customFormat="1" x14ac:dyDescent="0.25">
      <c r="A1449" s="661"/>
      <c r="B1449" s="73"/>
      <c r="C1449" s="73" t="s">
        <v>2405</v>
      </c>
      <c r="D1449" s="73"/>
      <c r="E1449" s="73"/>
      <c r="F1449" s="73"/>
      <c r="G1449" s="74" t="s">
        <v>3</v>
      </c>
      <c r="H1449" s="153">
        <v>7.0000000000000007E-2</v>
      </c>
      <c r="I1449" s="72"/>
      <c r="J1449" t="s">
        <v>8777</v>
      </c>
      <c r="K1449" s="658"/>
    </row>
    <row r="1450" spans="1:11" customFormat="1" x14ac:dyDescent="0.25">
      <c r="A1450" s="661"/>
      <c r="B1450" s="73"/>
      <c r="C1450" s="73"/>
      <c r="D1450" s="73"/>
      <c r="E1450" s="73"/>
      <c r="F1450" s="73"/>
      <c r="G1450" s="74"/>
      <c r="H1450" s="153"/>
      <c r="I1450" s="72"/>
      <c r="K1450" s="658"/>
    </row>
    <row r="1451" spans="1:11" customFormat="1" x14ac:dyDescent="0.25">
      <c r="A1451" s="678"/>
      <c r="B1451" s="75" t="s">
        <v>8776</v>
      </c>
      <c r="C1451" s="73"/>
      <c r="D1451" s="73"/>
      <c r="E1451" s="73"/>
      <c r="F1451" s="73"/>
      <c r="G1451" s="74"/>
      <c r="H1451" s="153"/>
      <c r="I1451" s="72"/>
      <c r="K1451" s="658"/>
    </row>
    <row r="1452" spans="1:11" customFormat="1" x14ac:dyDescent="0.25">
      <c r="A1452" s="661"/>
      <c r="B1452" s="73" t="s">
        <v>114</v>
      </c>
      <c r="C1452" s="75"/>
      <c r="D1452" s="73"/>
      <c r="E1452" s="73"/>
      <c r="F1452" s="73"/>
      <c r="G1452" s="74" t="s">
        <v>3</v>
      </c>
      <c r="H1452" s="153">
        <f>H1454</f>
        <v>5.0093999999999993E-2</v>
      </c>
      <c r="I1452" s="72"/>
      <c r="K1452" s="658"/>
    </row>
    <row r="1453" spans="1:11" customFormat="1" x14ac:dyDescent="0.25">
      <c r="A1453" s="661"/>
      <c r="B1453" s="73" t="s">
        <v>164</v>
      </c>
      <c r="C1453" s="75"/>
      <c r="D1453" s="73"/>
      <c r="E1453" s="73"/>
      <c r="F1453" s="73"/>
      <c r="G1453" s="74" t="s">
        <v>3</v>
      </c>
      <c r="H1453" s="153">
        <f>0.3*H1452</f>
        <v>1.5028199999999997E-2</v>
      </c>
      <c r="I1453" s="72"/>
      <c r="K1453" s="658"/>
    </row>
    <row r="1454" spans="1:11" customFormat="1" x14ac:dyDescent="0.25">
      <c r="A1454" s="661"/>
      <c r="B1454" s="73" t="s">
        <v>401</v>
      </c>
      <c r="C1454" s="75"/>
      <c r="D1454" s="73"/>
      <c r="E1454" s="73"/>
      <c r="F1454" s="73"/>
      <c r="G1454" s="74" t="s">
        <v>3</v>
      </c>
      <c r="H1454" s="153">
        <f>1.98*0.011*2*1.15</f>
        <v>5.0093999999999993E-2</v>
      </c>
      <c r="I1454" s="72"/>
      <c r="K1454" s="658"/>
    </row>
    <row r="1455" spans="1:11" customFormat="1" x14ac:dyDescent="0.25">
      <c r="A1455" s="661"/>
      <c r="B1455" s="73" t="s">
        <v>12</v>
      </c>
      <c r="C1455" s="73"/>
      <c r="D1455" s="73"/>
      <c r="E1455" s="73"/>
      <c r="F1455" s="73"/>
      <c r="G1455" s="74" t="s">
        <v>3</v>
      </c>
      <c r="H1455" s="153">
        <f>0.3*H1454</f>
        <v>1.5028199999999997E-2</v>
      </c>
      <c r="I1455" s="72"/>
      <c r="K1455" s="658"/>
    </row>
    <row r="1456" spans="1:11" customFormat="1" x14ac:dyDescent="0.25">
      <c r="A1456" s="661"/>
      <c r="B1456" s="73"/>
      <c r="C1456" s="75" t="s">
        <v>8775</v>
      </c>
      <c r="D1456" s="73"/>
      <c r="E1456" s="73"/>
      <c r="F1456" s="73"/>
      <c r="G1456" s="74"/>
      <c r="H1456" s="153"/>
      <c r="I1456" s="72"/>
      <c r="K1456" s="658"/>
    </row>
    <row r="1457" spans="1:11" customFormat="1" x14ac:dyDescent="0.25">
      <c r="A1457" s="661"/>
      <c r="B1457" s="73"/>
      <c r="C1457" s="73" t="s">
        <v>2405</v>
      </c>
      <c r="D1457" s="73"/>
      <c r="E1457" s="73"/>
      <c r="F1457" s="73"/>
      <c r="G1457" s="74" t="s">
        <v>3</v>
      </c>
      <c r="H1457" s="153">
        <f>0.341*1.1</f>
        <v>0.37510000000000004</v>
      </c>
      <c r="I1457" s="72"/>
      <c r="J1457" t="s">
        <v>8774</v>
      </c>
      <c r="K1457" s="658"/>
    </row>
    <row r="1458" spans="1:11" customFormat="1" x14ac:dyDescent="0.25">
      <c r="A1458" s="661"/>
      <c r="B1458" s="73"/>
      <c r="C1458" s="73"/>
      <c r="D1458" s="73"/>
      <c r="E1458" s="73"/>
      <c r="F1458" s="73"/>
      <c r="G1458" s="74"/>
      <c r="H1458" s="153"/>
      <c r="I1458" s="72"/>
      <c r="K1458" s="658"/>
    </row>
    <row r="1459" spans="1:11" customFormat="1" x14ac:dyDescent="0.25">
      <c r="A1459" s="678"/>
      <c r="B1459" s="75" t="s">
        <v>8773</v>
      </c>
      <c r="C1459" s="73"/>
      <c r="D1459" s="73"/>
      <c r="E1459" s="73"/>
      <c r="F1459" s="73"/>
      <c r="G1459" s="74"/>
      <c r="H1459" s="153"/>
      <c r="I1459" s="72"/>
      <c r="K1459" s="658"/>
    </row>
    <row r="1460" spans="1:11" customFormat="1" x14ac:dyDescent="0.25">
      <c r="A1460" s="661"/>
      <c r="B1460" s="73" t="s">
        <v>114</v>
      </c>
      <c r="C1460" s="75"/>
      <c r="D1460" s="73"/>
      <c r="E1460" s="73"/>
      <c r="F1460" s="73"/>
      <c r="G1460" s="74" t="s">
        <v>3</v>
      </c>
      <c r="H1460" s="153">
        <f>H1462</f>
        <v>6.2919999999999998E-3</v>
      </c>
      <c r="I1460" s="72"/>
      <c r="K1460" s="658"/>
    </row>
    <row r="1461" spans="1:11" customFormat="1" x14ac:dyDescent="0.25">
      <c r="A1461" s="661"/>
      <c r="B1461" s="73" t="s">
        <v>164</v>
      </c>
      <c r="C1461" s="75"/>
      <c r="D1461" s="73"/>
      <c r="E1461" s="73"/>
      <c r="F1461" s="73"/>
      <c r="G1461" s="74" t="s">
        <v>3</v>
      </c>
      <c r="H1461" s="153">
        <f>0.3*H1460</f>
        <v>1.8875999999999999E-3</v>
      </c>
      <c r="I1461" s="72"/>
      <c r="K1461" s="658"/>
    </row>
    <row r="1462" spans="1:11" customFormat="1" x14ac:dyDescent="0.25">
      <c r="A1462" s="661"/>
      <c r="B1462" s="73" t="s">
        <v>401</v>
      </c>
      <c r="C1462" s="75"/>
      <c r="D1462" s="73"/>
      <c r="E1462" s="73"/>
      <c r="F1462" s="73"/>
      <c r="G1462" s="74" t="s">
        <v>3</v>
      </c>
      <c r="H1462" s="153">
        <f>0.22*0.011*2*1.3</f>
        <v>6.2919999999999998E-3</v>
      </c>
      <c r="I1462" s="72"/>
      <c r="K1462" s="658"/>
    </row>
    <row r="1463" spans="1:11" customFormat="1" x14ac:dyDescent="0.25">
      <c r="A1463" s="661"/>
      <c r="B1463" s="73" t="s">
        <v>12</v>
      </c>
      <c r="C1463" s="73"/>
      <c r="D1463" s="73"/>
      <c r="E1463" s="73"/>
      <c r="F1463" s="73"/>
      <c r="G1463" s="74" t="s">
        <v>3</v>
      </c>
      <c r="H1463" s="153">
        <f>0.3*H1462</f>
        <v>1.8875999999999999E-3</v>
      </c>
      <c r="I1463" s="72"/>
      <c r="K1463" s="658"/>
    </row>
    <row r="1464" spans="1:11" customFormat="1" x14ac:dyDescent="0.25">
      <c r="A1464" s="661"/>
      <c r="B1464" s="73"/>
      <c r="C1464" s="75" t="s">
        <v>8772</v>
      </c>
      <c r="D1464" s="73"/>
      <c r="E1464" s="73"/>
      <c r="F1464" s="73"/>
      <c r="G1464" s="74"/>
      <c r="H1464" s="153"/>
      <c r="I1464" s="72"/>
      <c r="K1464" s="658"/>
    </row>
    <row r="1465" spans="1:11" customFormat="1" x14ac:dyDescent="0.25">
      <c r="A1465" s="661"/>
      <c r="B1465" s="73"/>
      <c r="C1465" s="73" t="s">
        <v>2405</v>
      </c>
      <c r="D1465" s="73"/>
      <c r="E1465" s="73"/>
      <c r="F1465" s="73"/>
      <c r="G1465" s="74" t="s">
        <v>3</v>
      </c>
      <c r="H1465" s="153">
        <v>4.4999999999999998E-2</v>
      </c>
      <c r="I1465" s="72"/>
      <c r="J1465" t="s">
        <v>8771</v>
      </c>
      <c r="K1465" s="658"/>
    </row>
    <row r="1466" spans="1:11" customFormat="1" x14ac:dyDescent="0.25">
      <c r="A1466" s="661"/>
      <c r="B1466" s="73"/>
      <c r="C1466" s="73"/>
      <c r="D1466" s="73"/>
      <c r="E1466" s="73"/>
      <c r="F1466" s="73"/>
      <c r="G1466" s="74"/>
      <c r="H1466" s="153"/>
      <c r="I1466" s="72"/>
      <c r="K1466" s="658"/>
    </row>
    <row r="1467" spans="1:11" customFormat="1" x14ac:dyDescent="0.25">
      <c r="A1467" s="678"/>
      <c r="B1467" s="75" t="s">
        <v>8770</v>
      </c>
      <c r="C1467" s="73"/>
      <c r="D1467" s="73"/>
      <c r="E1467" s="73"/>
      <c r="F1467" s="73"/>
      <c r="G1467" s="74"/>
      <c r="H1467" s="153"/>
      <c r="I1467" s="72"/>
      <c r="K1467" s="658"/>
    </row>
    <row r="1468" spans="1:11" customFormat="1" x14ac:dyDescent="0.25">
      <c r="A1468" s="661"/>
      <c r="B1468" s="73" t="s">
        <v>114</v>
      </c>
      <c r="C1468" s="75"/>
      <c r="D1468" s="73"/>
      <c r="E1468" s="73"/>
      <c r="F1468" s="73"/>
      <c r="G1468" s="74" t="s">
        <v>3</v>
      </c>
      <c r="H1468" s="153">
        <f>H1470</f>
        <v>4.862E-3</v>
      </c>
      <c r="I1468" s="72"/>
      <c r="K1468" s="658"/>
    </row>
    <row r="1469" spans="1:11" customFormat="1" x14ac:dyDescent="0.25">
      <c r="A1469" s="661"/>
      <c r="B1469" s="73" t="s">
        <v>164</v>
      </c>
      <c r="C1469" s="75"/>
      <c r="D1469" s="73"/>
      <c r="E1469" s="73"/>
      <c r="F1469" s="73"/>
      <c r="G1469" s="74" t="s">
        <v>3</v>
      </c>
      <c r="H1469" s="153">
        <f>0.3*H1468</f>
        <v>1.4586E-3</v>
      </c>
      <c r="I1469" s="72"/>
      <c r="K1469" s="658"/>
    </row>
    <row r="1470" spans="1:11" customFormat="1" x14ac:dyDescent="0.25">
      <c r="A1470" s="661"/>
      <c r="B1470" s="73" t="s">
        <v>401</v>
      </c>
      <c r="C1470" s="75"/>
      <c r="D1470" s="73"/>
      <c r="E1470" s="73"/>
      <c r="F1470" s="73"/>
      <c r="G1470" s="74" t="s">
        <v>3</v>
      </c>
      <c r="H1470" s="153">
        <f>0.17*0.011*2*1.3</f>
        <v>4.862E-3</v>
      </c>
      <c r="I1470" s="72"/>
      <c r="K1470" s="658"/>
    </row>
    <row r="1471" spans="1:11" customFormat="1" x14ac:dyDescent="0.25">
      <c r="A1471" s="661"/>
      <c r="B1471" s="73" t="s">
        <v>12</v>
      </c>
      <c r="C1471" s="73"/>
      <c r="D1471" s="73"/>
      <c r="E1471" s="73"/>
      <c r="F1471" s="73"/>
      <c r="G1471" s="74" t="s">
        <v>3</v>
      </c>
      <c r="H1471" s="153">
        <f>0.3*H1470</f>
        <v>1.4586E-3</v>
      </c>
      <c r="I1471" s="72"/>
      <c r="K1471" s="658"/>
    </row>
    <row r="1472" spans="1:11" customFormat="1" x14ac:dyDescent="0.25">
      <c r="A1472" s="661"/>
      <c r="B1472" s="73"/>
      <c r="C1472" s="75" t="s">
        <v>8769</v>
      </c>
      <c r="D1472" s="73"/>
      <c r="E1472" s="73"/>
      <c r="F1472" s="73"/>
      <c r="G1472" s="74"/>
      <c r="H1472" s="153"/>
      <c r="I1472" s="72"/>
      <c r="K1472" s="658"/>
    </row>
    <row r="1473" spans="1:11" customFormat="1" x14ac:dyDescent="0.25">
      <c r="A1473" s="661"/>
      <c r="B1473" s="73"/>
      <c r="C1473" s="73" t="s">
        <v>2405</v>
      </c>
      <c r="D1473" s="73"/>
      <c r="E1473" s="73"/>
      <c r="F1473" s="73"/>
      <c r="G1473" s="74" t="s">
        <v>3</v>
      </c>
      <c r="H1473" s="153">
        <v>3.5999999999999997E-2</v>
      </c>
      <c r="I1473" s="72"/>
      <c r="J1473" t="s">
        <v>8768</v>
      </c>
      <c r="K1473" s="658"/>
    </row>
    <row r="1474" spans="1:11" customFormat="1" x14ac:dyDescent="0.25">
      <c r="A1474" s="661"/>
      <c r="B1474" s="73"/>
      <c r="C1474" s="73"/>
      <c r="D1474" s="73"/>
      <c r="E1474" s="73"/>
      <c r="F1474" s="73"/>
      <c r="G1474" s="74"/>
      <c r="H1474" s="153"/>
      <c r="I1474" s="72"/>
      <c r="K1474" s="658"/>
    </row>
    <row r="1475" spans="1:11" customFormat="1" x14ac:dyDescent="0.25">
      <c r="A1475" s="678"/>
      <c r="B1475" s="75" t="s">
        <v>8767</v>
      </c>
      <c r="C1475" s="73"/>
      <c r="D1475" s="73"/>
      <c r="E1475" s="73"/>
      <c r="F1475" s="73"/>
      <c r="G1475" s="74"/>
      <c r="H1475" s="153"/>
      <c r="I1475" s="72"/>
      <c r="K1475" s="658"/>
    </row>
    <row r="1476" spans="1:11" customFormat="1" x14ac:dyDescent="0.25">
      <c r="A1476" s="661"/>
      <c r="B1476" s="73" t="s">
        <v>114</v>
      </c>
      <c r="C1476" s="75"/>
      <c r="D1476" s="73"/>
      <c r="E1476" s="73"/>
      <c r="F1476" s="73"/>
      <c r="G1476" s="74" t="s">
        <v>3</v>
      </c>
      <c r="H1476" s="153">
        <f>H1478</f>
        <v>1.6016000000000002E-2</v>
      </c>
      <c r="I1476" s="72"/>
      <c r="K1476" s="658"/>
    </row>
    <row r="1477" spans="1:11" customFormat="1" x14ac:dyDescent="0.25">
      <c r="A1477" s="661"/>
      <c r="B1477" s="73" t="s">
        <v>164</v>
      </c>
      <c r="C1477" s="75"/>
      <c r="D1477" s="73"/>
      <c r="E1477" s="73"/>
      <c r="F1477" s="73"/>
      <c r="G1477" s="74" t="s">
        <v>3</v>
      </c>
      <c r="H1477" s="153">
        <f>0.3*H1476</f>
        <v>4.8048000000000006E-3</v>
      </c>
      <c r="I1477" s="72"/>
      <c r="K1477" s="658"/>
    </row>
    <row r="1478" spans="1:11" customFormat="1" x14ac:dyDescent="0.25">
      <c r="A1478" s="661"/>
      <c r="B1478" s="73" t="s">
        <v>401</v>
      </c>
      <c r="C1478" s="75"/>
      <c r="D1478" s="73"/>
      <c r="E1478" s="73"/>
      <c r="F1478" s="73"/>
      <c r="G1478" s="74" t="s">
        <v>3</v>
      </c>
      <c r="H1478" s="153">
        <f>0.56*0.011*2*1.3</f>
        <v>1.6016000000000002E-2</v>
      </c>
      <c r="I1478" s="72"/>
      <c r="K1478" s="658"/>
    </row>
    <row r="1479" spans="1:11" customFormat="1" x14ac:dyDescent="0.25">
      <c r="A1479" s="661"/>
      <c r="B1479" s="73" t="s">
        <v>12</v>
      </c>
      <c r="C1479" s="73"/>
      <c r="D1479" s="73"/>
      <c r="E1479" s="73"/>
      <c r="F1479" s="73"/>
      <c r="G1479" s="74" t="s">
        <v>3</v>
      </c>
      <c r="H1479" s="153">
        <f>0.3*H1478</f>
        <v>4.8048000000000006E-3</v>
      </c>
      <c r="I1479" s="72"/>
      <c r="K1479" s="658"/>
    </row>
    <row r="1480" spans="1:11" customFormat="1" x14ac:dyDescent="0.25">
      <c r="A1480" s="661"/>
      <c r="B1480" s="73"/>
      <c r="C1480" s="75" t="s">
        <v>8766</v>
      </c>
      <c r="D1480" s="73"/>
      <c r="E1480" s="73"/>
      <c r="F1480" s="73"/>
      <c r="G1480" s="74"/>
      <c r="H1480" s="153"/>
      <c r="I1480" s="72"/>
      <c r="K1480" s="658"/>
    </row>
    <row r="1481" spans="1:11" customFormat="1" x14ac:dyDescent="0.25">
      <c r="A1481" s="661"/>
      <c r="B1481" s="73"/>
      <c r="C1481" s="73" t="s">
        <v>2405</v>
      </c>
      <c r="D1481" s="73"/>
      <c r="E1481" s="73"/>
      <c r="F1481" s="73"/>
      <c r="G1481" s="74" t="s">
        <v>3</v>
      </c>
      <c r="H1481" s="153">
        <v>0.115</v>
      </c>
      <c r="I1481" s="72"/>
      <c r="J1481" t="s">
        <v>8742</v>
      </c>
      <c r="K1481" s="658"/>
    </row>
    <row r="1482" spans="1:11" customFormat="1" x14ac:dyDescent="0.25">
      <c r="A1482" s="661"/>
      <c r="B1482" s="73"/>
      <c r="C1482" s="73"/>
      <c r="D1482" s="73"/>
      <c r="E1482" s="73"/>
      <c r="F1482" s="73"/>
      <c r="G1482" s="74"/>
      <c r="H1482" s="153"/>
      <c r="I1482" s="72"/>
      <c r="K1482" s="658"/>
    </row>
    <row r="1483" spans="1:11" customFormat="1" x14ac:dyDescent="0.25">
      <c r="A1483" s="678"/>
      <c r="B1483" s="75" t="s">
        <v>8765</v>
      </c>
      <c r="C1483" s="73"/>
      <c r="D1483" s="73"/>
      <c r="E1483" s="73"/>
      <c r="F1483" s="73"/>
      <c r="G1483" s="74"/>
      <c r="H1483" s="153"/>
      <c r="I1483" s="72"/>
      <c r="K1483" s="658"/>
    </row>
    <row r="1484" spans="1:11" customFormat="1" x14ac:dyDescent="0.25">
      <c r="A1484" s="661"/>
      <c r="B1484" s="77" t="s">
        <v>124</v>
      </c>
      <c r="C1484" s="73"/>
      <c r="D1484" s="73"/>
      <c r="E1484" s="73"/>
      <c r="F1484" s="73"/>
      <c r="G1484" s="74" t="s">
        <v>3</v>
      </c>
      <c r="H1484" s="153">
        <f>0.014*3.14*0.08*1.2</f>
        <v>4.2201600000000006E-3</v>
      </c>
      <c r="I1484" s="72"/>
      <c r="K1484" s="658"/>
    </row>
    <row r="1485" spans="1:11" customFormat="1" ht="17.25" x14ac:dyDescent="0.25">
      <c r="A1485" s="661"/>
      <c r="B1485" s="77" t="s">
        <v>168</v>
      </c>
      <c r="C1485" s="73"/>
      <c r="D1485" s="73"/>
      <c r="E1485" s="73"/>
      <c r="F1485" s="73"/>
      <c r="G1485" s="74" t="s">
        <v>596</v>
      </c>
      <c r="H1485" s="153">
        <f>H1484*1.09</f>
        <v>4.5999744000000007E-3</v>
      </c>
      <c r="I1485" s="72"/>
      <c r="K1485" s="658"/>
    </row>
    <row r="1486" spans="1:11" customFormat="1" x14ac:dyDescent="0.25">
      <c r="A1486" s="661"/>
      <c r="B1486" s="73" t="s">
        <v>114</v>
      </c>
      <c r="C1486" s="75"/>
      <c r="D1486" s="73"/>
      <c r="E1486" s="73"/>
      <c r="F1486" s="73"/>
      <c r="G1486" s="74" t="s">
        <v>3</v>
      </c>
      <c r="H1486" s="153">
        <f>H1488</f>
        <v>1.001E-2</v>
      </c>
      <c r="I1486" s="72"/>
      <c r="K1486" s="658"/>
    </row>
    <row r="1487" spans="1:11" customFormat="1" x14ac:dyDescent="0.25">
      <c r="A1487" s="661"/>
      <c r="B1487" s="73" t="s">
        <v>164</v>
      </c>
      <c r="C1487" s="75"/>
      <c r="D1487" s="73"/>
      <c r="E1487" s="73"/>
      <c r="F1487" s="73"/>
      <c r="G1487" s="74" t="s">
        <v>3</v>
      </c>
      <c r="H1487" s="153">
        <f>0.3*H1486</f>
        <v>3.003E-3</v>
      </c>
      <c r="I1487" s="72"/>
      <c r="K1487" s="658"/>
    </row>
    <row r="1488" spans="1:11" customFormat="1" x14ac:dyDescent="0.25">
      <c r="A1488" s="661"/>
      <c r="B1488" s="73" t="s">
        <v>401</v>
      </c>
      <c r="C1488" s="75"/>
      <c r="D1488" s="73"/>
      <c r="E1488" s="73"/>
      <c r="F1488" s="73"/>
      <c r="G1488" s="74" t="s">
        <v>3</v>
      </c>
      <c r="H1488" s="153">
        <f>0.35*0.011*2*1.3</f>
        <v>1.001E-2</v>
      </c>
      <c r="I1488" s="72"/>
      <c r="K1488" s="658"/>
    </row>
    <row r="1489" spans="1:11" customFormat="1" x14ac:dyDescent="0.25">
      <c r="A1489" s="661"/>
      <c r="B1489" s="73" t="s">
        <v>12</v>
      </c>
      <c r="C1489" s="73"/>
      <c r="D1489" s="73"/>
      <c r="E1489" s="73"/>
      <c r="F1489" s="73"/>
      <c r="G1489" s="74" t="s">
        <v>3</v>
      </c>
      <c r="H1489" s="153">
        <f>0.3*H1488</f>
        <v>3.003E-3</v>
      </c>
      <c r="I1489" s="72"/>
      <c r="K1489" s="658"/>
    </row>
    <row r="1490" spans="1:11" customFormat="1" x14ac:dyDescent="0.25">
      <c r="A1490" s="661"/>
      <c r="B1490" s="75"/>
      <c r="C1490" s="75" t="s">
        <v>8764</v>
      </c>
      <c r="D1490" s="73"/>
      <c r="E1490" s="73"/>
      <c r="F1490" s="73"/>
      <c r="G1490" s="74"/>
      <c r="H1490" s="153"/>
      <c r="I1490" s="72"/>
      <c r="K1490" s="658"/>
    </row>
    <row r="1491" spans="1:11" customFormat="1" x14ac:dyDescent="0.25">
      <c r="A1491" s="661"/>
      <c r="B1491" s="73"/>
      <c r="C1491" s="73" t="s">
        <v>1481</v>
      </c>
      <c r="D1491" s="73"/>
      <c r="E1491" s="73"/>
      <c r="F1491" s="73"/>
      <c r="G1491" s="74" t="s">
        <v>3</v>
      </c>
      <c r="H1491" s="153">
        <v>0.13</v>
      </c>
      <c r="I1491" s="72"/>
      <c r="J1491" t="s">
        <v>8763</v>
      </c>
      <c r="K1491" s="658"/>
    </row>
    <row r="1492" spans="1:11" customFormat="1" x14ac:dyDescent="0.25">
      <c r="A1492" s="661"/>
      <c r="B1492" s="75"/>
      <c r="C1492" s="73"/>
      <c r="D1492" s="73"/>
      <c r="E1492" s="73"/>
      <c r="F1492" s="73"/>
      <c r="G1492" s="74"/>
      <c r="H1492" s="153"/>
      <c r="I1492" s="72"/>
      <c r="K1492" s="658"/>
    </row>
    <row r="1493" spans="1:11" customFormat="1" x14ac:dyDescent="0.25">
      <c r="A1493" s="678"/>
      <c r="B1493" s="75" t="s">
        <v>8762</v>
      </c>
      <c r="C1493" s="73"/>
      <c r="D1493" s="73"/>
      <c r="E1493" s="73"/>
      <c r="F1493" s="73"/>
      <c r="G1493" s="74"/>
      <c r="H1493" s="153"/>
      <c r="I1493" s="72"/>
      <c r="K1493" s="658"/>
    </row>
    <row r="1494" spans="1:11" customFormat="1" x14ac:dyDescent="0.25">
      <c r="A1494" s="661"/>
      <c r="B1494" s="77" t="s">
        <v>124</v>
      </c>
      <c r="C1494" s="73"/>
      <c r="D1494" s="73"/>
      <c r="E1494" s="73"/>
      <c r="F1494" s="73"/>
      <c r="G1494" s="74" t="s">
        <v>3</v>
      </c>
      <c r="H1494" s="153">
        <f>0.014*3.14*0.08*1.2</f>
        <v>4.2201600000000006E-3</v>
      </c>
      <c r="I1494" s="72"/>
      <c r="K1494" s="658"/>
    </row>
    <row r="1495" spans="1:11" customFormat="1" ht="17.25" x14ac:dyDescent="0.25">
      <c r="A1495" s="661"/>
      <c r="B1495" s="77" t="s">
        <v>168</v>
      </c>
      <c r="C1495" s="73"/>
      <c r="D1495" s="73"/>
      <c r="E1495" s="73"/>
      <c r="F1495" s="73"/>
      <c r="G1495" s="74" t="s">
        <v>596</v>
      </c>
      <c r="H1495" s="153">
        <f>H1494*1.09</f>
        <v>4.5999744000000007E-3</v>
      </c>
      <c r="I1495" s="72"/>
      <c r="K1495" s="658"/>
    </row>
    <row r="1496" spans="1:11" customFormat="1" x14ac:dyDescent="0.25">
      <c r="A1496" s="661"/>
      <c r="B1496" s="73" t="s">
        <v>114</v>
      </c>
      <c r="C1496" s="75"/>
      <c r="D1496" s="73"/>
      <c r="E1496" s="73"/>
      <c r="F1496" s="73"/>
      <c r="G1496" s="74" t="s">
        <v>3</v>
      </c>
      <c r="H1496" s="153">
        <f>H1498</f>
        <v>1.21E-2</v>
      </c>
      <c r="I1496" s="72"/>
      <c r="K1496" s="658"/>
    </row>
    <row r="1497" spans="1:11" customFormat="1" x14ac:dyDescent="0.25">
      <c r="A1497" s="661"/>
      <c r="B1497" s="73" t="s">
        <v>164</v>
      </c>
      <c r="C1497" s="75"/>
      <c r="D1497" s="73"/>
      <c r="E1497" s="73"/>
      <c r="F1497" s="73"/>
      <c r="G1497" s="74" t="s">
        <v>3</v>
      </c>
      <c r="H1497" s="153">
        <f>0.3*H1496</f>
        <v>3.6299999999999995E-3</v>
      </c>
      <c r="I1497" s="72"/>
      <c r="K1497" s="658"/>
    </row>
    <row r="1498" spans="1:11" customFormat="1" x14ac:dyDescent="0.25">
      <c r="A1498" s="661"/>
      <c r="B1498" s="73" t="s">
        <v>401</v>
      </c>
      <c r="C1498" s="75"/>
      <c r="D1498" s="73"/>
      <c r="E1498" s="73"/>
      <c r="F1498" s="73"/>
      <c r="G1498" s="74" t="s">
        <v>3</v>
      </c>
      <c r="H1498" s="153">
        <f>0.44*0.011*2*1.25</f>
        <v>1.21E-2</v>
      </c>
      <c r="I1498" s="72"/>
      <c r="K1498" s="658"/>
    </row>
    <row r="1499" spans="1:11" customFormat="1" x14ac:dyDescent="0.25">
      <c r="A1499" s="661"/>
      <c r="B1499" s="73" t="s">
        <v>12</v>
      </c>
      <c r="C1499" s="73"/>
      <c r="D1499" s="73"/>
      <c r="E1499" s="73"/>
      <c r="F1499" s="73"/>
      <c r="G1499" s="74" t="s">
        <v>3</v>
      </c>
      <c r="H1499" s="153">
        <f>0.3*H1498</f>
        <v>3.6299999999999995E-3</v>
      </c>
      <c r="I1499" s="72"/>
      <c r="K1499" s="658"/>
    </row>
    <row r="1500" spans="1:11" customFormat="1" x14ac:dyDescent="0.25">
      <c r="A1500" s="661"/>
      <c r="B1500" s="75"/>
      <c r="C1500" s="75" t="s">
        <v>8761</v>
      </c>
      <c r="D1500" s="73"/>
      <c r="E1500" s="73"/>
      <c r="F1500" s="73"/>
      <c r="G1500" s="74"/>
      <c r="H1500" s="153"/>
      <c r="I1500" s="72"/>
      <c r="K1500" s="658"/>
    </row>
    <row r="1501" spans="1:11" customFormat="1" x14ac:dyDescent="0.25">
      <c r="A1501" s="661"/>
      <c r="B1501" s="73"/>
      <c r="C1501" s="73" t="s">
        <v>1481</v>
      </c>
      <c r="D1501" s="73"/>
      <c r="E1501" s="73"/>
      <c r="F1501" s="73"/>
      <c r="G1501" s="74" t="s">
        <v>3</v>
      </c>
      <c r="H1501" s="153">
        <v>0.16500000000000001</v>
      </c>
      <c r="I1501" s="72"/>
      <c r="J1501" t="s">
        <v>4465</v>
      </c>
      <c r="K1501" s="658"/>
    </row>
    <row r="1502" spans="1:11" customFormat="1" x14ac:dyDescent="0.25">
      <c r="A1502" s="661"/>
      <c r="B1502" s="73"/>
      <c r="C1502" s="73"/>
      <c r="D1502" s="73"/>
      <c r="E1502" s="73"/>
      <c r="F1502" s="73"/>
      <c r="G1502" s="74"/>
      <c r="H1502" s="153"/>
      <c r="I1502" s="72"/>
      <c r="K1502" s="658"/>
    </row>
    <row r="1503" spans="1:11" customFormat="1" x14ac:dyDescent="0.25">
      <c r="A1503" s="678"/>
      <c r="B1503" s="75" t="s">
        <v>8760</v>
      </c>
      <c r="C1503" s="73"/>
      <c r="D1503" s="73"/>
      <c r="E1503" s="73"/>
      <c r="F1503" s="73"/>
      <c r="G1503" s="74"/>
      <c r="H1503" s="153"/>
      <c r="I1503" s="72"/>
      <c r="K1503" s="658"/>
    </row>
    <row r="1504" spans="1:11" customFormat="1" x14ac:dyDescent="0.25">
      <c r="A1504" s="661"/>
      <c r="B1504" s="100" t="s">
        <v>114</v>
      </c>
      <c r="C1504" s="73"/>
      <c r="D1504" s="73"/>
      <c r="E1504" s="73"/>
      <c r="F1504" s="73"/>
      <c r="G1504" s="74" t="s">
        <v>3</v>
      </c>
      <c r="H1504" s="153">
        <f>0.78*H1508</f>
        <v>2.5328159999999995E-2</v>
      </c>
      <c r="I1504" s="72"/>
      <c r="K1504" s="658"/>
    </row>
    <row r="1505" spans="1:11" customFormat="1" x14ac:dyDescent="0.25">
      <c r="A1505" s="661"/>
      <c r="B1505" s="100" t="s">
        <v>164</v>
      </c>
      <c r="C1505" s="73"/>
      <c r="D1505" s="73"/>
      <c r="E1505" s="73"/>
      <c r="F1505" s="73"/>
      <c r="G1505" s="74" t="s">
        <v>3</v>
      </c>
      <c r="H1505" s="153">
        <f>0.3*H1504</f>
        <v>7.5984479999999981E-3</v>
      </c>
      <c r="I1505" s="72"/>
      <c r="K1505" s="658"/>
    </row>
    <row r="1506" spans="1:11" customFormat="1" x14ac:dyDescent="0.25">
      <c r="A1506" s="661"/>
      <c r="B1506" s="100" t="s">
        <v>14</v>
      </c>
      <c r="C1506" s="73"/>
      <c r="D1506" s="73"/>
      <c r="E1506" s="73"/>
      <c r="F1506" s="73"/>
      <c r="G1506" s="74" t="s">
        <v>3</v>
      </c>
      <c r="H1506" s="153">
        <f>0.78*H1508</f>
        <v>2.5328159999999995E-2</v>
      </c>
      <c r="I1506" s="72"/>
      <c r="K1506" s="658"/>
    </row>
    <row r="1507" spans="1:11" customFormat="1" x14ac:dyDescent="0.25">
      <c r="A1507" s="661"/>
      <c r="B1507" s="100" t="s">
        <v>12</v>
      </c>
      <c r="C1507" s="73"/>
      <c r="D1507" s="73"/>
      <c r="E1507" s="73"/>
      <c r="F1507" s="73"/>
      <c r="G1507" s="74" t="s">
        <v>3</v>
      </c>
      <c r="H1507" s="153">
        <f>0.3*H1506</f>
        <v>7.5984479999999981E-3</v>
      </c>
      <c r="I1507" s="72"/>
      <c r="K1507" s="658"/>
    </row>
    <row r="1508" spans="1:11" customFormat="1" x14ac:dyDescent="0.25">
      <c r="A1508" s="661"/>
      <c r="B1508" s="100" t="s">
        <v>72</v>
      </c>
      <c r="C1508" s="73"/>
      <c r="D1508" s="73"/>
      <c r="E1508" s="73"/>
      <c r="F1508" s="73"/>
      <c r="G1508" s="74" t="s">
        <v>3</v>
      </c>
      <c r="H1508" s="153">
        <f>1.23*0.011*2*1.2</f>
        <v>3.2471999999999994E-2</v>
      </c>
      <c r="I1508" s="72"/>
      <c r="K1508" s="658"/>
    </row>
    <row r="1509" spans="1:11" customFormat="1" x14ac:dyDescent="0.25">
      <c r="A1509" s="661"/>
      <c r="B1509" s="100" t="s">
        <v>11</v>
      </c>
      <c r="C1509" s="73"/>
      <c r="D1509" s="73"/>
      <c r="E1509" s="73"/>
      <c r="F1509" s="73"/>
      <c r="G1509" s="74" t="s">
        <v>3</v>
      </c>
      <c r="H1509" s="153">
        <f>0.3*H1508</f>
        <v>9.7415999999999978E-3</v>
      </c>
      <c r="I1509" s="72"/>
      <c r="K1509" s="658"/>
    </row>
    <row r="1510" spans="1:11" customFormat="1" x14ac:dyDescent="0.25">
      <c r="A1510" s="661"/>
      <c r="B1510" s="73"/>
      <c r="C1510" s="75" t="s">
        <v>8759</v>
      </c>
      <c r="D1510" s="73"/>
      <c r="E1510" s="73"/>
      <c r="F1510" s="73"/>
      <c r="G1510" s="74"/>
      <c r="H1510" s="153"/>
      <c r="I1510" s="72"/>
      <c r="K1510" s="658"/>
    </row>
    <row r="1511" spans="1:11" customFormat="1" x14ac:dyDescent="0.25">
      <c r="A1511" s="661"/>
      <c r="B1511" s="73"/>
      <c r="C1511" s="73" t="s">
        <v>1484</v>
      </c>
      <c r="D1511" s="73"/>
      <c r="E1511" s="73"/>
      <c r="F1511" s="73"/>
      <c r="G1511" s="74" t="s">
        <v>3</v>
      </c>
      <c r="H1511" s="153">
        <v>0.37</v>
      </c>
      <c r="I1511" s="72"/>
      <c r="J1511" t="s">
        <v>8758</v>
      </c>
      <c r="K1511" s="658"/>
    </row>
    <row r="1512" spans="1:11" customFormat="1" x14ac:dyDescent="0.25">
      <c r="A1512" s="661"/>
      <c r="B1512" s="73"/>
      <c r="C1512" s="73"/>
      <c r="D1512" s="73"/>
      <c r="E1512" s="73"/>
      <c r="F1512" s="73"/>
      <c r="G1512" s="74"/>
      <c r="H1512" s="153"/>
      <c r="I1512" s="72"/>
      <c r="K1512" s="658"/>
    </row>
    <row r="1513" spans="1:11" customFormat="1" x14ac:dyDescent="0.25">
      <c r="A1513" s="678"/>
      <c r="B1513" s="75" t="s">
        <v>8757</v>
      </c>
      <c r="C1513" s="73"/>
      <c r="D1513" s="73"/>
      <c r="E1513" s="73"/>
      <c r="F1513" s="73"/>
      <c r="G1513" s="74"/>
      <c r="H1513" s="153"/>
      <c r="I1513" s="72"/>
      <c r="K1513" s="658"/>
    </row>
    <row r="1514" spans="1:11" customFormat="1" x14ac:dyDescent="0.25">
      <c r="A1514" s="661"/>
      <c r="B1514" s="100" t="s">
        <v>114</v>
      </c>
      <c r="C1514" s="73"/>
      <c r="D1514" s="73"/>
      <c r="E1514" s="73"/>
      <c r="F1514" s="73"/>
      <c r="G1514" s="74" t="s">
        <v>3</v>
      </c>
      <c r="H1514" s="153">
        <f>0.78*H1518</f>
        <v>2.6769599999999998E-2</v>
      </c>
      <c r="I1514" s="72"/>
      <c r="K1514" s="658"/>
    </row>
    <row r="1515" spans="1:11" customFormat="1" x14ac:dyDescent="0.25">
      <c r="A1515" s="661"/>
      <c r="B1515" s="100" t="s">
        <v>164</v>
      </c>
      <c r="C1515" s="73"/>
      <c r="D1515" s="73"/>
      <c r="E1515" s="73"/>
      <c r="F1515" s="73"/>
      <c r="G1515" s="74" t="s">
        <v>3</v>
      </c>
      <c r="H1515" s="153">
        <f>0.3*H1514</f>
        <v>8.0308799999999989E-3</v>
      </c>
      <c r="I1515" s="72"/>
      <c r="K1515" s="658"/>
    </row>
    <row r="1516" spans="1:11" customFormat="1" x14ac:dyDescent="0.25">
      <c r="A1516" s="661"/>
      <c r="B1516" s="100" t="s">
        <v>14</v>
      </c>
      <c r="C1516" s="73"/>
      <c r="D1516" s="73"/>
      <c r="E1516" s="73"/>
      <c r="F1516" s="73"/>
      <c r="G1516" s="74" t="s">
        <v>3</v>
      </c>
      <c r="H1516" s="153">
        <f>0.78*H1518</f>
        <v>2.6769599999999998E-2</v>
      </c>
      <c r="I1516" s="72"/>
      <c r="K1516" s="658"/>
    </row>
    <row r="1517" spans="1:11" customFormat="1" x14ac:dyDescent="0.25">
      <c r="A1517" s="661"/>
      <c r="B1517" s="100" t="s">
        <v>12</v>
      </c>
      <c r="C1517" s="73"/>
      <c r="D1517" s="73"/>
      <c r="E1517" s="73"/>
      <c r="F1517" s="73"/>
      <c r="G1517" s="74" t="s">
        <v>3</v>
      </c>
      <c r="H1517" s="153">
        <f>0.3*H1516</f>
        <v>8.0308799999999989E-3</v>
      </c>
      <c r="I1517" s="72"/>
      <c r="K1517" s="658"/>
    </row>
    <row r="1518" spans="1:11" customFormat="1" x14ac:dyDescent="0.25">
      <c r="A1518" s="661"/>
      <c r="B1518" s="100" t="s">
        <v>72</v>
      </c>
      <c r="C1518" s="73"/>
      <c r="D1518" s="73"/>
      <c r="E1518" s="73"/>
      <c r="F1518" s="73"/>
      <c r="G1518" s="74" t="s">
        <v>3</v>
      </c>
      <c r="H1518" s="153">
        <f>1.2*0.011*2*1.3</f>
        <v>3.4319999999999996E-2</v>
      </c>
      <c r="I1518" s="72"/>
      <c r="K1518" s="658"/>
    </row>
    <row r="1519" spans="1:11" customFormat="1" x14ac:dyDescent="0.25">
      <c r="A1519" s="661"/>
      <c r="B1519" s="100" t="s">
        <v>11</v>
      </c>
      <c r="C1519" s="73"/>
      <c r="D1519" s="73"/>
      <c r="E1519" s="73"/>
      <c r="F1519" s="73"/>
      <c r="G1519" s="74" t="s">
        <v>3</v>
      </c>
      <c r="H1519" s="153">
        <f>0.3*H1518</f>
        <v>1.0295999999999998E-2</v>
      </c>
      <c r="I1519" s="72"/>
      <c r="K1519" s="658"/>
    </row>
    <row r="1520" spans="1:11" customFormat="1" x14ac:dyDescent="0.25">
      <c r="A1520" s="661"/>
      <c r="B1520" s="73"/>
      <c r="C1520" s="75" t="s">
        <v>8756</v>
      </c>
      <c r="D1520" s="73"/>
      <c r="E1520" s="73"/>
      <c r="F1520" s="73"/>
      <c r="G1520" s="74"/>
      <c r="H1520" s="153"/>
      <c r="I1520" s="72"/>
      <c r="K1520" s="658"/>
    </row>
    <row r="1521" spans="1:11" customFormat="1" x14ac:dyDescent="0.25">
      <c r="A1521" s="661"/>
      <c r="B1521" s="73"/>
      <c r="C1521" s="73" t="s">
        <v>1484</v>
      </c>
      <c r="D1521" s="73"/>
      <c r="E1521" s="73"/>
      <c r="F1521" s="73"/>
      <c r="G1521" s="74" t="s">
        <v>3</v>
      </c>
      <c r="H1521" s="153">
        <v>0.35499999999999998</v>
      </c>
      <c r="I1521" s="72"/>
      <c r="J1521" t="s">
        <v>8755</v>
      </c>
      <c r="K1521" s="658"/>
    </row>
    <row r="1522" spans="1:11" customFormat="1" x14ac:dyDescent="0.25">
      <c r="A1522" s="661"/>
      <c r="B1522" s="73"/>
      <c r="C1522" s="73"/>
      <c r="D1522" s="73"/>
      <c r="E1522" s="73"/>
      <c r="F1522" s="73"/>
      <c r="G1522" s="74"/>
      <c r="H1522" s="153"/>
      <c r="I1522" s="72"/>
      <c r="K1522" s="658"/>
    </row>
    <row r="1523" spans="1:11" customFormat="1" x14ac:dyDescent="0.25">
      <c r="A1523" s="678"/>
      <c r="B1523" s="75" t="s">
        <v>8754</v>
      </c>
      <c r="C1523" s="73"/>
      <c r="D1523" s="73"/>
      <c r="E1523" s="73"/>
      <c r="F1523" s="73"/>
      <c r="G1523" s="74"/>
      <c r="H1523" s="153"/>
      <c r="I1523" s="72"/>
      <c r="K1523" s="658"/>
    </row>
    <row r="1524" spans="1:11" customFormat="1" x14ac:dyDescent="0.25">
      <c r="A1524" s="661"/>
      <c r="B1524" s="100" t="s">
        <v>114</v>
      </c>
      <c r="C1524" s="73"/>
      <c r="D1524" s="73"/>
      <c r="E1524" s="73"/>
      <c r="F1524" s="73"/>
      <c r="G1524" s="74" t="s">
        <v>3</v>
      </c>
      <c r="H1524" s="153">
        <f>0.78*H1528</f>
        <v>2.4881999999999998E-2</v>
      </c>
      <c r="I1524" s="72"/>
      <c r="K1524" s="658"/>
    </row>
    <row r="1525" spans="1:11" customFormat="1" x14ac:dyDescent="0.25">
      <c r="A1525" s="661"/>
      <c r="B1525" s="100" t="s">
        <v>164</v>
      </c>
      <c r="C1525" s="73"/>
      <c r="D1525" s="73"/>
      <c r="E1525" s="73"/>
      <c r="F1525" s="73"/>
      <c r="G1525" s="74" t="s">
        <v>3</v>
      </c>
      <c r="H1525" s="153">
        <f>0.3*H1524</f>
        <v>7.4645999999999992E-3</v>
      </c>
      <c r="I1525" s="72"/>
      <c r="K1525" s="658"/>
    </row>
    <row r="1526" spans="1:11" customFormat="1" x14ac:dyDescent="0.25">
      <c r="A1526" s="661"/>
      <c r="B1526" s="100" t="s">
        <v>14</v>
      </c>
      <c r="C1526" s="73"/>
      <c r="D1526" s="73"/>
      <c r="E1526" s="73"/>
      <c r="F1526" s="73"/>
      <c r="G1526" s="74" t="s">
        <v>3</v>
      </c>
      <c r="H1526" s="153">
        <f>0.78*H1528</f>
        <v>2.4881999999999998E-2</v>
      </c>
      <c r="I1526" s="72"/>
      <c r="K1526" s="658"/>
    </row>
    <row r="1527" spans="1:11" customFormat="1" x14ac:dyDescent="0.25">
      <c r="A1527" s="661"/>
      <c r="B1527" s="100" t="s">
        <v>12</v>
      </c>
      <c r="C1527" s="73"/>
      <c r="D1527" s="73"/>
      <c r="E1527" s="73"/>
      <c r="F1527" s="73"/>
      <c r="G1527" s="74" t="s">
        <v>3</v>
      </c>
      <c r="H1527" s="153">
        <f>0.3*H1526</f>
        <v>7.4645999999999992E-3</v>
      </c>
      <c r="I1527" s="72"/>
      <c r="K1527" s="658"/>
    </row>
    <row r="1528" spans="1:11" customFormat="1" x14ac:dyDescent="0.25">
      <c r="A1528" s="661"/>
      <c r="B1528" s="100" t="s">
        <v>72</v>
      </c>
      <c r="C1528" s="73"/>
      <c r="D1528" s="73"/>
      <c r="E1528" s="73"/>
      <c r="F1528" s="73"/>
      <c r="G1528" s="74" t="s">
        <v>3</v>
      </c>
      <c r="H1528" s="153">
        <f>1.16*0.011*2*1.25</f>
        <v>3.1899999999999998E-2</v>
      </c>
      <c r="I1528" s="72"/>
      <c r="K1528" s="658"/>
    </row>
    <row r="1529" spans="1:11" customFormat="1" x14ac:dyDescent="0.25">
      <c r="A1529" s="661"/>
      <c r="B1529" s="100" t="s">
        <v>11</v>
      </c>
      <c r="C1529" s="73"/>
      <c r="D1529" s="73"/>
      <c r="E1529" s="73"/>
      <c r="F1529" s="73"/>
      <c r="G1529" s="74" t="s">
        <v>3</v>
      </c>
      <c r="H1529" s="153">
        <f>0.3*H1528</f>
        <v>9.5699999999999986E-3</v>
      </c>
      <c r="I1529" s="72"/>
      <c r="K1529" s="658"/>
    </row>
    <row r="1530" spans="1:11" customFormat="1" x14ac:dyDescent="0.25">
      <c r="A1530" s="661"/>
      <c r="B1530" s="73"/>
      <c r="C1530" s="75" t="s">
        <v>8753</v>
      </c>
      <c r="D1530" s="73"/>
      <c r="E1530" s="73"/>
      <c r="F1530" s="73"/>
      <c r="G1530" s="74"/>
      <c r="H1530" s="153"/>
      <c r="I1530" s="72"/>
      <c r="K1530" s="658"/>
    </row>
    <row r="1531" spans="1:11" customFormat="1" x14ac:dyDescent="0.25">
      <c r="A1531" s="661"/>
      <c r="B1531" s="73"/>
      <c r="C1531" s="73" t="s">
        <v>1484</v>
      </c>
      <c r="D1531" s="73"/>
      <c r="E1531" s="73"/>
      <c r="F1531" s="73"/>
      <c r="G1531" s="74" t="s">
        <v>3</v>
      </c>
      <c r="H1531" s="153">
        <v>0.35499999999999998</v>
      </c>
      <c r="I1531" s="72"/>
      <c r="J1531" t="s">
        <v>8752</v>
      </c>
      <c r="K1531" s="658"/>
    </row>
    <row r="1532" spans="1:11" customFormat="1" x14ac:dyDescent="0.25">
      <c r="A1532" s="661"/>
      <c r="B1532" s="73"/>
      <c r="C1532" s="73"/>
      <c r="D1532" s="73"/>
      <c r="E1532" s="73"/>
      <c r="F1532" s="73"/>
      <c r="G1532" s="74"/>
      <c r="H1532" s="153"/>
      <c r="I1532" s="72"/>
      <c r="K1532" s="658"/>
    </row>
    <row r="1533" spans="1:11" customFormat="1" x14ac:dyDescent="0.25">
      <c r="A1533" s="678"/>
      <c r="B1533" s="75" t="s">
        <v>8751</v>
      </c>
      <c r="C1533" s="73"/>
      <c r="D1533" s="73"/>
      <c r="E1533" s="73"/>
      <c r="F1533" s="73"/>
      <c r="G1533" s="74"/>
      <c r="H1533" s="153"/>
      <c r="I1533" s="72"/>
      <c r="K1533" s="658"/>
    </row>
    <row r="1534" spans="1:11" customFormat="1" x14ac:dyDescent="0.25">
      <c r="A1534" s="661"/>
      <c r="B1534" s="100" t="s">
        <v>114</v>
      </c>
      <c r="C1534" s="73"/>
      <c r="D1534" s="73"/>
      <c r="E1534" s="73"/>
      <c r="F1534" s="73"/>
      <c r="G1534" s="74" t="s">
        <v>3</v>
      </c>
      <c r="H1534" s="153">
        <f>0.78*H1538</f>
        <v>2.306304E-2</v>
      </c>
      <c r="I1534" s="72"/>
      <c r="K1534" s="658"/>
    </row>
    <row r="1535" spans="1:11" customFormat="1" x14ac:dyDescent="0.25">
      <c r="A1535" s="661"/>
      <c r="B1535" s="100" t="s">
        <v>164</v>
      </c>
      <c r="C1535" s="73"/>
      <c r="D1535" s="73"/>
      <c r="E1535" s="73"/>
      <c r="F1535" s="73"/>
      <c r="G1535" s="74" t="s">
        <v>3</v>
      </c>
      <c r="H1535" s="153">
        <f>0.3*H1534</f>
        <v>6.9189120000000002E-3</v>
      </c>
      <c r="I1535" s="72"/>
      <c r="K1535" s="658"/>
    </row>
    <row r="1536" spans="1:11" customFormat="1" x14ac:dyDescent="0.25">
      <c r="A1536" s="661"/>
      <c r="B1536" s="100" t="s">
        <v>14</v>
      </c>
      <c r="C1536" s="73"/>
      <c r="D1536" s="73"/>
      <c r="E1536" s="73"/>
      <c r="F1536" s="73"/>
      <c r="G1536" s="74" t="s">
        <v>3</v>
      </c>
      <c r="H1536" s="153">
        <f>0.78*H1538</f>
        <v>2.306304E-2</v>
      </c>
      <c r="I1536" s="72"/>
      <c r="K1536" s="658"/>
    </row>
    <row r="1537" spans="1:11" customFormat="1" x14ac:dyDescent="0.25">
      <c r="A1537" s="661"/>
      <c r="B1537" s="100" t="s">
        <v>12</v>
      </c>
      <c r="C1537" s="73"/>
      <c r="D1537" s="73"/>
      <c r="E1537" s="73"/>
      <c r="F1537" s="73"/>
      <c r="G1537" s="74" t="s">
        <v>3</v>
      </c>
      <c r="H1537" s="153">
        <f>0.3*H1536</f>
        <v>6.9189120000000002E-3</v>
      </c>
      <c r="I1537" s="72"/>
      <c r="K1537" s="658"/>
    </row>
    <row r="1538" spans="1:11" customFormat="1" x14ac:dyDescent="0.25">
      <c r="A1538" s="661"/>
      <c r="B1538" s="100" t="s">
        <v>72</v>
      </c>
      <c r="C1538" s="73"/>
      <c r="D1538" s="73"/>
      <c r="E1538" s="73"/>
      <c r="F1538" s="73"/>
      <c r="G1538" s="74" t="s">
        <v>3</v>
      </c>
      <c r="H1538" s="153">
        <f>1.12*0.011*2*1.2</f>
        <v>2.9568000000000001E-2</v>
      </c>
      <c r="I1538" s="72"/>
      <c r="K1538" s="658"/>
    </row>
    <row r="1539" spans="1:11" customFormat="1" x14ac:dyDescent="0.25">
      <c r="A1539" s="661"/>
      <c r="B1539" s="100" t="s">
        <v>11</v>
      </c>
      <c r="C1539" s="73"/>
      <c r="D1539" s="73"/>
      <c r="E1539" s="73"/>
      <c r="F1539" s="73"/>
      <c r="G1539" s="74" t="s">
        <v>3</v>
      </c>
      <c r="H1539" s="153">
        <f>0.3*H1538</f>
        <v>8.8704000000000005E-3</v>
      </c>
      <c r="I1539" s="72"/>
      <c r="K1539" s="658"/>
    </row>
    <row r="1540" spans="1:11" customFormat="1" x14ac:dyDescent="0.25">
      <c r="A1540" s="661"/>
      <c r="B1540" s="73"/>
      <c r="C1540" s="75" t="s">
        <v>8750</v>
      </c>
      <c r="D1540" s="73"/>
      <c r="E1540" s="73"/>
      <c r="F1540" s="73"/>
      <c r="G1540" s="74"/>
      <c r="H1540" s="153"/>
      <c r="I1540" s="72"/>
      <c r="K1540" s="658"/>
    </row>
    <row r="1541" spans="1:11" customFormat="1" x14ac:dyDescent="0.25">
      <c r="A1541" s="661"/>
      <c r="B1541" s="73"/>
      <c r="C1541" s="73" t="s">
        <v>1484</v>
      </c>
      <c r="D1541" s="73"/>
      <c r="E1541" s="73"/>
      <c r="F1541" s="73"/>
      <c r="G1541" s="74" t="s">
        <v>3</v>
      </c>
      <c r="H1541" s="153">
        <v>0.34</v>
      </c>
      <c r="I1541" s="72"/>
      <c r="J1541" t="s">
        <v>8749</v>
      </c>
      <c r="K1541" s="658"/>
    </row>
    <row r="1542" spans="1:11" customFormat="1" x14ac:dyDescent="0.25">
      <c r="A1542" s="661"/>
      <c r="B1542" s="73"/>
      <c r="C1542" s="73"/>
      <c r="D1542" s="73"/>
      <c r="E1542" s="73"/>
      <c r="F1542" s="73"/>
      <c r="G1542" s="74"/>
      <c r="H1542" s="153"/>
      <c r="I1542" s="72"/>
      <c r="K1542" s="658"/>
    </row>
    <row r="1543" spans="1:11" customFormat="1" x14ac:dyDescent="0.25">
      <c r="A1543" s="678"/>
      <c r="B1543" s="75" t="s">
        <v>8748</v>
      </c>
      <c r="C1543" s="73"/>
      <c r="D1543" s="73"/>
      <c r="E1543" s="73"/>
      <c r="F1543" s="73"/>
      <c r="G1543" s="74"/>
      <c r="H1543" s="153"/>
      <c r="I1543" s="72"/>
      <c r="K1543" s="658"/>
    </row>
    <row r="1544" spans="1:11" customFormat="1" x14ac:dyDescent="0.25">
      <c r="A1544" s="661"/>
      <c r="B1544" s="77" t="s">
        <v>124</v>
      </c>
      <c r="C1544" s="73"/>
      <c r="D1544" s="73"/>
      <c r="E1544" s="73"/>
      <c r="F1544" s="73"/>
      <c r="G1544" s="74" t="s">
        <v>3</v>
      </c>
      <c r="H1544" s="153">
        <f>0.014*3.14*2*0.08*1.2</f>
        <v>8.4403200000000012E-3</v>
      </c>
      <c r="I1544" s="72"/>
      <c r="K1544" s="658"/>
    </row>
    <row r="1545" spans="1:11" customFormat="1" ht="17.25" x14ac:dyDescent="0.25">
      <c r="A1545" s="661"/>
      <c r="B1545" s="77" t="s">
        <v>168</v>
      </c>
      <c r="C1545" s="73"/>
      <c r="D1545" s="73"/>
      <c r="E1545" s="73"/>
      <c r="F1545" s="73"/>
      <c r="G1545" s="74" t="s">
        <v>596</v>
      </c>
      <c r="H1545" s="153">
        <f>H1544*1.09</f>
        <v>9.1999488000000015E-3</v>
      </c>
      <c r="I1545" s="72"/>
      <c r="K1545" s="658"/>
    </row>
    <row r="1546" spans="1:11" customFormat="1" x14ac:dyDescent="0.25">
      <c r="A1546" s="661"/>
      <c r="B1546" s="73" t="s">
        <v>114</v>
      </c>
      <c r="C1546" s="75"/>
      <c r="D1546" s="73"/>
      <c r="E1546" s="73"/>
      <c r="F1546" s="73"/>
      <c r="G1546" s="74" t="s">
        <v>3</v>
      </c>
      <c r="H1546" s="153">
        <f>H1548</f>
        <v>9.9384999999999994E-3</v>
      </c>
      <c r="I1546" s="72"/>
      <c r="K1546" s="658"/>
    </row>
    <row r="1547" spans="1:11" customFormat="1" x14ac:dyDescent="0.25">
      <c r="A1547" s="661"/>
      <c r="B1547" s="73" t="s">
        <v>164</v>
      </c>
      <c r="C1547" s="75"/>
      <c r="D1547" s="73"/>
      <c r="E1547" s="73"/>
      <c r="F1547" s="73"/>
      <c r="G1547" s="74" t="s">
        <v>3</v>
      </c>
      <c r="H1547" s="153">
        <f>0.3*H1546</f>
        <v>2.9815499999999999E-3</v>
      </c>
      <c r="I1547" s="72"/>
      <c r="K1547" s="658"/>
    </row>
    <row r="1548" spans="1:11" customFormat="1" x14ac:dyDescent="0.25">
      <c r="A1548" s="661"/>
      <c r="B1548" s="73" t="s">
        <v>401</v>
      </c>
      <c r="C1548" s="75"/>
      <c r="D1548" s="73"/>
      <c r="E1548" s="73"/>
      <c r="F1548" s="73"/>
      <c r="G1548" s="74" t="s">
        <v>3</v>
      </c>
      <c r="H1548" s="153">
        <f>0.325*0.011*2*1.39</f>
        <v>9.9384999999999994E-3</v>
      </c>
      <c r="I1548" s="72"/>
      <c r="K1548" s="658"/>
    </row>
    <row r="1549" spans="1:11" customFormat="1" x14ac:dyDescent="0.25">
      <c r="A1549" s="661"/>
      <c r="B1549" s="73" t="s">
        <v>12</v>
      </c>
      <c r="C1549" s="73"/>
      <c r="D1549" s="73"/>
      <c r="E1549" s="73"/>
      <c r="F1549" s="73"/>
      <c r="G1549" s="74" t="s">
        <v>3</v>
      </c>
      <c r="H1549" s="153">
        <f>0.3*H1548</f>
        <v>2.9815499999999999E-3</v>
      </c>
      <c r="I1549" s="72"/>
      <c r="K1549" s="658"/>
    </row>
    <row r="1550" spans="1:11" customFormat="1" x14ac:dyDescent="0.25">
      <c r="A1550" s="661"/>
      <c r="B1550" s="75"/>
      <c r="C1550" s="75" t="s">
        <v>8747</v>
      </c>
      <c r="D1550" s="73"/>
      <c r="E1550" s="73"/>
      <c r="F1550" s="73"/>
      <c r="G1550" s="74"/>
      <c r="H1550" s="153"/>
      <c r="I1550" s="72"/>
      <c r="K1550" s="658"/>
    </row>
    <row r="1551" spans="1:11" customFormat="1" x14ac:dyDescent="0.25">
      <c r="A1551" s="661"/>
      <c r="B1551" s="73"/>
      <c r="C1551" s="73" t="s">
        <v>1481</v>
      </c>
      <c r="D1551" s="73"/>
      <c r="E1551" s="73"/>
      <c r="F1551" s="73"/>
      <c r="G1551" s="74" t="s">
        <v>3</v>
      </c>
      <c r="H1551" s="153">
        <v>4.4999999999999998E-2</v>
      </c>
      <c r="I1551" s="72"/>
      <c r="J1551" t="s">
        <v>8746</v>
      </c>
      <c r="K1551" s="658"/>
    </row>
    <row r="1552" spans="1:11" customFormat="1" x14ac:dyDescent="0.25">
      <c r="A1552" s="661"/>
      <c r="B1552" s="73"/>
      <c r="C1552" s="75" t="s">
        <v>8745</v>
      </c>
      <c r="D1552" s="73"/>
      <c r="E1552" s="73"/>
      <c r="F1552" s="73"/>
      <c r="G1552" s="74"/>
      <c r="H1552" s="153"/>
      <c r="I1552" s="72"/>
      <c r="K1552" s="658"/>
    </row>
    <row r="1553" spans="1:11" customFormat="1" x14ac:dyDescent="0.25">
      <c r="A1553" s="661"/>
      <c r="B1553" s="73"/>
      <c r="C1553" s="73" t="s">
        <v>1481</v>
      </c>
      <c r="D1553" s="73"/>
      <c r="E1553" s="73"/>
      <c r="F1553" s="73"/>
      <c r="G1553" s="74" t="s">
        <v>3</v>
      </c>
      <c r="H1553" s="153">
        <v>5.5E-2</v>
      </c>
      <c r="I1553" s="72"/>
      <c r="J1553" t="s">
        <v>8553</v>
      </c>
      <c r="K1553" s="658"/>
    </row>
    <row r="1554" spans="1:11" customFormat="1" x14ac:dyDescent="0.25">
      <c r="A1554" s="661"/>
      <c r="B1554" s="73"/>
      <c r="C1554" s="73"/>
      <c r="D1554" s="73"/>
      <c r="E1554" s="73"/>
      <c r="F1554" s="73"/>
      <c r="G1554" s="74"/>
      <c r="H1554" s="153"/>
      <c r="I1554" s="72"/>
      <c r="K1554" s="658"/>
    </row>
    <row r="1555" spans="1:11" customFormat="1" x14ac:dyDescent="0.25">
      <c r="A1555" s="678"/>
      <c r="B1555" s="75" t="s">
        <v>8744</v>
      </c>
      <c r="C1555" s="73"/>
      <c r="D1555" s="73"/>
      <c r="E1555" s="73"/>
      <c r="F1555" s="73"/>
      <c r="G1555" s="74"/>
      <c r="H1555" s="153"/>
      <c r="I1555" s="72"/>
      <c r="K1555" s="658"/>
    </row>
    <row r="1556" spans="1:11" customFormat="1" x14ac:dyDescent="0.25">
      <c r="A1556" s="661"/>
      <c r="B1556" s="77" t="s">
        <v>124</v>
      </c>
      <c r="C1556" s="73"/>
      <c r="D1556" s="73"/>
      <c r="E1556" s="73"/>
      <c r="F1556" s="73"/>
      <c r="G1556" s="74" t="s">
        <v>3</v>
      </c>
      <c r="H1556" s="153">
        <f>0.008*3.14*3*0.08*1.2</f>
        <v>7.2345599999999993E-3</v>
      </c>
      <c r="I1556" s="72"/>
      <c r="K1556" s="658"/>
    </row>
    <row r="1557" spans="1:11" customFormat="1" ht="17.25" x14ac:dyDescent="0.25">
      <c r="A1557" s="661"/>
      <c r="B1557" s="77" t="s">
        <v>168</v>
      </c>
      <c r="C1557" s="73"/>
      <c r="D1557" s="73"/>
      <c r="E1557" s="73"/>
      <c r="F1557" s="73"/>
      <c r="G1557" s="74" t="s">
        <v>596</v>
      </c>
      <c r="H1557" s="153">
        <f>H1556*1.09</f>
        <v>7.8856703999999993E-3</v>
      </c>
      <c r="I1557" s="72"/>
      <c r="K1557" s="658"/>
    </row>
    <row r="1558" spans="1:11" customFormat="1" x14ac:dyDescent="0.25">
      <c r="A1558" s="661"/>
      <c r="B1558" s="73" t="s">
        <v>114</v>
      </c>
      <c r="C1558" s="75"/>
      <c r="D1558" s="73"/>
      <c r="E1558" s="73"/>
      <c r="F1558" s="73"/>
      <c r="G1558" s="74" t="s">
        <v>3</v>
      </c>
      <c r="H1558" s="153">
        <f>H1560</f>
        <v>1.7159999999999998E-2</v>
      </c>
      <c r="I1558" s="72"/>
      <c r="K1558" s="658"/>
    </row>
    <row r="1559" spans="1:11" customFormat="1" x14ac:dyDescent="0.25">
      <c r="A1559" s="661"/>
      <c r="B1559" s="73" t="s">
        <v>164</v>
      </c>
      <c r="C1559" s="75"/>
      <c r="D1559" s="73"/>
      <c r="E1559" s="73"/>
      <c r="F1559" s="73"/>
      <c r="G1559" s="74" t="s">
        <v>3</v>
      </c>
      <c r="H1559" s="153">
        <f>0.3*H1558</f>
        <v>5.1479999999999989E-3</v>
      </c>
      <c r="I1559" s="72"/>
      <c r="K1559" s="658"/>
    </row>
    <row r="1560" spans="1:11" customFormat="1" x14ac:dyDescent="0.25">
      <c r="A1560" s="661"/>
      <c r="B1560" s="73" t="s">
        <v>401</v>
      </c>
      <c r="C1560" s="75"/>
      <c r="D1560" s="73"/>
      <c r="E1560" s="73"/>
      <c r="F1560" s="73"/>
      <c r="G1560" s="74" t="s">
        <v>3</v>
      </c>
      <c r="H1560" s="153">
        <f>0.65*0.011*2*1.2</f>
        <v>1.7159999999999998E-2</v>
      </c>
      <c r="I1560" s="72"/>
      <c r="K1560" s="658"/>
    </row>
    <row r="1561" spans="1:11" customFormat="1" x14ac:dyDescent="0.25">
      <c r="A1561" s="661"/>
      <c r="B1561" s="73" t="s">
        <v>12</v>
      </c>
      <c r="C1561" s="73"/>
      <c r="D1561" s="73"/>
      <c r="E1561" s="73"/>
      <c r="F1561" s="73"/>
      <c r="G1561" s="74" t="s">
        <v>3</v>
      </c>
      <c r="H1561" s="153">
        <f>0.3*H1560</f>
        <v>5.1479999999999989E-3</v>
      </c>
      <c r="I1561" s="72"/>
      <c r="K1561" s="658"/>
    </row>
    <row r="1562" spans="1:11" customFormat="1" x14ac:dyDescent="0.25">
      <c r="A1562" s="661"/>
      <c r="B1562" s="73"/>
      <c r="C1562" s="75" t="s">
        <v>8743</v>
      </c>
      <c r="D1562" s="73"/>
      <c r="E1562" s="73"/>
      <c r="F1562" s="73"/>
      <c r="G1562" s="74"/>
      <c r="H1562" s="153"/>
      <c r="I1562" s="72"/>
      <c r="K1562" s="658"/>
    </row>
    <row r="1563" spans="1:11" customFormat="1" x14ac:dyDescent="0.25">
      <c r="A1563" s="661"/>
      <c r="B1563" s="73"/>
      <c r="C1563" s="73" t="s">
        <v>2405</v>
      </c>
      <c r="D1563" s="73"/>
      <c r="E1563" s="73"/>
      <c r="F1563" s="73"/>
      <c r="G1563" s="74" t="s">
        <v>3</v>
      </c>
      <c r="H1563" s="153">
        <v>0.11</v>
      </c>
      <c r="I1563" s="72"/>
      <c r="J1563" t="s">
        <v>8742</v>
      </c>
      <c r="K1563" s="658"/>
    </row>
    <row r="1564" spans="1:11" customFormat="1" x14ac:dyDescent="0.25">
      <c r="A1564" s="661"/>
      <c r="B1564" s="73"/>
      <c r="C1564" s="75" t="s">
        <v>8741</v>
      </c>
      <c r="D1564" s="73"/>
      <c r="E1564" s="73"/>
      <c r="F1564" s="73"/>
      <c r="G1564" s="74"/>
      <c r="H1564" s="153"/>
      <c r="I1564" s="72"/>
      <c r="K1564" s="658"/>
    </row>
    <row r="1565" spans="1:11" customFormat="1" x14ac:dyDescent="0.25">
      <c r="A1565" s="661"/>
      <c r="B1565" s="73"/>
      <c r="C1565" s="73" t="s">
        <v>2405</v>
      </c>
      <c r="D1565" s="73"/>
      <c r="E1565" s="73"/>
      <c r="F1565" s="73"/>
      <c r="G1565" s="74" t="s">
        <v>3</v>
      </c>
      <c r="H1565" s="153">
        <v>1.7000000000000001E-2</v>
      </c>
      <c r="I1565" s="72"/>
      <c r="J1565" t="s">
        <v>8313</v>
      </c>
      <c r="K1565" s="658"/>
    </row>
    <row r="1566" spans="1:11" customFormat="1" x14ac:dyDescent="0.25">
      <c r="A1566" s="661"/>
      <c r="B1566" s="73"/>
      <c r="C1566" s="73"/>
      <c r="D1566" s="73"/>
      <c r="E1566" s="73"/>
      <c r="F1566" s="73"/>
      <c r="G1566" s="74"/>
      <c r="H1566" s="153"/>
      <c r="I1566" s="72"/>
      <c r="K1566" s="658"/>
    </row>
    <row r="1567" spans="1:11" customFormat="1" x14ac:dyDescent="0.25">
      <c r="A1567" s="678"/>
      <c r="B1567" s="75" t="s">
        <v>8740</v>
      </c>
      <c r="C1567" s="73"/>
      <c r="D1567" s="73"/>
      <c r="E1567" s="73"/>
      <c r="F1567" s="73"/>
      <c r="G1567" s="74"/>
      <c r="H1567" s="153"/>
      <c r="I1567" s="72"/>
      <c r="K1567" s="658"/>
    </row>
    <row r="1568" spans="1:11" customFormat="1" x14ac:dyDescent="0.25">
      <c r="A1568" s="661"/>
      <c r="B1568" s="77" t="s">
        <v>124</v>
      </c>
      <c r="C1568" s="73"/>
      <c r="D1568" s="73"/>
      <c r="E1568" s="73"/>
      <c r="F1568" s="73"/>
      <c r="G1568" s="74" t="s">
        <v>3</v>
      </c>
      <c r="H1568" s="153">
        <f>0.014*3.14*0.08*1.2</f>
        <v>4.2201600000000006E-3</v>
      </c>
      <c r="I1568" s="72"/>
      <c r="K1568" s="658"/>
    </row>
    <row r="1569" spans="1:11" customFormat="1" ht="17.25" x14ac:dyDescent="0.25">
      <c r="A1569" s="661"/>
      <c r="B1569" s="77" t="s">
        <v>168</v>
      </c>
      <c r="C1569" s="73"/>
      <c r="D1569" s="73"/>
      <c r="E1569" s="73"/>
      <c r="F1569" s="73"/>
      <c r="G1569" s="74" t="s">
        <v>596</v>
      </c>
      <c r="H1569" s="153">
        <f>H1568*1.09</f>
        <v>4.5999744000000007E-3</v>
      </c>
      <c r="I1569" s="72"/>
      <c r="K1569" s="658"/>
    </row>
    <row r="1570" spans="1:11" customFormat="1" x14ac:dyDescent="0.25">
      <c r="A1570" s="661"/>
      <c r="B1570" s="73" t="s">
        <v>114</v>
      </c>
      <c r="C1570" s="75"/>
      <c r="D1570" s="73"/>
      <c r="E1570" s="73"/>
      <c r="F1570" s="73"/>
      <c r="G1570" s="74" t="s">
        <v>3</v>
      </c>
      <c r="H1570" s="153">
        <f>H1572*0.9</f>
        <v>2.0195999999999999E-2</v>
      </c>
      <c r="I1570" s="72"/>
      <c r="K1570" s="658"/>
    </row>
    <row r="1571" spans="1:11" customFormat="1" x14ac:dyDescent="0.25">
      <c r="A1571" s="661"/>
      <c r="B1571" s="73" t="s">
        <v>164</v>
      </c>
      <c r="C1571" s="75"/>
      <c r="D1571" s="73"/>
      <c r="E1571" s="73"/>
      <c r="F1571" s="73"/>
      <c r="G1571" s="74" t="s">
        <v>3</v>
      </c>
      <c r="H1571" s="153">
        <f>0.3*H1570</f>
        <v>6.0587999999999996E-3</v>
      </c>
      <c r="I1571" s="72"/>
      <c r="K1571" s="658"/>
    </row>
    <row r="1572" spans="1:11" customFormat="1" x14ac:dyDescent="0.25">
      <c r="A1572" s="661"/>
      <c r="B1572" s="73" t="s">
        <v>401</v>
      </c>
      <c r="C1572" s="75"/>
      <c r="D1572" s="73"/>
      <c r="E1572" s="73"/>
      <c r="F1572" s="73"/>
      <c r="G1572" s="74" t="s">
        <v>3</v>
      </c>
      <c r="H1572" s="153">
        <f>0.85*0.011*2*1.2</f>
        <v>2.2439999999999998E-2</v>
      </c>
      <c r="I1572" s="72"/>
      <c r="K1572" s="658"/>
    </row>
    <row r="1573" spans="1:11" customFormat="1" x14ac:dyDescent="0.25">
      <c r="A1573" s="661"/>
      <c r="B1573" s="73" t="s">
        <v>12</v>
      </c>
      <c r="C1573" s="73"/>
      <c r="D1573" s="73"/>
      <c r="E1573" s="73"/>
      <c r="F1573" s="73"/>
      <c r="G1573" s="74" t="s">
        <v>3</v>
      </c>
      <c r="H1573" s="153">
        <f>0.3*H1572</f>
        <v>6.7319999999999993E-3</v>
      </c>
      <c r="I1573" s="72"/>
      <c r="K1573" s="658"/>
    </row>
    <row r="1574" spans="1:11" customFormat="1" x14ac:dyDescent="0.25">
      <c r="A1574" s="661"/>
      <c r="B1574" s="73"/>
      <c r="C1574" s="75" t="s">
        <v>8739</v>
      </c>
      <c r="D1574" s="73"/>
      <c r="E1574" s="73"/>
      <c r="F1574" s="73"/>
      <c r="G1574" s="74"/>
      <c r="H1574" s="153"/>
      <c r="I1574" s="72"/>
      <c r="K1574" s="658"/>
    </row>
    <row r="1575" spans="1:11" customFormat="1" x14ac:dyDescent="0.25">
      <c r="A1575" s="661"/>
      <c r="B1575" s="73"/>
      <c r="C1575" s="73" t="s">
        <v>1481</v>
      </c>
      <c r="D1575" s="73"/>
      <c r="E1575" s="73"/>
      <c r="F1575" s="73"/>
      <c r="G1575" s="74" t="s">
        <v>3</v>
      </c>
      <c r="H1575" s="153">
        <v>0.28999999999999998</v>
      </c>
      <c r="I1575" s="72"/>
      <c r="J1575" t="s">
        <v>8738</v>
      </c>
      <c r="K1575" s="658"/>
    </row>
    <row r="1576" spans="1:11" customFormat="1" x14ac:dyDescent="0.25">
      <c r="A1576" s="661"/>
      <c r="B1576" s="73"/>
      <c r="C1576" s="73"/>
      <c r="D1576" s="73"/>
      <c r="E1576" s="73"/>
      <c r="F1576" s="73"/>
      <c r="G1576" s="74"/>
      <c r="H1576" s="153"/>
      <c r="I1576" s="72"/>
      <c r="K1576" s="658"/>
    </row>
    <row r="1577" spans="1:11" customFormat="1" x14ac:dyDescent="0.25">
      <c r="A1577" s="678"/>
      <c r="B1577" s="75" t="s">
        <v>8737</v>
      </c>
      <c r="C1577" s="73"/>
      <c r="D1577" s="73"/>
      <c r="E1577" s="73"/>
      <c r="F1577" s="73"/>
      <c r="G1577" s="74"/>
      <c r="H1577" s="153"/>
      <c r="I1577" s="72"/>
      <c r="K1577" s="658"/>
    </row>
    <row r="1578" spans="1:11" customFormat="1" x14ac:dyDescent="0.25">
      <c r="A1578" s="661"/>
      <c r="B1578" s="77" t="s">
        <v>124</v>
      </c>
      <c r="C1578" s="73"/>
      <c r="D1578" s="73"/>
      <c r="E1578" s="73"/>
      <c r="F1578" s="73"/>
      <c r="G1578" s="74" t="s">
        <v>3</v>
      </c>
      <c r="H1578" s="153">
        <f>0.014*3.14*0.08*1.2</f>
        <v>4.2201600000000006E-3</v>
      </c>
      <c r="I1578" s="72"/>
      <c r="K1578" s="658"/>
    </row>
    <row r="1579" spans="1:11" customFormat="1" ht="17.25" x14ac:dyDescent="0.25">
      <c r="A1579" s="661"/>
      <c r="B1579" s="77" t="s">
        <v>168</v>
      </c>
      <c r="C1579" s="73"/>
      <c r="D1579" s="73"/>
      <c r="E1579" s="73"/>
      <c r="F1579" s="73"/>
      <c r="G1579" s="74" t="s">
        <v>596</v>
      </c>
      <c r="H1579" s="153">
        <f>H1578*1.09</f>
        <v>4.5999744000000007E-3</v>
      </c>
      <c r="I1579" s="72"/>
      <c r="K1579" s="658"/>
    </row>
    <row r="1580" spans="1:11" customFormat="1" x14ac:dyDescent="0.25">
      <c r="A1580" s="661"/>
      <c r="B1580" s="73" t="s">
        <v>114</v>
      </c>
      <c r="C1580" s="75"/>
      <c r="D1580" s="73"/>
      <c r="E1580" s="73"/>
      <c r="F1580" s="73"/>
      <c r="G1580" s="74" t="s">
        <v>3</v>
      </c>
      <c r="H1580" s="153">
        <f>H1582</f>
        <v>5.28E-3</v>
      </c>
      <c r="I1580" s="72"/>
      <c r="K1580" s="658"/>
    </row>
    <row r="1581" spans="1:11" customFormat="1" x14ac:dyDescent="0.25">
      <c r="A1581" s="661"/>
      <c r="B1581" s="73" t="s">
        <v>164</v>
      </c>
      <c r="C1581" s="75"/>
      <c r="D1581" s="73"/>
      <c r="E1581" s="73"/>
      <c r="F1581" s="73"/>
      <c r="G1581" s="74" t="s">
        <v>3</v>
      </c>
      <c r="H1581" s="153">
        <f>0.3*H1580</f>
        <v>1.5839999999999999E-3</v>
      </c>
      <c r="I1581" s="72"/>
      <c r="K1581" s="658"/>
    </row>
    <row r="1582" spans="1:11" customFormat="1" x14ac:dyDescent="0.25">
      <c r="A1582" s="661"/>
      <c r="B1582" s="73" t="s">
        <v>401</v>
      </c>
      <c r="C1582" s="75"/>
      <c r="D1582" s="73"/>
      <c r="E1582" s="73"/>
      <c r="F1582" s="73"/>
      <c r="G1582" s="74" t="s">
        <v>3</v>
      </c>
      <c r="H1582" s="153">
        <f>0.2*0.011*2*1.2</f>
        <v>5.28E-3</v>
      </c>
      <c r="I1582" s="72"/>
      <c r="K1582" s="658"/>
    </row>
    <row r="1583" spans="1:11" customFormat="1" x14ac:dyDescent="0.25">
      <c r="A1583" s="661"/>
      <c r="B1583" s="73" t="s">
        <v>12</v>
      </c>
      <c r="C1583" s="73"/>
      <c r="D1583" s="73"/>
      <c r="E1583" s="73"/>
      <c r="F1583" s="73"/>
      <c r="G1583" s="74" t="s">
        <v>3</v>
      </c>
      <c r="H1583" s="153">
        <f>0.3*H1582</f>
        <v>1.5839999999999999E-3</v>
      </c>
      <c r="I1583" s="72"/>
      <c r="K1583" s="658"/>
    </row>
    <row r="1584" spans="1:11" customFormat="1" x14ac:dyDescent="0.25">
      <c r="A1584" s="661"/>
      <c r="B1584" s="73"/>
      <c r="C1584" s="75" t="s">
        <v>8736</v>
      </c>
      <c r="D1584" s="73"/>
      <c r="E1584" s="73"/>
      <c r="F1584" s="73"/>
      <c r="G1584" s="74"/>
      <c r="H1584" s="153"/>
      <c r="I1584" s="72"/>
      <c r="K1584" s="658"/>
    </row>
    <row r="1585" spans="1:11" customFormat="1" x14ac:dyDescent="0.25">
      <c r="A1585" s="661"/>
      <c r="B1585" s="73"/>
      <c r="C1585" s="73" t="s">
        <v>1481</v>
      </c>
      <c r="D1585" s="73"/>
      <c r="E1585" s="73"/>
      <c r="F1585" s="73"/>
      <c r="G1585" s="74" t="s">
        <v>3</v>
      </c>
      <c r="H1585" s="153">
        <v>6.5000000000000002E-2</v>
      </c>
      <c r="I1585" s="72"/>
      <c r="J1585" t="s">
        <v>8735</v>
      </c>
      <c r="K1585" s="658"/>
    </row>
    <row r="1586" spans="1:11" customFormat="1" x14ac:dyDescent="0.25">
      <c r="A1586" s="661"/>
      <c r="B1586" s="73"/>
      <c r="C1586" s="73"/>
      <c r="D1586" s="73"/>
      <c r="E1586" s="73"/>
      <c r="F1586" s="73"/>
      <c r="G1586" s="74"/>
      <c r="H1586" s="153"/>
      <c r="I1586" s="72"/>
      <c r="K1586" s="658"/>
    </row>
    <row r="1587" spans="1:11" customFormat="1" x14ac:dyDescent="0.25">
      <c r="A1587" s="678"/>
      <c r="B1587" s="75" t="s">
        <v>8734</v>
      </c>
      <c r="C1587" s="73"/>
      <c r="D1587" s="73"/>
      <c r="E1587" s="73"/>
      <c r="F1587" s="73"/>
      <c r="G1587" s="74"/>
      <c r="H1587" s="153"/>
      <c r="I1587" s="72"/>
      <c r="K1587" s="658"/>
    </row>
    <row r="1588" spans="1:11" customFormat="1" x14ac:dyDescent="0.25">
      <c r="A1588" s="661"/>
      <c r="B1588" s="73" t="s">
        <v>114</v>
      </c>
      <c r="C1588" s="75"/>
      <c r="D1588" s="73"/>
      <c r="E1588" s="73"/>
      <c r="F1588" s="73"/>
      <c r="G1588" s="74" t="s">
        <v>3</v>
      </c>
      <c r="H1588" s="153">
        <f>H1590</f>
        <v>1.2374999999999999E-2</v>
      </c>
      <c r="I1588" s="72"/>
      <c r="K1588" s="658"/>
    </row>
    <row r="1589" spans="1:11" customFormat="1" x14ac:dyDescent="0.25">
      <c r="A1589" s="661"/>
      <c r="B1589" s="73" t="s">
        <v>164</v>
      </c>
      <c r="C1589" s="75"/>
      <c r="D1589" s="73"/>
      <c r="E1589" s="73"/>
      <c r="F1589" s="73"/>
      <c r="G1589" s="74" t="s">
        <v>3</v>
      </c>
      <c r="H1589" s="153">
        <f>0.3*H1588</f>
        <v>3.7124999999999997E-3</v>
      </c>
      <c r="I1589" s="72"/>
      <c r="K1589" s="658"/>
    </row>
    <row r="1590" spans="1:11" customFormat="1" x14ac:dyDescent="0.25">
      <c r="A1590" s="661"/>
      <c r="B1590" s="73" t="s">
        <v>401</v>
      </c>
      <c r="C1590" s="75"/>
      <c r="D1590" s="73"/>
      <c r="E1590" s="73"/>
      <c r="F1590" s="73"/>
      <c r="G1590" s="74" t="s">
        <v>3</v>
      </c>
      <c r="H1590" s="153">
        <f>0.45*0.011*2*1.25</f>
        <v>1.2374999999999999E-2</v>
      </c>
      <c r="I1590" s="72"/>
      <c r="K1590" s="658"/>
    </row>
    <row r="1591" spans="1:11" customFormat="1" x14ac:dyDescent="0.25">
      <c r="A1591" s="661"/>
      <c r="B1591" s="73" t="s">
        <v>12</v>
      </c>
      <c r="C1591" s="73"/>
      <c r="D1591" s="73"/>
      <c r="E1591" s="73"/>
      <c r="F1591" s="73"/>
      <c r="G1591" s="74" t="s">
        <v>3</v>
      </c>
      <c r="H1591" s="153">
        <f>0.3*H1590</f>
        <v>3.7124999999999997E-3</v>
      </c>
      <c r="I1591" s="72"/>
      <c r="K1591" s="658"/>
    </row>
    <row r="1592" spans="1:11" customFormat="1" x14ac:dyDescent="0.25">
      <c r="A1592" s="661"/>
      <c r="B1592" s="73"/>
      <c r="C1592" s="75" t="s">
        <v>8733</v>
      </c>
      <c r="D1592" s="73"/>
      <c r="E1592" s="73"/>
      <c r="F1592" s="73"/>
      <c r="G1592" s="74"/>
      <c r="H1592" s="153"/>
      <c r="I1592" s="72"/>
      <c r="K1592" s="658"/>
    </row>
    <row r="1593" spans="1:11" customFormat="1" x14ac:dyDescent="0.25">
      <c r="A1593" s="661"/>
      <c r="B1593" s="73"/>
      <c r="C1593" s="73" t="s">
        <v>2405</v>
      </c>
      <c r="D1593" s="73"/>
      <c r="E1593" s="73"/>
      <c r="F1593" s="73"/>
      <c r="G1593" s="74" t="s">
        <v>3</v>
      </c>
      <c r="H1593" s="153">
        <v>0.08</v>
      </c>
      <c r="I1593" s="72"/>
      <c r="J1593" t="s">
        <v>2446</v>
      </c>
      <c r="K1593" s="658"/>
    </row>
    <row r="1594" spans="1:11" customFormat="1" x14ac:dyDescent="0.25">
      <c r="A1594" s="661"/>
      <c r="B1594" s="73"/>
      <c r="C1594" s="73"/>
      <c r="D1594" s="73"/>
      <c r="E1594" s="73"/>
      <c r="F1594" s="73"/>
      <c r="G1594" s="74"/>
      <c r="H1594" s="153"/>
      <c r="I1594" s="72"/>
      <c r="K1594" s="658"/>
    </row>
    <row r="1595" spans="1:11" customFormat="1" x14ac:dyDescent="0.25">
      <c r="A1595" s="678"/>
      <c r="B1595" s="75" t="s">
        <v>8732</v>
      </c>
      <c r="C1595" s="73"/>
      <c r="D1595" s="73"/>
      <c r="E1595" s="73"/>
      <c r="F1595" s="73"/>
      <c r="G1595" s="74"/>
      <c r="H1595" s="153"/>
      <c r="I1595" s="72"/>
      <c r="K1595" s="658"/>
    </row>
    <row r="1596" spans="1:11" customFormat="1" x14ac:dyDescent="0.25">
      <c r="A1596" s="661"/>
      <c r="B1596" s="77" t="s">
        <v>124</v>
      </c>
      <c r="C1596" s="73"/>
      <c r="D1596" s="73"/>
      <c r="E1596" s="73"/>
      <c r="F1596" s="73"/>
      <c r="G1596" s="74" t="s">
        <v>3</v>
      </c>
      <c r="H1596" s="153">
        <f>0.008*3.14*0.08*1.2</f>
        <v>2.4115199999999999E-3</v>
      </c>
      <c r="I1596" s="72"/>
      <c r="K1596" s="658"/>
    </row>
    <row r="1597" spans="1:11" customFormat="1" ht="17.25" x14ac:dyDescent="0.25">
      <c r="A1597" s="661"/>
      <c r="B1597" s="77" t="s">
        <v>168</v>
      </c>
      <c r="C1597" s="73"/>
      <c r="D1597" s="73"/>
      <c r="E1597" s="73"/>
      <c r="F1597" s="73"/>
      <c r="G1597" s="74" t="s">
        <v>596</v>
      </c>
      <c r="H1597" s="153">
        <f>H1596*1.09</f>
        <v>2.6285568E-3</v>
      </c>
      <c r="I1597" s="72"/>
      <c r="K1597" s="658"/>
    </row>
    <row r="1598" spans="1:11" customFormat="1" x14ac:dyDescent="0.25">
      <c r="A1598" s="661"/>
      <c r="B1598" s="73" t="s">
        <v>114</v>
      </c>
      <c r="C1598" s="75"/>
      <c r="D1598" s="73"/>
      <c r="E1598" s="73"/>
      <c r="F1598" s="73"/>
      <c r="G1598" s="74" t="s">
        <v>3</v>
      </c>
      <c r="H1598" s="153">
        <f>H1600</f>
        <v>9.8010000000000007E-3</v>
      </c>
      <c r="I1598" s="72"/>
      <c r="K1598" s="658"/>
    </row>
    <row r="1599" spans="1:11" customFormat="1" x14ac:dyDescent="0.25">
      <c r="A1599" s="661"/>
      <c r="B1599" s="73" t="s">
        <v>164</v>
      </c>
      <c r="C1599" s="75"/>
      <c r="D1599" s="73"/>
      <c r="E1599" s="73"/>
      <c r="F1599" s="73"/>
      <c r="G1599" s="74" t="s">
        <v>3</v>
      </c>
      <c r="H1599" s="153">
        <f>0.3*H1598</f>
        <v>2.9403000000000003E-3</v>
      </c>
      <c r="I1599" s="72"/>
      <c r="K1599" s="658"/>
    </row>
    <row r="1600" spans="1:11" customFormat="1" x14ac:dyDescent="0.25">
      <c r="A1600" s="661"/>
      <c r="B1600" s="73" t="s">
        <v>401</v>
      </c>
      <c r="C1600" s="75"/>
      <c r="D1600" s="73"/>
      <c r="E1600" s="73"/>
      <c r="F1600" s="73"/>
      <c r="G1600" s="74" t="s">
        <v>3</v>
      </c>
      <c r="H1600" s="153">
        <f>0.33*0.011*2*1.35</f>
        <v>9.8010000000000007E-3</v>
      </c>
      <c r="I1600" s="72"/>
      <c r="K1600" s="658"/>
    </row>
    <row r="1601" spans="1:11" customFormat="1" x14ac:dyDescent="0.25">
      <c r="A1601" s="661"/>
      <c r="B1601" s="73" t="s">
        <v>12</v>
      </c>
      <c r="C1601" s="73"/>
      <c r="D1601" s="73"/>
      <c r="E1601" s="73"/>
      <c r="F1601" s="73"/>
      <c r="G1601" s="74" t="s">
        <v>3</v>
      </c>
      <c r="H1601" s="153">
        <f>0.3*H1600</f>
        <v>2.9403000000000003E-3</v>
      </c>
      <c r="I1601" s="72"/>
      <c r="K1601" s="658"/>
    </row>
    <row r="1602" spans="1:11" customFormat="1" x14ac:dyDescent="0.25">
      <c r="A1602" s="661"/>
      <c r="B1602" s="73"/>
      <c r="C1602" s="75" t="s">
        <v>8731</v>
      </c>
      <c r="D1602" s="73"/>
      <c r="E1602" s="73"/>
      <c r="F1602" s="73"/>
      <c r="G1602" s="74"/>
      <c r="H1602" s="153"/>
      <c r="I1602" s="72"/>
      <c r="K1602" s="658"/>
    </row>
    <row r="1603" spans="1:11" customFormat="1" x14ac:dyDescent="0.25">
      <c r="A1603" s="661"/>
      <c r="B1603" s="73"/>
      <c r="C1603" s="73" t="s">
        <v>2405</v>
      </c>
      <c r="D1603" s="73"/>
      <c r="E1603" s="73"/>
      <c r="F1603" s="73"/>
      <c r="G1603" s="74" t="s">
        <v>3</v>
      </c>
      <c r="H1603" s="153">
        <v>6.2E-2</v>
      </c>
      <c r="I1603" s="72"/>
      <c r="J1603" t="s">
        <v>6489</v>
      </c>
      <c r="K1603" s="658"/>
    </row>
    <row r="1604" spans="1:11" customFormat="1" x14ac:dyDescent="0.25">
      <c r="A1604" s="661"/>
      <c r="B1604" s="73"/>
      <c r="C1604" s="73"/>
      <c r="D1604" s="73"/>
      <c r="E1604" s="73"/>
      <c r="F1604" s="73"/>
      <c r="G1604" s="74"/>
      <c r="H1604" s="153"/>
      <c r="I1604" s="72"/>
      <c r="K1604" s="658"/>
    </row>
    <row r="1605" spans="1:11" customFormat="1" x14ac:dyDescent="0.25">
      <c r="A1605" s="678"/>
      <c r="B1605" s="75" t="s">
        <v>8730</v>
      </c>
      <c r="C1605" s="73"/>
      <c r="D1605" s="73"/>
      <c r="E1605" s="73"/>
      <c r="F1605" s="73"/>
      <c r="G1605" s="74"/>
      <c r="H1605" s="153"/>
      <c r="I1605" s="72"/>
      <c r="K1605" s="658"/>
    </row>
    <row r="1606" spans="1:11" customFormat="1" x14ac:dyDescent="0.25">
      <c r="A1606" s="661"/>
      <c r="B1606" s="73" t="s">
        <v>114</v>
      </c>
      <c r="C1606" s="75"/>
      <c r="D1606" s="73"/>
      <c r="E1606" s="73"/>
      <c r="F1606" s="73"/>
      <c r="G1606" s="74" t="s">
        <v>3</v>
      </c>
      <c r="H1606" s="153">
        <f>H1608*0.8</f>
        <v>2.9567999999999997E-2</v>
      </c>
      <c r="I1606" s="72"/>
      <c r="K1606" s="658"/>
    </row>
    <row r="1607" spans="1:11" customFormat="1" x14ac:dyDescent="0.25">
      <c r="A1607" s="661"/>
      <c r="B1607" s="73" t="s">
        <v>164</v>
      </c>
      <c r="C1607" s="75"/>
      <c r="D1607" s="73"/>
      <c r="E1607" s="73"/>
      <c r="F1607" s="73"/>
      <c r="G1607" s="74" t="s">
        <v>3</v>
      </c>
      <c r="H1607" s="153">
        <f>0.3*H1606</f>
        <v>8.8703999999999988E-3</v>
      </c>
      <c r="I1607" s="72"/>
      <c r="K1607" s="658"/>
    </row>
    <row r="1608" spans="1:11" customFormat="1" x14ac:dyDescent="0.25">
      <c r="A1608" s="661"/>
      <c r="B1608" s="73" t="s">
        <v>401</v>
      </c>
      <c r="C1608" s="75"/>
      <c r="D1608" s="73"/>
      <c r="E1608" s="73"/>
      <c r="F1608" s="73"/>
      <c r="G1608" s="74" t="s">
        <v>3</v>
      </c>
      <c r="H1608" s="153">
        <f>1.4*0.011*2*1.2</f>
        <v>3.6959999999999993E-2</v>
      </c>
      <c r="I1608" s="72"/>
      <c r="K1608" s="658"/>
    </row>
    <row r="1609" spans="1:11" customFormat="1" x14ac:dyDescent="0.25">
      <c r="A1609" s="661"/>
      <c r="B1609" s="73" t="s">
        <v>12</v>
      </c>
      <c r="C1609" s="73"/>
      <c r="D1609" s="73"/>
      <c r="E1609" s="73"/>
      <c r="F1609" s="73"/>
      <c r="G1609" s="74" t="s">
        <v>3</v>
      </c>
      <c r="H1609" s="153">
        <f>0.3*H1608</f>
        <v>1.1087999999999997E-2</v>
      </c>
      <c r="I1609" s="72"/>
      <c r="K1609" s="658"/>
    </row>
    <row r="1610" spans="1:11" customFormat="1" x14ac:dyDescent="0.25">
      <c r="A1610" s="661"/>
      <c r="B1610" s="73"/>
      <c r="C1610" s="75" t="s">
        <v>8729</v>
      </c>
      <c r="D1610" s="73"/>
      <c r="E1610" s="73"/>
      <c r="F1610" s="73"/>
      <c r="G1610" s="74"/>
      <c r="H1610" s="153"/>
      <c r="I1610" s="72"/>
      <c r="K1610" s="658"/>
    </row>
    <row r="1611" spans="1:11" customFormat="1" x14ac:dyDescent="0.25">
      <c r="A1611" s="661"/>
      <c r="B1611" s="73"/>
      <c r="C1611" s="73" t="s">
        <v>1484</v>
      </c>
      <c r="D1611" s="73"/>
      <c r="E1611" s="73"/>
      <c r="F1611" s="73"/>
      <c r="G1611" s="74" t="s">
        <v>3</v>
      </c>
      <c r="H1611" s="153">
        <v>0.40500000000000003</v>
      </c>
      <c r="I1611" s="72"/>
      <c r="J1611" t="s">
        <v>8728</v>
      </c>
      <c r="K1611" s="658"/>
    </row>
    <row r="1612" spans="1:11" customFormat="1" x14ac:dyDescent="0.25">
      <c r="A1612" s="661"/>
      <c r="B1612" s="73"/>
      <c r="C1612" s="73"/>
      <c r="D1612" s="73"/>
      <c r="E1612" s="73"/>
      <c r="F1612" s="73"/>
      <c r="G1612" s="74"/>
      <c r="H1612" s="153"/>
      <c r="I1612" s="72"/>
      <c r="K1612" s="658"/>
    </row>
    <row r="1613" spans="1:11" customFormat="1" x14ac:dyDescent="0.25">
      <c r="A1613" s="678"/>
      <c r="B1613" s="75" t="s">
        <v>8727</v>
      </c>
      <c r="C1613" s="73"/>
      <c r="D1613" s="73"/>
      <c r="E1613" s="73"/>
      <c r="F1613" s="73"/>
      <c r="G1613" s="74"/>
      <c r="H1613" s="153"/>
      <c r="I1613" s="72"/>
      <c r="K1613" s="658"/>
    </row>
    <row r="1614" spans="1:11" customFormat="1" x14ac:dyDescent="0.25">
      <c r="A1614" s="661"/>
      <c r="B1614" s="77" t="s">
        <v>124</v>
      </c>
      <c r="C1614" s="73"/>
      <c r="D1614" s="73"/>
      <c r="E1614" s="73"/>
      <c r="F1614" s="73"/>
      <c r="G1614" s="74" t="s">
        <v>3</v>
      </c>
      <c r="H1614" s="153">
        <f>0.012*3.14*3*0.08*1.2</f>
        <v>1.0851840000000001E-2</v>
      </c>
      <c r="I1614" s="72"/>
      <c r="K1614" s="658"/>
    </row>
    <row r="1615" spans="1:11" customFormat="1" ht="17.25" x14ac:dyDescent="0.25">
      <c r="A1615" s="661"/>
      <c r="B1615" s="77" t="s">
        <v>168</v>
      </c>
      <c r="C1615" s="73"/>
      <c r="D1615" s="73"/>
      <c r="E1615" s="73"/>
      <c r="F1615" s="73"/>
      <c r="G1615" s="74" t="s">
        <v>596</v>
      </c>
      <c r="H1615" s="153">
        <f>H1614*1.09</f>
        <v>1.1828505600000002E-2</v>
      </c>
      <c r="I1615" s="72"/>
      <c r="K1615" s="658"/>
    </row>
    <row r="1616" spans="1:11" customFormat="1" x14ac:dyDescent="0.25">
      <c r="A1616" s="661"/>
      <c r="B1616" s="73" t="s">
        <v>114</v>
      </c>
      <c r="C1616" s="75"/>
      <c r="D1616" s="73"/>
      <c r="E1616" s="73"/>
      <c r="F1616" s="73"/>
      <c r="G1616" s="74" t="s">
        <v>3</v>
      </c>
      <c r="H1616" s="153">
        <f>H1618*0.9</f>
        <v>2.4947999999999998E-2</v>
      </c>
      <c r="I1616" s="72"/>
      <c r="K1616" s="658"/>
    </row>
    <row r="1617" spans="1:11" customFormat="1" x14ac:dyDescent="0.25">
      <c r="A1617" s="661"/>
      <c r="B1617" s="73" t="s">
        <v>164</v>
      </c>
      <c r="C1617" s="75"/>
      <c r="D1617" s="73"/>
      <c r="E1617" s="73"/>
      <c r="F1617" s="73"/>
      <c r="G1617" s="74" t="s">
        <v>3</v>
      </c>
      <c r="H1617" s="153">
        <f>0.3*H1616</f>
        <v>7.4843999999999987E-3</v>
      </c>
      <c r="I1617" s="72"/>
      <c r="K1617" s="658"/>
    </row>
    <row r="1618" spans="1:11" customFormat="1" x14ac:dyDescent="0.25">
      <c r="A1618" s="661"/>
      <c r="B1618" s="73" t="s">
        <v>401</v>
      </c>
      <c r="C1618" s="75"/>
      <c r="D1618" s="73"/>
      <c r="E1618" s="73"/>
      <c r="F1618" s="73"/>
      <c r="G1618" s="74" t="s">
        <v>3</v>
      </c>
      <c r="H1618" s="153">
        <f>1.05*0.011*2*1.2</f>
        <v>2.7719999999999998E-2</v>
      </c>
      <c r="I1618" s="72"/>
      <c r="K1618" s="658"/>
    </row>
    <row r="1619" spans="1:11" customFormat="1" x14ac:dyDescent="0.25">
      <c r="A1619" s="661"/>
      <c r="B1619" s="73" t="s">
        <v>12</v>
      </c>
      <c r="C1619" s="73"/>
      <c r="D1619" s="73"/>
      <c r="E1619" s="73"/>
      <c r="F1619" s="73"/>
      <c r="G1619" s="74" t="s">
        <v>3</v>
      </c>
      <c r="H1619" s="153">
        <f>0.3*H1618</f>
        <v>8.3159999999999987E-3</v>
      </c>
      <c r="I1619" s="72"/>
      <c r="K1619" s="658"/>
    </row>
    <row r="1620" spans="1:11" customFormat="1" x14ac:dyDescent="0.25">
      <c r="A1620" s="661"/>
      <c r="B1620" s="73"/>
      <c r="C1620" s="75" t="s">
        <v>8726</v>
      </c>
      <c r="D1620" s="73"/>
      <c r="E1620" s="73"/>
      <c r="F1620" s="73"/>
      <c r="G1620" s="74"/>
      <c r="H1620" s="153"/>
      <c r="I1620" s="72"/>
      <c r="K1620" s="658"/>
    </row>
    <row r="1621" spans="1:11" customFormat="1" x14ac:dyDescent="0.25">
      <c r="A1621" s="661"/>
      <c r="B1621" s="73"/>
      <c r="C1621" s="73" t="s">
        <v>1484</v>
      </c>
      <c r="D1621" s="73"/>
      <c r="E1621" s="73"/>
      <c r="F1621" s="73"/>
      <c r="G1621" s="74" t="s">
        <v>3</v>
      </c>
      <c r="H1621" s="153">
        <v>0.40500000000000003</v>
      </c>
      <c r="I1621" s="72"/>
      <c r="J1621" t="s">
        <v>8725</v>
      </c>
      <c r="K1621" s="658"/>
    </row>
    <row r="1622" spans="1:11" customFormat="1" x14ac:dyDescent="0.25">
      <c r="A1622" s="661"/>
      <c r="B1622" s="73"/>
      <c r="C1622" s="75" t="s">
        <v>8724</v>
      </c>
      <c r="D1622" s="73"/>
      <c r="E1622" s="73"/>
      <c r="F1622" s="73"/>
      <c r="G1622" s="74"/>
      <c r="H1622" s="153"/>
      <c r="I1622" s="72"/>
      <c r="K1622" s="658"/>
    </row>
    <row r="1623" spans="1:11" customFormat="1" x14ac:dyDescent="0.25">
      <c r="A1623" s="661"/>
      <c r="B1623" s="73"/>
      <c r="C1623" s="73" t="s">
        <v>1484</v>
      </c>
      <c r="D1623" s="73"/>
      <c r="E1623" s="73"/>
      <c r="F1623" s="73"/>
      <c r="G1623" s="74" t="s">
        <v>3</v>
      </c>
      <c r="H1623" s="153">
        <v>0.40500000000000003</v>
      </c>
      <c r="I1623" s="72"/>
      <c r="J1623" t="s">
        <v>8723</v>
      </c>
      <c r="K1623" s="658"/>
    </row>
    <row r="1624" spans="1:11" customFormat="1" x14ac:dyDescent="0.25">
      <c r="A1624" s="661"/>
      <c r="B1624" s="73"/>
      <c r="C1624" s="73"/>
      <c r="D1624" s="73"/>
      <c r="E1624" s="73"/>
      <c r="F1624" s="73"/>
      <c r="G1624" s="74"/>
      <c r="H1624" s="153"/>
      <c r="I1624" s="72"/>
      <c r="K1624" s="658"/>
    </row>
    <row r="1625" spans="1:11" customFormat="1" x14ac:dyDescent="0.25">
      <c r="A1625" s="678"/>
      <c r="B1625" s="75" t="s">
        <v>8722</v>
      </c>
      <c r="C1625" s="73"/>
      <c r="D1625" s="73"/>
      <c r="E1625" s="73"/>
      <c r="F1625" s="73"/>
      <c r="G1625" s="74"/>
      <c r="H1625" s="153"/>
      <c r="I1625" s="72"/>
      <c r="K1625" s="658"/>
    </row>
    <row r="1626" spans="1:11" customFormat="1" x14ac:dyDescent="0.25">
      <c r="A1626" s="661"/>
      <c r="B1626" s="77" t="s">
        <v>124</v>
      </c>
      <c r="C1626" s="73"/>
      <c r="D1626" s="73"/>
      <c r="E1626" s="73"/>
      <c r="F1626" s="73"/>
      <c r="G1626" s="74" t="s">
        <v>3</v>
      </c>
      <c r="H1626" s="153">
        <f>0.014*3.14*7*0.05*1.29</f>
        <v>1.9847940000000005E-2</v>
      </c>
      <c r="I1626" s="72"/>
      <c r="K1626" s="658"/>
    </row>
    <row r="1627" spans="1:11" customFormat="1" ht="17.25" x14ac:dyDescent="0.25">
      <c r="A1627" s="661"/>
      <c r="B1627" s="77" t="s">
        <v>168</v>
      </c>
      <c r="C1627" s="73"/>
      <c r="D1627" s="73"/>
      <c r="E1627" s="73"/>
      <c r="F1627" s="73"/>
      <c r="G1627" s="74" t="s">
        <v>596</v>
      </c>
      <c r="H1627" s="153">
        <f>H1626*1.09</f>
        <v>2.1634254600000007E-2</v>
      </c>
      <c r="I1627" s="72"/>
      <c r="K1627" s="658"/>
    </row>
    <row r="1628" spans="1:11" customFormat="1" x14ac:dyDescent="0.25">
      <c r="A1628" s="661"/>
      <c r="B1628" s="73" t="s">
        <v>114</v>
      </c>
      <c r="C1628" s="75"/>
      <c r="D1628" s="73"/>
      <c r="E1628" s="73"/>
      <c r="F1628" s="73"/>
      <c r="G1628" s="74" t="s">
        <v>3</v>
      </c>
      <c r="H1628" s="153">
        <f>H1630*0.9</f>
        <v>1.2384899999999997E-2</v>
      </c>
      <c r="I1628" s="72"/>
      <c r="K1628" s="658"/>
    </row>
    <row r="1629" spans="1:11" customFormat="1" x14ac:dyDescent="0.25">
      <c r="A1629" s="661"/>
      <c r="B1629" s="73" t="s">
        <v>164</v>
      </c>
      <c r="C1629" s="75"/>
      <c r="D1629" s="73"/>
      <c r="E1629" s="73"/>
      <c r="F1629" s="73"/>
      <c r="G1629" s="74" t="s">
        <v>3</v>
      </c>
      <c r="H1629" s="153">
        <f>0.3*H1628</f>
        <v>3.7154699999999989E-3</v>
      </c>
      <c r="I1629" s="72"/>
      <c r="K1629" s="658"/>
    </row>
    <row r="1630" spans="1:11" customFormat="1" x14ac:dyDescent="0.25">
      <c r="A1630" s="661"/>
      <c r="B1630" s="73" t="s">
        <v>401</v>
      </c>
      <c r="C1630" s="75"/>
      <c r="D1630" s="73"/>
      <c r="E1630" s="73"/>
      <c r="F1630" s="73"/>
      <c r="G1630" s="74" t="s">
        <v>3</v>
      </c>
      <c r="H1630" s="153">
        <f>0.45*0.011*2*1.39</f>
        <v>1.3760999999999997E-2</v>
      </c>
      <c r="I1630" s="72"/>
      <c r="K1630" s="658"/>
    </row>
    <row r="1631" spans="1:11" customFormat="1" x14ac:dyDescent="0.25">
      <c r="A1631" s="661"/>
      <c r="B1631" s="73" t="s">
        <v>12</v>
      </c>
      <c r="C1631" s="73"/>
      <c r="D1631" s="73"/>
      <c r="E1631" s="73"/>
      <c r="F1631" s="73"/>
      <c r="G1631" s="74" t="s">
        <v>3</v>
      </c>
      <c r="H1631" s="153">
        <f>0.3*H1630</f>
        <v>4.1282999999999988E-3</v>
      </c>
      <c r="I1631" s="72"/>
      <c r="K1631" s="658"/>
    </row>
    <row r="1632" spans="1:11" customFormat="1" x14ac:dyDescent="0.25">
      <c r="A1632" s="661"/>
      <c r="B1632" s="73"/>
      <c r="C1632" s="75" t="s">
        <v>8721</v>
      </c>
      <c r="D1632" s="73"/>
      <c r="E1632" s="73"/>
      <c r="F1632" s="73"/>
      <c r="G1632" s="74"/>
      <c r="H1632" s="153"/>
      <c r="I1632" s="72"/>
      <c r="K1632" s="658"/>
    </row>
    <row r="1633" spans="1:11" customFormat="1" x14ac:dyDescent="0.25">
      <c r="A1633" s="661"/>
      <c r="B1633" s="73"/>
      <c r="C1633" s="73" t="s">
        <v>1481</v>
      </c>
      <c r="D1633" s="73"/>
      <c r="E1633" s="73"/>
      <c r="F1633" s="73"/>
      <c r="G1633" s="74" t="s">
        <v>3</v>
      </c>
      <c r="H1633" s="153">
        <v>1.2E-2</v>
      </c>
      <c r="I1633" s="72"/>
      <c r="J1633" t="s">
        <v>8720</v>
      </c>
      <c r="K1633" s="658"/>
    </row>
    <row r="1634" spans="1:11" customFormat="1" x14ac:dyDescent="0.25">
      <c r="A1634" s="661"/>
      <c r="B1634" s="73"/>
      <c r="C1634" s="75" t="s">
        <v>8719</v>
      </c>
      <c r="D1634" s="73"/>
      <c r="E1634" s="73"/>
      <c r="F1634" s="73"/>
      <c r="G1634" s="74"/>
      <c r="H1634" s="153"/>
      <c r="I1634" s="72"/>
      <c r="K1634" s="658"/>
    </row>
    <row r="1635" spans="1:11" customFormat="1" x14ac:dyDescent="0.25">
      <c r="A1635" s="661"/>
      <c r="B1635" s="73"/>
      <c r="C1635" s="73" t="s">
        <v>1481</v>
      </c>
      <c r="D1635" s="73"/>
      <c r="E1635" s="73"/>
      <c r="F1635" s="73"/>
      <c r="G1635" s="74" t="s">
        <v>3</v>
      </c>
      <c r="H1635" s="153">
        <v>0.05</v>
      </c>
      <c r="I1635" s="72"/>
      <c r="J1635" t="s">
        <v>8718</v>
      </c>
      <c r="K1635" s="658"/>
    </row>
    <row r="1636" spans="1:11" customFormat="1" x14ac:dyDescent="0.25">
      <c r="A1636" s="661"/>
      <c r="B1636" s="73"/>
      <c r="C1636" s="75" t="s">
        <v>8717</v>
      </c>
      <c r="D1636" s="73"/>
      <c r="E1636" s="73"/>
      <c r="F1636" s="73"/>
      <c r="G1636" s="74"/>
      <c r="H1636" s="153"/>
      <c r="I1636" s="72"/>
      <c r="K1636" s="658"/>
    </row>
    <row r="1637" spans="1:11" customFormat="1" x14ac:dyDescent="0.25">
      <c r="A1637" s="661"/>
      <c r="B1637" s="73"/>
      <c r="C1637" s="73" t="s">
        <v>1481</v>
      </c>
      <c r="D1637" s="73"/>
      <c r="E1637" s="73"/>
      <c r="F1637" s="73"/>
      <c r="G1637" s="74" t="s">
        <v>3</v>
      </c>
      <c r="H1637" s="153">
        <v>8.5000000000000006E-2</v>
      </c>
      <c r="I1637" s="72"/>
      <c r="J1637" t="s">
        <v>1160</v>
      </c>
      <c r="K1637" s="658"/>
    </row>
    <row r="1638" spans="1:11" customFormat="1" x14ac:dyDescent="0.25">
      <c r="A1638" s="661"/>
      <c r="B1638" s="73"/>
      <c r="C1638" s="73"/>
      <c r="D1638" s="73"/>
      <c r="E1638" s="73"/>
      <c r="F1638" s="73"/>
      <c r="G1638" s="74"/>
      <c r="H1638" s="153"/>
      <c r="I1638" s="72"/>
      <c r="K1638" s="658"/>
    </row>
    <row r="1639" spans="1:11" customFormat="1" x14ac:dyDescent="0.25">
      <c r="A1639" s="678"/>
      <c r="B1639" s="75" t="s">
        <v>8716</v>
      </c>
      <c r="C1639" s="73"/>
      <c r="D1639" s="73"/>
      <c r="E1639" s="73"/>
      <c r="F1639" s="73"/>
      <c r="G1639" s="74"/>
      <c r="H1639" s="153"/>
      <c r="I1639" s="72"/>
      <c r="K1639" s="658"/>
    </row>
    <row r="1640" spans="1:11" customFormat="1" x14ac:dyDescent="0.25">
      <c r="A1640" s="661"/>
      <c r="B1640" s="77" t="s">
        <v>124</v>
      </c>
      <c r="C1640" s="73"/>
      <c r="D1640" s="73"/>
      <c r="E1640" s="73"/>
      <c r="F1640" s="73"/>
      <c r="G1640" s="74" t="s">
        <v>3</v>
      </c>
      <c r="H1640" s="153">
        <f>0.014*3.14*2*0.07*1.2</f>
        <v>7.3852800000000019E-3</v>
      </c>
      <c r="I1640" s="72"/>
      <c r="K1640" s="658"/>
    </row>
    <row r="1641" spans="1:11" customFormat="1" ht="17.25" x14ac:dyDescent="0.25">
      <c r="A1641" s="661"/>
      <c r="B1641" s="77" t="s">
        <v>168</v>
      </c>
      <c r="C1641" s="73"/>
      <c r="D1641" s="73"/>
      <c r="E1641" s="73"/>
      <c r="F1641" s="73"/>
      <c r="G1641" s="74" t="s">
        <v>596</v>
      </c>
      <c r="H1641" s="153">
        <f>H1640*1.09</f>
        <v>8.0499552000000019E-3</v>
      </c>
      <c r="I1641" s="72"/>
      <c r="K1641" s="658"/>
    </row>
    <row r="1642" spans="1:11" customFormat="1" x14ac:dyDescent="0.25">
      <c r="A1642" s="661"/>
      <c r="B1642" s="73" t="s">
        <v>114</v>
      </c>
      <c r="C1642" s="75"/>
      <c r="D1642" s="73"/>
      <c r="E1642" s="73"/>
      <c r="F1642" s="73"/>
      <c r="G1642" s="74" t="s">
        <v>3</v>
      </c>
      <c r="H1642" s="153">
        <f>H1644*0.9</f>
        <v>9.7415999999999996E-3</v>
      </c>
      <c r="I1642" s="72"/>
      <c r="K1642" s="658"/>
    </row>
    <row r="1643" spans="1:11" customFormat="1" x14ac:dyDescent="0.25">
      <c r="A1643" s="661"/>
      <c r="B1643" s="73" t="s">
        <v>164</v>
      </c>
      <c r="C1643" s="75"/>
      <c r="D1643" s="73"/>
      <c r="E1643" s="73"/>
      <c r="F1643" s="73"/>
      <c r="G1643" s="74" t="s">
        <v>3</v>
      </c>
      <c r="H1643" s="153">
        <f>0.3*H1642</f>
        <v>2.9224799999999999E-3</v>
      </c>
      <c r="I1643" s="72"/>
      <c r="K1643" s="658"/>
    </row>
    <row r="1644" spans="1:11" customFormat="1" x14ac:dyDescent="0.25">
      <c r="A1644" s="661"/>
      <c r="B1644" s="73" t="s">
        <v>401</v>
      </c>
      <c r="C1644" s="75"/>
      <c r="D1644" s="73"/>
      <c r="E1644" s="73"/>
      <c r="F1644" s="73"/>
      <c r="G1644" s="74" t="s">
        <v>3</v>
      </c>
      <c r="H1644" s="153">
        <f>0.41*0.011*2*1.2</f>
        <v>1.0823999999999999E-2</v>
      </c>
      <c r="I1644" s="72"/>
      <c r="K1644" s="658"/>
    </row>
    <row r="1645" spans="1:11" customFormat="1" x14ac:dyDescent="0.25">
      <c r="A1645" s="661"/>
      <c r="B1645" s="73" t="s">
        <v>12</v>
      </c>
      <c r="C1645" s="73"/>
      <c r="D1645" s="73"/>
      <c r="E1645" s="73"/>
      <c r="F1645" s="73"/>
      <c r="G1645" s="74" t="s">
        <v>3</v>
      </c>
      <c r="H1645" s="153">
        <f>0.3*H1644</f>
        <v>3.2471999999999996E-3</v>
      </c>
      <c r="I1645" s="72"/>
      <c r="K1645" s="658"/>
    </row>
    <row r="1646" spans="1:11" customFormat="1" x14ac:dyDescent="0.25">
      <c r="A1646" s="661"/>
      <c r="B1646" s="73"/>
      <c r="C1646" s="75" t="s">
        <v>7713</v>
      </c>
      <c r="D1646" s="73"/>
      <c r="E1646" s="73"/>
      <c r="F1646" s="73"/>
      <c r="G1646" s="74"/>
      <c r="H1646" s="153"/>
      <c r="I1646" s="72"/>
      <c r="K1646" s="658"/>
    </row>
    <row r="1647" spans="1:11" customFormat="1" x14ac:dyDescent="0.25">
      <c r="A1647" s="661"/>
      <c r="B1647" s="73"/>
      <c r="C1647" s="73" t="s">
        <v>1484</v>
      </c>
      <c r="D1647" s="73"/>
      <c r="E1647" s="73"/>
      <c r="F1647" s="73"/>
      <c r="G1647" s="74" t="s">
        <v>3</v>
      </c>
      <c r="H1647" s="153">
        <v>1.6E-2</v>
      </c>
      <c r="I1647" s="72"/>
      <c r="J1647" t="s">
        <v>3366</v>
      </c>
      <c r="K1647" s="658"/>
    </row>
    <row r="1648" spans="1:11" customFormat="1" x14ac:dyDescent="0.25">
      <c r="A1648" s="661"/>
      <c r="B1648" s="73"/>
      <c r="C1648" s="75" t="s">
        <v>8715</v>
      </c>
      <c r="D1648" s="73"/>
      <c r="E1648" s="73"/>
      <c r="F1648" s="73"/>
      <c r="G1648" s="74"/>
      <c r="H1648" s="153"/>
      <c r="I1648" s="72"/>
      <c r="K1648" s="658"/>
    </row>
    <row r="1649" spans="1:11" customFormat="1" x14ac:dyDescent="0.25">
      <c r="A1649" s="661"/>
      <c r="B1649" s="73"/>
      <c r="C1649" s="73" t="s">
        <v>1481</v>
      </c>
      <c r="D1649" s="73"/>
      <c r="E1649" s="73"/>
      <c r="F1649" s="73"/>
      <c r="G1649" s="74" t="s">
        <v>3</v>
      </c>
      <c r="H1649" s="153">
        <v>0.15</v>
      </c>
      <c r="I1649" s="72"/>
      <c r="J1649" t="s">
        <v>8714</v>
      </c>
      <c r="K1649" s="658"/>
    </row>
    <row r="1650" spans="1:11" customFormat="1" x14ac:dyDescent="0.25">
      <c r="A1650" s="661"/>
      <c r="B1650" s="73"/>
      <c r="C1650" s="73"/>
      <c r="D1650" s="73"/>
      <c r="E1650" s="73"/>
      <c r="F1650" s="73"/>
      <c r="G1650" s="74"/>
      <c r="H1650" s="153"/>
      <c r="I1650" s="72"/>
      <c r="K1650" s="658"/>
    </row>
    <row r="1651" spans="1:11" customFormat="1" x14ac:dyDescent="0.25">
      <c r="A1651" s="678"/>
      <c r="B1651" s="75" t="s">
        <v>8713</v>
      </c>
      <c r="C1651" s="73"/>
      <c r="D1651" s="73"/>
      <c r="E1651" s="73"/>
      <c r="F1651" s="73"/>
      <c r="G1651" s="74"/>
      <c r="H1651" s="153"/>
      <c r="I1651" s="72"/>
      <c r="K1651" s="658"/>
    </row>
    <row r="1652" spans="1:11" customFormat="1" x14ac:dyDescent="0.25">
      <c r="A1652" s="661"/>
      <c r="B1652" s="77" t="s">
        <v>124</v>
      </c>
      <c r="C1652" s="73"/>
      <c r="D1652" s="73"/>
      <c r="E1652" s="73"/>
      <c r="F1652" s="73"/>
      <c r="G1652" s="74" t="s">
        <v>3</v>
      </c>
      <c r="H1652" s="153">
        <f>0.012*3.14*4*0.07*1.1</f>
        <v>1.1605440000000005E-2</v>
      </c>
      <c r="I1652" s="72"/>
      <c r="K1652" s="658"/>
    </row>
    <row r="1653" spans="1:11" customFormat="1" ht="17.25" x14ac:dyDescent="0.25">
      <c r="A1653" s="661"/>
      <c r="B1653" s="77" t="s">
        <v>168</v>
      </c>
      <c r="C1653" s="73"/>
      <c r="D1653" s="73"/>
      <c r="E1653" s="73"/>
      <c r="F1653" s="73"/>
      <c r="G1653" s="74" t="s">
        <v>596</v>
      </c>
      <c r="H1653" s="153">
        <f>H1652*1.09</f>
        <v>1.2649929600000007E-2</v>
      </c>
      <c r="I1653" s="72"/>
      <c r="K1653" s="658"/>
    </row>
    <row r="1654" spans="1:11" customFormat="1" x14ac:dyDescent="0.25">
      <c r="A1654" s="661"/>
      <c r="B1654" s="73" t="s">
        <v>114</v>
      </c>
      <c r="C1654" s="75"/>
      <c r="D1654" s="73"/>
      <c r="E1654" s="73"/>
      <c r="F1654" s="73"/>
      <c r="G1654" s="74" t="s">
        <v>3</v>
      </c>
      <c r="H1654" s="153">
        <f>H1656*0.9</f>
        <v>1.7820000000000003E-2</v>
      </c>
      <c r="I1654" s="72"/>
      <c r="K1654" s="658"/>
    </row>
    <row r="1655" spans="1:11" customFormat="1" x14ac:dyDescent="0.25">
      <c r="A1655" s="661"/>
      <c r="B1655" s="73" t="s">
        <v>164</v>
      </c>
      <c r="C1655" s="75"/>
      <c r="D1655" s="73"/>
      <c r="E1655" s="73"/>
      <c r="F1655" s="73"/>
      <c r="G1655" s="74" t="s">
        <v>3</v>
      </c>
      <c r="H1655" s="153">
        <f>0.3*H1654</f>
        <v>5.3460000000000009E-3</v>
      </c>
      <c r="I1655" s="72"/>
      <c r="K1655" s="658"/>
    </row>
    <row r="1656" spans="1:11" customFormat="1" x14ac:dyDescent="0.25">
      <c r="A1656" s="661"/>
      <c r="B1656" s="73" t="s">
        <v>401</v>
      </c>
      <c r="C1656" s="75"/>
      <c r="D1656" s="73"/>
      <c r="E1656" s="73"/>
      <c r="F1656" s="73"/>
      <c r="G1656" s="74" t="s">
        <v>3</v>
      </c>
      <c r="H1656" s="153">
        <f>0.75*0.011*2*1.2</f>
        <v>1.9800000000000002E-2</v>
      </c>
      <c r="I1656" s="72"/>
      <c r="K1656" s="658"/>
    </row>
    <row r="1657" spans="1:11" customFormat="1" x14ac:dyDescent="0.25">
      <c r="A1657" s="661"/>
      <c r="B1657" s="73" t="s">
        <v>12</v>
      </c>
      <c r="C1657" s="73"/>
      <c r="D1657" s="73"/>
      <c r="E1657" s="73"/>
      <c r="F1657" s="73"/>
      <c r="G1657" s="74" t="s">
        <v>3</v>
      </c>
      <c r="H1657" s="153">
        <f>0.3*H1656</f>
        <v>5.94E-3</v>
      </c>
      <c r="I1657" s="72"/>
      <c r="K1657" s="658"/>
    </row>
    <row r="1658" spans="1:11" customFormat="1" x14ac:dyDescent="0.25">
      <c r="A1658" s="661"/>
      <c r="B1658" s="73"/>
      <c r="C1658" s="75" t="s">
        <v>8712</v>
      </c>
      <c r="D1658" s="73"/>
      <c r="E1658" s="73"/>
      <c r="F1658" s="73"/>
      <c r="G1658" s="74"/>
      <c r="H1658" s="153"/>
      <c r="I1658" s="72"/>
      <c r="K1658" s="658"/>
    </row>
    <row r="1659" spans="1:11" customFormat="1" x14ac:dyDescent="0.25">
      <c r="A1659" s="661"/>
      <c r="B1659" s="73"/>
      <c r="C1659" s="73" t="s">
        <v>1484</v>
      </c>
      <c r="D1659" s="73"/>
      <c r="E1659" s="73"/>
      <c r="F1659" s="73"/>
      <c r="G1659" s="74" t="s">
        <v>3</v>
      </c>
      <c r="H1659" s="153">
        <v>0.19</v>
      </c>
      <c r="I1659" s="72"/>
      <c r="J1659" t="s">
        <v>8711</v>
      </c>
      <c r="K1659" s="658"/>
    </row>
    <row r="1660" spans="1:11" customFormat="1" x14ac:dyDescent="0.25">
      <c r="A1660" s="661"/>
      <c r="B1660" s="73"/>
      <c r="C1660" s="75" t="s">
        <v>8710</v>
      </c>
      <c r="D1660" s="73"/>
      <c r="E1660" s="73"/>
      <c r="F1660" s="73"/>
      <c r="G1660" s="74"/>
      <c r="H1660" s="153"/>
      <c r="I1660" s="72"/>
      <c r="K1660" s="658"/>
    </row>
    <row r="1661" spans="1:11" customFormat="1" x14ac:dyDescent="0.25">
      <c r="A1661" s="661"/>
      <c r="B1661" s="73"/>
      <c r="C1661" s="73" t="s">
        <v>1484</v>
      </c>
      <c r="D1661" s="73"/>
      <c r="E1661" s="73"/>
      <c r="F1661" s="73"/>
      <c r="G1661" s="74" t="s">
        <v>3</v>
      </c>
      <c r="H1661" s="153">
        <v>0.06</v>
      </c>
      <c r="I1661" s="72"/>
      <c r="J1661" t="s">
        <v>8709</v>
      </c>
      <c r="K1661" s="658"/>
    </row>
    <row r="1662" spans="1:11" customFormat="1" x14ac:dyDescent="0.25">
      <c r="A1662" s="661"/>
      <c r="B1662" s="73"/>
      <c r="C1662" s="73"/>
      <c r="D1662" s="73"/>
      <c r="E1662" s="73"/>
      <c r="F1662" s="73"/>
      <c r="G1662" s="74"/>
      <c r="H1662" s="153"/>
      <c r="I1662" s="72"/>
      <c r="K1662" s="658"/>
    </row>
    <row r="1663" spans="1:11" customFormat="1" x14ac:dyDescent="0.25">
      <c r="A1663" s="678"/>
      <c r="B1663" s="75" t="s">
        <v>8708</v>
      </c>
      <c r="C1663" s="73"/>
      <c r="D1663" s="73"/>
      <c r="E1663" s="73"/>
      <c r="F1663" s="73"/>
      <c r="G1663" s="74"/>
      <c r="H1663" s="153"/>
      <c r="I1663" s="72"/>
      <c r="K1663" s="658"/>
    </row>
    <row r="1664" spans="1:11" customFormat="1" x14ac:dyDescent="0.25">
      <c r="A1664" s="661"/>
      <c r="B1664" s="73" t="s">
        <v>114</v>
      </c>
      <c r="C1664" s="75"/>
      <c r="D1664" s="73"/>
      <c r="E1664" s="73"/>
      <c r="F1664" s="73"/>
      <c r="G1664" s="74" t="s">
        <v>3</v>
      </c>
      <c r="H1664" s="153">
        <f>H1666*0.9</f>
        <v>6.1874999999999994E-3</v>
      </c>
      <c r="I1664" s="72"/>
      <c r="K1664" s="658"/>
    </row>
    <row r="1665" spans="1:11" customFormat="1" x14ac:dyDescent="0.25">
      <c r="A1665" s="661"/>
      <c r="B1665" s="73" t="s">
        <v>164</v>
      </c>
      <c r="C1665" s="75"/>
      <c r="D1665" s="73"/>
      <c r="E1665" s="73"/>
      <c r="F1665" s="73"/>
      <c r="G1665" s="74" t="s">
        <v>3</v>
      </c>
      <c r="H1665" s="153">
        <f>0.3*H1664</f>
        <v>1.8562499999999998E-3</v>
      </c>
      <c r="I1665" s="72"/>
      <c r="K1665" s="658"/>
    </row>
    <row r="1666" spans="1:11" customFormat="1" x14ac:dyDescent="0.25">
      <c r="A1666" s="661"/>
      <c r="B1666" s="73" t="s">
        <v>401</v>
      </c>
      <c r="C1666" s="75"/>
      <c r="D1666" s="73"/>
      <c r="E1666" s="73"/>
      <c r="F1666" s="73"/>
      <c r="G1666" s="74" t="s">
        <v>3</v>
      </c>
      <c r="H1666" s="153">
        <f>0.25*0.011*2*1.25</f>
        <v>6.8749999999999992E-3</v>
      </c>
      <c r="I1666" s="72"/>
      <c r="K1666" s="658"/>
    </row>
    <row r="1667" spans="1:11" customFormat="1" x14ac:dyDescent="0.25">
      <c r="A1667" s="661"/>
      <c r="B1667" s="73" t="s">
        <v>12</v>
      </c>
      <c r="C1667" s="73"/>
      <c r="D1667" s="73"/>
      <c r="E1667" s="73"/>
      <c r="F1667" s="73"/>
      <c r="G1667" s="74" t="s">
        <v>3</v>
      </c>
      <c r="H1667" s="153">
        <f>0.3*H1666</f>
        <v>2.0624999999999997E-3</v>
      </c>
      <c r="I1667" s="72"/>
      <c r="K1667" s="658"/>
    </row>
    <row r="1668" spans="1:11" customFormat="1" x14ac:dyDescent="0.25">
      <c r="A1668" s="661"/>
      <c r="B1668" s="73"/>
      <c r="C1668" s="75" t="s">
        <v>8707</v>
      </c>
      <c r="D1668" s="73"/>
      <c r="E1668" s="73"/>
      <c r="F1668" s="73"/>
      <c r="G1668" s="74"/>
      <c r="H1668" s="153"/>
      <c r="I1668" s="72"/>
      <c r="K1668" s="658"/>
    </row>
    <row r="1669" spans="1:11" customFormat="1" x14ac:dyDescent="0.25">
      <c r="A1669" s="661"/>
      <c r="B1669" s="73"/>
      <c r="C1669" s="73" t="s">
        <v>1484</v>
      </c>
      <c r="D1669" s="73"/>
      <c r="E1669" s="73"/>
      <c r="F1669" s="73"/>
      <c r="G1669" s="74" t="s">
        <v>3</v>
      </c>
      <c r="H1669" s="153">
        <v>8.5000000000000006E-2</v>
      </c>
      <c r="I1669" s="72"/>
      <c r="J1669" t="s">
        <v>5072</v>
      </c>
      <c r="K1669" s="658"/>
    </row>
    <row r="1670" spans="1:11" customFormat="1" x14ac:dyDescent="0.25">
      <c r="A1670" s="661"/>
      <c r="B1670" s="73"/>
      <c r="C1670" s="73"/>
      <c r="D1670" s="73"/>
      <c r="E1670" s="73"/>
      <c r="F1670" s="73"/>
      <c r="G1670" s="74"/>
      <c r="H1670" s="153"/>
      <c r="I1670" s="72"/>
      <c r="K1670" s="658"/>
    </row>
    <row r="1671" spans="1:11" customFormat="1" x14ac:dyDescent="0.25">
      <c r="A1671" s="678"/>
      <c r="B1671" s="75" t="s">
        <v>8706</v>
      </c>
      <c r="C1671" s="73"/>
      <c r="D1671" s="73"/>
      <c r="E1671" s="73"/>
      <c r="F1671" s="73"/>
      <c r="G1671" s="74"/>
      <c r="H1671" s="153"/>
      <c r="I1671" s="72"/>
      <c r="K1671" s="658"/>
    </row>
    <row r="1672" spans="1:11" customFormat="1" x14ac:dyDescent="0.25">
      <c r="A1672" s="661"/>
      <c r="B1672" s="77" t="s">
        <v>124</v>
      </c>
      <c r="C1672" s="73"/>
      <c r="D1672" s="73"/>
      <c r="E1672" s="73"/>
      <c r="F1672" s="73"/>
      <c r="G1672" s="74" t="s">
        <v>3</v>
      </c>
      <c r="H1672" s="153">
        <f>0.012*3.14*3*0.06*1.2</f>
        <v>8.1388800000000011E-3</v>
      </c>
      <c r="I1672" s="72"/>
      <c r="K1672" s="658"/>
    </row>
    <row r="1673" spans="1:11" customFormat="1" ht="17.25" x14ac:dyDescent="0.25">
      <c r="A1673" s="661"/>
      <c r="B1673" s="77" t="s">
        <v>168</v>
      </c>
      <c r="C1673" s="73"/>
      <c r="D1673" s="73"/>
      <c r="E1673" s="73"/>
      <c r="F1673" s="73"/>
      <c r="G1673" s="74" t="s">
        <v>596</v>
      </c>
      <c r="H1673" s="153">
        <f>H1672*1.09</f>
        <v>8.8713792000000014E-3</v>
      </c>
      <c r="I1673" s="72"/>
      <c r="K1673" s="658"/>
    </row>
    <row r="1674" spans="1:11" customFormat="1" x14ac:dyDescent="0.25">
      <c r="A1674" s="661"/>
      <c r="B1674" s="73" t="s">
        <v>114</v>
      </c>
      <c r="C1674" s="75"/>
      <c r="D1674" s="73"/>
      <c r="E1674" s="73"/>
      <c r="F1674" s="73"/>
      <c r="G1674" s="74" t="s">
        <v>3</v>
      </c>
      <c r="H1674" s="153">
        <f>H1676*0.9</f>
        <v>1.5443999999999999E-2</v>
      </c>
      <c r="I1674" s="72"/>
      <c r="K1674" s="658"/>
    </row>
    <row r="1675" spans="1:11" customFormat="1" x14ac:dyDescent="0.25">
      <c r="A1675" s="661"/>
      <c r="B1675" s="73" t="s">
        <v>164</v>
      </c>
      <c r="C1675" s="75"/>
      <c r="D1675" s="73"/>
      <c r="E1675" s="73"/>
      <c r="F1675" s="73"/>
      <c r="G1675" s="74" t="s">
        <v>3</v>
      </c>
      <c r="H1675" s="153">
        <f>0.3*H1674</f>
        <v>4.6331999999999996E-3</v>
      </c>
      <c r="I1675" s="72"/>
      <c r="K1675" s="658"/>
    </row>
    <row r="1676" spans="1:11" customFormat="1" x14ac:dyDescent="0.25">
      <c r="A1676" s="661"/>
      <c r="B1676" s="73" t="s">
        <v>401</v>
      </c>
      <c r="C1676" s="75"/>
      <c r="D1676" s="73"/>
      <c r="E1676" s="73"/>
      <c r="F1676" s="73"/>
      <c r="G1676" s="74" t="s">
        <v>3</v>
      </c>
      <c r="H1676" s="153">
        <f>0.6*0.011*2*1.3</f>
        <v>1.7159999999999998E-2</v>
      </c>
      <c r="I1676" s="72"/>
      <c r="K1676" s="658"/>
    </row>
    <row r="1677" spans="1:11" customFormat="1" x14ac:dyDescent="0.25">
      <c r="A1677" s="661"/>
      <c r="B1677" s="73" t="s">
        <v>12</v>
      </c>
      <c r="C1677" s="73"/>
      <c r="D1677" s="73"/>
      <c r="E1677" s="73"/>
      <c r="F1677" s="73"/>
      <c r="G1677" s="74" t="s">
        <v>3</v>
      </c>
      <c r="H1677" s="153">
        <f>0.3*H1676</f>
        <v>5.1479999999999989E-3</v>
      </c>
      <c r="I1677" s="72"/>
      <c r="K1677" s="658"/>
    </row>
    <row r="1678" spans="1:11" customFormat="1" x14ac:dyDescent="0.25">
      <c r="A1678" s="661"/>
      <c r="B1678" s="73"/>
      <c r="C1678" s="75" t="s">
        <v>8705</v>
      </c>
      <c r="D1678" s="73"/>
      <c r="E1678" s="73"/>
      <c r="F1678" s="73"/>
      <c r="G1678" s="74"/>
      <c r="H1678" s="153"/>
      <c r="I1678" s="72"/>
      <c r="K1678" s="658"/>
    </row>
    <row r="1679" spans="1:11" customFormat="1" x14ac:dyDescent="0.25">
      <c r="A1679" s="661"/>
      <c r="B1679" s="73"/>
      <c r="C1679" s="73" t="s">
        <v>1484</v>
      </c>
      <c r="D1679" s="73"/>
      <c r="E1679" s="73"/>
      <c r="F1679" s="73"/>
      <c r="G1679" s="74" t="s">
        <v>3</v>
      </c>
      <c r="H1679" s="153">
        <v>0.14499999999999999</v>
      </c>
      <c r="I1679" s="72"/>
      <c r="J1679" t="s">
        <v>8704</v>
      </c>
      <c r="K1679" s="658"/>
    </row>
    <row r="1680" spans="1:11" customFormat="1" x14ac:dyDescent="0.25">
      <c r="A1680" s="661"/>
      <c r="B1680" s="73"/>
      <c r="C1680" s="75" t="s">
        <v>8703</v>
      </c>
      <c r="D1680" s="73"/>
      <c r="E1680" s="73"/>
      <c r="F1680" s="73"/>
      <c r="G1680" s="74"/>
      <c r="H1680" s="153"/>
      <c r="I1680" s="72"/>
      <c r="K1680" s="658"/>
    </row>
    <row r="1681" spans="1:11" customFormat="1" x14ac:dyDescent="0.25">
      <c r="A1681" s="661"/>
      <c r="B1681" s="73"/>
      <c r="C1681" s="73" t="s">
        <v>1484</v>
      </c>
      <c r="D1681" s="73"/>
      <c r="E1681" s="73"/>
      <c r="F1681" s="73"/>
      <c r="G1681" s="74" t="s">
        <v>3</v>
      </c>
      <c r="H1681" s="153">
        <v>4.1000000000000002E-2</v>
      </c>
      <c r="I1681" s="72"/>
      <c r="J1681" t="s">
        <v>3444</v>
      </c>
      <c r="K1681" s="658"/>
    </row>
    <row r="1682" spans="1:11" customFormat="1" x14ac:dyDescent="0.25">
      <c r="A1682" s="661"/>
      <c r="B1682" s="73"/>
      <c r="C1682" s="73"/>
      <c r="D1682" s="73"/>
      <c r="E1682" s="73"/>
      <c r="F1682" s="73"/>
      <c r="G1682" s="74"/>
      <c r="H1682" s="153"/>
      <c r="I1682" s="72"/>
      <c r="K1682" s="658"/>
    </row>
    <row r="1683" spans="1:11" customFormat="1" x14ac:dyDescent="0.25">
      <c r="A1683" s="678"/>
      <c r="B1683" s="75" t="s">
        <v>8702</v>
      </c>
      <c r="C1683" s="73"/>
      <c r="D1683" s="73"/>
      <c r="E1683" s="73"/>
      <c r="F1683" s="73"/>
      <c r="G1683" s="74"/>
      <c r="H1683" s="153"/>
      <c r="I1683" s="72"/>
      <c r="K1683" s="658"/>
    </row>
    <row r="1684" spans="1:11" customFormat="1" x14ac:dyDescent="0.25">
      <c r="A1684" s="661"/>
      <c r="B1684" s="73" t="s">
        <v>114</v>
      </c>
      <c r="C1684" s="75"/>
      <c r="D1684" s="73"/>
      <c r="E1684" s="73"/>
      <c r="F1684" s="73"/>
      <c r="G1684" s="74" t="s">
        <v>3</v>
      </c>
      <c r="H1684" s="153">
        <f>H1686*0.9</f>
        <v>4.2071400000000007E-3</v>
      </c>
      <c r="I1684" s="72"/>
      <c r="K1684" s="658"/>
    </row>
    <row r="1685" spans="1:11" customFormat="1" x14ac:dyDescent="0.25">
      <c r="A1685" s="661"/>
      <c r="B1685" s="73" t="s">
        <v>164</v>
      </c>
      <c r="C1685" s="75"/>
      <c r="D1685" s="73"/>
      <c r="E1685" s="73"/>
      <c r="F1685" s="73"/>
      <c r="G1685" s="74" t="s">
        <v>3</v>
      </c>
      <c r="H1685" s="153">
        <f>0.3*H1684</f>
        <v>1.2621420000000002E-3</v>
      </c>
      <c r="I1685" s="72"/>
      <c r="K1685" s="658"/>
    </row>
    <row r="1686" spans="1:11" customFormat="1" x14ac:dyDescent="0.25">
      <c r="A1686" s="661"/>
      <c r="B1686" s="73" t="s">
        <v>401</v>
      </c>
      <c r="C1686" s="75"/>
      <c r="D1686" s="73"/>
      <c r="E1686" s="73"/>
      <c r="F1686" s="73"/>
      <c r="G1686" s="74" t="s">
        <v>3</v>
      </c>
      <c r="H1686" s="153">
        <f>0.07*0.07*2*0.15*2*1.59</f>
        <v>4.674600000000001E-3</v>
      </c>
      <c r="I1686" s="72"/>
      <c r="K1686" s="658"/>
    </row>
    <row r="1687" spans="1:11" customFormat="1" x14ac:dyDescent="0.25">
      <c r="A1687" s="661"/>
      <c r="B1687" s="73" t="s">
        <v>12</v>
      </c>
      <c r="C1687" s="73"/>
      <c r="D1687" s="73"/>
      <c r="E1687" s="73"/>
      <c r="F1687" s="73"/>
      <c r="G1687" s="74" t="s">
        <v>3</v>
      </c>
      <c r="H1687" s="153">
        <f>0.3*H1686</f>
        <v>1.4023800000000002E-3</v>
      </c>
      <c r="I1687" s="72"/>
      <c r="K1687" s="658"/>
    </row>
    <row r="1688" spans="1:11" customFormat="1" x14ac:dyDescent="0.25">
      <c r="A1688" s="661"/>
      <c r="B1688" s="73"/>
      <c r="C1688" s="75" t="s">
        <v>8701</v>
      </c>
      <c r="D1688" s="73"/>
      <c r="E1688" s="73"/>
      <c r="F1688" s="73"/>
      <c r="G1688" s="74"/>
      <c r="H1688" s="153"/>
      <c r="I1688" s="72"/>
      <c r="K1688" s="658"/>
    </row>
    <row r="1689" spans="1:11" customFormat="1" x14ac:dyDescent="0.25">
      <c r="A1689" s="661"/>
      <c r="B1689" s="73"/>
      <c r="C1689" s="73" t="s">
        <v>1481</v>
      </c>
      <c r="D1689" s="73"/>
      <c r="E1689" s="73"/>
      <c r="F1689" s="73"/>
      <c r="G1689" s="74" t="s">
        <v>3</v>
      </c>
      <c r="H1689" s="153">
        <v>8.1000000000000003E-2</v>
      </c>
      <c r="I1689" s="72"/>
      <c r="J1689" t="s">
        <v>8427</v>
      </c>
      <c r="K1689" s="658"/>
    </row>
    <row r="1690" spans="1:11" customFormat="1" x14ac:dyDescent="0.25">
      <c r="A1690" s="661"/>
      <c r="B1690" s="73"/>
      <c r="C1690" s="73"/>
      <c r="D1690" s="73"/>
      <c r="E1690" s="73"/>
      <c r="F1690" s="73"/>
      <c r="G1690" s="74"/>
      <c r="H1690" s="153"/>
      <c r="I1690" s="72"/>
      <c r="K1690" s="658"/>
    </row>
    <row r="1691" spans="1:11" customFormat="1" x14ac:dyDescent="0.25">
      <c r="A1691" s="678"/>
      <c r="B1691" s="75" t="s">
        <v>8700</v>
      </c>
      <c r="C1691" s="73"/>
      <c r="D1691" s="73"/>
      <c r="E1691" s="73"/>
      <c r="F1691" s="73"/>
      <c r="G1691" s="74"/>
      <c r="H1691" s="153"/>
      <c r="I1691" s="72"/>
      <c r="K1691" s="658"/>
    </row>
    <row r="1692" spans="1:11" customFormat="1" x14ac:dyDescent="0.25">
      <c r="A1692" s="661"/>
      <c r="B1692" s="73" t="s">
        <v>114</v>
      </c>
      <c r="C1692" s="75"/>
      <c r="D1692" s="73"/>
      <c r="E1692" s="73"/>
      <c r="F1692" s="73"/>
      <c r="G1692" s="74" t="s">
        <v>3</v>
      </c>
      <c r="H1692" s="153">
        <f>H1694</f>
        <v>9.8999999999999991E-3</v>
      </c>
      <c r="I1692" s="72"/>
      <c r="K1692" s="658"/>
    </row>
    <row r="1693" spans="1:11" customFormat="1" x14ac:dyDescent="0.25">
      <c r="A1693" s="661"/>
      <c r="B1693" s="73" t="s">
        <v>164</v>
      </c>
      <c r="C1693" s="75"/>
      <c r="D1693" s="73"/>
      <c r="E1693" s="73"/>
      <c r="F1693" s="73"/>
      <c r="G1693" s="74" t="s">
        <v>3</v>
      </c>
      <c r="H1693" s="153">
        <f>0.3*H1692</f>
        <v>2.9699999999999996E-3</v>
      </c>
      <c r="I1693" s="72"/>
      <c r="K1693" s="658"/>
    </row>
    <row r="1694" spans="1:11" customFormat="1" x14ac:dyDescent="0.25">
      <c r="A1694" s="661"/>
      <c r="B1694" s="73" t="s">
        <v>401</v>
      </c>
      <c r="C1694" s="75"/>
      <c r="D1694" s="73"/>
      <c r="E1694" s="73"/>
      <c r="F1694" s="73"/>
      <c r="G1694" s="74" t="s">
        <v>3</v>
      </c>
      <c r="H1694" s="153">
        <f>0.3*0.011*2*1.5</f>
        <v>9.8999999999999991E-3</v>
      </c>
      <c r="I1694" s="72"/>
      <c r="K1694" s="658"/>
    </row>
    <row r="1695" spans="1:11" customFormat="1" x14ac:dyDescent="0.25">
      <c r="A1695" s="661"/>
      <c r="B1695" s="73" t="s">
        <v>12</v>
      </c>
      <c r="C1695" s="73"/>
      <c r="D1695" s="73"/>
      <c r="E1695" s="73"/>
      <c r="F1695" s="73"/>
      <c r="G1695" s="74" t="s">
        <v>3</v>
      </c>
      <c r="H1695" s="153">
        <f>0.3*H1694</f>
        <v>2.9699999999999996E-3</v>
      </c>
      <c r="I1695" s="72"/>
      <c r="K1695" s="658"/>
    </row>
    <row r="1696" spans="1:11" customFormat="1" x14ac:dyDescent="0.25">
      <c r="A1696" s="661"/>
      <c r="B1696" s="75"/>
      <c r="C1696" s="75" t="s">
        <v>8699</v>
      </c>
      <c r="D1696" s="73"/>
      <c r="E1696" s="73"/>
      <c r="F1696" s="73"/>
      <c r="G1696" s="74"/>
      <c r="H1696" s="153"/>
      <c r="I1696" s="72"/>
      <c r="K1696" s="658"/>
    </row>
    <row r="1697" spans="1:11" customFormat="1" x14ac:dyDescent="0.25">
      <c r="A1697" s="661"/>
      <c r="B1697" s="73"/>
      <c r="C1697" s="73" t="s">
        <v>2405</v>
      </c>
      <c r="D1697" s="73"/>
      <c r="E1697" s="73"/>
      <c r="F1697" s="73"/>
      <c r="G1697" s="74" t="s">
        <v>3</v>
      </c>
      <c r="H1697" s="153">
        <v>7.0000000000000007E-2</v>
      </c>
      <c r="I1697" s="72"/>
      <c r="J1697" t="s">
        <v>8698</v>
      </c>
      <c r="K1697" s="658"/>
    </row>
    <row r="1698" spans="1:11" customFormat="1" x14ac:dyDescent="0.25">
      <c r="A1698" s="661"/>
      <c r="B1698" s="73"/>
      <c r="C1698" s="73"/>
      <c r="D1698" s="73"/>
      <c r="E1698" s="73"/>
      <c r="F1698" s="73"/>
      <c r="G1698" s="74"/>
      <c r="H1698" s="153"/>
      <c r="I1698" s="72"/>
      <c r="K1698" s="658"/>
    </row>
    <row r="1699" spans="1:11" customFormat="1" x14ac:dyDescent="0.25">
      <c r="A1699" s="678"/>
      <c r="B1699" s="75" t="s">
        <v>8697</v>
      </c>
      <c r="C1699" s="73"/>
      <c r="D1699" s="73"/>
      <c r="E1699" s="73"/>
      <c r="F1699" s="73"/>
      <c r="G1699" s="74"/>
      <c r="H1699" s="153"/>
      <c r="I1699" s="72"/>
      <c r="K1699" s="658"/>
    </row>
    <row r="1700" spans="1:11" customFormat="1" x14ac:dyDescent="0.25">
      <c r="A1700" s="661"/>
      <c r="B1700" s="77" t="s">
        <v>124</v>
      </c>
      <c r="C1700" s="73"/>
      <c r="D1700" s="73"/>
      <c r="E1700" s="73"/>
      <c r="F1700" s="73"/>
      <c r="G1700" s="74" t="s">
        <v>3</v>
      </c>
      <c r="H1700" s="153">
        <f>0.014*3.14*3*0.07*1.1</f>
        <v>1.0154760000000004E-2</v>
      </c>
      <c r="I1700" s="72"/>
      <c r="K1700" s="658"/>
    </row>
    <row r="1701" spans="1:11" customFormat="1" ht="17.25" x14ac:dyDescent="0.25">
      <c r="A1701" s="661"/>
      <c r="B1701" s="77" t="s">
        <v>168</v>
      </c>
      <c r="C1701" s="73"/>
      <c r="D1701" s="73"/>
      <c r="E1701" s="73"/>
      <c r="F1701" s="73"/>
      <c r="G1701" s="74" t="s">
        <v>596</v>
      </c>
      <c r="H1701" s="153">
        <f>H1700*1.09</f>
        <v>1.1068688400000005E-2</v>
      </c>
      <c r="I1701" s="72"/>
      <c r="K1701" s="658"/>
    </row>
    <row r="1702" spans="1:11" customFormat="1" x14ac:dyDescent="0.25">
      <c r="A1702" s="661"/>
      <c r="B1702" s="73" t="s">
        <v>114</v>
      </c>
      <c r="C1702" s="75"/>
      <c r="D1702" s="73"/>
      <c r="E1702" s="73"/>
      <c r="F1702" s="73"/>
      <c r="G1702" s="74" t="s">
        <v>3</v>
      </c>
      <c r="H1702" s="153">
        <f>H1704*0.9</f>
        <v>9.5040000000000003E-3</v>
      </c>
      <c r="I1702" s="72"/>
      <c r="K1702" s="658"/>
    </row>
    <row r="1703" spans="1:11" customFormat="1" x14ac:dyDescent="0.25">
      <c r="A1703" s="661"/>
      <c r="B1703" s="73" t="s">
        <v>164</v>
      </c>
      <c r="C1703" s="75"/>
      <c r="D1703" s="73"/>
      <c r="E1703" s="73"/>
      <c r="F1703" s="73"/>
      <c r="G1703" s="74" t="s">
        <v>3</v>
      </c>
      <c r="H1703" s="153">
        <f>0.3*H1702</f>
        <v>2.8511999999999999E-3</v>
      </c>
      <c r="I1703" s="72"/>
      <c r="K1703" s="658"/>
    </row>
    <row r="1704" spans="1:11" customFormat="1" x14ac:dyDescent="0.25">
      <c r="A1704" s="661"/>
      <c r="B1704" s="73" t="s">
        <v>401</v>
      </c>
      <c r="C1704" s="75"/>
      <c r="D1704" s="73"/>
      <c r="E1704" s="73"/>
      <c r="F1704" s="73"/>
      <c r="G1704" s="74" t="s">
        <v>3</v>
      </c>
      <c r="H1704" s="153">
        <f>0.4*0.011*2*1.2</f>
        <v>1.056E-2</v>
      </c>
      <c r="I1704" s="72"/>
      <c r="K1704" s="658"/>
    </row>
    <row r="1705" spans="1:11" customFormat="1" x14ac:dyDescent="0.25">
      <c r="A1705" s="661"/>
      <c r="B1705" s="73" t="s">
        <v>12</v>
      </c>
      <c r="C1705" s="73"/>
      <c r="D1705" s="73"/>
      <c r="E1705" s="73"/>
      <c r="F1705" s="73"/>
      <c r="G1705" s="74" t="s">
        <v>3</v>
      </c>
      <c r="H1705" s="153">
        <f>0.3*H1704</f>
        <v>3.1679999999999998E-3</v>
      </c>
      <c r="I1705" s="72"/>
      <c r="K1705" s="658"/>
    </row>
    <row r="1706" spans="1:11" customFormat="1" x14ac:dyDescent="0.25">
      <c r="A1706" s="661"/>
      <c r="B1706" s="73"/>
      <c r="C1706" s="75" t="s">
        <v>8696</v>
      </c>
      <c r="D1706" s="73"/>
      <c r="E1706" s="73"/>
      <c r="F1706" s="73"/>
      <c r="G1706" s="74"/>
      <c r="H1706" s="153"/>
      <c r="I1706" s="72"/>
      <c r="K1706" s="658"/>
    </row>
    <row r="1707" spans="1:11" customFormat="1" x14ac:dyDescent="0.25">
      <c r="A1707" s="661"/>
      <c r="B1707" s="73"/>
      <c r="C1707" s="73" t="s">
        <v>1481</v>
      </c>
      <c r="D1707" s="73"/>
      <c r="E1707" s="73"/>
      <c r="F1707" s="73"/>
      <c r="G1707" s="74" t="s">
        <v>3</v>
      </c>
      <c r="H1707" s="153">
        <v>0.02</v>
      </c>
      <c r="I1707" s="72"/>
      <c r="J1707" t="s">
        <v>8695</v>
      </c>
      <c r="K1707" s="658"/>
    </row>
    <row r="1708" spans="1:11" customFormat="1" x14ac:dyDescent="0.25">
      <c r="A1708" s="661"/>
      <c r="B1708" s="73"/>
      <c r="C1708" s="75" t="s">
        <v>8694</v>
      </c>
      <c r="D1708" s="73"/>
      <c r="E1708" s="73"/>
      <c r="F1708" s="73"/>
      <c r="G1708" s="74"/>
      <c r="H1708" s="153"/>
      <c r="I1708" s="72"/>
      <c r="K1708" s="658"/>
    </row>
    <row r="1709" spans="1:11" customFormat="1" x14ac:dyDescent="0.25">
      <c r="A1709" s="661"/>
      <c r="B1709" s="73"/>
      <c r="C1709" s="73" t="s">
        <v>1481</v>
      </c>
      <c r="D1709" s="73"/>
      <c r="E1709" s="73"/>
      <c r="F1709" s="73"/>
      <c r="G1709" s="74" t="s">
        <v>3</v>
      </c>
      <c r="H1709" s="153">
        <v>0.13500000000000001</v>
      </c>
      <c r="I1709" s="72"/>
      <c r="J1709" t="s">
        <v>8693</v>
      </c>
      <c r="K1709" s="658"/>
    </row>
    <row r="1710" spans="1:11" customFormat="1" x14ac:dyDescent="0.25">
      <c r="A1710" s="661"/>
      <c r="B1710" s="73"/>
      <c r="C1710" s="73"/>
      <c r="D1710" s="73"/>
      <c r="E1710" s="73"/>
      <c r="F1710" s="73"/>
      <c r="G1710" s="74"/>
      <c r="H1710" s="153"/>
      <c r="I1710" s="72"/>
      <c r="K1710" s="658"/>
    </row>
    <row r="1711" spans="1:11" customFormat="1" x14ac:dyDescent="0.25">
      <c r="A1711" s="678"/>
      <c r="B1711" s="75" t="s">
        <v>8692</v>
      </c>
      <c r="C1711" s="73"/>
      <c r="D1711" s="73"/>
      <c r="E1711" s="73"/>
      <c r="F1711" s="73"/>
      <c r="G1711" s="74"/>
      <c r="H1711" s="153"/>
      <c r="I1711" s="72"/>
      <c r="K1711" s="658"/>
    </row>
    <row r="1712" spans="1:11" customFormat="1" x14ac:dyDescent="0.25">
      <c r="A1712" s="661"/>
      <c r="B1712" s="73" t="s">
        <v>114</v>
      </c>
      <c r="C1712" s="75"/>
      <c r="D1712" s="73"/>
      <c r="E1712" s="73"/>
      <c r="F1712" s="73"/>
      <c r="G1712" s="74" t="s">
        <v>3</v>
      </c>
      <c r="H1712" s="153">
        <f>H1714*0.9</f>
        <v>8.791199999999999E-3</v>
      </c>
      <c r="I1712" s="72"/>
      <c r="K1712" s="658"/>
    </row>
    <row r="1713" spans="1:11" customFormat="1" x14ac:dyDescent="0.25">
      <c r="A1713" s="661"/>
      <c r="B1713" s="73" t="s">
        <v>164</v>
      </c>
      <c r="C1713" s="75"/>
      <c r="D1713" s="73"/>
      <c r="E1713" s="73"/>
      <c r="F1713" s="73"/>
      <c r="G1713" s="74" t="s">
        <v>3</v>
      </c>
      <c r="H1713" s="153">
        <f>0.3*H1712</f>
        <v>2.6373599999999996E-3</v>
      </c>
      <c r="I1713" s="72"/>
      <c r="K1713" s="658"/>
    </row>
    <row r="1714" spans="1:11" customFormat="1" x14ac:dyDescent="0.25">
      <c r="A1714" s="661"/>
      <c r="B1714" s="73" t="s">
        <v>401</v>
      </c>
      <c r="C1714" s="75"/>
      <c r="D1714" s="73"/>
      <c r="E1714" s="73"/>
      <c r="F1714" s="73"/>
      <c r="G1714" s="74" t="s">
        <v>3</v>
      </c>
      <c r="H1714" s="153">
        <f>0.37*0.011*2*1.2</f>
        <v>9.7679999999999989E-3</v>
      </c>
      <c r="I1714" s="72"/>
      <c r="K1714" s="658"/>
    </row>
    <row r="1715" spans="1:11" customFormat="1" x14ac:dyDescent="0.25">
      <c r="A1715" s="661"/>
      <c r="B1715" s="73" t="s">
        <v>12</v>
      </c>
      <c r="C1715" s="73"/>
      <c r="D1715" s="73"/>
      <c r="E1715" s="73"/>
      <c r="F1715" s="73"/>
      <c r="G1715" s="74" t="s">
        <v>3</v>
      </c>
      <c r="H1715" s="153">
        <f>0.3*H1714</f>
        <v>2.9303999999999997E-3</v>
      </c>
      <c r="I1715" s="72"/>
      <c r="K1715" s="658"/>
    </row>
    <row r="1716" spans="1:11" customFormat="1" x14ac:dyDescent="0.25">
      <c r="A1716" s="661"/>
      <c r="B1716" s="75"/>
      <c r="C1716" s="75" t="s">
        <v>8691</v>
      </c>
      <c r="D1716" s="73"/>
      <c r="E1716" s="73"/>
      <c r="F1716" s="73"/>
      <c r="G1716" s="74"/>
      <c r="H1716" s="153"/>
      <c r="I1716" s="72"/>
      <c r="K1716" s="658"/>
    </row>
    <row r="1717" spans="1:11" customFormat="1" x14ac:dyDescent="0.25">
      <c r="A1717" s="661"/>
      <c r="B1717" s="73"/>
      <c r="C1717" s="73" t="s">
        <v>2405</v>
      </c>
      <c r="D1717" s="73"/>
      <c r="E1717" s="73"/>
      <c r="F1717" s="73"/>
      <c r="G1717" s="74" t="s">
        <v>3</v>
      </c>
      <c r="H1717" s="153">
        <v>7.0000000000000007E-2</v>
      </c>
      <c r="I1717" s="72"/>
      <c r="J1717" t="s">
        <v>8690</v>
      </c>
      <c r="K1717" s="658"/>
    </row>
    <row r="1718" spans="1:11" customFormat="1" x14ac:dyDescent="0.25">
      <c r="A1718" s="661"/>
      <c r="B1718" s="73"/>
      <c r="C1718" s="73"/>
      <c r="D1718" s="73"/>
      <c r="E1718" s="73"/>
      <c r="F1718" s="73"/>
      <c r="G1718" s="74"/>
      <c r="H1718" s="153"/>
      <c r="I1718" s="72"/>
      <c r="K1718" s="658"/>
    </row>
    <row r="1719" spans="1:11" customFormat="1" x14ac:dyDescent="0.25">
      <c r="A1719" s="678"/>
      <c r="B1719" s="75" t="s">
        <v>8689</v>
      </c>
      <c r="C1719" s="73"/>
      <c r="D1719" s="73"/>
      <c r="E1719" s="73"/>
      <c r="F1719" s="73"/>
      <c r="G1719" s="74"/>
      <c r="H1719" s="153"/>
      <c r="I1719" s="72"/>
      <c r="K1719" s="658"/>
    </row>
    <row r="1720" spans="1:11" customFormat="1" ht="17.25" x14ac:dyDescent="0.25">
      <c r="A1720" s="661"/>
      <c r="B1720" s="73" t="s">
        <v>8688</v>
      </c>
      <c r="C1720" s="73"/>
      <c r="D1720" s="73"/>
      <c r="E1720" s="73"/>
      <c r="F1720" s="73"/>
      <c r="G1720" s="74" t="s">
        <v>677</v>
      </c>
      <c r="H1720" s="153">
        <f>0.282*0.035*1.2</f>
        <v>1.1844E-2</v>
      </c>
      <c r="I1720" s="72"/>
      <c r="K1720" s="658"/>
    </row>
    <row r="1721" spans="1:11" customFormat="1" x14ac:dyDescent="0.25">
      <c r="A1721" s="661"/>
      <c r="B1721" s="73"/>
      <c r="C1721" s="73"/>
      <c r="D1721" s="73"/>
      <c r="E1721" s="73"/>
      <c r="F1721" s="73"/>
      <c r="G1721" s="74"/>
      <c r="H1721" s="153"/>
      <c r="I1721" s="72"/>
      <c r="K1721" s="658"/>
    </row>
    <row r="1722" spans="1:11" customFormat="1" x14ac:dyDescent="0.25">
      <c r="A1722" s="678"/>
      <c r="B1722" s="75" t="s">
        <v>8687</v>
      </c>
      <c r="C1722" s="73"/>
      <c r="D1722" s="73"/>
      <c r="E1722" s="73"/>
      <c r="F1722" s="73"/>
      <c r="G1722" s="74"/>
      <c r="H1722" s="153"/>
      <c r="I1722" s="72"/>
      <c r="K1722" s="658"/>
    </row>
    <row r="1723" spans="1:11" customFormat="1" x14ac:dyDescent="0.25">
      <c r="A1723" s="661"/>
      <c r="B1723" s="100" t="s">
        <v>8686</v>
      </c>
      <c r="C1723" s="73"/>
      <c r="D1723" s="73"/>
      <c r="E1723" s="73"/>
      <c r="F1723" s="73"/>
      <c r="G1723" s="74" t="s">
        <v>3</v>
      </c>
      <c r="H1723" s="153">
        <f>0.305*0.085*1*8*1.12</f>
        <v>0.23228800000000002</v>
      </c>
      <c r="I1723" s="72"/>
      <c r="K1723" s="658"/>
    </row>
    <row r="1724" spans="1:11" customFormat="1" x14ac:dyDescent="0.25">
      <c r="A1724" s="661"/>
      <c r="B1724" s="100" t="s">
        <v>8</v>
      </c>
      <c r="C1724" s="73"/>
      <c r="D1724" s="73"/>
      <c r="E1724" s="73"/>
      <c r="F1724" s="73"/>
      <c r="G1724" s="74" t="s">
        <v>3</v>
      </c>
      <c r="H1724" s="153">
        <f>H1725</f>
        <v>2.02215E-2</v>
      </c>
      <c r="I1724" s="72"/>
      <c r="K1724" s="658"/>
    </row>
    <row r="1725" spans="1:11" customFormat="1" x14ac:dyDescent="0.25">
      <c r="A1725" s="661"/>
      <c r="B1725" s="100" t="s">
        <v>8685</v>
      </c>
      <c r="C1725" s="73"/>
      <c r="D1725" s="73"/>
      <c r="E1725" s="73"/>
      <c r="F1725" s="73"/>
      <c r="G1725" s="74" t="s">
        <v>3</v>
      </c>
      <c r="H1725" s="153">
        <f>0.305*0.085*2*0.15*2*1.3</f>
        <v>2.02215E-2</v>
      </c>
      <c r="I1725" s="72"/>
      <c r="K1725" s="658"/>
    </row>
    <row r="1726" spans="1:11" customFormat="1" x14ac:dyDescent="0.25">
      <c r="A1726" s="661"/>
      <c r="B1726" s="100" t="s">
        <v>12</v>
      </c>
      <c r="C1726" s="73"/>
      <c r="D1726" s="73"/>
      <c r="E1726" s="73"/>
      <c r="F1726" s="73"/>
      <c r="G1726" s="74" t="s">
        <v>3</v>
      </c>
      <c r="H1726" s="153">
        <f>0.3*(H1725+H1724)</f>
        <v>1.21329E-2</v>
      </c>
      <c r="I1726" s="72"/>
      <c r="K1726" s="658"/>
    </row>
    <row r="1727" spans="1:11" customFormat="1" x14ac:dyDescent="0.25">
      <c r="A1727" s="661"/>
      <c r="B1727" s="73"/>
      <c r="C1727" s="73"/>
      <c r="D1727" s="73"/>
      <c r="E1727" s="73"/>
      <c r="F1727" s="73"/>
      <c r="G1727" s="74"/>
      <c r="H1727" s="153"/>
      <c r="I1727" s="72"/>
      <c r="K1727" s="658"/>
    </row>
    <row r="1728" spans="1:11" customFormat="1" x14ac:dyDescent="0.25">
      <c r="A1728" s="678"/>
      <c r="B1728" s="75" t="s">
        <v>8684</v>
      </c>
      <c r="C1728" s="73"/>
      <c r="D1728" s="73"/>
      <c r="E1728" s="73"/>
      <c r="F1728" s="73"/>
      <c r="G1728" s="74"/>
      <c r="H1728" s="153"/>
      <c r="I1728" s="72"/>
      <c r="K1728" s="658"/>
    </row>
    <row r="1729" spans="1:11" customFormat="1" x14ac:dyDescent="0.25">
      <c r="A1729" s="661"/>
      <c r="B1729" s="73" t="s">
        <v>150</v>
      </c>
      <c r="C1729" s="73"/>
      <c r="D1729" s="73"/>
      <c r="E1729" s="73"/>
      <c r="F1729" s="73"/>
      <c r="G1729" s="74" t="s">
        <v>3</v>
      </c>
      <c r="H1729" s="153">
        <f>(0.155*0.23+0.32*0.1+0.284*0.1)*2*8*1.152</f>
        <v>1.7703935999999998</v>
      </c>
      <c r="I1729" s="72"/>
      <c r="K1729" s="658"/>
    </row>
    <row r="1730" spans="1:11" customFormat="1" x14ac:dyDescent="0.25">
      <c r="A1730" s="661"/>
      <c r="B1730" s="77" t="s">
        <v>1054</v>
      </c>
      <c r="C1730" s="73"/>
      <c r="D1730" s="73"/>
      <c r="E1730" s="73"/>
      <c r="F1730" s="73"/>
      <c r="G1730" s="74" t="s">
        <v>3</v>
      </c>
      <c r="H1730" s="153">
        <f>0.25*0.08</f>
        <v>0.02</v>
      </c>
      <c r="I1730" s="72"/>
      <c r="K1730" s="658"/>
    </row>
    <row r="1731" spans="1:11" customFormat="1" ht="17.25" x14ac:dyDescent="0.25">
      <c r="A1731" s="661"/>
      <c r="B1731" s="77" t="s">
        <v>1055</v>
      </c>
      <c r="C1731" s="73"/>
      <c r="D1731" s="73"/>
      <c r="E1731" s="73"/>
      <c r="F1731" s="73"/>
      <c r="G1731" s="74" t="s">
        <v>596</v>
      </c>
      <c r="H1731" s="153">
        <f>H1730</f>
        <v>0.02</v>
      </c>
      <c r="I1731" s="72"/>
      <c r="K1731" s="658"/>
    </row>
    <row r="1732" spans="1:11" customFormat="1" x14ac:dyDescent="0.25">
      <c r="A1732" s="661"/>
      <c r="B1732" s="77" t="s">
        <v>8</v>
      </c>
      <c r="C1732" s="73"/>
      <c r="D1732" s="73"/>
      <c r="E1732" s="73"/>
      <c r="F1732" s="73"/>
      <c r="G1732" s="74" t="s">
        <v>3</v>
      </c>
      <c r="H1732" s="153">
        <f>H1734*0.9</f>
        <v>4.4928000000000003E-2</v>
      </c>
      <c r="I1732" s="72"/>
      <c r="K1732" s="658"/>
    </row>
    <row r="1733" spans="1:11" customFormat="1" x14ac:dyDescent="0.25">
      <c r="A1733" s="661"/>
      <c r="B1733" s="77" t="s">
        <v>12</v>
      </c>
      <c r="C1733" s="73"/>
      <c r="D1733" s="73"/>
      <c r="E1733" s="73"/>
      <c r="F1733" s="73"/>
      <c r="G1733" s="74" t="s">
        <v>3</v>
      </c>
      <c r="H1733" s="153">
        <f>0.3*H1732</f>
        <v>1.34784E-2</v>
      </c>
      <c r="I1733" s="72"/>
      <c r="K1733" s="658"/>
    </row>
    <row r="1734" spans="1:11" customFormat="1" x14ac:dyDescent="0.25">
      <c r="A1734" s="661"/>
      <c r="B1734" s="77" t="s">
        <v>72</v>
      </c>
      <c r="C1734" s="73"/>
      <c r="D1734" s="73"/>
      <c r="E1734" s="73"/>
      <c r="F1734" s="73"/>
      <c r="G1734" s="74" t="s">
        <v>3</v>
      </c>
      <c r="H1734" s="153">
        <f>0.8*0.08*2*0.15*2*1.3</f>
        <v>4.9919999999999999E-2</v>
      </c>
      <c r="I1734" s="72"/>
      <c r="K1734" s="658"/>
    </row>
    <row r="1735" spans="1:11" customFormat="1" x14ac:dyDescent="0.25">
      <c r="A1735" s="661"/>
      <c r="B1735" s="77" t="s">
        <v>11</v>
      </c>
      <c r="C1735" s="73"/>
      <c r="D1735" s="73"/>
      <c r="E1735" s="73"/>
      <c r="F1735" s="73"/>
      <c r="G1735" s="74" t="s">
        <v>3</v>
      </c>
      <c r="H1735" s="153">
        <f>0.3*H1734</f>
        <v>1.4976E-2</v>
      </c>
      <c r="I1735" s="72"/>
      <c r="K1735" s="658"/>
    </row>
    <row r="1736" spans="1:11" customFormat="1" x14ac:dyDescent="0.25">
      <c r="A1736" s="661"/>
      <c r="B1736" s="77" t="s">
        <v>13</v>
      </c>
      <c r="C1736" s="73"/>
      <c r="D1736" s="73"/>
      <c r="E1736" s="73"/>
      <c r="F1736" s="73"/>
      <c r="G1736" s="74" t="s">
        <v>3</v>
      </c>
      <c r="H1736" s="153">
        <v>7.0000000000000007E-2</v>
      </c>
      <c r="I1736" s="72"/>
      <c r="K1736" s="658"/>
    </row>
    <row r="1737" spans="1:11" customFormat="1" x14ac:dyDescent="0.25">
      <c r="A1737" s="661"/>
      <c r="B1737" s="73"/>
      <c r="C1737" s="73"/>
      <c r="D1737" s="73"/>
      <c r="E1737" s="73"/>
      <c r="F1737" s="73"/>
      <c r="G1737" s="74"/>
      <c r="H1737" s="153"/>
      <c r="I1737" s="72"/>
      <c r="K1737" s="658"/>
    </row>
    <row r="1738" spans="1:11" customFormat="1" x14ac:dyDescent="0.25">
      <c r="A1738" s="678"/>
      <c r="B1738" s="75" t="s">
        <v>8683</v>
      </c>
      <c r="C1738" s="73"/>
      <c r="D1738" s="73"/>
      <c r="E1738" s="73"/>
      <c r="F1738" s="73"/>
      <c r="G1738" s="74"/>
      <c r="H1738" s="153"/>
      <c r="I1738" s="72"/>
      <c r="K1738" s="658"/>
    </row>
    <row r="1739" spans="1:11" customFormat="1" x14ac:dyDescent="0.25">
      <c r="A1739" s="661"/>
      <c r="B1739" s="77" t="s">
        <v>124</v>
      </c>
      <c r="C1739" s="73"/>
      <c r="D1739" s="73"/>
      <c r="E1739" s="73"/>
      <c r="F1739" s="73"/>
      <c r="G1739" s="74" t="s">
        <v>3</v>
      </c>
      <c r="H1739" s="153">
        <f>0.025*3.14*2*0.07*1.2</f>
        <v>1.3188000000000004E-2</v>
      </c>
      <c r="I1739" s="72"/>
      <c r="K1739" s="658"/>
    </row>
    <row r="1740" spans="1:11" customFormat="1" ht="17.25" x14ac:dyDescent="0.25">
      <c r="A1740" s="661"/>
      <c r="B1740" s="77" t="s">
        <v>168</v>
      </c>
      <c r="C1740" s="73"/>
      <c r="D1740" s="73"/>
      <c r="E1740" s="73"/>
      <c r="F1740" s="73"/>
      <c r="G1740" s="74" t="s">
        <v>596</v>
      </c>
      <c r="H1740" s="153">
        <f>H1739*1.09</f>
        <v>1.4374920000000005E-2</v>
      </c>
      <c r="I1740" s="72"/>
      <c r="K1740" s="658"/>
    </row>
    <row r="1741" spans="1:11" customFormat="1" x14ac:dyDescent="0.25">
      <c r="A1741" s="661"/>
      <c r="B1741" s="73" t="s">
        <v>114</v>
      </c>
      <c r="C1741" s="75"/>
      <c r="D1741" s="73"/>
      <c r="E1741" s="73"/>
      <c r="F1741" s="73"/>
      <c r="G1741" s="74" t="s">
        <v>3</v>
      </c>
      <c r="H1741" s="153">
        <f>H1743*0.9</f>
        <v>9.0288000000000007E-2</v>
      </c>
      <c r="I1741" s="72"/>
      <c r="K1741" s="658"/>
    </row>
    <row r="1742" spans="1:11" customFormat="1" x14ac:dyDescent="0.25">
      <c r="A1742" s="661"/>
      <c r="B1742" s="73" t="s">
        <v>164</v>
      </c>
      <c r="C1742" s="75"/>
      <c r="D1742" s="73"/>
      <c r="E1742" s="73"/>
      <c r="F1742" s="73"/>
      <c r="G1742" s="74" t="s">
        <v>3</v>
      </c>
      <c r="H1742" s="153">
        <f>0.3*H1741</f>
        <v>2.70864E-2</v>
      </c>
      <c r="I1742" s="72"/>
      <c r="K1742" s="658"/>
    </row>
    <row r="1743" spans="1:11" customFormat="1" x14ac:dyDescent="0.25">
      <c r="A1743" s="661"/>
      <c r="B1743" s="73" t="s">
        <v>500</v>
      </c>
      <c r="C1743" s="75"/>
      <c r="D1743" s="73"/>
      <c r="E1743" s="73"/>
      <c r="F1743" s="73"/>
      <c r="G1743" s="74" t="s">
        <v>3</v>
      </c>
      <c r="H1743" s="153">
        <f>2.2*0.02*2*1.14</f>
        <v>0.10032000000000001</v>
      </c>
      <c r="I1743" s="72"/>
      <c r="K1743" s="658"/>
    </row>
    <row r="1744" spans="1:11" customFormat="1" x14ac:dyDescent="0.25">
      <c r="A1744" s="661"/>
      <c r="B1744" s="73" t="s">
        <v>12</v>
      </c>
      <c r="C1744" s="73"/>
      <c r="D1744" s="73"/>
      <c r="E1744" s="73"/>
      <c r="F1744" s="73"/>
      <c r="G1744" s="74" t="s">
        <v>3</v>
      </c>
      <c r="H1744" s="153">
        <f>0.3*H1743</f>
        <v>3.0096000000000001E-2</v>
      </c>
      <c r="I1744" s="72"/>
      <c r="K1744" s="658"/>
    </row>
    <row r="1745" spans="1:11" customFormat="1" x14ac:dyDescent="0.25">
      <c r="A1745" s="661"/>
      <c r="B1745" s="73"/>
      <c r="C1745" s="75" t="s">
        <v>8682</v>
      </c>
      <c r="D1745" s="73"/>
      <c r="E1745" s="73"/>
      <c r="F1745" s="73"/>
      <c r="G1745" s="74"/>
      <c r="H1745" s="153"/>
      <c r="I1745" s="72"/>
      <c r="K1745" s="658"/>
    </row>
    <row r="1746" spans="1:11" customFormat="1" x14ac:dyDescent="0.25">
      <c r="A1746" s="661"/>
      <c r="B1746" s="73"/>
      <c r="C1746" s="73" t="s">
        <v>499</v>
      </c>
      <c r="D1746" s="73"/>
      <c r="E1746" s="73"/>
      <c r="F1746" s="73"/>
      <c r="G1746" s="74" t="s">
        <v>3</v>
      </c>
      <c r="H1746" s="153">
        <v>1.43</v>
      </c>
      <c r="I1746" s="72"/>
      <c r="J1746" t="s">
        <v>8681</v>
      </c>
      <c r="K1746" s="658"/>
    </row>
    <row r="1747" spans="1:11" customFormat="1" x14ac:dyDescent="0.25">
      <c r="A1747" s="661"/>
      <c r="B1747" s="73"/>
      <c r="C1747" s="73"/>
      <c r="D1747" s="73"/>
      <c r="E1747" s="73"/>
      <c r="F1747" s="73"/>
      <c r="G1747" s="74"/>
      <c r="H1747" s="153"/>
      <c r="I1747" s="72"/>
      <c r="K1747" s="658"/>
    </row>
    <row r="1748" spans="1:11" customFormat="1" x14ac:dyDescent="0.25">
      <c r="A1748" s="678"/>
      <c r="B1748" s="75" t="s">
        <v>8680</v>
      </c>
      <c r="C1748" s="73"/>
      <c r="D1748" s="73"/>
      <c r="E1748" s="73"/>
      <c r="F1748" s="73"/>
      <c r="G1748" s="74"/>
      <c r="H1748" s="153"/>
      <c r="I1748" s="72"/>
      <c r="K1748" s="658"/>
    </row>
    <row r="1749" spans="1:11" customFormat="1" x14ac:dyDescent="0.25">
      <c r="A1749" s="661"/>
      <c r="B1749" s="77" t="s">
        <v>124</v>
      </c>
      <c r="C1749" s="73"/>
      <c r="D1749" s="73"/>
      <c r="E1749" s="73"/>
      <c r="F1749" s="73"/>
      <c r="G1749" s="74" t="s">
        <v>3</v>
      </c>
      <c r="H1749" s="153">
        <f>0.025*3.14*2.5*0.07*1.2</f>
        <v>1.6485000000000003E-2</v>
      </c>
      <c r="I1749" s="72"/>
      <c r="K1749" s="658"/>
    </row>
    <row r="1750" spans="1:11" customFormat="1" ht="17.25" x14ac:dyDescent="0.25">
      <c r="A1750" s="661"/>
      <c r="B1750" s="77" t="s">
        <v>168</v>
      </c>
      <c r="C1750" s="73"/>
      <c r="D1750" s="73"/>
      <c r="E1750" s="73"/>
      <c r="F1750" s="73"/>
      <c r="G1750" s="74" t="s">
        <v>596</v>
      </c>
      <c r="H1750" s="153">
        <f>H1749*1.09</f>
        <v>1.7968650000000006E-2</v>
      </c>
      <c r="I1750" s="72"/>
      <c r="K1750" s="658"/>
    </row>
    <row r="1751" spans="1:11" customFormat="1" x14ac:dyDescent="0.25">
      <c r="A1751" s="661"/>
      <c r="B1751" s="73" t="s">
        <v>114</v>
      </c>
      <c r="C1751" s="75"/>
      <c r="D1751" s="73"/>
      <c r="E1751" s="73"/>
      <c r="F1751" s="73"/>
      <c r="G1751" s="74" t="s">
        <v>3</v>
      </c>
      <c r="H1751" s="153">
        <f>H1753*0.9+0.002</f>
        <v>6.0212000000000002E-2</v>
      </c>
      <c r="I1751" s="72"/>
      <c r="K1751" s="658"/>
    </row>
    <row r="1752" spans="1:11" customFormat="1" x14ac:dyDescent="0.25">
      <c r="A1752" s="661"/>
      <c r="B1752" s="73" t="s">
        <v>164</v>
      </c>
      <c r="C1752" s="75"/>
      <c r="D1752" s="73"/>
      <c r="E1752" s="73"/>
      <c r="F1752" s="73"/>
      <c r="G1752" s="74" t="s">
        <v>3</v>
      </c>
      <c r="H1752" s="153">
        <f>0.3*H1751</f>
        <v>1.8063599999999999E-2</v>
      </c>
      <c r="I1752" s="72"/>
      <c r="K1752" s="658"/>
    </row>
    <row r="1753" spans="1:11" customFormat="1" x14ac:dyDescent="0.25">
      <c r="A1753" s="661"/>
      <c r="B1753" s="73" t="s">
        <v>500</v>
      </c>
      <c r="C1753" s="75"/>
      <c r="D1753" s="73"/>
      <c r="E1753" s="73"/>
      <c r="F1753" s="73"/>
      <c r="G1753" s="74" t="s">
        <v>3</v>
      </c>
      <c r="H1753" s="153">
        <f>1.4*0.02*2*1.155</f>
        <v>6.4680000000000001E-2</v>
      </c>
      <c r="I1753" s="72"/>
      <c r="K1753" s="658"/>
    </row>
    <row r="1754" spans="1:11" customFormat="1" x14ac:dyDescent="0.25">
      <c r="A1754" s="661"/>
      <c r="B1754" s="73" t="s">
        <v>12</v>
      </c>
      <c r="C1754" s="73"/>
      <c r="D1754" s="73"/>
      <c r="E1754" s="73"/>
      <c r="F1754" s="73"/>
      <c r="G1754" s="74" t="s">
        <v>3</v>
      </c>
      <c r="H1754" s="153">
        <f>0.3*H1753</f>
        <v>1.9404000000000001E-2</v>
      </c>
      <c r="I1754" s="72"/>
      <c r="K1754" s="658"/>
    </row>
    <row r="1755" spans="1:11" customFormat="1" x14ac:dyDescent="0.25">
      <c r="A1755" s="661"/>
      <c r="B1755" s="73"/>
      <c r="C1755" s="75" t="s">
        <v>8679</v>
      </c>
      <c r="D1755" s="73"/>
      <c r="E1755" s="73"/>
      <c r="F1755" s="73"/>
      <c r="G1755" s="74"/>
      <c r="H1755" s="153"/>
      <c r="I1755" s="72"/>
      <c r="K1755" s="658"/>
    </row>
    <row r="1756" spans="1:11" customFormat="1" x14ac:dyDescent="0.25">
      <c r="A1756" s="661"/>
      <c r="B1756" s="73"/>
      <c r="C1756" s="77" t="s">
        <v>124</v>
      </c>
      <c r="D1756" s="73"/>
      <c r="E1756" s="73"/>
      <c r="F1756" s="73"/>
      <c r="G1756" s="74" t="s">
        <v>3</v>
      </c>
      <c r="H1756" s="153">
        <f>0.032*0.07*1.2</f>
        <v>2.6880000000000003E-3</v>
      </c>
      <c r="I1756" s="72"/>
      <c r="K1756" s="658"/>
    </row>
    <row r="1757" spans="1:11" customFormat="1" ht="17.25" x14ac:dyDescent="0.25">
      <c r="A1757" s="661"/>
      <c r="B1757" s="73"/>
      <c r="C1757" s="77" t="s">
        <v>168</v>
      </c>
      <c r="D1757" s="73"/>
      <c r="E1757" s="73"/>
      <c r="F1757" s="73"/>
      <c r="G1757" s="74" t="s">
        <v>596</v>
      </c>
      <c r="H1757" s="153">
        <f>H1756*1.09</f>
        <v>2.9299200000000004E-3</v>
      </c>
      <c r="I1757" s="72"/>
      <c r="K1757" s="658"/>
    </row>
    <row r="1758" spans="1:11" customFormat="1" x14ac:dyDescent="0.25">
      <c r="A1758" s="661"/>
      <c r="B1758" s="73"/>
      <c r="C1758" s="73"/>
      <c r="D1758" s="75" t="s">
        <v>8678</v>
      </c>
      <c r="E1758" s="73"/>
      <c r="F1758" s="73"/>
      <c r="G1758" s="74"/>
      <c r="H1758" s="153"/>
      <c r="I1758" s="72"/>
      <c r="K1758" s="658"/>
    </row>
    <row r="1759" spans="1:11" customFormat="1" x14ac:dyDescent="0.25">
      <c r="A1759" s="661"/>
      <c r="B1759" s="73"/>
      <c r="C1759" s="73"/>
      <c r="D1759" s="73" t="s">
        <v>1222</v>
      </c>
      <c r="E1759" s="73"/>
      <c r="F1759" s="73"/>
      <c r="G1759" s="74" t="s">
        <v>3</v>
      </c>
      <c r="H1759" s="153">
        <v>1.7999999999999999E-2</v>
      </c>
      <c r="I1759" s="72"/>
      <c r="J1759" t="s">
        <v>8677</v>
      </c>
      <c r="K1759" s="658"/>
    </row>
    <row r="1760" spans="1:11" customFormat="1" x14ac:dyDescent="0.25">
      <c r="A1760" s="661"/>
      <c r="B1760" s="73"/>
      <c r="C1760" s="75" t="s">
        <v>8676</v>
      </c>
      <c r="D1760" s="73"/>
      <c r="E1760" s="73"/>
      <c r="F1760" s="73"/>
      <c r="G1760" s="74"/>
      <c r="H1760" s="153"/>
      <c r="I1760" s="72"/>
      <c r="K1760" s="658"/>
    </row>
    <row r="1761" spans="1:11" customFormat="1" x14ac:dyDescent="0.25">
      <c r="A1761" s="661"/>
      <c r="B1761" s="73"/>
      <c r="C1761" s="73" t="s">
        <v>499</v>
      </c>
      <c r="D1761" s="73"/>
      <c r="E1761" s="73"/>
      <c r="F1761" s="73"/>
      <c r="G1761" s="74" t="s">
        <v>3</v>
      </c>
      <c r="H1761" s="153">
        <v>0.9</v>
      </c>
      <c r="I1761" s="72"/>
      <c r="J1761" t="s">
        <v>8675</v>
      </c>
      <c r="K1761" s="658"/>
    </row>
    <row r="1762" spans="1:11" customFormat="1" x14ac:dyDescent="0.25">
      <c r="A1762" s="661"/>
      <c r="B1762" s="73"/>
      <c r="C1762" s="73"/>
      <c r="D1762" s="73"/>
      <c r="E1762" s="73"/>
      <c r="F1762" s="73"/>
      <c r="G1762" s="74"/>
      <c r="H1762" s="153"/>
      <c r="I1762" s="72"/>
      <c r="K1762" s="658"/>
    </row>
    <row r="1763" spans="1:11" customFormat="1" x14ac:dyDescent="0.25">
      <c r="A1763" s="678"/>
      <c r="B1763" s="75" t="s">
        <v>8674</v>
      </c>
      <c r="C1763" s="73"/>
      <c r="D1763" s="73"/>
      <c r="E1763" s="73"/>
      <c r="F1763" s="73"/>
      <c r="G1763" s="74"/>
      <c r="H1763" s="153"/>
      <c r="I1763" s="72"/>
      <c r="K1763" s="658"/>
    </row>
    <row r="1764" spans="1:11" customFormat="1" x14ac:dyDescent="0.25">
      <c r="A1764" s="661"/>
      <c r="B1764" s="77" t="s">
        <v>124</v>
      </c>
      <c r="C1764" s="73"/>
      <c r="D1764" s="73"/>
      <c r="E1764" s="73"/>
      <c r="F1764" s="73"/>
      <c r="G1764" s="74" t="s">
        <v>3</v>
      </c>
      <c r="H1764" s="153">
        <f>0.025*3.14*3*0.07*1.2</f>
        <v>1.9782000000000004E-2</v>
      </c>
      <c r="I1764" s="72"/>
      <c r="K1764" s="658"/>
    </row>
    <row r="1765" spans="1:11" customFormat="1" ht="17.25" x14ac:dyDescent="0.25">
      <c r="A1765" s="661"/>
      <c r="B1765" s="77" t="s">
        <v>168</v>
      </c>
      <c r="C1765" s="73"/>
      <c r="D1765" s="73"/>
      <c r="E1765" s="73"/>
      <c r="F1765" s="73"/>
      <c r="G1765" s="74" t="s">
        <v>596</v>
      </c>
      <c r="H1765" s="153">
        <f>H1764*1.09</f>
        <v>2.1562380000000006E-2</v>
      </c>
      <c r="I1765" s="72"/>
      <c r="K1765" s="658"/>
    </row>
    <row r="1766" spans="1:11" customFormat="1" x14ac:dyDescent="0.25">
      <c r="A1766" s="661"/>
      <c r="B1766" s="73" t="s">
        <v>114</v>
      </c>
      <c r="C1766" s="75"/>
      <c r="D1766" s="73"/>
      <c r="E1766" s="73"/>
      <c r="F1766" s="73"/>
      <c r="G1766" s="74" t="s">
        <v>3</v>
      </c>
      <c r="H1766" s="153">
        <f>H1768*0.9</f>
        <v>5.3697600000000005E-2</v>
      </c>
      <c r="I1766" s="72"/>
      <c r="K1766" s="658"/>
    </row>
    <row r="1767" spans="1:11" customFormat="1" x14ac:dyDescent="0.25">
      <c r="A1767" s="661"/>
      <c r="B1767" s="73" t="s">
        <v>164</v>
      </c>
      <c r="C1767" s="75"/>
      <c r="D1767" s="73"/>
      <c r="E1767" s="73"/>
      <c r="F1767" s="73"/>
      <c r="G1767" s="74" t="s">
        <v>3</v>
      </c>
      <c r="H1767" s="153">
        <f>0.3*H1766</f>
        <v>1.610928E-2</v>
      </c>
      <c r="I1767" s="72"/>
      <c r="K1767" s="658"/>
    </row>
    <row r="1768" spans="1:11" customFormat="1" x14ac:dyDescent="0.25">
      <c r="A1768" s="661"/>
      <c r="B1768" s="73" t="s">
        <v>500</v>
      </c>
      <c r="C1768" s="75"/>
      <c r="D1768" s="73"/>
      <c r="E1768" s="73"/>
      <c r="F1768" s="73"/>
      <c r="G1768" s="74" t="s">
        <v>3</v>
      </c>
      <c r="H1768" s="153">
        <f>1.32*0.02*2*1.13</f>
        <v>5.9664000000000002E-2</v>
      </c>
      <c r="I1768" s="72"/>
      <c r="K1768" s="658"/>
    </row>
    <row r="1769" spans="1:11" customFormat="1" x14ac:dyDescent="0.25">
      <c r="A1769" s="661"/>
      <c r="B1769" s="73" t="s">
        <v>12</v>
      </c>
      <c r="C1769" s="73"/>
      <c r="D1769" s="73"/>
      <c r="E1769" s="73"/>
      <c r="F1769" s="73"/>
      <c r="G1769" s="74" t="s">
        <v>3</v>
      </c>
      <c r="H1769" s="153">
        <f>0.3*H1768</f>
        <v>1.7899200000000001E-2</v>
      </c>
      <c r="I1769" s="72"/>
      <c r="K1769" s="658"/>
    </row>
    <row r="1770" spans="1:11" customFormat="1" x14ac:dyDescent="0.25">
      <c r="A1770" s="661"/>
      <c r="B1770" s="73"/>
      <c r="C1770" s="75" t="s">
        <v>8673</v>
      </c>
      <c r="D1770" s="73"/>
      <c r="E1770" s="73"/>
      <c r="F1770" s="73"/>
      <c r="G1770" s="74"/>
      <c r="H1770" s="153"/>
      <c r="I1770" s="72"/>
      <c r="K1770" s="658"/>
    </row>
    <row r="1771" spans="1:11" customFormat="1" x14ac:dyDescent="0.25">
      <c r="A1771" s="661"/>
      <c r="B1771" s="73"/>
      <c r="C1771" s="73" t="s">
        <v>499</v>
      </c>
      <c r="D1771" s="73"/>
      <c r="E1771" s="73"/>
      <c r="F1771" s="73"/>
      <c r="G1771" s="74" t="s">
        <v>3</v>
      </c>
      <c r="H1771" s="153">
        <v>0.85</v>
      </c>
      <c r="I1771" s="72"/>
      <c r="J1771" t="s">
        <v>8672</v>
      </c>
      <c r="K1771" s="658"/>
    </row>
    <row r="1772" spans="1:11" customFormat="1" x14ac:dyDescent="0.25">
      <c r="A1772" s="661"/>
      <c r="B1772" s="73"/>
      <c r="C1772" s="73"/>
      <c r="D1772" s="73"/>
      <c r="E1772" s="73"/>
      <c r="F1772" s="73"/>
      <c r="G1772" s="74"/>
      <c r="H1772" s="153"/>
      <c r="I1772" s="72"/>
      <c r="K1772" s="658"/>
    </row>
    <row r="1773" spans="1:11" customFormat="1" x14ac:dyDescent="0.25">
      <c r="A1773" s="678"/>
      <c r="B1773" s="75" t="s">
        <v>8671</v>
      </c>
      <c r="C1773" s="73"/>
      <c r="D1773" s="73"/>
      <c r="E1773" s="73"/>
      <c r="F1773" s="73"/>
      <c r="G1773" s="74"/>
      <c r="H1773" s="153"/>
      <c r="I1773" s="72"/>
      <c r="K1773" s="658"/>
    </row>
    <row r="1774" spans="1:11" customFormat="1" x14ac:dyDescent="0.25">
      <c r="A1774" s="661"/>
      <c r="B1774" s="77" t="s">
        <v>124</v>
      </c>
      <c r="C1774" s="73"/>
      <c r="D1774" s="73"/>
      <c r="E1774" s="73"/>
      <c r="F1774" s="73"/>
      <c r="G1774" s="74" t="s">
        <v>3</v>
      </c>
      <c r="H1774" s="153">
        <f>0.065*0.07*1.2</f>
        <v>5.4600000000000004E-3</v>
      </c>
      <c r="I1774" s="72"/>
      <c r="K1774" s="658"/>
    </row>
    <row r="1775" spans="1:11" customFormat="1" ht="17.25" x14ac:dyDescent="0.25">
      <c r="A1775" s="661"/>
      <c r="B1775" s="77" t="s">
        <v>168</v>
      </c>
      <c r="C1775" s="73"/>
      <c r="D1775" s="73"/>
      <c r="E1775" s="73"/>
      <c r="F1775" s="73"/>
      <c r="G1775" s="74" t="s">
        <v>596</v>
      </c>
      <c r="H1775" s="153">
        <f>H1774*1.09</f>
        <v>5.9514000000000008E-3</v>
      </c>
      <c r="I1775" s="72"/>
      <c r="K1775" s="658"/>
    </row>
    <row r="1776" spans="1:11" customFormat="1" x14ac:dyDescent="0.25">
      <c r="A1776" s="661"/>
      <c r="B1776" s="73" t="s">
        <v>114</v>
      </c>
      <c r="C1776" s="75"/>
      <c r="D1776" s="73"/>
      <c r="E1776" s="73"/>
      <c r="F1776" s="73"/>
      <c r="G1776" s="74" t="s">
        <v>3</v>
      </c>
      <c r="H1776" s="153">
        <f>H1778*0.9</f>
        <v>4.5540000000000008E-3</v>
      </c>
      <c r="I1776" s="72"/>
      <c r="K1776" s="658"/>
    </row>
    <row r="1777" spans="1:11" customFormat="1" x14ac:dyDescent="0.25">
      <c r="A1777" s="661"/>
      <c r="B1777" s="73" t="s">
        <v>164</v>
      </c>
      <c r="C1777" s="75"/>
      <c r="D1777" s="73"/>
      <c r="E1777" s="73"/>
      <c r="F1777" s="73"/>
      <c r="G1777" s="74" t="s">
        <v>3</v>
      </c>
      <c r="H1777" s="153">
        <f>0.3*H1776</f>
        <v>1.3662000000000001E-3</v>
      </c>
      <c r="I1777" s="72"/>
      <c r="K1777" s="658"/>
    </row>
    <row r="1778" spans="1:11" customFormat="1" x14ac:dyDescent="0.25">
      <c r="A1778" s="661"/>
      <c r="B1778" s="73" t="s">
        <v>500</v>
      </c>
      <c r="C1778" s="75"/>
      <c r="D1778" s="73"/>
      <c r="E1778" s="73"/>
      <c r="F1778" s="73"/>
      <c r="G1778" s="74" t="s">
        <v>3</v>
      </c>
      <c r="H1778" s="153">
        <f>0.1*0.011*2*2.3</f>
        <v>5.0600000000000003E-3</v>
      </c>
      <c r="I1778" s="72"/>
      <c r="K1778" s="658"/>
    </row>
    <row r="1779" spans="1:11" customFormat="1" x14ac:dyDescent="0.25">
      <c r="A1779" s="661"/>
      <c r="B1779" s="73" t="s">
        <v>12</v>
      </c>
      <c r="C1779" s="73"/>
      <c r="D1779" s="73"/>
      <c r="E1779" s="73"/>
      <c r="F1779" s="73"/>
      <c r="G1779" s="74" t="s">
        <v>3</v>
      </c>
      <c r="H1779" s="153">
        <f>0.3*H1778</f>
        <v>1.518E-3</v>
      </c>
      <c r="I1779" s="72"/>
      <c r="K1779" s="658"/>
    </row>
    <row r="1780" spans="1:11" customFormat="1" x14ac:dyDescent="0.25">
      <c r="A1780" s="661"/>
      <c r="B1780" s="73"/>
      <c r="C1780" s="75" t="s">
        <v>8670</v>
      </c>
      <c r="D1780" s="73"/>
      <c r="E1780" s="73"/>
      <c r="F1780" s="73"/>
      <c r="G1780" s="74"/>
      <c r="H1780" s="153"/>
      <c r="I1780" s="72"/>
      <c r="K1780" s="658"/>
    </row>
    <row r="1781" spans="1:11" customFormat="1" x14ac:dyDescent="0.25">
      <c r="A1781" s="661"/>
      <c r="B1781" s="73"/>
      <c r="C1781" s="73" t="s">
        <v>1222</v>
      </c>
      <c r="D1781" s="73"/>
      <c r="E1781" s="73"/>
      <c r="F1781" s="73"/>
      <c r="G1781" s="74" t="s">
        <v>3</v>
      </c>
      <c r="H1781" s="153">
        <v>3.5000000000000003E-2</v>
      </c>
      <c r="I1781" s="72"/>
      <c r="J1781" t="s">
        <v>8669</v>
      </c>
      <c r="K1781" s="658"/>
    </row>
    <row r="1782" spans="1:11" customFormat="1" x14ac:dyDescent="0.25">
      <c r="A1782" s="661"/>
      <c r="B1782" s="73"/>
      <c r="C1782" s="73"/>
      <c r="D1782" s="73"/>
      <c r="E1782" s="73"/>
      <c r="F1782" s="73"/>
      <c r="G1782" s="74"/>
      <c r="H1782" s="153"/>
      <c r="I1782" s="72"/>
      <c r="K1782" s="658"/>
    </row>
    <row r="1783" spans="1:11" customFormat="1" x14ac:dyDescent="0.25">
      <c r="A1783" s="678"/>
      <c r="B1783" s="75" t="s">
        <v>8668</v>
      </c>
      <c r="C1783" s="73"/>
      <c r="D1783" s="73"/>
      <c r="E1783" s="73"/>
      <c r="F1783" s="73"/>
      <c r="G1783" s="74"/>
      <c r="H1783" s="153"/>
      <c r="I1783" s="72"/>
      <c r="K1783" s="658"/>
    </row>
    <row r="1784" spans="1:11" customFormat="1" x14ac:dyDescent="0.25">
      <c r="A1784" s="661"/>
      <c r="B1784" s="77" t="s">
        <v>124</v>
      </c>
      <c r="C1784" s="73"/>
      <c r="D1784" s="73"/>
      <c r="E1784" s="73"/>
      <c r="F1784" s="73"/>
      <c r="G1784" s="74" t="s">
        <v>3</v>
      </c>
      <c r="H1784" s="153">
        <f>0.025*3.14*2*0.06*1.2</f>
        <v>1.1304000000000002E-2</v>
      </c>
      <c r="I1784" s="72"/>
      <c r="K1784" s="658"/>
    </row>
    <row r="1785" spans="1:11" customFormat="1" ht="17.25" x14ac:dyDescent="0.25">
      <c r="A1785" s="661"/>
      <c r="B1785" s="77" t="s">
        <v>168</v>
      </c>
      <c r="C1785" s="73"/>
      <c r="D1785" s="73"/>
      <c r="E1785" s="73"/>
      <c r="F1785" s="73"/>
      <c r="G1785" s="74" t="s">
        <v>596</v>
      </c>
      <c r="H1785" s="153">
        <f>H1784*1.09</f>
        <v>1.2321360000000003E-2</v>
      </c>
      <c r="I1785" s="72"/>
      <c r="K1785" s="658"/>
    </row>
    <row r="1786" spans="1:11" customFormat="1" x14ac:dyDescent="0.25">
      <c r="A1786" s="661"/>
      <c r="B1786" s="73" t="s">
        <v>114</v>
      </c>
      <c r="C1786" s="75"/>
      <c r="D1786" s="73"/>
      <c r="E1786" s="73"/>
      <c r="F1786" s="73"/>
      <c r="G1786" s="74" t="s">
        <v>3</v>
      </c>
      <c r="H1786" s="153">
        <f>H1788*0.9</f>
        <v>6.4350000000000006E-3</v>
      </c>
      <c r="I1786" s="72"/>
      <c r="K1786" s="658"/>
    </row>
    <row r="1787" spans="1:11" customFormat="1" x14ac:dyDescent="0.25">
      <c r="A1787" s="661"/>
      <c r="B1787" s="73" t="s">
        <v>164</v>
      </c>
      <c r="C1787" s="75"/>
      <c r="D1787" s="73"/>
      <c r="E1787" s="73"/>
      <c r="F1787" s="73"/>
      <c r="G1787" s="74" t="s">
        <v>3</v>
      </c>
      <c r="H1787" s="153">
        <f>0.3*H1786</f>
        <v>1.9305000000000001E-3</v>
      </c>
      <c r="I1787" s="72"/>
      <c r="K1787" s="658"/>
    </row>
    <row r="1788" spans="1:11" customFormat="1" x14ac:dyDescent="0.25">
      <c r="A1788" s="661"/>
      <c r="B1788" s="73" t="s">
        <v>500</v>
      </c>
      <c r="C1788" s="75"/>
      <c r="D1788" s="73"/>
      <c r="E1788" s="73"/>
      <c r="F1788" s="73"/>
      <c r="G1788" s="74" t="s">
        <v>3</v>
      </c>
      <c r="H1788" s="153">
        <f>0.25*0.011*2*1.3</f>
        <v>7.1500000000000001E-3</v>
      </c>
      <c r="I1788" s="72"/>
      <c r="K1788" s="658"/>
    </row>
    <row r="1789" spans="1:11" customFormat="1" x14ac:dyDescent="0.25">
      <c r="A1789" s="661"/>
      <c r="B1789" s="73" t="s">
        <v>12</v>
      </c>
      <c r="C1789" s="73"/>
      <c r="D1789" s="73"/>
      <c r="E1789" s="73"/>
      <c r="F1789" s="73"/>
      <c r="G1789" s="74" t="s">
        <v>3</v>
      </c>
      <c r="H1789" s="153">
        <f>0.3*H1788</f>
        <v>2.1449999999999998E-3</v>
      </c>
      <c r="I1789" s="72"/>
      <c r="K1789" s="658"/>
    </row>
    <row r="1790" spans="1:11" customFormat="1" x14ac:dyDescent="0.25">
      <c r="A1790" s="661"/>
      <c r="B1790" s="73"/>
      <c r="C1790" s="75" t="s">
        <v>8667</v>
      </c>
      <c r="D1790" s="73"/>
      <c r="E1790" s="73"/>
      <c r="F1790" s="73"/>
      <c r="G1790" s="74"/>
      <c r="H1790" s="153"/>
      <c r="I1790" s="72"/>
      <c r="K1790" s="658"/>
    </row>
    <row r="1791" spans="1:11" customFormat="1" x14ac:dyDescent="0.25">
      <c r="A1791" s="661"/>
      <c r="B1791" s="73"/>
      <c r="C1791" s="73" t="s">
        <v>499</v>
      </c>
      <c r="D1791" s="73"/>
      <c r="E1791" s="73"/>
      <c r="F1791" s="73"/>
      <c r="G1791" s="74" t="s">
        <v>3</v>
      </c>
      <c r="H1791" s="153">
        <v>0.17</v>
      </c>
      <c r="I1791" s="72"/>
      <c r="J1791" t="s">
        <v>1982</v>
      </c>
      <c r="K1791" s="658"/>
    </row>
    <row r="1792" spans="1:11" customFormat="1" x14ac:dyDescent="0.25">
      <c r="A1792" s="661"/>
      <c r="B1792" s="73"/>
      <c r="C1792" s="73"/>
      <c r="D1792" s="73"/>
      <c r="E1792" s="73"/>
      <c r="F1792" s="73"/>
      <c r="G1792" s="74"/>
      <c r="H1792" s="153"/>
      <c r="I1792" s="72"/>
      <c r="K1792" s="658"/>
    </row>
    <row r="1793" spans="1:11" customFormat="1" x14ac:dyDescent="0.25">
      <c r="A1793" s="678"/>
      <c r="B1793" s="75" t="s">
        <v>8666</v>
      </c>
      <c r="C1793" s="73"/>
      <c r="D1793" s="73"/>
      <c r="E1793" s="73"/>
      <c r="F1793" s="73"/>
      <c r="G1793" s="74"/>
      <c r="H1793" s="153"/>
      <c r="I1793" s="72"/>
      <c r="K1793" s="658"/>
    </row>
    <row r="1794" spans="1:11" customFormat="1" x14ac:dyDescent="0.25">
      <c r="A1794" s="661"/>
      <c r="B1794" s="77" t="s">
        <v>124</v>
      </c>
      <c r="C1794" s="73"/>
      <c r="D1794" s="73"/>
      <c r="E1794" s="73"/>
      <c r="F1794" s="73"/>
      <c r="G1794" s="74" t="s">
        <v>3</v>
      </c>
      <c r="H1794" s="153">
        <f>0.025*3.14*2*0.06*1.2</f>
        <v>1.1304000000000002E-2</v>
      </c>
      <c r="I1794" s="72"/>
      <c r="K1794" s="658"/>
    </row>
    <row r="1795" spans="1:11" customFormat="1" ht="17.25" x14ac:dyDescent="0.25">
      <c r="A1795" s="661"/>
      <c r="B1795" s="77" t="s">
        <v>168</v>
      </c>
      <c r="C1795" s="73"/>
      <c r="D1795" s="73"/>
      <c r="E1795" s="73"/>
      <c r="F1795" s="73"/>
      <c r="G1795" s="74" t="s">
        <v>596</v>
      </c>
      <c r="H1795" s="153">
        <f>H1794*1.09</f>
        <v>1.2321360000000003E-2</v>
      </c>
      <c r="I1795" s="72"/>
      <c r="K1795" s="658"/>
    </row>
    <row r="1796" spans="1:11" customFormat="1" x14ac:dyDescent="0.25">
      <c r="A1796" s="661"/>
      <c r="B1796" s="73" t="s">
        <v>114</v>
      </c>
      <c r="C1796" s="75"/>
      <c r="D1796" s="73"/>
      <c r="E1796" s="73"/>
      <c r="F1796" s="73"/>
      <c r="G1796" s="74" t="s">
        <v>3</v>
      </c>
      <c r="H1796" s="153">
        <f>H1798*0.9</f>
        <v>5.8463999999999995E-2</v>
      </c>
      <c r="I1796" s="72"/>
      <c r="K1796" s="658"/>
    </row>
    <row r="1797" spans="1:11" customFormat="1" x14ac:dyDescent="0.25">
      <c r="A1797" s="661"/>
      <c r="B1797" s="73" t="s">
        <v>164</v>
      </c>
      <c r="C1797" s="75"/>
      <c r="D1797" s="73"/>
      <c r="E1797" s="73"/>
      <c r="F1797" s="73"/>
      <c r="G1797" s="74" t="s">
        <v>3</v>
      </c>
      <c r="H1797" s="153">
        <f>0.3*H1796</f>
        <v>1.7539199999999998E-2</v>
      </c>
      <c r="I1797" s="72"/>
      <c r="K1797" s="658"/>
    </row>
    <row r="1798" spans="1:11" customFormat="1" x14ac:dyDescent="0.25">
      <c r="A1798" s="661"/>
      <c r="B1798" s="73" t="s">
        <v>500</v>
      </c>
      <c r="C1798" s="75"/>
      <c r="D1798" s="73"/>
      <c r="E1798" s="73"/>
      <c r="F1798" s="73"/>
      <c r="G1798" s="74" t="s">
        <v>3</v>
      </c>
      <c r="H1798" s="153">
        <f>1.4*0.02*2*1.16</f>
        <v>6.495999999999999E-2</v>
      </c>
      <c r="I1798" s="72"/>
      <c r="K1798" s="658"/>
    </row>
    <row r="1799" spans="1:11" customFormat="1" x14ac:dyDescent="0.25">
      <c r="A1799" s="661"/>
      <c r="B1799" s="73" t="s">
        <v>12</v>
      </c>
      <c r="C1799" s="73"/>
      <c r="D1799" s="73"/>
      <c r="E1799" s="73"/>
      <c r="F1799" s="73"/>
      <c r="G1799" s="74" t="s">
        <v>3</v>
      </c>
      <c r="H1799" s="153">
        <f>0.3*H1798</f>
        <v>1.9487999999999995E-2</v>
      </c>
      <c r="I1799" s="72"/>
      <c r="K1799" s="658"/>
    </row>
    <row r="1800" spans="1:11" customFormat="1" x14ac:dyDescent="0.25">
      <c r="A1800" s="661"/>
      <c r="B1800" s="73"/>
      <c r="C1800" s="75" t="s">
        <v>8665</v>
      </c>
      <c r="D1800" s="100"/>
      <c r="E1800" s="100"/>
      <c r="F1800" s="100"/>
      <c r="G1800" s="103"/>
      <c r="H1800" s="107"/>
      <c r="I1800" s="102"/>
      <c r="J1800" s="25"/>
      <c r="K1800" s="658"/>
    </row>
    <row r="1801" spans="1:11" customFormat="1" x14ac:dyDescent="0.25">
      <c r="A1801" s="661"/>
      <c r="B1801" s="73"/>
      <c r="C1801" s="100" t="s">
        <v>499</v>
      </c>
      <c r="D1801" s="100"/>
      <c r="E1801" s="100"/>
      <c r="F1801" s="100"/>
      <c r="G1801" s="103" t="s">
        <v>3</v>
      </c>
      <c r="H1801" s="107">
        <v>0.86499999999999999</v>
      </c>
      <c r="I1801" s="102"/>
      <c r="J1801" t="s">
        <v>8664</v>
      </c>
      <c r="K1801" s="658"/>
    </row>
    <row r="1802" spans="1:11" customFormat="1" x14ac:dyDescent="0.25">
      <c r="A1802" s="661"/>
      <c r="B1802" s="73"/>
      <c r="C1802" s="73"/>
      <c r="D1802" s="73"/>
      <c r="E1802" s="73"/>
      <c r="F1802" s="73"/>
      <c r="G1802" s="74"/>
      <c r="H1802" s="153"/>
      <c r="I1802" s="72"/>
      <c r="K1802" s="658"/>
    </row>
    <row r="1803" spans="1:11" customFormat="1" x14ac:dyDescent="0.25">
      <c r="A1803" s="678"/>
      <c r="B1803" s="75" t="s">
        <v>8663</v>
      </c>
      <c r="C1803" s="73"/>
      <c r="D1803" s="73"/>
      <c r="E1803" s="73"/>
      <c r="F1803" s="73"/>
      <c r="G1803" s="74"/>
      <c r="H1803" s="153"/>
      <c r="I1803" s="72"/>
      <c r="K1803" s="658"/>
    </row>
    <row r="1804" spans="1:11" customFormat="1" x14ac:dyDescent="0.25">
      <c r="A1804" s="661"/>
      <c r="B1804" s="77" t="s">
        <v>124</v>
      </c>
      <c r="C1804" s="73"/>
      <c r="D1804" s="73"/>
      <c r="E1804" s="73"/>
      <c r="F1804" s="73"/>
      <c r="G1804" s="74" t="s">
        <v>3</v>
      </c>
      <c r="H1804" s="153">
        <f>0.012*3.14*5*0.07*1.2</f>
        <v>1.5825600000000002E-2</v>
      </c>
      <c r="I1804" s="72"/>
      <c r="K1804" s="658"/>
    </row>
    <row r="1805" spans="1:11" customFormat="1" ht="17.25" x14ac:dyDescent="0.25">
      <c r="A1805" s="661"/>
      <c r="B1805" s="77" t="s">
        <v>168</v>
      </c>
      <c r="C1805" s="73"/>
      <c r="D1805" s="73"/>
      <c r="E1805" s="73"/>
      <c r="F1805" s="73"/>
      <c r="G1805" s="74" t="s">
        <v>596</v>
      </c>
      <c r="H1805" s="153">
        <f>H1804*1.09</f>
        <v>1.7249904000000003E-2</v>
      </c>
      <c r="I1805" s="72"/>
      <c r="K1805" s="658"/>
    </row>
    <row r="1806" spans="1:11" customFormat="1" x14ac:dyDescent="0.25">
      <c r="A1806" s="661"/>
      <c r="B1806" s="73" t="s">
        <v>114</v>
      </c>
      <c r="C1806" s="75"/>
      <c r="D1806" s="73"/>
      <c r="E1806" s="73"/>
      <c r="F1806" s="73"/>
      <c r="G1806" s="74" t="s">
        <v>3</v>
      </c>
      <c r="H1806" s="153">
        <f>H1808*0.8</f>
        <v>1.4783999999999999E-2</v>
      </c>
      <c r="I1806" s="72"/>
      <c r="K1806" s="658"/>
    </row>
    <row r="1807" spans="1:11" customFormat="1" x14ac:dyDescent="0.25">
      <c r="A1807" s="661"/>
      <c r="B1807" s="73" t="s">
        <v>164</v>
      </c>
      <c r="C1807" s="75"/>
      <c r="D1807" s="73"/>
      <c r="E1807" s="73"/>
      <c r="F1807" s="73"/>
      <c r="G1807" s="74" t="s">
        <v>3</v>
      </c>
      <c r="H1807" s="153">
        <f>0.3*H1806</f>
        <v>4.4351999999999994E-3</v>
      </c>
      <c r="I1807" s="72"/>
      <c r="K1807" s="658"/>
    </row>
    <row r="1808" spans="1:11" customFormat="1" x14ac:dyDescent="0.25">
      <c r="A1808" s="661"/>
      <c r="B1808" s="73" t="s">
        <v>500</v>
      </c>
      <c r="C1808" s="75"/>
      <c r="D1808" s="73"/>
      <c r="E1808" s="73"/>
      <c r="F1808" s="73"/>
      <c r="G1808" s="74" t="s">
        <v>3</v>
      </c>
      <c r="H1808" s="153">
        <f>0.7*0.011*2*1.2</f>
        <v>1.8479999999999996E-2</v>
      </c>
      <c r="I1808" s="72"/>
      <c r="K1808" s="658"/>
    </row>
    <row r="1809" spans="1:11" customFormat="1" x14ac:dyDescent="0.25">
      <c r="A1809" s="661"/>
      <c r="B1809" s="73" t="s">
        <v>12</v>
      </c>
      <c r="C1809" s="73"/>
      <c r="D1809" s="73"/>
      <c r="E1809" s="73"/>
      <c r="F1809" s="73"/>
      <c r="G1809" s="74" t="s">
        <v>3</v>
      </c>
      <c r="H1809" s="153">
        <f>0.3*H1808</f>
        <v>5.5439999999999986E-3</v>
      </c>
      <c r="I1809" s="72"/>
      <c r="K1809" s="658"/>
    </row>
    <row r="1810" spans="1:11" customFormat="1" x14ac:dyDescent="0.25">
      <c r="A1810" s="661"/>
      <c r="B1810" s="75"/>
      <c r="C1810" s="75" t="s">
        <v>8662</v>
      </c>
      <c r="D1810" s="73"/>
      <c r="E1810" s="73"/>
      <c r="F1810" s="73"/>
      <c r="G1810" s="74"/>
      <c r="H1810" s="153"/>
      <c r="I1810" s="72"/>
      <c r="K1810" s="658"/>
    </row>
    <row r="1811" spans="1:11" customFormat="1" x14ac:dyDescent="0.25">
      <c r="A1811" s="661"/>
      <c r="B1811" s="75"/>
      <c r="C1811" s="77" t="s">
        <v>124</v>
      </c>
      <c r="D1811" s="73"/>
      <c r="E1811" s="73"/>
      <c r="F1811" s="73"/>
      <c r="G1811" s="74" t="s">
        <v>3</v>
      </c>
      <c r="H1811" s="153">
        <f>0.032*0.06*1.2</f>
        <v>2.3040000000000001E-3</v>
      </c>
      <c r="I1811" s="72"/>
      <c r="K1811" s="658"/>
    </row>
    <row r="1812" spans="1:11" customFormat="1" ht="17.25" x14ac:dyDescent="0.25">
      <c r="A1812" s="661"/>
      <c r="B1812" s="75"/>
      <c r="C1812" s="77" t="s">
        <v>168</v>
      </c>
      <c r="D1812" s="73"/>
      <c r="E1812" s="73"/>
      <c r="F1812" s="73"/>
      <c r="G1812" s="74" t="s">
        <v>596</v>
      </c>
      <c r="H1812" s="153">
        <f>H1811*1.09</f>
        <v>2.5113600000000002E-3</v>
      </c>
      <c r="I1812" s="72"/>
      <c r="K1812" s="658"/>
    </row>
    <row r="1813" spans="1:11" customFormat="1" x14ac:dyDescent="0.25">
      <c r="A1813" s="661"/>
      <c r="B1813" s="75"/>
      <c r="C1813" s="75"/>
      <c r="D1813" s="75" t="s">
        <v>8661</v>
      </c>
      <c r="E1813" s="73"/>
      <c r="F1813" s="73"/>
      <c r="G1813" s="74"/>
      <c r="H1813" s="153"/>
      <c r="I1813" s="72"/>
      <c r="K1813" s="658"/>
    </row>
    <row r="1814" spans="1:11" customFormat="1" x14ac:dyDescent="0.25">
      <c r="A1814" s="661"/>
      <c r="B1814" s="75"/>
      <c r="C1814" s="73"/>
      <c r="D1814" s="73" t="s">
        <v>1222</v>
      </c>
      <c r="E1814" s="73"/>
      <c r="F1814" s="73"/>
      <c r="G1814" s="74" t="s">
        <v>3</v>
      </c>
      <c r="H1814" s="153">
        <v>2.1999999999999999E-2</v>
      </c>
      <c r="I1814" s="72"/>
      <c r="J1814" t="s">
        <v>8649</v>
      </c>
      <c r="K1814" s="658"/>
    </row>
    <row r="1815" spans="1:11" customFormat="1" x14ac:dyDescent="0.25">
      <c r="A1815" s="661"/>
      <c r="B1815" s="75"/>
      <c r="C1815" s="75" t="s">
        <v>8660</v>
      </c>
      <c r="D1815" s="73"/>
      <c r="E1815" s="73"/>
      <c r="F1815" s="73"/>
      <c r="G1815" s="74"/>
      <c r="H1815" s="153"/>
      <c r="I1815" s="72"/>
      <c r="K1815" s="658"/>
    </row>
    <row r="1816" spans="1:11" customFormat="1" x14ac:dyDescent="0.25">
      <c r="A1816" s="661"/>
      <c r="B1816" s="75"/>
      <c r="C1816" s="73" t="s">
        <v>1484</v>
      </c>
      <c r="D1816" s="73"/>
      <c r="E1816" s="73"/>
      <c r="F1816" s="73"/>
      <c r="G1816" s="74" t="s">
        <v>3</v>
      </c>
      <c r="H1816" s="153">
        <v>0.18</v>
      </c>
      <c r="I1816" s="72"/>
      <c r="J1816" t="s">
        <v>8659</v>
      </c>
      <c r="K1816" s="658"/>
    </row>
    <row r="1817" spans="1:11" customFormat="1" x14ac:dyDescent="0.25">
      <c r="A1817" s="661"/>
      <c r="B1817" s="73"/>
      <c r="C1817" s="73"/>
      <c r="D1817" s="73"/>
      <c r="E1817" s="73"/>
      <c r="F1817" s="73"/>
      <c r="G1817" s="74"/>
      <c r="H1817" s="153"/>
      <c r="I1817" s="72"/>
      <c r="K1817" s="658"/>
    </row>
    <row r="1818" spans="1:11" customFormat="1" x14ac:dyDescent="0.25">
      <c r="A1818" s="678"/>
      <c r="B1818" s="75" t="s">
        <v>8658</v>
      </c>
      <c r="C1818" s="73"/>
      <c r="D1818" s="73"/>
      <c r="E1818" s="73"/>
      <c r="F1818" s="73"/>
      <c r="G1818" s="74"/>
      <c r="H1818" s="153"/>
      <c r="I1818" s="72"/>
      <c r="K1818" s="658"/>
    </row>
    <row r="1819" spans="1:11" customFormat="1" x14ac:dyDescent="0.25">
      <c r="A1819" s="661"/>
      <c r="B1819" s="77" t="s">
        <v>124</v>
      </c>
      <c r="C1819" s="73"/>
      <c r="D1819" s="73"/>
      <c r="E1819" s="73"/>
      <c r="F1819" s="73"/>
      <c r="G1819" s="74" t="s">
        <v>3</v>
      </c>
      <c r="H1819" s="153">
        <f>0.065*0.07*1.2</f>
        <v>5.4600000000000004E-3</v>
      </c>
      <c r="I1819" s="72"/>
      <c r="K1819" s="658"/>
    </row>
    <row r="1820" spans="1:11" customFormat="1" ht="17.25" x14ac:dyDescent="0.25">
      <c r="A1820" s="661"/>
      <c r="B1820" s="77" t="s">
        <v>168</v>
      </c>
      <c r="C1820" s="73"/>
      <c r="D1820" s="73"/>
      <c r="E1820" s="73"/>
      <c r="F1820" s="73"/>
      <c r="G1820" s="74" t="s">
        <v>596</v>
      </c>
      <c r="H1820" s="153">
        <f>H1819*1.09</f>
        <v>5.9514000000000008E-3</v>
      </c>
      <c r="I1820" s="72"/>
      <c r="K1820" s="658"/>
    </row>
    <row r="1821" spans="1:11" customFormat="1" x14ac:dyDescent="0.25">
      <c r="A1821" s="661"/>
      <c r="B1821" s="73" t="s">
        <v>114</v>
      </c>
      <c r="C1821" s="75"/>
      <c r="D1821" s="73"/>
      <c r="E1821" s="73"/>
      <c r="F1821" s="73"/>
      <c r="G1821" s="74" t="s">
        <v>3</v>
      </c>
      <c r="H1821" s="153">
        <f>H1823*0.8</f>
        <v>2.3231999999999999E-2</v>
      </c>
      <c r="I1821" s="72"/>
      <c r="K1821" s="658"/>
    </row>
    <row r="1822" spans="1:11" customFormat="1" x14ac:dyDescent="0.25">
      <c r="A1822" s="661"/>
      <c r="B1822" s="73" t="s">
        <v>164</v>
      </c>
      <c r="C1822" s="75"/>
      <c r="D1822" s="73"/>
      <c r="E1822" s="73"/>
      <c r="F1822" s="73"/>
      <c r="G1822" s="74" t="s">
        <v>3</v>
      </c>
      <c r="H1822" s="153">
        <f>0.3*H1821</f>
        <v>6.9695999999999994E-3</v>
      </c>
      <c r="I1822" s="72"/>
      <c r="K1822" s="658"/>
    </row>
    <row r="1823" spans="1:11" customFormat="1" x14ac:dyDescent="0.25">
      <c r="A1823" s="661"/>
      <c r="B1823" s="73" t="s">
        <v>500</v>
      </c>
      <c r="C1823" s="75"/>
      <c r="D1823" s="73"/>
      <c r="E1823" s="73"/>
      <c r="F1823" s="73"/>
      <c r="G1823" s="74" t="s">
        <v>3</v>
      </c>
      <c r="H1823" s="153">
        <f>1.1*0.011*2*1.2</f>
        <v>2.9039999999999996E-2</v>
      </c>
      <c r="I1823" s="72"/>
      <c r="K1823" s="658"/>
    </row>
    <row r="1824" spans="1:11" customFormat="1" x14ac:dyDescent="0.25">
      <c r="A1824" s="661"/>
      <c r="B1824" s="73" t="s">
        <v>12</v>
      </c>
      <c r="C1824" s="73"/>
      <c r="D1824" s="73"/>
      <c r="E1824" s="73"/>
      <c r="F1824" s="73"/>
      <c r="G1824" s="74" t="s">
        <v>3</v>
      </c>
      <c r="H1824" s="153">
        <f>0.3*H1823</f>
        <v>8.7119999999999993E-3</v>
      </c>
      <c r="I1824" s="72"/>
      <c r="K1824" s="658"/>
    </row>
    <row r="1825" spans="1:11" customFormat="1" x14ac:dyDescent="0.25">
      <c r="A1825" s="661"/>
      <c r="B1825" s="75"/>
      <c r="C1825" s="75" t="s">
        <v>8657</v>
      </c>
      <c r="D1825" s="73"/>
      <c r="E1825" s="73"/>
      <c r="F1825" s="73"/>
      <c r="G1825" s="74"/>
      <c r="H1825" s="153"/>
      <c r="I1825" s="72"/>
      <c r="K1825" s="658"/>
    </row>
    <row r="1826" spans="1:11" customFormat="1" x14ac:dyDescent="0.25">
      <c r="A1826" s="661"/>
      <c r="B1826" s="75"/>
      <c r="C1826" s="73" t="s">
        <v>1222</v>
      </c>
      <c r="D1826" s="73"/>
      <c r="E1826" s="73"/>
      <c r="F1826" s="73"/>
      <c r="G1826" s="74" t="s">
        <v>3</v>
      </c>
      <c r="H1826" s="153">
        <v>0.27</v>
      </c>
      <c r="I1826" s="72"/>
      <c r="J1826" t="s">
        <v>8656</v>
      </c>
      <c r="K1826" s="658"/>
    </row>
    <row r="1827" spans="1:11" customFormat="1" x14ac:dyDescent="0.25">
      <c r="A1827" s="661"/>
      <c r="B1827" s="75"/>
      <c r="C1827" s="73"/>
      <c r="D1827" s="73"/>
      <c r="E1827" s="73"/>
      <c r="F1827" s="73"/>
      <c r="G1827" s="74"/>
      <c r="H1827" s="153"/>
      <c r="I1827" s="72"/>
      <c r="K1827" s="658"/>
    </row>
    <row r="1828" spans="1:11" customFormat="1" x14ac:dyDescent="0.25">
      <c r="A1828" s="678"/>
      <c r="B1828" s="75" t="s">
        <v>8655</v>
      </c>
      <c r="C1828" s="73"/>
      <c r="D1828" s="73"/>
      <c r="E1828" s="73"/>
      <c r="F1828" s="73"/>
      <c r="G1828" s="74"/>
      <c r="H1828" s="153"/>
      <c r="I1828" s="72"/>
      <c r="K1828" s="658"/>
    </row>
    <row r="1829" spans="1:11" customFormat="1" x14ac:dyDescent="0.25">
      <c r="A1829" s="661"/>
      <c r="B1829" s="77" t="s">
        <v>124</v>
      </c>
      <c r="C1829" s="73"/>
      <c r="D1829" s="73"/>
      <c r="E1829" s="73"/>
      <c r="F1829" s="73"/>
      <c r="G1829" s="74" t="s">
        <v>3</v>
      </c>
      <c r="H1829" s="153">
        <f>0.065*0.07*1.2</f>
        <v>5.4600000000000004E-3</v>
      </c>
      <c r="I1829" s="72"/>
      <c r="K1829" s="658"/>
    </row>
    <row r="1830" spans="1:11" customFormat="1" ht="17.25" x14ac:dyDescent="0.25">
      <c r="A1830" s="661"/>
      <c r="B1830" s="77" t="s">
        <v>168</v>
      </c>
      <c r="C1830" s="73"/>
      <c r="D1830" s="73"/>
      <c r="E1830" s="73"/>
      <c r="F1830" s="73"/>
      <c r="G1830" s="74" t="s">
        <v>596</v>
      </c>
      <c r="H1830" s="153">
        <f>H1829*1.09</f>
        <v>5.9514000000000008E-3</v>
      </c>
      <c r="I1830" s="72"/>
      <c r="K1830" s="658"/>
    </row>
    <row r="1831" spans="1:11" customFormat="1" x14ac:dyDescent="0.25">
      <c r="A1831" s="661"/>
      <c r="B1831" s="73" t="s">
        <v>114</v>
      </c>
      <c r="C1831" s="75"/>
      <c r="D1831" s="73"/>
      <c r="E1831" s="73"/>
      <c r="F1831" s="73"/>
      <c r="G1831" s="74" t="s">
        <v>3</v>
      </c>
      <c r="H1831" s="153">
        <f>H1833*0.89</f>
        <v>2.46708E-2</v>
      </c>
      <c r="I1831" s="72"/>
      <c r="K1831" s="658"/>
    </row>
    <row r="1832" spans="1:11" customFormat="1" x14ac:dyDescent="0.25">
      <c r="A1832" s="661"/>
      <c r="B1832" s="73" t="s">
        <v>164</v>
      </c>
      <c r="C1832" s="75"/>
      <c r="D1832" s="73"/>
      <c r="E1832" s="73"/>
      <c r="F1832" s="73"/>
      <c r="G1832" s="74" t="s">
        <v>3</v>
      </c>
      <c r="H1832" s="153">
        <f>0.3*H1831</f>
        <v>7.4012399999999999E-3</v>
      </c>
      <c r="I1832" s="72"/>
      <c r="K1832" s="658"/>
    </row>
    <row r="1833" spans="1:11" customFormat="1" x14ac:dyDescent="0.25">
      <c r="A1833" s="661"/>
      <c r="B1833" s="73" t="s">
        <v>500</v>
      </c>
      <c r="C1833" s="75"/>
      <c r="D1833" s="73"/>
      <c r="E1833" s="73"/>
      <c r="F1833" s="73"/>
      <c r="G1833" s="74" t="s">
        <v>3</v>
      </c>
      <c r="H1833" s="153">
        <f>1.05*0.011*2*1.2</f>
        <v>2.7719999999999998E-2</v>
      </c>
      <c r="I1833" s="72"/>
      <c r="K1833" s="658"/>
    </row>
    <row r="1834" spans="1:11" customFormat="1" x14ac:dyDescent="0.25">
      <c r="A1834" s="661"/>
      <c r="B1834" s="73" t="s">
        <v>12</v>
      </c>
      <c r="C1834" s="73"/>
      <c r="D1834" s="73"/>
      <c r="E1834" s="73"/>
      <c r="F1834" s="73"/>
      <c r="G1834" s="74" t="s">
        <v>3</v>
      </c>
      <c r="H1834" s="153">
        <f>0.3*H1833</f>
        <v>8.3159999999999987E-3</v>
      </c>
      <c r="I1834" s="72"/>
      <c r="K1834" s="658"/>
    </row>
    <row r="1835" spans="1:11" customFormat="1" x14ac:dyDescent="0.25">
      <c r="A1835" s="661"/>
      <c r="B1835" s="75"/>
      <c r="C1835" s="75" t="s">
        <v>8654</v>
      </c>
      <c r="D1835" s="73"/>
      <c r="E1835" s="73"/>
      <c r="F1835" s="73"/>
      <c r="G1835" s="74"/>
      <c r="H1835" s="153"/>
      <c r="I1835" s="72"/>
      <c r="K1835" s="658"/>
    </row>
    <row r="1836" spans="1:11" customFormat="1" x14ac:dyDescent="0.25">
      <c r="A1836" s="661"/>
      <c r="B1836" s="73"/>
      <c r="C1836" s="73" t="s">
        <v>1222</v>
      </c>
      <c r="D1836" s="73"/>
      <c r="E1836" s="73"/>
      <c r="F1836" s="73"/>
      <c r="G1836" s="74" t="s">
        <v>3</v>
      </c>
      <c r="H1836" s="153">
        <v>0.23499999999999999</v>
      </c>
      <c r="I1836" s="72"/>
      <c r="J1836" t="s">
        <v>8653</v>
      </c>
      <c r="K1836" s="658"/>
    </row>
    <row r="1837" spans="1:11" customFormat="1" x14ac:dyDescent="0.25">
      <c r="A1837" s="661"/>
      <c r="B1837" s="73"/>
      <c r="C1837" s="73"/>
      <c r="D1837" s="73"/>
      <c r="E1837" s="73"/>
      <c r="F1837" s="73"/>
      <c r="G1837" s="74"/>
      <c r="H1837" s="153"/>
      <c r="I1837" s="72"/>
      <c r="K1837" s="658"/>
    </row>
    <row r="1838" spans="1:11" customFormat="1" x14ac:dyDescent="0.25">
      <c r="A1838" s="678"/>
      <c r="B1838" s="75" t="s">
        <v>8652</v>
      </c>
      <c r="C1838" s="73"/>
      <c r="D1838" s="73"/>
      <c r="E1838" s="73"/>
      <c r="F1838" s="73"/>
      <c r="G1838" s="74"/>
      <c r="H1838" s="153"/>
      <c r="I1838" s="72"/>
      <c r="K1838" s="658"/>
    </row>
    <row r="1839" spans="1:11" customFormat="1" x14ac:dyDescent="0.25">
      <c r="A1839" s="661"/>
      <c r="B1839" s="77" t="s">
        <v>124</v>
      </c>
      <c r="C1839" s="73"/>
      <c r="D1839" s="73"/>
      <c r="E1839" s="73"/>
      <c r="F1839" s="73"/>
      <c r="G1839" s="74" t="s">
        <v>3</v>
      </c>
      <c r="H1839" s="153">
        <f>0.025*3.14*2.2*0.07*1.2</f>
        <v>1.4506800000000004E-2</v>
      </c>
      <c r="I1839" s="72"/>
      <c r="K1839" s="658"/>
    </row>
    <row r="1840" spans="1:11" customFormat="1" ht="17.25" x14ac:dyDescent="0.25">
      <c r="A1840" s="661"/>
      <c r="B1840" s="77" t="s">
        <v>168</v>
      </c>
      <c r="C1840" s="73"/>
      <c r="D1840" s="73"/>
      <c r="E1840" s="73"/>
      <c r="F1840" s="73"/>
      <c r="G1840" s="74" t="s">
        <v>596</v>
      </c>
      <c r="H1840" s="153">
        <f>H1839*1.09</f>
        <v>1.5812412000000005E-2</v>
      </c>
      <c r="I1840" s="72"/>
      <c r="K1840" s="658"/>
    </row>
    <row r="1841" spans="1:11" customFormat="1" x14ac:dyDescent="0.25">
      <c r="A1841" s="661"/>
      <c r="B1841" s="73" t="s">
        <v>114</v>
      </c>
      <c r="C1841" s="75"/>
      <c r="D1841" s="73"/>
      <c r="E1841" s="73"/>
      <c r="F1841" s="73"/>
      <c r="G1841" s="74" t="s">
        <v>3</v>
      </c>
      <c r="H1841" s="153">
        <f>H1843*0.89</f>
        <v>6.1943999999999999E-2</v>
      </c>
      <c r="I1841" s="72"/>
      <c r="K1841" s="658"/>
    </row>
    <row r="1842" spans="1:11" customFormat="1" x14ac:dyDescent="0.25">
      <c r="A1842" s="661"/>
      <c r="B1842" s="73" t="s">
        <v>164</v>
      </c>
      <c r="C1842" s="75"/>
      <c r="D1842" s="73"/>
      <c r="E1842" s="73"/>
      <c r="F1842" s="73"/>
      <c r="G1842" s="74" t="s">
        <v>3</v>
      </c>
      <c r="H1842" s="153">
        <f>0.3*H1841</f>
        <v>1.8583199999999998E-2</v>
      </c>
      <c r="I1842" s="72"/>
      <c r="K1842" s="658"/>
    </row>
    <row r="1843" spans="1:11" customFormat="1" x14ac:dyDescent="0.25">
      <c r="A1843" s="661"/>
      <c r="B1843" s="73" t="s">
        <v>500</v>
      </c>
      <c r="C1843" s="75"/>
      <c r="D1843" s="73"/>
      <c r="E1843" s="73"/>
      <c r="F1843" s="73"/>
      <c r="G1843" s="74" t="s">
        <v>3</v>
      </c>
      <c r="H1843" s="153">
        <f>1.45*0.02*2*1.2</f>
        <v>6.9599999999999995E-2</v>
      </c>
      <c r="I1843" s="72"/>
      <c r="K1843" s="658"/>
    </row>
    <row r="1844" spans="1:11" customFormat="1" x14ac:dyDescent="0.25">
      <c r="A1844" s="661"/>
      <c r="B1844" s="73" t="s">
        <v>12</v>
      </c>
      <c r="C1844" s="73"/>
      <c r="D1844" s="73"/>
      <c r="E1844" s="73"/>
      <c r="F1844" s="73"/>
      <c r="G1844" s="74" t="s">
        <v>3</v>
      </c>
      <c r="H1844" s="153">
        <f>0.3*H1843</f>
        <v>2.0879999999999999E-2</v>
      </c>
      <c r="I1844" s="72"/>
      <c r="K1844" s="658"/>
    </row>
    <row r="1845" spans="1:11" customFormat="1" x14ac:dyDescent="0.25">
      <c r="A1845" s="661"/>
      <c r="B1845" s="73"/>
      <c r="C1845" s="75" t="s">
        <v>8651</v>
      </c>
      <c r="D1845" s="73"/>
      <c r="E1845" s="73"/>
      <c r="F1845" s="73"/>
      <c r="G1845" s="74"/>
      <c r="H1845" s="153"/>
      <c r="I1845" s="72"/>
      <c r="K1845" s="658"/>
    </row>
    <row r="1846" spans="1:11" customFormat="1" x14ac:dyDescent="0.25">
      <c r="A1846" s="661"/>
      <c r="B1846" s="73"/>
      <c r="C1846" s="77" t="s">
        <v>124</v>
      </c>
      <c r="D1846" s="73"/>
      <c r="E1846" s="73"/>
      <c r="F1846" s="73"/>
      <c r="G1846" s="74" t="s">
        <v>3</v>
      </c>
      <c r="H1846" s="153">
        <f>0.032*0.07*1.2</f>
        <v>2.6880000000000003E-3</v>
      </c>
      <c r="I1846" s="72"/>
      <c r="K1846" s="658"/>
    </row>
    <row r="1847" spans="1:11" customFormat="1" ht="17.25" x14ac:dyDescent="0.25">
      <c r="A1847" s="661"/>
      <c r="B1847" s="73"/>
      <c r="C1847" s="77" t="s">
        <v>168</v>
      </c>
      <c r="D1847" s="73"/>
      <c r="E1847" s="73"/>
      <c r="F1847" s="73"/>
      <c r="G1847" s="74" t="s">
        <v>596</v>
      </c>
      <c r="H1847" s="153">
        <f>H1846*1.09</f>
        <v>2.9299200000000004E-3</v>
      </c>
      <c r="I1847" s="72"/>
      <c r="K1847" s="658"/>
    </row>
    <row r="1848" spans="1:11" customFormat="1" x14ac:dyDescent="0.25">
      <c r="A1848" s="661"/>
      <c r="B1848" s="73"/>
      <c r="C1848" s="77"/>
      <c r="D1848" s="75" t="s">
        <v>8650</v>
      </c>
      <c r="E1848" s="73"/>
      <c r="F1848" s="73"/>
      <c r="G1848" s="74"/>
      <c r="H1848" s="153"/>
      <c r="I1848" s="72"/>
      <c r="K1848" s="658"/>
    </row>
    <row r="1849" spans="1:11" customFormat="1" x14ac:dyDescent="0.25">
      <c r="A1849" s="661"/>
      <c r="B1849" s="73"/>
      <c r="C1849" s="77"/>
      <c r="D1849" s="73" t="s">
        <v>1222</v>
      </c>
      <c r="E1849" s="73"/>
      <c r="F1849" s="73"/>
      <c r="G1849" s="74" t="s">
        <v>3</v>
      </c>
      <c r="H1849" s="153">
        <v>2.1999999999999999E-2</v>
      </c>
      <c r="I1849" s="72"/>
      <c r="J1849" t="s">
        <v>8649</v>
      </c>
      <c r="K1849" s="658"/>
    </row>
    <row r="1850" spans="1:11" customFormat="1" x14ac:dyDescent="0.25">
      <c r="A1850" s="661"/>
      <c r="B1850" s="75"/>
      <c r="C1850" s="75" t="s">
        <v>8648</v>
      </c>
      <c r="D1850" s="73"/>
      <c r="E1850" s="73"/>
      <c r="F1850" s="73"/>
      <c r="G1850" s="74"/>
      <c r="H1850" s="153"/>
      <c r="I1850" s="72"/>
      <c r="K1850" s="658"/>
    </row>
    <row r="1851" spans="1:11" customFormat="1" x14ac:dyDescent="0.25">
      <c r="A1851" s="661"/>
      <c r="B1851" s="73"/>
      <c r="C1851" s="73" t="s">
        <v>499</v>
      </c>
      <c r="D1851" s="73"/>
      <c r="E1851" s="73"/>
      <c r="F1851" s="73"/>
      <c r="G1851" s="74" t="s">
        <v>3</v>
      </c>
      <c r="H1851" s="153">
        <v>0.9</v>
      </c>
      <c r="I1851" s="72"/>
      <c r="J1851" t="s">
        <v>8282</v>
      </c>
      <c r="K1851" s="658"/>
    </row>
    <row r="1852" spans="1:11" customFormat="1" x14ac:dyDescent="0.25">
      <c r="A1852" s="661"/>
      <c r="B1852" s="73"/>
      <c r="C1852" s="73"/>
      <c r="D1852" s="73"/>
      <c r="E1852" s="73"/>
      <c r="F1852" s="73"/>
      <c r="G1852" s="74"/>
      <c r="H1852" s="153"/>
      <c r="I1852" s="72"/>
      <c r="K1852" s="682"/>
    </row>
    <row r="1853" spans="1:11" customFormat="1" x14ac:dyDescent="0.25">
      <c r="A1853" s="678"/>
      <c r="B1853" s="75" t="s">
        <v>8647</v>
      </c>
      <c r="C1853" s="73"/>
      <c r="D1853" s="73"/>
      <c r="E1853" s="73"/>
      <c r="F1853" s="73"/>
      <c r="G1853" s="74"/>
      <c r="H1853" s="153"/>
      <c r="I1853" s="72"/>
      <c r="K1853" s="658"/>
    </row>
    <row r="1854" spans="1:11" customFormat="1" x14ac:dyDescent="0.25">
      <c r="A1854" s="661"/>
      <c r="B1854" s="73" t="s">
        <v>140</v>
      </c>
      <c r="C1854" s="73"/>
      <c r="D1854" s="73"/>
      <c r="E1854" s="73"/>
      <c r="F1854" s="73"/>
      <c r="G1854" s="74" t="s">
        <v>3</v>
      </c>
      <c r="H1854" s="153">
        <f>0.012*3.14*3*0.08*1.2</f>
        <v>1.0851840000000001E-2</v>
      </c>
      <c r="I1854" s="72"/>
      <c r="K1854" s="658"/>
    </row>
    <row r="1855" spans="1:11" customFormat="1" ht="17.25" x14ac:dyDescent="0.25">
      <c r="A1855" s="661"/>
      <c r="B1855" s="73" t="s">
        <v>23</v>
      </c>
      <c r="C1855" s="73"/>
      <c r="D1855" s="73"/>
      <c r="E1855" s="73"/>
      <c r="F1855" s="73"/>
      <c r="G1855" s="74" t="s">
        <v>596</v>
      </c>
      <c r="H1855" s="153">
        <f>H1854*2</f>
        <v>2.1703680000000003E-2</v>
      </c>
      <c r="I1855" s="72"/>
      <c r="K1855" s="658"/>
    </row>
    <row r="1856" spans="1:11" customFormat="1" x14ac:dyDescent="0.25">
      <c r="A1856" s="661"/>
      <c r="B1856" s="73" t="s">
        <v>142</v>
      </c>
      <c r="C1856" s="73"/>
      <c r="D1856" s="73"/>
      <c r="E1856" s="73"/>
      <c r="F1856" s="73"/>
      <c r="G1856" s="74" t="s">
        <v>3</v>
      </c>
      <c r="H1856" s="153">
        <f>H1854/4</f>
        <v>2.7129600000000004E-3</v>
      </c>
      <c r="I1856" s="72"/>
      <c r="K1856" s="658"/>
    </row>
    <row r="1857" spans="1:11" customFormat="1" x14ac:dyDescent="0.25">
      <c r="A1857" s="661"/>
      <c r="B1857" s="77" t="s">
        <v>143</v>
      </c>
      <c r="C1857" s="77"/>
      <c r="D1857" s="77"/>
      <c r="E1857" s="77"/>
      <c r="F1857" s="73"/>
      <c r="G1857" s="74" t="s">
        <v>3</v>
      </c>
      <c r="H1857" s="153">
        <f>H1858</f>
        <v>3.0352607999999996E-2</v>
      </c>
      <c r="I1857" s="72"/>
      <c r="K1857" s="658"/>
    </row>
    <row r="1858" spans="1:11" customFormat="1" x14ac:dyDescent="0.25">
      <c r="A1858" s="661"/>
      <c r="B1858" s="77" t="s">
        <v>8</v>
      </c>
      <c r="C1858" s="77"/>
      <c r="D1858" s="77"/>
      <c r="E1858" s="77"/>
      <c r="F1858" s="73"/>
      <c r="G1858" s="74" t="s">
        <v>3</v>
      </c>
      <c r="H1858" s="153">
        <f>H1859*0.858</f>
        <v>3.0352607999999996E-2</v>
      </c>
      <c r="I1858" s="72"/>
      <c r="K1858" s="658"/>
    </row>
    <row r="1859" spans="1:11" customFormat="1" x14ac:dyDescent="0.25">
      <c r="A1859" s="661"/>
      <c r="B1859" s="77" t="s">
        <v>148</v>
      </c>
      <c r="C1859" s="77"/>
      <c r="D1859" s="77"/>
      <c r="E1859" s="77"/>
      <c r="F1859" s="73"/>
      <c r="G1859" s="74" t="s">
        <v>3</v>
      </c>
      <c r="H1859" s="153">
        <f>1.34*0.011*2*1.2</f>
        <v>3.5375999999999998E-2</v>
      </c>
      <c r="I1859" s="72"/>
      <c r="K1859" s="658"/>
    </row>
    <row r="1860" spans="1:11" customFormat="1" x14ac:dyDescent="0.25">
      <c r="A1860" s="661"/>
      <c r="B1860" s="77" t="s">
        <v>12</v>
      </c>
      <c r="C1860" s="77"/>
      <c r="D1860" s="77"/>
      <c r="E1860" s="77"/>
      <c r="F1860" s="73"/>
      <c r="G1860" s="74" t="s">
        <v>3</v>
      </c>
      <c r="H1860" s="153">
        <f>0.3*(H1859+H1858+H1857)</f>
        <v>2.8824364799999998E-2</v>
      </c>
      <c r="I1860" s="72"/>
      <c r="K1860" s="658"/>
    </row>
    <row r="1861" spans="1:11" customFormat="1" x14ac:dyDescent="0.25">
      <c r="A1861" s="661"/>
      <c r="B1861" s="77"/>
      <c r="C1861" s="78" t="s">
        <v>8646</v>
      </c>
      <c r="D1861" s="77"/>
      <c r="E1861" s="77"/>
      <c r="F1861" s="73"/>
      <c r="G1861" s="74"/>
      <c r="H1861" s="153"/>
      <c r="I1861" s="72"/>
      <c r="K1861" s="658"/>
    </row>
    <row r="1862" spans="1:11" customFormat="1" x14ac:dyDescent="0.25">
      <c r="A1862" s="661"/>
      <c r="B1862" s="77"/>
      <c r="C1862" s="73" t="s">
        <v>8643</v>
      </c>
      <c r="D1862" s="77"/>
      <c r="E1862" s="77"/>
      <c r="F1862" s="73"/>
      <c r="G1862" s="74" t="s">
        <v>3</v>
      </c>
      <c r="H1862" s="153">
        <v>0.38500000000000001</v>
      </c>
      <c r="I1862" s="72"/>
      <c r="J1862" t="s">
        <v>3819</v>
      </c>
      <c r="K1862" s="658"/>
    </row>
    <row r="1863" spans="1:11" customFormat="1" x14ac:dyDescent="0.25">
      <c r="A1863" s="661"/>
      <c r="B1863" s="77"/>
      <c r="C1863" s="77"/>
      <c r="D1863" s="77"/>
      <c r="E1863" s="77"/>
      <c r="F1863" s="73"/>
      <c r="G1863" s="74"/>
      <c r="H1863" s="153"/>
      <c r="I1863" s="72"/>
      <c r="K1863" s="658"/>
    </row>
    <row r="1864" spans="1:11" customFormat="1" x14ac:dyDescent="0.25">
      <c r="A1864" s="678"/>
      <c r="B1864" s="75" t="s">
        <v>8645</v>
      </c>
      <c r="C1864" s="73"/>
      <c r="D1864" s="73"/>
      <c r="E1864" s="73"/>
      <c r="F1864" s="73"/>
      <c r="G1864" s="74"/>
      <c r="H1864" s="153"/>
      <c r="I1864" s="72"/>
      <c r="K1864" s="658"/>
    </row>
    <row r="1865" spans="1:11" customFormat="1" x14ac:dyDescent="0.25">
      <c r="A1865" s="661"/>
      <c r="B1865" s="73" t="s">
        <v>140</v>
      </c>
      <c r="C1865" s="73"/>
      <c r="D1865" s="73"/>
      <c r="E1865" s="73"/>
      <c r="F1865" s="73"/>
      <c r="G1865" s="74" t="s">
        <v>3</v>
      </c>
      <c r="H1865" s="153">
        <f>0.012*3.14*3*0.08*1.2</f>
        <v>1.0851840000000001E-2</v>
      </c>
      <c r="I1865" s="72"/>
      <c r="K1865" s="658"/>
    </row>
    <row r="1866" spans="1:11" customFormat="1" ht="17.25" x14ac:dyDescent="0.25">
      <c r="A1866" s="661"/>
      <c r="B1866" s="73" t="s">
        <v>23</v>
      </c>
      <c r="C1866" s="73"/>
      <c r="D1866" s="73"/>
      <c r="E1866" s="73"/>
      <c r="F1866" s="73"/>
      <c r="G1866" s="74" t="s">
        <v>596</v>
      </c>
      <c r="H1866" s="153">
        <f>H1865*2</f>
        <v>2.1703680000000003E-2</v>
      </c>
      <c r="I1866" s="72"/>
      <c r="K1866" s="658"/>
    </row>
    <row r="1867" spans="1:11" customFormat="1" x14ac:dyDescent="0.25">
      <c r="A1867" s="661"/>
      <c r="B1867" s="73" t="s">
        <v>142</v>
      </c>
      <c r="C1867" s="73"/>
      <c r="D1867" s="73"/>
      <c r="E1867" s="73"/>
      <c r="F1867" s="73"/>
      <c r="G1867" s="74" t="s">
        <v>3</v>
      </c>
      <c r="H1867" s="153">
        <f>H1865/4</f>
        <v>2.7129600000000004E-3</v>
      </c>
      <c r="I1867" s="72"/>
      <c r="K1867" s="658"/>
    </row>
    <row r="1868" spans="1:11" customFormat="1" x14ac:dyDescent="0.25">
      <c r="A1868" s="661"/>
      <c r="B1868" s="77" t="s">
        <v>143</v>
      </c>
      <c r="C1868" s="77"/>
      <c r="D1868" s="77"/>
      <c r="E1868" s="77"/>
      <c r="F1868" s="73"/>
      <c r="G1868" s="74" t="s">
        <v>3</v>
      </c>
      <c r="H1868" s="153">
        <f>H1869</f>
        <v>1.8120959999999998E-2</v>
      </c>
      <c r="I1868" s="72"/>
      <c r="K1868" s="658"/>
    </row>
    <row r="1869" spans="1:11" customFormat="1" x14ac:dyDescent="0.25">
      <c r="A1869" s="661"/>
      <c r="B1869" s="77" t="s">
        <v>8</v>
      </c>
      <c r="C1869" s="77"/>
      <c r="D1869" s="77"/>
      <c r="E1869" s="77"/>
      <c r="F1869" s="73"/>
      <c r="G1869" s="74" t="s">
        <v>3</v>
      </c>
      <c r="H1869" s="153">
        <f>H1870*0.858</f>
        <v>1.8120959999999998E-2</v>
      </c>
      <c r="I1869" s="72"/>
      <c r="K1869" s="658"/>
    </row>
    <row r="1870" spans="1:11" customFormat="1" x14ac:dyDescent="0.25">
      <c r="A1870" s="661"/>
      <c r="B1870" s="77" t="s">
        <v>148</v>
      </c>
      <c r="C1870" s="77"/>
      <c r="D1870" s="77"/>
      <c r="E1870" s="77"/>
      <c r="F1870" s="73"/>
      <c r="G1870" s="74" t="s">
        <v>3</v>
      </c>
      <c r="H1870" s="153">
        <f>0.8*0.011*2*1.2</f>
        <v>2.112E-2</v>
      </c>
      <c r="I1870" s="72"/>
      <c r="K1870" s="658"/>
    </row>
    <row r="1871" spans="1:11" customFormat="1" x14ac:dyDescent="0.25">
      <c r="A1871" s="661"/>
      <c r="B1871" s="77" t="s">
        <v>12</v>
      </c>
      <c r="C1871" s="77"/>
      <c r="D1871" s="77"/>
      <c r="E1871" s="77"/>
      <c r="F1871" s="73"/>
      <c r="G1871" s="74" t="s">
        <v>3</v>
      </c>
      <c r="H1871" s="153">
        <f>0.3*(H1870+H1869+H1868)</f>
        <v>1.7208576E-2</v>
      </c>
      <c r="I1871" s="72"/>
      <c r="K1871" s="658"/>
    </row>
    <row r="1872" spans="1:11" customFormat="1" x14ac:dyDescent="0.25">
      <c r="A1872" s="661"/>
      <c r="B1872" s="77"/>
      <c r="C1872" s="78" t="s">
        <v>8644</v>
      </c>
      <c r="D1872" s="77"/>
      <c r="E1872" s="77"/>
      <c r="F1872" s="73"/>
      <c r="G1872" s="74"/>
      <c r="H1872" s="153"/>
      <c r="I1872" s="72"/>
      <c r="K1872" s="658"/>
    </row>
    <row r="1873" spans="1:11" customFormat="1" x14ac:dyDescent="0.25">
      <c r="A1873" s="661"/>
      <c r="B1873" s="77"/>
      <c r="C1873" s="73" t="s">
        <v>8643</v>
      </c>
      <c r="D1873" s="77"/>
      <c r="E1873" s="77"/>
      <c r="F1873" s="73"/>
      <c r="G1873" s="74" t="s">
        <v>3</v>
      </c>
      <c r="H1873" s="153">
        <v>0.25</v>
      </c>
      <c r="I1873" s="72"/>
      <c r="J1873" t="s">
        <v>8642</v>
      </c>
      <c r="K1873" s="658"/>
    </row>
    <row r="1874" spans="1:11" customFormat="1" x14ac:dyDescent="0.25">
      <c r="A1874" s="661"/>
      <c r="B1874" s="73"/>
      <c r="C1874" s="73"/>
      <c r="D1874" s="73"/>
      <c r="E1874" s="73"/>
      <c r="F1874" s="73"/>
      <c r="G1874" s="74"/>
      <c r="H1874" s="153"/>
      <c r="I1874" s="72"/>
      <c r="K1874" s="658"/>
    </row>
    <row r="1875" spans="1:11" customFormat="1" x14ac:dyDescent="0.25">
      <c r="A1875" s="678"/>
      <c r="B1875" s="75" t="s">
        <v>8641</v>
      </c>
      <c r="C1875" s="73"/>
      <c r="D1875" s="73"/>
      <c r="E1875" s="73"/>
      <c r="F1875" s="73"/>
      <c r="G1875" s="74"/>
      <c r="H1875" s="153"/>
      <c r="I1875" s="72"/>
      <c r="K1875" s="658"/>
    </row>
    <row r="1876" spans="1:11" customFormat="1" x14ac:dyDescent="0.25">
      <c r="A1876" s="661"/>
      <c r="B1876" s="73" t="s">
        <v>140</v>
      </c>
      <c r="C1876" s="73"/>
      <c r="D1876" s="73"/>
      <c r="E1876" s="73"/>
      <c r="F1876" s="73"/>
      <c r="G1876" s="74" t="s">
        <v>3</v>
      </c>
      <c r="H1876" s="153">
        <f>0.008*3.14*2*0.07*1.2</f>
        <v>4.2201600000000006E-3</v>
      </c>
      <c r="I1876" s="72"/>
      <c r="K1876" s="658"/>
    </row>
    <row r="1877" spans="1:11" customFormat="1" ht="17.25" x14ac:dyDescent="0.25">
      <c r="A1877" s="661"/>
      <c r="B1877" s="73" t="s">
        <v>23</v>
      </c>
      <c r="C1877" s="73"/>
      <c r="D1877" s="73"/>
      <c r="E1877" s="73"/>
      <c r="F1877" s="73"/>
      <c r="G1877" s="74" t="s">
        <v>596</v>
      </c>
      <c r="H1877" s="153">
        <f>H1876*2</f>
        <v>8.4403200000000012E-3</v>
      </c>
      <c r="I1877" s="72"/>
      <c r="K1877" s="658"/>
    </row>
    <row r="1878" spans="1:11" customFormat="1" x14ac:dyDescent="0.25">
      <c r="A1878" s="661"/>
      <c r="B1878" s="73" t="s">
        <v>142</v>
      </c>
      <c r="C1878" s="73"/>
      <c r="D1878" s="73"/>
      <c r="E1878" s="73"/>
      <c r="F1878" s="73"/>
      <c r="G1878" s="74" t="s">
        <v>3</v>
      </c>
      <c r="H1878" s="153">
        <f>H1876/4</f>
        <v>1.0550400000000001E-3</v>
      </c>
      <c r="I1878" s="72"/>
      <c r="K1878" s="658"/>
    </row>
    <row r="1879" spans="1:11" customFormat="1" x14ac:dyDescent="0.25">
      <c r="A1879" s="661"/>
      <c r="B1879" s="77" t="s">
        <v>143</v>
      </c>
      <c r="C1879" s="77"/>
      <c r="D1879" s="77"/>
      <c r="E1879" s="77"/>
      <c r="F1879" s="73"/>
      <c r="G1879" s="74" t="s">
        <v>3</v>
      </c>
      <c r="H1879" s="153">
        <f>H1880</f>
        <v>2.7181439999999994E-2</v>
      </c>
      <c r="I1879" s="72"/>
      <c r="K1879" s="658"/>
    </row>
    <row r="1880" spans="1:11" customFormat="1" x14ac:dyDescent="0.25">
      <c r="A1880" s="661"/>
      <c r="B1880" s="77" t="s">
        <v>8</v>
      </c>
      <c r="C1880" s="77"/>
      <c r="D1880" s="77"/>
      <c r="E1880" s="77"/>
      <c r="F1880" s="73"/>
      <c r="G1880" s="74" t="s">
        <v>3</v>
      </c>
      <c r="H1880" s="153">
        <f>H1881*0.858</f>
        <v>2.7181439999999994E-2</v>
      </c>
      <c r="I1880" s="72"/>
      <c r="K1880" s="658"/>
    </row>
    <row r="1881" spans="1:11" customFormat="1" x14ac:dyDescent="0.25">
      <c r="A1881" s="661"/>
      <c r="B1881" s="77" t="s">
        <v>148</v>
      </c>
      <c r="C1881" s="77"/>
      <c r="D1881" s="77"/>
      <c r="E1881" s="77"/>
      <c r="F1881" s="73"/>
      <c r="G1881" s="74" t="s">
        <v>3</v>
      </c>
      <c r="H1881" s="153">
        <f>1.2*0.011*2*1.2</f>
        <v>3.1679999999999993E-2</v>
      </c>
      <c r="I1881" s="72"/>
      <c r="K1881" s="658"/>
    </row>
    <row r="1882" spans="1:11" customFormat="1" x14ac:dyDescent="0.25">
      <c r="A1882" s="661"/>
      <c r="B1882" s="77" t="s">
        <v>12</v>
      </c>
      <c r="C1882" s="77"/>
      <c r="D1882" s="77"/>
      <c r="E1882" s="77"/>
      <c r="F1882" s="73"/>
      <c r="G1882" s="74" t="s">
        <v>3</v>
      </c>
      <c r="H1882" s="153">
        <f>0.3*(H1881+H1880+H1879)</f>
        <v>2.5812863999999994E-2</v>
      </c>
      <c r="I1882" s="72"/>
      <c r="K1882" s="658"/>
    </row>
    <row r="1883" spans="1:11" customFormat="1" x14ac:dyDescent="0.25">
      <c r="A1883" s="661"/>
      <c r="B1883" s="73"/>
      <c r="C1883" s="75" t="s">
        <v>8638</v>
      </c>
      <c r="D1883" s="73"/>
      <c r="E1883" s="73"/>
      <c r="F1883" s="73"/>
      <c r="G1883" s="74"/>
      <c r="H1883" s="153"/>
      <c r="I1883" s="72"/>
      <c r="K1883" s="658"/>
    </row>
    <row r="1884" spans="1:11" customFormat="1" x14ac:dyDescent="0.25">
      <c r="A1884" s="661"/>
      <c r="B1884" s="73"/>
      <c r="C1884" s="73" t="s">
        <v>480</v>
      </c>
      <c r="D1884" s="73"/>
      <c r="E1884" s="73"/>
      <c r="F1884" s="73"/>
      <c r="G1884" s="74" t="s">
        <v>3</v>
      </c>
      <c r="H1884" s="153">
        <v>0.23</v>
      </c>
      <c r="I1884" s="72"/>
      <c r="J1884" t="s">
        <v>8640</v>
      </c>
      <c r="K1884" s="658"/>
    </row>
    <row r="1885" spans="1:11" customFormat="1" x14ac:dyDescent="0.25">
      <c r="A1885" s="661"/>
      <c r="B1885" s="73"/>
      <c r="C1885" s="73"/>
      <c r="D1885" s="73"/>
      <c r="E1885" s="73"/>
      <c r="F1885" s="73"/>
      <c r="G1885" s="74"/>
      <c r="H1885" s="153"/>
      <c r="I1885" s="72"/>
      <c r="K1885" s="658"/>
    </row>
    <row r="1886" spans="1:11" customFormat="1" x14ac:dyDescent="0.25">
      <c r="A1886" s="678"/>
      <c r="B1886" s="75" t="s">
        <v>8639</v>
      </c>
      <c r="C1886" s="73"/>
      <c r="D1886" s="73"/>
      <c r="E1886" s="73"/>
      <c r="F1886" s="73"/>
      <c r="G1886" s="74"/>
      <c r="H1886" s="153"/>
      <c r="I1886" s="72"/>
      <c r="K1886" s="658"/>
    </row>
    <row r="1887" spans="1:11" customFormat="1" x14ac:dyDescent="0.25">
      <c r="A1887" s="661"/>
      <c r="B1887" s="73" t="s">
        <v>140</v>
      </c>
      <c r="C1887" s="73"/>
      <c r="D1887" s="73"/>
      <c r="E1887" s="73"/>
      <c r="F1887" s="73"/>
      <c r="G1887" s="74" t="s">
        <v>3</v>
      </c>
      <c r="H1887" s="153">
        <f>0.008*3.14*2*0.07*1.2</f>
        <v>4.2201600000000006E-3</v>
      </c>
      <c r="I1887" s="72"/>
      <c r="K1887" s="658"/>
    </row>
    <row r="1888" spans="1:11" customFormat="1" ht="17.25" x14ac:dyDescent="0.25">
      <c r="A1888" s="661"/>
      <c r="B1888" s="73" t="s">
        <v>23</v>
      </c>
      <c r="C1888" s="73"/>
      <c r="D1888" s="73"/>
      <c r="E1888" s="73"/>
      <c r="F1888" s="73"/>
      <c r="G1888" s="74" t="s">
        <v>596</v>
      </c>
      <c r="H1888" s="153">
        <f>H1887*2</f>
        <v>8.4403200000000012E-3</v>
      </c>
      <c r="I1888" s="72"/>
      <c r="K1888" s="658"/>
    </row>
    <row r="1889" spans="1:11" customFormat="1" x14ac:dyDescent="0.25">
      <c r="A1889" s="661"/>
      <c r="B1889" s="73" t="s">
        <v>142</v>
      </c>
      <c r="C1889" s="73"/>
      <c r="D1889" s="73"/>
      <c r="E1889" s="73"/>
      <c r="F1889" s="73"/>
      <c r="G1889" s="74" t="s">
        <v>3</v>
      </c>
      <c r="H1889" s="153">
        <f>H1887/4</f>
        <v>1.0550400000000001E-3</v>
      </c>
      <c r="I1889" s="72"/>
      <c r="K1889" s="658"/>
    </row>
    <row r="1890" spans="1:11" customFormat="1" x14ac:dyDescent="0.25">
      <c r="A1890" s="661"/>
      <c r="B1890" s="77" t="s">
        <v>143</v>
      </c>
      <c r="C1890" s="77"/>
      <c r="D1890" s="77"/>
      <c r="E1890" s="77"/>
      <c r="F1890" s="73"/>
      <c r="G1890" s="74" t="s">
        <v>3</v>
      </c>
      <c r="H1890" s="153">
        <f>H1891</f>
        <v>2.7181439999999994E-2</v>
      </c>
      <c r="I1890" s="72"/>
      <c r="K1890" s="658"/>
    </row>
    <row r="1891" spans="1:11" customFormat="1" x14ac:dyDescent="0.25">
      <c r="A1891" s="661"/>
      <c r="B1891" s="77" t="s">
        <v>8</v>
      </c>
      <c r="C1891" s="77"/>
      <c r="D1891" s="77"/>
      <c r="E1891" s="77"/>
      <c r="F1891" s="73"/>
      <c r="G1891" s="74" t="s">
        <v>3</v>
      </c>
      <c r="H1891" s="153">
        <f>H1892*0.858</f>
        <v>2.7181439999999994E-2</v>
      </c>
      <c r="I1891" s="72"/>
      <c r="K1891" s="658"/>
    </row>
    <row r="1892" spans="1:11" customFormat="1" x14ac:dyDescent="0.25">
      <c r="A1892" s="661"/>
      <c r="B1892" s="77" t="s">
        <v>148</v>
      </c>
      <c r="C1892" s="77"/>
      <c r="D1892" s="77"/>
      <c r="E1892" s="77"/>
      <c r="F1892" s="73"/>
      <c r="G1892" s="74" t="s">
        <v>3</v>
      </c>
      <c r="H1892" s="153">
        <f>1.2*0.011*2*1.2</f>
        <v>3.1679999999999993E-2</v>
      </c>
      <c r="I1892" s="72"/>
      <c r="K1892" s="658"/>
    </row>
    <row r="1893" spans="1:11" customFormat="1" x14ac:dyDescent="0.25">
      <c r="A1893" s="661"/>
      <c r="B1893" s="77" t="s">
        <v>12</v>
      </c>
      <c r="C1893" s="77"/>
      <c r="D1893" s="77"/>
      <c r="E1893" s="77"/>
      <c r="F1893" s="73"/>
      <c r="G1893" s="74" t="s">
        <v>3</v>
      </c>
      <c r="H1893" s="153">
        <f>0.3*(H1892+H1891+H1890)</f>
        <v>2.5812863999999994E-2</v>
      </c>
      <c r="I1893" s="72"/>
      <c r="K1893" s="658"/>
    </row>
    <row r="1894" spans="1:11" customFormat="1" x14ac:dyDescent="0.25">
      <c r="A1894" s="661"/>
      <c r="B1894" s="73"/>
      <c r="C1894" s="75" t="s">
        <v>8638</v>
      </c>
      <c r="D1894" s="73"/>
      <c r="E1894" s="73"/>
      <c r="F1894" s="73"/>
      <c r="G1894" s="74"/>
      <c r="H1894" s="153"/>
      <c r="I1894" s="72"/>
      <c r="K1894" s="658"/>
    </row>
    <row r="1895" spans="1:11" customFormat="1" x14ac:dyDescent="0.25">
      <c r="A1895" s="661"/>
      <c r="B1895" s="73"/>
      <c r="C1895" s="73" t="s">
        <v>480</v>
      </c>
      <c r="D1895" s="73"/>
      <c r="E1895" s="73"/>
      <c r="F1895" s="73"/>
      <c r="G1895" s="74" t="s">
        <v>3</v>
      </c>
      <c r="H1895" s="153">
        <v>0.23</v>
      </c>
      <c r="I1895" s="72"/>
      <c r="J1895" t="s">
        <v>8637</v>
      </c>
      <c r="K1895" s="658"/>
    </row>
    <row r="1896" spans="1:11" customFormat="1" x14ac:dyDescent="0.25">
      <c r="A1896" s="661"/>
      <c r="B1896" s="73"/>
      <c r="C1896" s="73"/>
      <c r="D1896" s="73"/>
      <c r="E1896" s="73"/>
      <c r="F1896" s="73"/>
      <c r="G1896" s="74"/>
      <c r="H1896" s="153"/>
      <c r="I1896" s="72"/>
      <c r="K1896" s="658"/>
    </row>
    <row r="1897" spans="1:11" customFormat="1" x14ac:dyDescent="0.25">
      <c r="A1897" s="678"/>
      <c r="B1897" s="75" t="s">
        <v>8636</v>
      </c>
      <c r="C1897" s="73"/>
      <c r="D1897" s="73"/>
      <c r="E1897" s="73"/>
      <c r="F1897" s="73"/>
      <c r="G1897" s="74"/>
      <c r="H1897" s="153"/>
      <c r="I1897" s="72"/>
      <c r="K1897" s="658"/>
    </row>
    <row r="1898" spans="1:11" customFormat="1" x14ac:dyDescent="0.25">
      <c r="A1898" s="661"/>
      <c r="B1898" s="73" t="s">
        <v>140</v>
      </c>
      <c r="C1898" s="73"/>
      <c r="D1898" s="73"/>
      <c r="E1898" s="73"/>
      <c r="F1898" s="73"/>
      <c r="G1898" s="74" t="s">
        <v>3</v>
      </c>
      <c r="H1898" s="153">
        <f>0.016*3.14*2*0.07*1.2</f>
        <v>8.4403200000000012E-3</v>
      </c>
      <c r="I1898" s="72"/>
      <c r="K1898" s="658"/>
    </row>
    <row r="1899" spans="1:11" customFormat="1" ht="17.25" x14ac:dyDescent="0.25">
      <c r="A1899" s="661"/>
      <c r="B1899" s="73" t="s">
        <v>23</v>
      </c>
      <c r="C1899" s="73"/>
      <c r="D1899" s="73"/>
      <c r="E1899" s="73"/>
      <c r="F1899" s="73"/>
      <c r="G1899" s="74" t="s">
        <v>596</v>
      </c>
      <c r="H1899" s="153">
        <f>H1898*2</f>
        <v>1.6880640000000002E-2</v>
      </c>
      <c r="I1899" s="72"/>
      <c r="K1899" s="658"/>
    </row>
    <row r="1900" spans="1:11" customFormat="1" x14ac:dyDescent="0.25">
      <c r="A1900" s="661"/>
      <c r="B1900" s="73" t="s">
        <v>142</v>
      </c>
      <c r="C1900" s="73"/>
      <c r="D1900" s="73"/>
      <c r="E1900" s="73"/>
      <c r="F1900" s="73"/>
      <c r="G1900" s="74" t="s">
        <v>3</v>
      </c>
      <c r="H1900" s="153">
        <f>H1898/4</f>
        <v>2.1100800000000003E-3</v>
      </c>
      <c r="I1900" s="72"/>
      <c r="K1900" s="658"/>
    </row>
    <row r="1901" spans="1:11" customFormat="1" x14ac:dyDescent="0.25">
      <c r="A1901" s="661"/>
      <c r="B1901" s="77" t="s">
        <v>143</v>
      </c>
      <c r="C1901" s="77"/>
      <c r="D1901" s="77"/>
      <c r="E1901" s="77"/>
      <c r="F1901" s="73"/>
      <c r="G1901" s="74" t="s">
        <v>3</v>
      </c>
      <c r="H1901" s="153">
        <f>H1902</f>
        <v>1.2869999999999999E-2</v>
      </c>
      <c r="I1901" s="72"/>
      <c r="K1901" s="658"/>
    </row>
    <row r="1902" spans="1:11" customFormat="1" x14ac:dyDescent="0.25">
      <c r="A1902" s="661"/>
      <c r="B1902" s="77" t="s">
        <v>8</v>
      </c>
      <c r="C1902" s="77"/>
      <c r="D1902" s="77"/>
      <c r="E1902" s="77"/>
      <c r="F1902" s="73"/>
      <c r="G1902" s="74" t="s">
        <v>3</v>
      </c>
      <c r="H1902" s="153">
        <f>H1903*0.858</f>
        <v>1.2869999999999999E-2</v>
      </c>
      <c r="I1902" s="72"/>
      <c r="K1902" s="658"/>
    </row>
    <row r="1903" spans="1:11" customFormat="1" x14ac:dyDescent="0.25">
      <c r="A1903" s="661"/>
      <c r="B1903" s="77" t="s">
        <v>148</v>
      </c>
      <c r="C1903" s="77"/>
      <c r="D1903" s="77"/>
      <c r="E1903" s="77"/>
      <c r="F1903" s="73"/>
      <c r="G1903" s="74" t="s">
        <v>3</v>
      </c>
      <c r="H1903" s="153">
        <f>0.3*0.02*2*1.25</f>
        <v>1.4999999999999999E-2</v>
      </c>
      <c r="I1903" s="72"/>
      <c r="K1903" s="658"/>
    </row>
    <row r="1904" spans="1:11" customFormat="1" x14ac:dyDescent="0.25">
      <c r="A1904" s="661"/>
      <c r="B1904" s="77" t="s">
        <v>12</v>
      </c>
      <c r="C1904" s="77"/>
      <c r="D1904" s="77"/>
      <c r="E1904" s="77"/>
      <c r="F1904" s="73"/>
      <c r="G1904" s="74" t="s">
        <v>3</v>
      </c>
      <c r="H1904" s="153">
        <f>0.3*(H1903+H1902+H1901)</f>
        <v>1.2221999999999998E-2</v>
      </c>
      <c r="I1904" s="72"/>
      <c r="K1904" s="658"/>
    </row>
    <row r="1905" spans="1:11" customFormat="1" x14ac:dyDescent="0.25">
      <c r="A1905" s="661"/>
      <c r="B1905" s="73"/>
      <c r="C1905" s="75" t="s">
        <v>8635</v>
      </c>
      <c r="D1905" s="73"/>
      <c r="E1905" s="73"/>
      <c r="F1905" s="73"/>
      <c r="G1905" s="74"/>
      <c r="H1905" s="153"/>
      <c r="I1905" s="72"/>
      <c r="K1905" s="658"/>
    </row>
    <row r="1906" spans="1:11" customFormat="1" x14ac:dyDescent="0.25">
      <c r="A1906" s="661"/>
      <c r="B1906" s="73"/>
      <c r="C1906" s="73" t="s">
        <v>832</v>
      </c>
      <c r="D1906" s="73"/>
      <c r="E1906" s="73"/>
      <c r="F1906" s="73"/>
      <c r="G1906" s="74" t="s">
        <v>3</v>
      </c>
      <c r="H1906" s="153">
        <v>7.0000000000000007E-2</v>
      </c>
      <c r="I1906" s="72"/>
      <c r="J1906" t="s">
        <v>8634</v>
      </c>
      <c r="K1906" s="658"/>
    </row>
    <row r="1907" spans="1:11" customFormat="1" x14ac:dyDescent="0.25">
      <c r="A1907" s="661"/>
      <c r="B1907" s="73"/>
      <c r="C1907" s="75" t="s">
        <v>8633</v>
      </c>
      <c r="D1907" s="73"/>
      <c r="E1907" s="73"/>
      <c r="F1907" s="73"/>
      <c r="G1907" s="74"/>
      <c r="H1907" s="153"/>
      <c r="I1907" s="72"/>
      <c r="K1907" s="658"/>
    </row>
    <row r="1908" spans="1:11" customFormat="1" x14ac:dyDescent="0.25">
      <c r="A1908" s="661"/>
      <c r="B1908" s="73"/>
      <c r="C1908" s="73" t="s">
        <v>832</v>
      </c>
      <c r="D1908" s="73"/>
      <c r="E1908" s="73"/>
      <c r="F1908" s="73"/>
      <c r="G1908" s="74" t="s">
        <v>3</v>
      </c>
      <c r="H1908" s="153">
        <v>7.4999999999999997E-2</v>
      </c>
      <c r="I1908" s="72"/>
      <c r="J1908" t="s">
        <v>8632</v>
      </c>
      <c r="K1908" s="658"/>
    </row>
    <row r="1909" spans="1:11" customFormat="1" x14ac:dyDescent="0.25">
      <c r="A1909" s="661"/>
      <c r="B1909" s="73"/>
      <c r="C1909" s="73"/>
      <c r="D1909" s="73"/>
      <c r="E1909" s="73"/>
      <c r="F1909" s="73"/>
      <c r="G1909" s="74"/>
      <c r="H1909" s="153"/>
      <c r="I1909" s="72"/>
      <c r="K1909" s="658"/>
    </row>
    <row r="1910" spans="1:11" customFormat="1" x14ac:dyDescent="0.25">
      <c r="A1910" s="678"/>
      <c r="B1910" s="75" t="s">
        <v>8631</v>
      </c>
      <c r="C1910" s="73"/>
      <c r="D1910" s="73"/>
      <c r="E1910" s="73"/>
      <c r="F1910" s="73"/>
      <c r="G1910" s="74"/>
      <c r="H1910" s="153"/>
      <c r="I1910" s="72"/>
      <c r="K1910" s="658"/>
    </row>
    <row r="1911" spans="1:11" customFormat="1" x14ac:dyDescent="0.25">
      <c r="A1911" s="661"/>
      <c r="B1911" s="73" t="s">
        <v>140</v>
      </c>
      <c r="C1911" s="73"/>
      <c r="D1911" s="73"/>
      <c r="E1911" s="73"/>
      <c r="F1911" s="73"/>
      <c r="G1911" s="74" t="s">
        <v>3</v>
      </c>
      <c r="H1911" s="153">
        <f>(0.016*3.14*4+0.008*3.14*3)*0.07*1.2</f>
        <v>2.3210880000000003E-2</v>
      </c>
      <c r="I1911" s="72"/>
      <c r="K1911" s="658"/>
    </row>
    <row r="1912" spans="1:11" customFormat="1" ht="17.25" x14ac:dyDescent="0.25">
      <c r="A1912" s="661"/>
      <c r="B1912" s="73" t="s">
        <v>23</v>
      </c>
      <c r="C1912" s="73"/>
      <c r="D1912" s="73"/>
      <c r="E1912" s="73"/>
      <c r="F1912" s="73"/>
      <c r="G1912" s="74" t="s">
        <v>596</v>
      </c>
      <c r="H1912" s="153">
        <f>H1911*2</f>
        <v>4.6421760000000006E-2</v>
      </c>
      <c r="I1912" s="72"/>
      <c r="K1912" s="658"/>
    </row>
    <row r="1913" spans="1:11" customFormat="1" x14ac:dyDescent="0.25">
      <c r="A1913" s="661"/>
      <c r="B1913" s="73" t="s">
        <v>142</v>
      </c>
      <c r="C1913" s="73"/>
      <c r="D1913" s="73"/>
      <c r="E1913" s="73"/>
      <c r="F1913" s="73"/>
      <c r="G1913" s="74" t="s">
        <v>3</v>
      </c>
      <c r="H1913" s="153">
        <f>H1911/4</f>
        <v>5.8027200000000008E-3</v>
      </c>
      <c r="I1913" s="72"/>
      <c r="K1913" s="658"/>
    </row>
    <row r="1914" spans="1:11" customFormat="1" x14ac:dyDescent="0.25">
      <c r="A1914" s="661"/>
      <c r="B1914" s="77" t="s">
        <v>143</v>
      </c>
      <c r="C1914" s="77"/>
      <c r="D1914" s="77"/>
      <c r="E1914" s="77"/>
      <c r="F1914" s="73"/>
      <c r="G1914" s="74" t="s">
        <v>3</v>
      </c>
      <c r="H1914" s="153">
        <f>H1915</f>
        <v>4.3243199999999996E-2</v>
      </c>
      <c r="I1914" s="72"/>
      <c r="K1914" s="658"/>
    </row>
    <row r="1915" spans="1:11" customFormat="1" x14ac:dyDescent="0.25">
      <c r="A1915" s="661"/>
      <c r="B1915" s="77" t="s">
        <v>8</v>
      </c>
      <c r="C1915" s="77"/>
      <c r="D1915" s="77"/>
      <c r="E1915" s="77"/>
      <c r="F1915" s="73"/>
      <c r="G1915" s="74" t="s">
        <v>3</v>
      </c>
      <c r="H1915" s="153">
        <f>H1916*0.858</f>
        <v>4.3243199999999996E-2</v>
      </c>
      <c r="I1915" s="72"/>
      <c r="K1915" s="658"/>
    </row>
    <row r="1916" spans="1:11" customFormat="1" x14ac:dyDescent="0.25">
      <c r="A1916" s="661"/>
      <c r="B1916" s="77" t="s">
        <v>148</v>
      </c>
      <c r="C1916" s="77"/>
      <c r="D1916" s="77"/>
      <c r="E1916" s="77"/>
      <c r="F1916" s="73"/>
      <c r="G1916" s="74" t="s">
        <v>3</v>
      </c>
      <c r="H1916" s="153">
        <f>1.4*0.015*2*1.2</f>
        <v>5.0399999999999993E-2</v>
      </c>
      <c r="I1916" s="72"/>
      <c r="K1916" s="658"/>
    </row>
    <row r="1917" spans="1:11" customFormat="1" x14ac:dyDescent="0.25">
      <c r="A1917" s="661"/>
      <c r="B1917" s="77" t="s">
        <v>12</v>
      </c>
      <c r="C1917" s="77"/>
      <c r="D1917" s="77"/>
      <c r="E1917" s="77"/>
      <c r="F1917" s="73"/>
      <c r="G1917" s="74" t="s">
        <v>3</v>
      </c>
      <c r="H1917" s="153">
        <f>0.3*(H1916+H1915+H1914)</f>
        <v>4.1065919999999985E-2</v>
      </c>
      <c r="I1917" s="72"/>
      <c r="K1917" s="658"/>
    </row>
    <row r="1918" spans="1:11" customFormat="1" x14ac:dyDescent="0.25">
      <c r="A1918" s="661"/>
      <c r="B1918" s="73"/>
      <c r="C1918" s="75" t="s">
        <v>8630</v>
      </c>
      <c r="D1918" s="73"/>
      <c r="E1918" s="73"/>
      <c r="F1918" s="73"/>
      <c r="G1918" s="74"/>
      <c r="H1918" s="153"/>
      <c r="I1918" s="72"/>
      <c r="K1918" s="658"/>
    </row>
    <row r="1919" spans="1:11" customFormat="1" x14ac:dyDescent="0.25">
      <c r="A1919" s="661"/>
      <c r="B1919" s="73"/>
      <c r="C1919" s="73" t="s">
        <v>832</v>
      </c>
      <c r="D1919" s="73"/>
      <c r="E1919" s="73"/>
      <c r="F1919" s="73"/>
      <c r="G1919" s="74" t="s">
        <v>3</v>
      </c>
      <c r="H1919" s="153">
        <v>0.41</v>
      </c>
      <c r="I1919" s="72"/>
      <c r="J1919" t="s">
        <v>8629</v>
      </c>
      <c r="K1919" s="658"/>
    </row>
    <row r="1920" spans="1:11" customFormat="1" x14ac:dyDescent="0.25">
      <c r="A1920" s="661"/>
      <c r="B1920" s="73"/>
      <c r="C1920" s="75" t="s">
        <v>8628</v>
      </c>
      <c r="D1920" s="73"/>
      <c r="E1920" s="73"/>
      <c r="F1920" s="73"/>
      <c r="G1920" s="74"/>
      <c r="H1920" s="153"/>
      <c r="I1920" s="72"/>
      <c r="K1920" s="658"/>
    </row>
    <row r="1921" spans="1:11" customFormat="1" x14ac:dyDescent="0.25">
      <c r="A1921" s="661"/>
      <c r="B1921" s="73"/>
      <c r="C1921" s="73" t="s">
        <v>832</v>
      </c>
      <c r="D1921" s="73"/>
      <c r="E1921" s="73"/>
      <c r="F1921" s="73"/>
      <c r="G1921" s="74" t="s">
        <v>3</v>
      </c>
      <c r="H1921" s="153">
        <v>0.13</v>
      </c>
      <c r="I1921" s="72"/>
      <c r="J1921" t="s">
        <v>8627</v>
      </c>
      <c r="K1921" s="658"/>
    </row>
    <row r="1922" spans="1:11" customFormat="1" x14ac:dyDescent="0.25">
      <c r="A1922" s="661"/>
      <c r="B1922" s="73"/>
      <c r="C1922" s="75" t="s">
        <v>8626</v>
      </c>
      <c r="D1922" s="73"/>
      <c r="E1922" s="73"/>
      <c r="F1922" s="73"/>
      <c r="G1922" s="74"/>
      <c r="H1922" s="153"/>
      <c r="I1922" s="72"/>
      <c r="K1922" s="658"/>
    </row>
    <row r="1923" spans="1:11" customFormat="1" x14ac:dyDescent="0.25">
      <c r="A1923" s="661"/>
      <c r="B1923" s="73"/>
      <c r="C1923" s="73" t="s">
        <v>832</v>
      </c>
      <c r="D1923" s="73"/>
      <c r="E1923" s="73"/>
      <c r="F1923" s="73"/>
      <c r="G1923" s="74" t="s">
        <v>3</v>
      </c>
      <c r="H1923" s="153">
        <v>4.1000000000000002E-2</v>
      </c>
      <c r="I1923" s="72"/>
      <c r="J1923" t="s">
        <v>2219</v>
      </c>
      <c r="K1923" s="658"/>
    </row>
    <row r="1924" spans="1:11" customFormat="1" x14ac:dyDescent="0.25">
      <c r="A1924" s="661"/>
      <c r="B1924" s="73"/>
      <c r="C1924" s="75" t="s">
        <v>8625</v>
      </c>
      <c r="D1924" s="73"/>
      <c r="E1924" s="73"/>
      <c r="F1924" s="73"/>
      <c r="G1924" s="74"/>
      <c r="H1924" s="153"/>
      <c r="I1924" s="72"/>
      <c r="K1924" s="658"/>
    </row>
    <row r="1925" spans="1:11" customFormat="1" x14ac:dyDescent="0.25">
      <c r="A1925" s="661"/>
      <c r="B1925" s="73"/>
      <c r="C1925" s="73" t="s">
        <v>4798</v>
      </c>
      <c r="D1925" s="73"/>
      <c r="E1925" s="73"/>
      <c r="F1925" s="73"/>
      <c r="G1925" s="74" t="s">
        <v>3</v>
      </c>
      <c r="H1925" s="153">
        <v>2.7E-2</v>
      </c>
      <c r="I1925" s="72"/>
      <c r="J1925" t="s">
        <v>5045</v>
      </c>
      <c r="K1925" s="658"/>
    </row>
    <row r="1926" spans="1:11" customFormat="1" x14ac:dyDescent="0.25">
      <c r="A1926" s="661"/>
      <c r="B1926" s="73"/>
      <c r="C1926" s="75" t="s">
        <v>8624</v>
      </c>
      <c r="D1926" s="73"/>
      <c r="E1926" s="73"/>
      <c r="F1926" s="73"/>
      <c r="G1926" s="74"/>
      <c r="H1926" s="153"/>
      <c r="I1926" s="72"/>
      <c r="K1926" s="658"/>
    </row>
    <row r="1927" spans="1:11" customFormat="1" x14ac:dyDescent="0.25">
      <c r="A1927" s="661"/>
      <c r="B1927" s="73"/>
      <c r="C1927" s="73" t="s">
        <v>1245</v>
      </c>
      <c r="D1927" s="73"/>
      <c r="E1927" s="73"/>
      <c r="F1927" s="73"/>
      <c r="G1927" s="74" t="s">
        <v>3</v>
      </c>
      <c r="H1927" s="153">
        <v>2.5999999999999999E-2</v>
      </c>
      <c r="I1927" s="72"/>
      <c r="J1927" t="s">
        <v>8623</v>
      </c>
      <c r="K1927" s="658"/>
    </row>
    <row r="1928" spans="1:11" customFormat="1" x14ac:dyDescent="0.25">
      <c r="A1928" s="661"/>
      <c r="B1928" s="73"/>
      <c r="C1928" s="73"/>
      <c r="D1928" s="73"/>
      <c r="E1928" s="73"/>
      <c r="F1928" s="73"/>
      <c r="G1928" s="74"/>
      <c r="H1928" s="153"/>
      <c r="I1928" s="72"/>
      <c r="K1928" s="658"/>
    </row>
    <row r="1929" spans="1:11" customFormat="1" x14ac:dyDescent="0.25">
      <c r="A1929" s="678"/>
      <c r="B1929" s="75" t="s">
        <v>8622</v>
      </c>
      <c r="C1929" s="73"/>
      <c r="D1929" s="73"/>
      <c r="E1929" s="73"/>
      <c r="F1929" s="73"/>
      <c r="G1929" s="74"/>
      <c r="H1929" s="153"/>
      <c r="I1929" s="72"/>
      <c r="K1929" s="658"/>
    </row>
    <row r="1930" spans="1:11" customFormat="1" x14ac:dyDescent="0.25">
      <c r="A1930" s="661"/>
      <c r="B1930" s="73" t="s">
        <v>140</v>
      </c>
      <c r="C1930" s="73"/>
      <c r="D1930" s="73"/>
      <c r="E1930" s="73"/>
      <c r="F1930" s="73"/>
      <c r="G1930" s="74" t="s">
        <v>3</v>
      </c>
      <c r="H1930" s="153">
        <f>0.008*3.14*2*0.07*1.2</f>
        <v>4.2201600000000006E-3</v>
      </c>
      <c r="I1930" s="72"/>
      <c r="K1930" s="658"/>
    </row>
    <row r="1931" spans="1:11" customFormat="1" ht="17.25" x14ac:dyDescent="0.25">
      <c r="A1931" s="661"/>
      <c r="B1931" s="73" t="s">
        <v>23</v>
      </c>
      <c r="C1931" s="73"/>
      <c r="D1931" s="73"/>
      <c r="E1931" s="73"/>
      <c r="F1931" s="73"/>
      <c r="G1931" s="74" t="s">
        <v>596</v>
      </c>
      <c r="H1931" s="153">
        <f>H1930*2</f>
        <v>8.4403200000000012E-3</v>
      </c>
      <c r="I1931" s="72"/>
      <c r="K1931" s="658"/>
    </row>
    <row r="1932" spans="1:11" customFormat="1" x14ac:dyDescent="0.25">
      <c r="A1932" s="661"/>
      <c r="B1932" s="73" t="s">
        <v>142</v>
      </c>
      <c r="C1932" s="73"/>
      <c r="D1932" s="73"/>
      <c r="E1932" s="73"/>
      <c r="F1932" s="73"/>
      <c r="G1932" s="74" t="s">
        <v>3</v>
      </c>
      <c r="H1932" s="153">
        <f>H1930/4</f>
        <v>1.0550400000000001E-3</v>
      </c>
      <c r="I1932" s="72"/>
      <c r="K1932" s="658"/>
    </row>
    <row r="1933" spans="1:11" customFormat="1" x14ac:dyDescent="0.25">
      <c r="A1933" s="661"/>
      <c r="B1933" s="77" t="s">
        <v>143</v>
      </c>
      <c r="C1933" s="77"/>
      <c r="D1933" s="77"/>
      <c r="E1933" s="77"/>
      <c r="F1933" s="73"/>
      <c r="G1933" s="74" t="s">
        <v>3</v>
      </c>
      <c r="H1933" s="153">
        <f>H1934</f>
        <v>4.0154400000000003E-3</v>
      </c>
      <c r="I1933" s="72"/>
      <c r="K1933" s="658"/>
    </row>
    <row r="1934" spans="1:11" customFormat="1" x14ac:dyDescent="0.25">
      <c r="A1934" s="661"/>
      <c r="B1934" s="77" t="s">
        <v>8</v>
      </c>
      <c r="C1934" s="77"/>
      <c r="D1934" s="77"/>
      <c r="E1934" s="77"/>
      <c r="F1934" s="73"/>
      <c r="G1934" s="74" t="s">
        <v>3</v>
      </c>
      <c r="H1934" s="153">
        <f>H1935*0.858</f>
        <v>4.0154400000000003E-3</v>
      </c>
      <c r="I1934" s="72"/>
      <c r="K1934" s="658"/>
    </row>
    <row r="1935" spans="1:11" customFormat="1" x14ac:dyDescent="0.25">
      <c r="A1935" s="661"/>
      <c r="B1935" s="77" t="s">
        <v>148</v>
      </c>
      <c r="C1935" s="77"/>
      <c r="D1935" s="77"/>
      <c r="E1935" s="77"/>
      <c r="F1935" s="73"/>
      <c r="G1935" s="74" t="s">
        <v>3</v>
      </c>
      <c r="H1935" s="153">
        <f>0.12*0.015*2*1.3</f>
        <v>4.6800000000000001E-3</v>
      </c>
      <c r="I1935" s="72"/>
      <c r="K1935" s="658"/>
    </row>
    <row r="1936" spans="1:11" customFormat="1" x14ac:dyDescent="0.25">
      <c r="A1936" s="661"/>
      <c r="B1936" s="77" t="s">
        <v>12</v>
      </c>
      <c r="C1936" s="77"/>
      <c r="D1936" s="77"/>
      <c r="E1936" s="77"/>
      <c r="F1936" s="73"/>
      <c r="G1936" s="74" t="s">
        <v>3</v>
      </c>
      <c r="H1936" s="153">
        <f>0.3*(H1935+H1934+H1933)</f>
        <v>3.8132640000000002E-3</v>
      </c>
      <c r="I1936" s="72"/>
      <c r="K1936" s="658"/>
    </row>
    <row r="1937" spans="1:11" customFormat="1" x14ac:dyDescent="0.25">
      <c r="A1937" s="661"/>
      <c r="B1937" s="73"/>
      <c r="C1937" s="75" t="s">
        <v>8621</v>
      </c>
      <c r="D1937" s="73"/>
      <c r="E1937" s="73"/>
      <c r="F1937" s="73"/>
      <c r="G1937" s="74"/>
      <c r="H1937" s="153"/>
      <c r="I1937" s="72"/>
      <c r="K1937" s="658"/>
    </row>
    <row r="1938" spans="1:11" customFormat="1" x14ac:dyDescent="0.25">
      <c r="A1938" s="661"/>
      <c r="B1938" s="73"/>
      <c r="C1938" s="73" t="s">
        <v>480</v>
      </c>
      <c r="D1938" s="73"/>
      <c r="E1938" s="73"/>
      <c r="F1938" s="73"/>
      <c r="G1938" s="74" t="s">
        <v>3</v>
      </c>
      <c r="H1938" s="153">
        <v>2.5999999999999999E-2</v>
      </c>
      <c r="I1938" s="72"/>
      <c r="J1938" t="s">
        <v>3635</v>
      </c>
      <c r="K1938" s="658"/>
    </row>
    <row r="1939" spans="1:11" customFormat="1" x14ac:dyDescent="0.25">
      <c r="A1939" s="661"/>
      <c r="B1939" s="73"/>
      <c r="C1939" s="73"/>
      <c r="D1939" s="73"/>
      <c r="E1939" s="73"/>
      <c r="F1939" s="73"/>
      <c r="G1939" s="74"/>
      <c r="H1939" s="153"/>
      <c r="I1939" s="72"/>
      <c r="K1939" s="658"/>
    </row>
    <row r="1940" spans="1:11" customFormat="1" x14ac:dyDescent="0.25">
      <c r="A1940" s="678"/>
      <c r="B1940" s="75" t="s">
        <v>8620</v>
      </c>
      <c r="C1940" s="73"/>
      <c r="D1940" s="73"/>
      <c r="E1940" s="73"/>
      <c r="F1940" s="73"/>
      <c r="G1940" s="74"/>
      <c r="H1940" s="153"/>
      <c r="I1940" s="72"/>
      <c r="K1940" s="658"/>
    </row>
    <row r="1941" spans="1:11" customFormat="1" x14ac:dyDescent="0.25">
      <c r="A1941" s="661"/>
      <c r="B1941" s="77" t="s">
        <v>1054</v>
      </c>
      <c r="C1941" s="73"/>
      <c r="D1941" s="73"/>
      <c r="E1941" s="73"/>
      <c r="F1941" s="73"/>
      <c r="G1941" s="74" t="s">
        <v>3</v>
      </c>
      <c r="H1941" s="153">
        <f>0.08*0.07*1.2</f>
        <v>6.7200000000000011E-3</v>
      </c>
      <c r="I1941" s="72"/>
      <c r="K1941" s="658"/>
    </row>
    <row r="1942" spans="1:11" customFormat="1" ht="17.25" x14ac:dyDescent="0.25">
      <c r="A1942" s="661"/>
      <c r="B1942" s="77" t="s">
        <v>1055</v>
      </c>
      <c r="C1942" s="73"/>
      <c r="D1942" s="73"/>
      <c r="E1942" s="73"/>
      <c r="F1942" s="73"/>
      <c r="G1942" s="74" t="s">
        <v>596</v>
      </c>
      <c r="H1942" s="153">
        <f>H1941</f>
        <v>6.7200000000000011E-3</v>
      </c>
      <c r="I1942" s="72"/>
      <c r="K1942" s="658"/>
    </row>
    <row r="1943" spans="1:11" customFormat="1" x14ac:dyDescent="0.25">
      <c r="A1943" s="661"/>
      <c r="B1943" s="100" t="s">
        <v>731</v>
      </c>
      <c r="C1943" s="73"/>
      <c r="D1943" s="73"/>
      <c r="E1943" s="73"/>
      <c r="F1943" s="73"/>
      <c r="G1943" s="74" t="s">
        <v>3</v>
      </c>
      <c r="H1943" s="153">
        <f>0.41*0.04*0.2*2</f>
        <v>6.5599999999999999E-3</v>
      </c>
      <c r="I1943" s="72"/>
      <c r="K1943" s="658"/>
    </row>
    <row r="1944" spans="1:11" customFormat="1" x14ac:dyDescent="0.25">
      <c r="A1944" s="661"/>
      <c r="B1944" s="100" t="s">
        <v>8</v>
      </c>
      <c r="C1944" s="73"/>
      <c r="D1944" s="73"/>
      <c r="E1944" s="73"/>
      <c r="F1944" s="73"/>
      <c r="G1944" s="74" t="s">
        <v>3</v>
      </c>
      <c r="H1944" s="153">
        <f>H1945</f>
        <v>2.5019999999999997E-2</v>
      </c>
      <c r="I1944" s="72"/>
      <c r="K1944" s="658"/>
    </row>
    <row r="1945" spans="1:11" customFormat="1" x14ac:dyDescent="0.25">
      <c r="A1945" s="661"/>
      <c r="B1945" s="100" t="s">
        <v>325</v>
      </c>
      <c r="C1945" s="73"/>
      <c r="D1945" s="73"/>
      <c r="E1945" s="73"/>
      <c r="F1945" s="73"/>
      <c r="G1945" s="74" t="s">
        <v>3</v>
      </c>
      <c r="H1945" s="153">
        <f>0.5*0.06*2*0.15*2*1.39</f>
        <v>2.5019999999999997E-2</v>
      </c>
      <c r="I1945" s="72"/>
      <c r="K1945" s="658"/>
    </row>
    <row r="1946" spans="1:11" customFormat="1" x14ac:dyDescent="0.25">
      <c r="A1946" s="661"/>
      <c r="B1946" s="100" t="s">
        <v>12</v>
      </c>
      <c r="C1946" s="73"/>
      <c r="D1946" s="73"/>
      <c r="E1946" s="73"/>
      <c r="F1946" s="73"/>
      <c r="G1946" s="74" t="s">
        <v>3</v>
      </c>
      <c r="H1946" s="153">
        <f>0.3*(H1945+H1944)</f>
        <v>1.5011999999999998E-2</v>
      </c>
      <c r="I1946" s="72"/>
      <c r="K1946" s="658"/>
    </row>
    <row r="1947" spans="1:11" customFormat="1" x14ac:dyDescent="0.25">
      <c r="A1947" s="661"/>
      <c r="B1947" s="100"/>
      <c r="C1947" s="75" t="s">
        <v>8619</v>
      </c>
      <c r="D1947" s="73"/>
      <c r="E1947" s="73"/>
      <c r="F1947" s="73"/>
      <c r="G1947" s="74"/>
      <c r="H1947" s="153"/>
      <c r="I1947" s="72"/>
      <c r="K1947" s="658"/>
    </row>
    <row r="1948" spans="1:11" customFormat="1" x14ac:dyDescent="0.25">
      <c r="A1948" s="661"/>
      <c r="B1948" s="100"/>
      <c r="C1948" s="73" t="s">
        <v>1708</v>
      </c>
      <c r="D1948" s="73"/>
      <c r="E1948" s="73"/>
      <c r="F1948" s="73"/>
      <c r="G1948" s="74" t="s">
        <v>3</v>
      </c>
      <c r="H1948" s="153">
        <f>0.6*0.04*2*8*1.15</f>
        <v>0.44159999999999999</v>
      </c>
      <c r="I1948" s="72"/>
      <c r="K1948" s="658"/>
    </row>
    <row r="1949" spans="1:11" customFormat="1" x14ac:dyDescent="0.25">
      <c r="A1949" s="661"/>
      <c r="B1949" s="100"/>
      <c r="C1949" s="73"/>
      <c r="D1949" s="73"/>
      <c r="E1949" s="73"/>
      <c r="F1949" s="73"/>
      <c r="G1949" s="74"/>
      <c r="H1949" s="153"/>
      <c r="I1949" s="72"/>
      <c r="K1949" s="658"/>
    </row>
    <row r="1950" spans="1:11" customFormat="1" x14ac:dyDescent="0.25">
      <c r="A1950" s="678"/>
      <c r="B1950" s="75" t="s">
        <v>8618</v>
      </c>
      <c r="C1950" s="73"/>
      <c r="D1950" s="73"/>
      <c r="E1950" s="73"/>
      <c r="F1950" s="73"/>
      <c r="G1950" s="74"/>
      <c r="H1950" s="153"/>
      <c r="I1950" s="72"/>
      <c r="K1950" s="658"/>
    </row>
    <row r="1951" spans="1:11" customFormat="1" x14ac:dyDescent="0.25">
      <c r="A1951" s="661"/>
      <c r="B1951" s="77" t="s">
        <v>1054</v>
      </c>
      <c r="C1951" s="73"/>
      <c r="D1951" s="73"/>
      <c r="E1951" s="73"/>
      <c r="F1951" s="73"/>
      <c r="G1951" s="74" t="s">
        <v>3</v>
      </c>
      <c r="H1951" s="153">
        <f>0.08*0.07*1.2</f>
        <v>6.7200000000000011E-3</v>
      </c>
      <c r="I1951" s="72"/>
      <c r="K1951" s="658"/>
    </row>
    <row r="1952" spans="1:11" customFormat="1" ht="17.25" x14ac:dyDescent="0.25">
      <c r="A1952" s="661"/>
      <c r="B1952" s="77" t="s">
        <v>1055</v>
      </c>
      <c r="C1952" s="73"/>
      <c r="D1952" s="73"/>
      <c r="E1952" s="73"/>
      <c r="F1952" s="73"/>
      <c r="G1952" s="74" t="s">
        <v>596</v>
      </c>
      <c r="H1952" s="153">
        <f>H1951</f>
        <v>6.7200000000000011E-3</v>
      </c>
      <c r="I1952" s="72"/>
      <c r="K1952" s="658"/>
    </row>
    <row r="1953" spans="1:11" customFormat="1" x14ac:dyDescent="0.25">
      <c r="A1953" s="661"/>
      <c r="B1953" s="100" t="s">
        <v>731</v>
      </c>
      <c r="C1953" s="73"/>
      <c r="D1953" s="73"/>
      <c r="E1953" s="73"/>
      <c r="F1953" s="73"/>
      <c r="G1953" s="74" t="s">
        <v>3</v>
      </c>
      <c r="H1953" s="153">
        <f>0.3*0.04*0.2*2</f>
        <v>4.8000000000000004E-3</v>
      </c>
      <c r="I1953" s="72"/>
      <c r="K1953" s="658"/>
    </row>
    <row r="1954" spans="1:11" customFormat="1" x14ac:dyDescent="0.25">
      <c r="A1954" s="661"/>
      <c r="B1954" s="100" t="s">
        <v>8</v>
      </c>
      <c r="C1954" s="73"/>
      <c r="D1954" s="73"/>
      <c r="E1954" s="73"/>
      <c r="F1954" s="73"/>
      <c r="G1954" s="74" t="s">
        <v>3</v>
      </c>
      <c r="H1954" s="153">
        <f>H1955</f>
        <v>2.0015999999999999E-2</v>
      </c>
      <c r="I1954" s="72"/>
      <c r="K1954" s="658"/>
    </row>
    <row r="1955" spans="1:11" customFormat="1" x14ac:dyDescent="0.25">
      <c r="A1955" s="661"/>
      <c r="B1955" s="100" t="s">
        <v>325</v>
      </c>
      <c r="C1955" s="73"/>
      <c r="D1955" s="73"/>
      <c r="E1955" s="73"/>
      <c r="F1955" s="73"/>
      <c r="G1955" s="74" t="s">
        <v>3</v>
      </c>
      <c r="H1955" s="153">
        <f>0.4*0.06*2*0.15*2*1.39</f>
        <v>2.0015999999999999E-2</v>
      </c>
      <c r="I1955" s="72"/>
      <c r="K1955" s="658"/>
    </row>
    <row r="1956" spans="1:11" customFormat="1" x14ac:dyDescent="0.25">
      <c r="A1956" s="661"/>
      <c r="B1956" s="100" t="s">
        <v>12</v>
      </c>
      <c r="C1956" s="73"/>
      <c r="D1956" s="73"/>
      <c r="E1956" s="73"/>
      <c r="F1956" s="73"/>
      <c r="G1956" s="74" t="s">
        <v>3</v>
      </c>
      <c r="H1956" s="153">
        <f>0.3*(H1955+H1954)</f>
        <v>1.2009599999999999E-2</v>
      </c>
      <c r="I1956" s="72"/>
      <c r="K1956" s="658"/>
    </row>
    <row r="1957" spans="1:11" customFormat="1" x14ac:dyDescent="0.25">
      <c r="A1957" s="661"/>
      <c r="B1957" s="100"/>
      <c r="C1957" s="75" t="s">
        <v>8617</v>
      </c>
      <c r="D1957" s="73"/>
      <c r="E1957" s="73"/>
      <c r="F1957" s="73"/>
      <c r="G1957" s="74"/>
      <c r="H1957" s="153"/>
      <c r="I1957" s="72"/>
      <c r="K1957" s="658"/>
    </row>
    <row r="1958" spans="1:11" customFormat="1" x14ac:dyDescent="0.25">
      <c r="A1958" s="661"/>
      <c r="B1958" s="100"/>
      <c r="C1958" s="73" t="s">
        <v>1708</v>
      </c>
      <c r="D1958" s="73"/>
      <c r="E1958" s="73"/>
      <c r="F1958" s="73"/>
      <c r="G1958" s="74" t="s">
        <v>3</v>
      </c>
      <c r="H1958" s="153">
        <f>0.47*0.04*2*8*1.15</f>
        <v>0.34592000000000001</v>
      </c>
      <c r="I1958" s="72"/>
      <c r="K1958" s="658"/>
    </row>
    <row r="1959" spans="1:11" customFormat="1" x14ac:dyDescent="0.25">
      <c r="A1959" s="661"/>
      <c r="B1959" s="100"/>
      <c r="C1959" s="73"/>
      <c r="D1959" s="73"/>
      <c r="E1959" s="73"/>
      <c r="F1959" s="73"/>
      <c r="G1959" s="74"/>
      <c r="H1959" s="153"/>
      <c r="I1959" s="72"/>
      <c r="K1959" s="658"/>
    </row>
    <row r="1960" spans="1:11" customFormat="1" x14ac:dyDescent="0.25">
      <c r="A1960" s="678"/>
      <c r="B1960" s="75" t="s">
        <v>8616</v>
      </c>
      <c r="C1960" s="73"/>
      <c r="D1960" s="73"/>
      <c r="E1960" s="73"/>
      <c r="F1960" s="73"/>
      <c r="G1960" s="74"/>
      <c r="H1960" s="153"/>
      <c r="I1960" s="72"/>
      <c r="K1960" s="658"/>
    </row>
    <row r="1961" spans="1:11" customFormat="1" x14ac:dyDescent="0.25">
      <c r="A1961" s="661"/>
      <c r="B1961" s="77" t="s">
        <v>1054</v>
      </c>
      <c r="C1961" s="73"/>
      <c r="D1961" s="73"/>
      <c r="E1961" s="73"/>
      <c r="F1961" s="73"/>
      <c r="G1961" s="74" t="s">
        <v>3</v>
      </c>
      <c r="H1961" s="153">
        <f>0.08*0.07*1.2</f>
        <v>6.7200000000000011E-3</v>
      </c>
      <c r="I1961" s="72"/>
      <c r="K1961" s="658"/>
    </row>
    <row r="1962" spans="1:11" customFormat="1" ht="17.25" x14ac:dyDescent="0.25">
      <c r="A1962" s="661"/>
      <c r="B1962" s="77" t="s">
        <v>1055</v>
      </c>
      <c r="C1962" s="73"/>
      <c r="D1962" s="73"/>
      <c r="E1962" s="73"/>
      <c r="F1962" s="73"/>
      <c r="G1962" s="74" t="s">
        <v>596</v>
      </c>
      <c r="H1962" s="153">
        <f>H1961</f>
        <v>6.7200000000000011E-3</v>
      </c>
      <c r="I1962" s="72"/>
      <c r="K1962" s="658"/>
    </row>
    <row r="1963" spans="1:11" customFormat="1" x14ac:dyDescent="0.25">
      <c r="A1963" s="661"/>
      <c r="B1963" s="100" t="s">
        <v>731</v>
      </c>
      <c r="C1963" s="73"/>
      <c r="D1963" s="73"/>
      <c r="E1963" s="73"/>
      <c r="F1963" s="73"/>
      <c r="G1963" s="74" t="s">
        <v>3</v>
      </c>
      <c r="H1963" s="153">
        <f>0.25*0.04*0.2*2</f>
        <v>4.0000000000000001E-3</v>
      </c>
      <c r="I1963" s="72"/>
      <c r="K1963" s="658"/>
    </row>
    <row r="1964" spans="1:11" customFormat="1" x14ac:dyDescent="0.25">
      <c r="A1964" s="661"/>
      <c r="B1964" s="100" t="s">
        <v>8</v>
      </c>
      <c r="C1964" s="73"/>
      <c r="D1964" s="73"/>
      <c r="E1964" s="73"/>
      <c r="F1964" s="73"/>
      <c r="G1964" s="74" t="s">
        <v>3</v>
      </c>
      <c r="H1964" s="153">
        <f>H1965</f>
        <v>4.5035999999999993E-2</v>
      </c>
      <c r="I1964" s="72"/>
      <c r="K1964" s="658"/>
    </row>
    <row r="1965" spans="1:11" customFormat="1" x14ac:dyDescent="0.25">
      <c r="A1965" s="661"/>
      <c r="B1965" s="100" t="s">
        <v>325</v>
      </c>
      <c r="C1965" s="73"/>
      <c r="D1965" s="73"/>
      <c r="E1965" s="73"/>
      <c r="F1965" s="73"/>
      <c r="G1965" s="74" t="s">
        <v>3</v>
      </c>
      <c r="H1965" s="153">
        <f>0.9*0.06*2*0.15*2*1.39</f>
        <v>4.5035999999999993E-2</v>
      </c>
      <c r="I1965" s="72"/>
      <c r="K1965" s="658"/>
    </row>
    <row r="1966" spans="1:11" customFormat="1" x14ac:dyDescent="0.25">
      <c r="A1966" s="661"/>
      <c r="B1966" s="100" t="s">
        <v>12</v>
      </c>
      <c r="C1966" s="73"/>
      <c r="D1966" s="73"/>
      <c r="E1966" s="73"/>
      <c r="F1966" s="73"/>
      <c r="G1966" s="74" t="s">
        <v>3</v>
      </c>
      <c r="H1966" s="153">
        <f>0.3*(H1965+H1964)</f>
        <v>2.7021599999999996E-2</v>
      </c>
      <c r="I1966" s="72"/>
      <c r="K1966" s="658"/>
    </row>
    <row r="1967" spans="1:11" customFormat="1" x14ac:dyDescent="0.25">
      <c r="A1967" s="661"/>
      <c r="B1967" s="100"/>
      <c r="C1967" s="75" t="s">
        <v>8615</v>
      </c>
      <c r="D1967" s="73"/>
      <c r="E1967" s="73"/>
      <c r="F1967" s="73"/>
      <c r="G1967" s="74"/>
      <c r="H1967" s="153"/>
      <c r="I1967" s="72"/>
      <c r="K1967" s="658"/>
    </row>
    <row r="1968" spans="1:11" customFormat="1" x14ac:dyDescent="0.25">
      <c r="A1968" s="661"/>
      <c r="B1968" s="100"/>
      <c r="C1968" s="73" t="s">
        <v>1708</v>
      </c>
      <c r="D1968" s="73"/>
      <c r="E1968" s="73"/>
      <c r="F1968" s="73"/>
      <c r="G1968" s="74" t="s">
        <v>3</v>
      </c>
      <c r="H1968" s="153">
        <f>1*0.04*2*8*1.15</f>
        <v>0.73599999999999999</v>
      </c>
      <c r="I1968" s="72"/>
      <c r="K1968" s="658"/>
    </row>
    <row r="1969" spans="1:11" customFormat="1" x14ac:dyDescent="0.25">
      <c r="A1969" s="661"/>
      <c r="B1969" s="73"/>
      <c r="C1969" s="73"/>
      <c r="D1969" s="73"/>
      <c r="E1969" s="73"/>
      <c r="F1969" s="73"/>
      <c r="G1969" s="74"/>
      <c r="H1969" s="153"/>
      <c r="I1969" s="72"/>
      <c r="K1969" s="658"/>
    </row>
    <row r="1970" spans="1:11" customFormat="1" x14ac:dyDescent="0.25">
      <c r="A1970" s="678"/>
      <c r="B1970" s="75" t="s">
        <v>8614</v>
      </c>
      <c r="C1970" s="73"/>
      <c r="D1970" s="73"/>
      <c r="E1970" s="73"/>
      <c r="F1970" s="73"/>
      <c r="G1970" s="74"/>
      <c r="H1970" s="153"/>
      <c r="I1970" s="72"/>
      <c r="K1970" s="658"/>
    </row>
    <row r="1971" spans="1:11" customFormat="1" x14ac:dyDescent="0.25">
      <c r="A1971" s="661"/>
      <c r="B1971" s="77" t="s">
        <v>1054</v>
      </c>
      <c r="C1971" s="73"/>
      <c r="D1971" s="73"/>
      <c r="E1971" s="73"/>
      <c r="F1971" s="73"/>
      <c r="G1971" s="74" t="s">
        <v>3</v>
      </c>
      <c r="H1971" s="153">
        <f>0.1*0.06*1.2</f>
        <v>7.1999999999999998E-3</v>
      </c>
      <c r="I1971" s="72"/>
      <c r="K1971" s="658"/>
    </row>
    <row r="1972" spans="1:11" customFormat="1" ht="17.25" x14ac:dyDescent="0.25">
      <c r="A1972" s="661"/>
      <c r="B1972" s="77" t="s">
        <v>1055</v>
      </c>
      <c r="C1972" s="73"/>
      <c r="D1972" s="73"/>
      <c r="E1972" s="73"/>
      <c r="F1972" s="73"/>
      <c r="G1972" s="74" t="s">
        <v>596</v>
      </c>
      <c r="H1972" s="153">
        <f>H1971</f>
        <v>7.1999999999999998E-3</v>
      </c>
      <c r="I1972" s="72"/>
      <c r="K1972" s="658"/>
    </row>
    <row r="1973" spans="1:11" customFormat="1" x14ac:dyDescent="0.25">
      <c r="A1973" s="661"/>
      <c r="B1973" s="100" t="s">
        <v>14</v>
      </c>
      <c r="C1973" s="73"/>
      <c r="D1973" s="73"/>
      <c r="E1973" s="73"/>
      <c r="F1973" s="73"/>
      <c r="G1973" s="74" t="s">
        <v>3</v>
      </c>
      <c r="H1973" s="153">
        <f>H1974</f>
        <v>7.2000000000000007E-3</v>
      </c>
      <c r="I1973" s="72"/>
      <c r="K1973" s="658"/>
    </row>
    <row r="1974" spans="1:11" customFormat="1" x14ac:dyDescent="0.25">
      <c r="A1974" s="661"/>
      <c r="B1974" s="100" t="s">
        <v>115</v>
      </c>
      <c r="C1974" s="73"/>
      <c r="D1974" s="73"/>
      <c r="E1974" s="73"/>
      <c r="F1974" s="73"/>
      <c r="G1974" s="74" t="s">
        <v>3</v>
      </c>
      <c r="H1974" s="153">
        <f>0.1*0.1*2*0.15*2*1.2</f>
        <v>7.2000000000000007E-3</v>
      </c>
      <c r="I1974" s="72"/>
      <c r="K1974" s="658"/>
    </row>
    <row r="1975" spans="1:11" customFormat="1" x14ac:dyDescent="0.25">
      <c r="A1975" s="661"/>
      <c r="B1975" s="100" t="s">
        <v>12</v>
      </c>
      <c r="C1975" s="73"/>
      <c r="D1975" s="73"/>
      <c r="E1975" s="73"/>
      <c r="F1975" s="73"/>
      <c r="G1975" s="74" t="s">
        <v>3</v>
      </c>
      <c r="H1975" s="153">
        <f>0.3*(H1974+H1973)</f>
        <v>4.3200000000000001E-3</v>
      </c>
      <c r="I1975" s="72"/>
      <c r="K1975" s="658"/>
    </row>
    <row r="1976" spans="1:11" customFormat="1" x14ac:dyDescent="0.25">
      <c r="A1976" s="661"/>
      <c r="B1976" s="73"/>
      <c r="C1976" s="75" t="s">
        <v>1071</v>
      </c>
      <c r="D1976" s="73"/>
      <c r="E1976" s="73"/>
      <c r="F1976" s="73"/>
      <c r="G1976" s="74"/>
      <c r="H1976" s="153"/>
      <c r="I1976" s="72"/>
      <c r="K1976" s="658"/>
    </row>
    <row r="1977" spans="1:11" customFormat="1" x14ac:dyDescent="0.25">
      <c r="A1977" s="661"/>
      <c r="B1977" s="73"/>
      <c r="C1977" s="100" t="s">
        <v>984</v>
      </c>
      <c r="D1977" s="73"/>
      <c r="E1977" s="73"/>
      <c r="F1977" s="73"/>
      <c r="G1977" s="74" t="s">
        <v>3</v>
      </c>
      <c r="H1977" s="153">
        <f>0.025*0.06*1*8*1.15</f>
        <v>1.38E-2</v>
      </c>
      <c r="I1977" s="72"/>
      <c r="K1977" s="658"/>
    </row>
    <row r="1978" spans="1:11" customFormat="1" x14ac:dyDescent="0.25">
      <c r="A1978" s="661"/>
      <c r="B1978" s="73"/>
      <c r="C1978" s="73"/>
      <c r="D1978" s="73"/>
      <c r="E1978" s="73"/>
      <c r="F1978" s="73"/>
      <c r="G1978" s="74"/>
      <c r="H1978" s="153"/>
      <c r="I1978" s="72"/>
      <c r="K1978" s="658"/>
    </row>
    <row r="1979" spans="1:11" customFormat="1" x14ac:dyDescent="0.25">
      <c r="A1979" s="678"/>
      <c r="B1979" s="75" t="s">
        <v>8613</v>
      </c>
      <c r="C1979" s="73"/>
      <c r="D1979" s="73"/>
      <c r="E1979" s="73"/>
      <c r="F1979" s="73"/>
      <c r="G1979" s="74"/>
      <c r="H1979" s="153"/>
      <c r="I1979" s="72"/>
      <c r="K1979" s="658"/>
    </row>
    <row r="1980" spans="1:11" customFormat="1" x14ac:dyDescent="0.25">
      <c r="A1980" s="661"/>
      <c r="B1980" s="73" t="s">
        <v>140</v>
      </c>
      <c r="C1980" s="73"/>
      <c r="D1980" s="73"/>
      <c r="E1980" s="73"/>
      <c r="F1980" s="73"/>
      <c r="G1980" s="74" t="s">
        <v>3</v>
      </c>
      <c r="H1980" s="153">
        <f>0.025*3.14*2*0.08*1.2</f>
        <v>1.5072000000000002E-2</v>
      </c>
      <c r="I1980" s="72"/>
      <c r="K1980" s="658"/>
    </row>
    <row r="1981" spans="1:11" customFormat="1" ht="17.25" x14ac:dyDescent="0.25">
      <c r="A1981" s="661"/>
      <c r="B1981" s="73" t="s">
        <v>23</v>
      </c>
      <c r="C1981" s="73"/>
      <c r="D1981" s="73"/>
      <c r="E1981" s="73"/>
      <c r="F1981" s="73"/>
      <c r="G1981" s="74" t="s">
        <v>596</v>
      </c>
      <c r="H1981" s="153">
        <f>H1980*2</f>
        <v>3.0144000000000004E-2</v>
      </c>
      <c r="I1981" s="72"/>
      <c r="K1981" s="658"/>
    </row>
    <row r="1982" spans="1:11" customFormat="1" x14ac:dyDescent="0.25">
      <c r="A1982" s="661"/>
      <c r="B1982" s="73" t="s">
        <v>142</v>
      </c>
      <c r="C1982" s="73"/>
      <c r="D1982" s="73"/>
      <c r="E1982" s="73"/>
      <c r="F1982" s="73"/>
      <c r="G1982" s="74" t="s">
        <v>3</v>
      </c>
      <c r="H1982" s="153">
        <f>H1980/4</f>
        <v>3.7680000000000005E-3</v>
      </c>
      <c r="I1982" s="72"/>
      <c r="K1982" s="658"/>
    </row>
    <row r="1983" spans="1:11" customFormat="1" x14ac:dyDescent="0.25">
      <c r="A1983" s="661"/>
      <c r="B1983" s="73" t="s">
        <v>143</v>
      </c>
      <c r="C1983" s="73"/>
      <c r="D1983" s="73"/>
      <c r="E1983" s="73"/>
      <c r="F1983" s="73"/>
      <c r="G1983" s="74" t="s">
        <v>3</v>
      </c>
      <c r="H1983" s="153">
        <f>H1984</f>
        <v>2.9587200000000001E-2</v>
      </c>
      <c r="I1983" s="72"/>
      <c r="K1983" s="658"/>
    </row>
    <row r="1984" spans="1:11" customFormat="1" x14ac:dyDescent="0.25">
      <c r="A1984" s="661"/>
      <c r="B1984" s="100" t="s">
        <v>8</v>
      </c>
      <c r="C1984" s="73"/>
      <c r="D1984" s="73"/>
      <c r="E1984" s="73"/>
      <c r="F1984" s="73"/>
      <c r="G1984" s="74" t="s">
        <v>3</v>
      </c>
      <c r="H1984" s="153">
        <f>H1986*0.92</f>
        <v>2.9587200000000001E-2</v>
      </c>
      <c r="I1984" s="72"/>
      <c r="K1984" s="658"/>
    </row>
    <row r="1985" spans="1:11" customFormat="1" x14ac:dyDescent="0.25">
      <c r="A1985" s="661"/>
      <c r="B1985" s="100" t="s">
        <v>12</v>
      </c>
      <c r="C1985" s="73"/>
      <c r="D1985" s="73"/>
      <c r="E1985" s="73"/>
      <c r="F1985" s="73"/>
      <c r="G1985" s="74" t="s">
        <v>3</v>
      </c>
      <c r="H1985" s="153">
        <f>0.3*(H1984+H1983)</f>
        <v>1.7752319999999999E-2</v>
      </c>
      <c r="I1985" s="72"/>
      <c r="K1985" s="658"/>
    </row>
    <row r="1986" spans="1:11" customFormat="1" x14ac:dyDescent="0.25">
      <c r="A1986" s="661"/>
      <c r="B1986" s="100" t="s">
        <v>72</v>
      </c>
      <c r="C1986" s="73"/>
      <c r="D1986" s="73"/>
      <c r="E1986" s="73"/>
      <c r="F1986" s="73"/>
      <c r="G1986" s="74" t="s">
        <v>3</v>
      </c>
      <c r="H1986" s="153">
        <f>0.67*0.02*2*1.2</f>
        <v>3.2160000000000001E-2</v>
      </c>
      <c r="I1986" s="72"/>
      <c r="K1986" s="658"/>
    </row>
    <row r="1987" spans="1:11" customFormat="1" x14ac:dyDescent="0.25">
      <c r="A1987" s="661"/>
      <c r="B1987" s="100" t="s">
        <v>11</v>
      </c>
      <c r="C1987" s="73"/>
      <c r="D1987" s="73"/>
      <c r="E1987" s="73"/>
      <c r="F1987" s="73"/>
      <c r="G1987" s="74" t="s">
        <v>3</v>
      </c>
      <c r="H1987" s="153">
        <f>0.3*H1986</f>
        <v>9.6480000000000003E-3</v>
      </c>
      <c r="I1987" s="72"/>
      <c r="K1987" s="658"/>
    </row>
    <row r="1988" spans="1:11" customFormat="1" x14ac:dyDescent="0.25">
      <c r="A1988" s="661"/>
      <c r="B1988" s="75"/>
      <c r="C1988" s="75" t="s">
        <v>8612</v>
      </c>
      <c r="D1988" s="73"/>
      <c r="E1988" s="73"/>
      <c r="F1988" s="73"/>
      <c r="G1988" s="74"/>
      <c r="H1988" s="153"/>
      <c r="I1988" s="72"/>
      <c r="K1988" s="658"/>
    </row>
    <row r="1989" spans="1:11" customFormat="1" x14ac:dyDescent="0.25">
      <c r="A1989" s="661"/>
      <c r="B1989" s="75"/>
      <c r="C1989" s="73" t="s">
        <v>8610</v>
      </c>
      <c r="D1989" s="73"/>
      <c r="E1989" s="73"/>
      <c r="F1989" s="73"/>
      <c r="G1989" s="74" t="s">
        <v>3</v>
      </c>
      <c r="H1989" s="153">
        <v>0.4</v>
      </c>
      <c r="I1989" s="72"/>
      <c r="J1989" t="s">
        <v>5817</v>
      </c>
      <c r="K1989" s="658"/>
    </row>
    <row r="1990" spans="1:11" customFormat="1" x14ac:dyDescent="0.25">
      <c r="A1990" s="661"/>
      <c r="B1990" s="75"/>
      <c r="C1990" s="75" t="s">
        <v>8611</v>
      </c>
      <c r="D1990" s="73"/>
      <c r="E1990" s="73"/>
      <c r="F1990" s="73"/>
      <c r="G1990" s="74"/>
      <c r="H1990" s="153"/>
      <c r="I1990" s="72"/>
      <c r="K1990" s="658"/>
    </row>
    <row r="1991" spans="1:11" customFormat="1" x14ac:dyDescent="0.25">
      <c r="A1991" s="661"/>
      <c r="B1991" s="75"/>
      <c r="C1991" s="73" t="s">
        <v>8610</v>
      </c>
      <c r="D1991" s="73"/>
      <c r="E1991" s="73"/>
      <c r="F1991" s="73"/>
      <c r="G1991" s="74" t="s">
        <v>3</v>
      </c>
      <c r="H1991" s="153">
        <v>0.48</v>
      </c>
      <c r="I1991" s="72"/>
      <c r="J1991" t="s">
        <v>8609</v>
      </c>
      <c r="K1991" s="658"/>
    </row>
    <row r="1992" spans="1:11" customFormat="1" x14ac:dyDescent="0.25">
      <c r="A1992" s="661"/>
      <c r="B1992" s="75"/>
      <c r="C1992" s="73"/>
      <c r="D1992" s="73"/>
      <c r="E1992" s="73"/>
      <c r="F1992" s="73"/>
      <c r="G1992" s="74"/>
      <c r="H1992" s="153"/>
      <c r="I1992" s="72"/>
      <c r="K1992" s="658"/>
    </row>
    <row r="1993" spans="1:11" customFormat="1" x14ac:dyDescent="0.25">
      <c r="A1993" s="678"/>
      <c r="B1993" s="75" t="s">
        <v>8608</v>
      </c>
      <c r="C1993" s="73"/>
      <c r="D1993" s="73"/>
      <c r="E1993" s="73"/>
      <c r="F1993" s="73"/>
      <c r="G1993" s="74"/>
      <c r="H1993" s="153"/>
      <c r="I1993" s="72"/>
      <c r="K1993" s="658"/>
    </row>
    <row r="1994" spans="1:11" customFormat="1" x14ac:dyDescent="0.25">
      <c r="A1994" s="661"/>
      <c r="B1994" s="73" t="s">
        <v>140</v>
      </c>
      <c r="C1994" s="73"/>
      <c r="D1994" s="73"/>
      <c r="E1994" s="73"/>
      <c r="F1994" s="73"/>
      <c r="G1994" s="74" t="s">
        <v>3</v>
      </c>
      <c r="H1994" s="153">
        <f>0.013*3.14*0.08*1.2</f>
        <v>3.9187200000000005E-3</v>
      </c>
      <c r="I1994" s="72"/>
      <c r="K1994" s="658"/>
    </row>
    <row r="1995" spans="1:11" customFormat="1" ht="17.25" x14ac:dyDescent="0.25">
      <c r="A1995" s="661"/>
      <c r="B1995" s="73" t="s">
        <v>23</v>
      </c>
      <c r="C1995" s="73"/>
      <c r="D1995" s="73"/>
      <c r="E1995" s="73"/>
      <c r="F1995" s="73"/>
      <c r="G1995" s="74" t="s">
        <v>596</v>
      </c>
      <c r="H1995" s="153">
        <f>H1994*2</f>
        <v>7.8374400000000011E-3</v>
      </c>
      <c r="I1995" s="72"/>
      <c r="K1995" s="658"/>
    </row>
    <row r="1996" spans="1:11" customFormat="1" x14ac:dyDescent="0.25">
      <c r="A1996" s="661"/>
      <c r="B1996" s="73" t="s">
        <v>142</v>
      </c>
      <c r="C1996" s="73"/>
      <c r="D1996" s="73"/>
      <c r="E1996" s="73"/>
      <c r="F1996" s="73"/>
      <c r="G1996" s="74" t="s">
        <v>3</v>
      </c>
      <c r="H1996" s="153">
        <f>H1994/4</f>
        <v>9.7968000000000013E-4</v>
      </c>
      <c r="I1996" s="72"/>
      <c r="K1996" s="658"/>
    </row>
    <row r="1997" spans="1:11" customFormat="1" x14ac:dyDescent="0.25">
      <c r="A1997" s="661"/>
      <c r="B1997" s="73" t="s">
        <v>143</v>
      </c>
      <c r="C1997" s="73"/>
      <c r="D1997" s="73"/>
      <c r="E1997" s="73"/>
      <c r="F1997" s="73"/>
      <c r="G1997" s="74" t="s">
        <v>3</v>
      </c>
      <c r="H1997" s="153">
        <f>H1998</f>
        <v>7.0435199999999993E-3</v>
      </c>
      <c r="I1997" s="72"/>
      <c r="K1997" s="658"/>
    </row>
    <row r="1998" spans="1:11" customFormat="1" x14ac:dyDescent="0.25">
      <c r="A1998" s="661"/>
      <c r="B1998" s="100" t="s">
        <v>8</v>
      </c>
      <c r="C1998" s="73"/>
      <c r="D1998" s="73"/>
      <c r="E1998" s="73"/>
      <c r="F1998" s="73"/>
      <c r="G1998" s="74" t="s">
        <v>3</v>
      </c>
      <c r="H1998" s="153">
        <f>H1999*0.92</f>
        <v>7.0435199999999993E-3</v>
      </c>
      <c r="I1998" s="72"/>
      <c r="K1998" s="658"/>
    </row>
    <row r="1999" spans="1:11" customFormat="1" x14ac:dyDescent="0.25">
      <c r="A1999" s="661"/>
      <c r="B1999" s="73" t="s">
        <v>1783</v>
      </c>
      <c r="C1999" s="73"/>
      <c r="D1999" s="73"/>
      <c r="E1999" s="73"/>
      <c r="F1999" s="73"/>
      <c r="G1999" s="74" t="s">
        <v>3</v>
      </c>
      <c r="H1999" s="153">
        <f>0.12*0.011*2*2.9</f>
        <v>7.6559999999999987E-3</v>
      </c>
      <c r="I1999" s="72"/>
      <c r="K1999" s="658"/>
    </row>
    <row r="2000" spans="1:11" customFormat="1" x14ac:dyDescent="0.25">
      <c r="A2000" s="661"/>
      <c r="B2000" s="100" t="s">
        <v>12</v>
      </c>
      <c r="C2000" s="73"/>
      <c r="D2000" s="73"/>
      <c r="E2000" s="73"/>
      <c r="F2000" s="73"/>
      <c r="G2000" s="74" t="s">
        <v>3</v>
      </c>
      <c r="H2000" s="153">
        <f>0.3*(H1998+H1997+H1999)</f>
        <v>6.5229119999999996E-3</v>
      </c>
      <c r="I2000" s="72"/>
      <c r="K2000" s="658"/>
    </row>
    <row r="2001" spans="1:11" customFormat="1" x14ac:dyDescent="0.25">
      <c r="A2001" s="661"/>
      <c r="B2001" s="100"/>
      <c r="C2001" s="75" t="s">
        <v>8607</v>
      </c>
      <c r="D2001" s="73"/>
      <c r="E2001" s="73"/>
      <c r="F2001" s="73"/>
      <c r="G2001" s="74"/>
      <c r="H2001" s="153"/>
      <c r="I2001" s="72"/>
      <c r="K2001" s="658"/>
    </row>
    <row r="2002" spans="1:11" customFormat="1" x14ac:dyDescent="0.25">
      <c r="A2002" s="661"/>
      <c r="B2002" s="100"/>
      <c r="C2002" s="73" t="s">
        <v>832</v>
      </c>
      <c r="D2002" s="73"/>
      <c r="E2002" s="73"/>
      <c r="F2002" s="73"/>
      <c r="G2002" s="74" t="s">
        <v>3</v>
      </c>
      <c r="H2002" s="153">
        <v>5.5E-2</v>
      </c>
      <c r="I2002" s="72"/>
      <c r="J2002" t="s">
        <v>5826</v>
      </c>
      <c r="K2002" s="658"/>
    </row>
    <row r="2003" spans="1:11" customFormat="1" x14ac:dyDescent="0.25">
      <c r="A2003" s="661"/>
      <c r="B2003" s="100"/>
      <c r="C2003" s="73"/>
      <c r="D2003" s="73"/>
      <c r="E2003" s="73"/>
      <c r="F2003" s="73"/>
      <c r="G2003" s="74"/>
      <c r="H2003" s="153"/>
      <c r="I2003" s="72"/>
      <c r="K2003" s="658"/>
    </row>
    <row r="2004" spans="1:11" customFormat="1" x14ac:dyDescent="0.25">
      <c r="A2004" s="678"/>
      <c r="B2004" s="75" t="s">
        <v>8606</v>
      </c>
      <c r="C2004" s="73"/>
      <c r="D2004" s="73"/>
      <c r="E2004" s="73"/>
      <c r="F2004" s="73"/>
      <c r="G2004" s="74"/>
      <c r="H2004" s="153"/>
      <c r="I2004" s="72"/>
      <c r="K2004" s="658"/>
    </row>
    <row r="2005" spans="1:11" customFormat="1" x14ac:dyDescent="0.25">
      <c r="A2005" s="661"/>
      <c r="B2005" s="73" t="s">
        <v>140</v>
      </c>
      <c r="C2005" s="73"/>
      <c r="D2005" s="73"/>
      <c r="E2005" s="73"/>
      <c r="F2005" s="73"/>
      <c r="G2005" s="74" t="s">
        <v>3</v>
      </c>
      <c r="H2005" s="153">
        <f>0.008*3.14*2*0.08*1.2</f>
        <v>4.8230399999999998E-3</v>
      </c>
      <c r="I2005" s="72"/>
      <c r="K2005" s="658"/>
    </row>
    <row r="2006" spans="1:11" customFormat="1" ht="17.25" x14ac:dyDescent="0.25">
      <c r="A2006" s="661"/>
      <c r="B2006" s="73" t="s">
        <v>23</v>
      </c>
      <c r="C2006" s="73"/>
      <c r="D2006" s="73"/>
      <c r="E2006" s="73"/>
      <c r="F2006" s="73"/>
      <c r="G2006" s="74" t="s">
        <v>596</v>
      </c>
      <c r="H2006" s="153">
        <f>H2005*2</f>
        <v>9.6460799999999996E-3</v>
      </c>
      <c r="I2006" s="72"/>
      <c r="K2006" s="658"/>
    </row>
    <row r="2007" spans="1:11" customFormat="1" x14ac:dyDescent="0.25">
      <c r="A2007" s="661"/>
      <c r="B2007" s="73" t="s">
        <v>142</v>
      </c>
      <c r="C2007" s="73"/>
      <c r="D2007" s="73"/>
      <c r="E2007" s="73"/>
      <c r="F2007" s="73"/>
      <c r="G2007" s="74" t="s">
        <v>3</v>
      </c>
      <c r="H2007" s="153">
        <f>H2005/4</f>
        <v>1.2057599999999999E-3</v>
      </c>
      <c r="I2007" s="72"/>
      <c r="K2007" s="658"/>
    </row>
    <row r="2008" spans="1:11" customFormat="1" x14ac:dyDescent="0.25">
      <c r="A2008" s="661"/>
      <c r="B2008" s="73" t="s">
        <v>143</v>
      </c>
      <c r="C2008" s="73"/>
      <c r="D2008" s="73"/>
      <c r="E2008" s="73"/>
      <c r="F2008" s="73"/>
      <c r="G2008" s="74" t="s">
        <v>3</v>
      </c>
      <c r="H2008" s="153">
        <f>H2009</f>
        <v>9.528749999999999E-3</v>
      </c>
      <c r="I2008" s="72"/>
      <c r="K2008" s="658"/>
    </row>
    <row r="2009" spans="1:11" customFormat="1" x14ac:dyDescent="0.25">
      <c r="A2009" s="661"/>
      <c r="B2009" s="100" t="s">
        <v>8</v>
      </c>
      <c r="C2009" s="73"/>
      <c r="D2009" s="73"/>
      <c r="E2009" s="73"/>
      <c r="F2009" s="73"/>
      <c r="G2009" s="74" t="s">
        <v>3</v>
      </c>
      <c r="H2009" s="153">
        <f>H2010*0.99</f>
        <v>9.528749999999999E-3</v>
      </c>
      <c r="I2009" s="72"/>
      <c r="K2009" s="658"/>
    </row>
    <row r="2010" spans="1:11" customFormat="1" x14ac:dyDescent="0.25">
      <c r="A2010" s="661"/>
      <c r="B2010" s="73" t="s">
        <v>1783</v>
      </c>
      <c r="C2010" s="73"/>
      <c r="D2010" s="73"/>
      <c r="E2010" s="73"/>
      <c r="F2010" s="73"/>
      <c r="G2010" s="74" t="s">
        <v>3</v>
      </c>
      <c r="H2010" s="153">
        <f>0.35*0.011*2*1.25</f>
        <v>9.6249999999999999E-3</v>
      </c>
      <c r="I2010" s="72"/>
      <c r="K2010" s="658"/>
    </row>
    <row r="2011" spans="1:11" customFormat="1" x14ac:dyDescent="0.25">
      <c r="A2011" s="661"/>
      <c r="B2011" s="100" t="s">
        <v>12</v>
      </c>
      <c r="C2011" s="73"/>
      <c r="D2011" s="73"/>
      <c r="E2011" s="73"/>
      <c r="F2011" s="73"/>
      <c r="G2011" s="74" t="s">
        <v>3</v>
      </c>
      <c r="H2011" s="153">
        <f>0.3*(H2009+H2008+H2010)</f>
        <v>8.6047499999999996E-3</v>
      </c>
      <c r="I2011" s="72"/>
      <c r="K2011" s="658"/>
    </row>
    <row r="2012" spans="1:11" customFormat="1" x14ac:dyDescent="0.25">
      <c r="A2012" s="661"/>
      <c r="B2012" s="100"/>
      <c r="C2012" s="75" t="s">
        <v>8605</v>
      </c>
      <c r="D2012" s="73"/>
      <c r="E2012" s="73"/>
      <c r="F2012" s="73"/>
      <c r="G2012" s="74"/>
      <c r="H2012" s="153"/>
      <c r="I2012" s="72"/>
      <c r="K2012" s="658"/>
    </row>
    <row r="2013" spans="1:11" customFormat="1" x14ac:dyDescent="0.25">
      <c r="A2013" s="661"/>
      <c r="B2013" s="100"/>
      <c r="C2013" s="73" t="s">
        <v>1245</v>
      </c>
      <c r="D2013" s="73"/>
      <c r="E2013" s="73"/>
      <c r="F2013" s="73"/>
      <c r="G2013" s="74" t="s">
        <v>3</v>
      </c>
      <c r="H2013" s="153">
        <v>0.1</v>
      </c>
      <c r="I2013" s="72"/>
      <c r="J2013" t="s">
        <v>8604</v>
      </c>
      <c r="K2013" s="658"/>
    </row>
    <row r="2014" spans="1:11" customFormat="1" x14ac:dyDescent="0.25">
      <c r="A2014" s="661"/>
      <c r="B2014" s="73"/>
      <c r="C2014" s="73"/>
      <c r="D2014" s="73"/>
      <c r="E2014" s="73"/>
      <c r="F2014" s="73"/>
      <c r="G2014" s="74"/>
      <c r="H2014" s="153"/>
      <c r="I2014" s="72"/>
      <c r="K2014" s="658"/>
    </row>
    <row r="2015" spans="1:11" customFormat="1" x14ac:dyDescent="0.25">
      <c r="A2015" s="678"/>
      <c r="B2015" s="75" t="s">
        <v>8603</v>
      </c>
      <c r="C2015" s="73"/>
      <c r="D2015" s="73"/>
      <c r="E2015" s="73"/>
      <c r="F2015" s="73"/>
      <c r="G2015" s="74"/>
      <c r="H2015" s="153"/>
      <c r="I2015" s="72"/>
      <c r="K2015" s="658"/>
    </row>
    <row r="2016" spans="1:11" customFormat="1" x14ac:dyDescent="0.25">
      <c r="A2016" s="661"/>
      <c r="B2016" s="77" t="s">
        <v>1054</v>
      </c>
      <c r="C2016" s="73"/>
      <c r="D2016" s="73"/>
      <c r="E2016" s="73"/>
      <c r="F2016" s="73"/>
      <c r="G2016" s="74" t="s">
        <v>3</v>
      </c>
      <c r="H2016" s="153">
        <f>0.08*0.07*1.2</f>
        <v>6.7200000000000011E-3</v>
      </c>
      <c r="I2016" s="72"/>
      <c r="K2016" s="658"/>
    </row>
    <row r="2017" spans="1:11" customFormat="1" ht="17.25" x14ac:dyDescent="0.25">
      <c r="A2017" s="661"/>
      <c r="B2017" s="77" t="s">
        <v>1055</v>
      </c>
      <c r="C2017" s="73"/>
      <c r="D2017" s="73"/>
      <c r="E2017" s="73"/>
      <c r="F2017" s="73"/>
      <c r="G2017" s="74" t="s">
        <v>596</v>
      </c>
      <c r="H2017" s="153">
        <f>H2016</f>
        <v>6.7200000000000011E-3</v>
      </c>
      <c r="I2017" s="72"/>
      <c r="K2017" s="658"/>
    </row>
    <row r="2018" spans="1:11" customFormat="1" x14ac:dyDescent="0.25">
      <c r="A2018" s="661"/>
      <c r="B2018" s="100" t="s">
        <v>8</v>
      </c>
      <c r="C2018" s="73"/>
      <c r="D2018" s="73"/>
      <c r="E2018" s="73"/>
      <c r="F2018" s="73"/>
      <c r="G2018" s="74" t="s">
        <v>3</v>
      </c>
      <c r="H2018" s="153">
        <f>H2020</f>
        <v>2.4750000000000001E-2</v>
      </c>
      <c r="I2018" s="72"/>
      <c r="K2018" s="658"/>
    </row>
    <row r="2019" spans="1:11" customFormat="1" x14ac:dyDescent="0.25">
      <c r="A2019" s="661"/>
      <c r="B2019" s="100" t="s">
        <v>12</v>
      </c>
      <c r="C2019" s="73"/>
      <c r="D2019" s="73"/>
      <c r="E2019" s="73"/>
      <c r="F2019" s="73"/>
      <c r="G2019" s="74" t="s">
        <v>3</v>
      </c>
      <c r="H2019" s="153">
        <f>0.3*H2018</f>
        <v>7.4250000000000002E-3</v>
      </c>
      <c r="I2019" s="72"/>
      <c r="K2019" s="658"/>
    </row>
    <row r="2020" spans="1:11" customFormat="1" x14ac:dyDescent="0.25">
      <c r="A2020" s="661"/>
      <c r="B2020" s="73" t="s">
        <v>72</v>
      </c>
      <c r="C2020" s="73"/>
      <c r="D2020" s="73"/>
      <c r="E2020" s="73"/>
      <c r="F2020" s="73"/>
      <c r="G2020" s="74" t="s">
        <v>3</v>
      </c>
      <c r="H2020" s="153">
        <f>0.55*0.06*2*0.15*2*1.25</f>
        <v>2.4750000000000001E-2</v>
      </c>
      <c r="I2020" s="72"/>
      <c r="K2020" s="658"/>
    </row>
    <row r="2021" spans="1:11" customFormat="1" x14ac:dyDescent="0.25">
      <c r="A2021" s="661"/>
      <c r="B2021" s="73" t="s">
        <v>11</v>
      </c>
      <c r="C2021" s="73"/>
      <c r="D2021" s="73"/>
      <c r="E2021" s="73"/>
      <c r="F2021" s="73"/>
      <c r="G2021" s="74" t="s">
        <v>3</v>
      </c>
      <c r="H2021" s="153">
        <f>0.3*H2020</f>
        <v>7.4250000000000002E-3</v>
      </c>
      <c r="I2021" s="72"/>
      <c r="K2021" s="658"/>
    </row>
    <row r="2022" spans="1:11" customFormat="1" x14ac:dyDescent="0.25">
      <c r="A2022" s="661"/>
      <c r="B2022" s="73" t="s">
        <v>13</v>
      </c>
      <c r="C2022" s="73"/>
      <c r="D2022" s="73"/>
      <c r="E2022" s="73"/>
      <c r="F2022" s="73"/>
      <c r="G2022" s="74" t="s">
        <v>3</v>
      </c>
      <c r="H2022" s="153">
        <v>0.02</v>
      </c>
      <c r="I2022" s="72"/>
      <c r="K2022" s="658"/>
    </row>
    <row r="2023" spans="1:11" customFormat="1" x14ac:dyDescent="0.25">
      <c r="A2023" s="661"/>
      <c r="B2023" s="100"/>
      <c r="C2023" s="75" t="s">
        <v>8602</v>
      </c>
      <c r="D2023" s="73"/>
      <c r="E2023" s="73"/>
      <c r="F2023" s="73"/>
      <c r="G2023" s="74"/>
      <c r="H2023" s="153"/>
      <c r="I2023" s="72"/>
      <c r="K2023" s="658"/>
    </row>
    <row r="2024" spans="1:11" customFormat="1" x14ac:dyDescent="0.25">
      <c r="A2024" s="661"/>
      <c r="B2024" s="100"/>
      <c r="C2024" s="73" t="s">
        <v>1708</v>
      </c>
      <c r="D2024" s="73"/>
      <c r="E2024" s="73"/>
      <c r="F2024" s="73"/>
      <c r="G2024" s="74" t="s">
        <v>3</v>
      </c>
      <c r="H2024" s="153">
        <f>0.68*0.04*2*8*1.15</f>
        <v>0.50048000000000004</v>
      </c>
      <c r="I2024" s="72"/>
      <c r="K2024" s="658"/>
    </row>
    <row r="2025" spans="1:11" customFormat="1" x14ac:dyDescent="0.25">
      <c r="A2025" s="661"/>
      <c r="B2025" s="100"/>
      <c r="C2025" s="73"/>
      <c r="D2025" s="73"/>
      <c r="E2025" s="73"/>
      <c r="F2025" s="73"/>
      <c r="G2025" s="74"/>
      <c r="H2025" s="153"/>
      <c r="I2025" s="72"/>
      <c r="K2025" s="658"/>
    </row>
    <row r="2026" spans="1:11" customFormat="1" x14ac:dyDescent="0.25">
      <c r="A2026" s="678"/>
      <c r="B2026" s="75" t="s">
        <v>8601</v>
      </c>
      <c r="C2026" s="73"/>
      <c r="D2026" s="73"/>
      <c r="E2026" s="73"/>
      <c r="F2026" s="73"/>
      <c r="G2026" s="74"/>
      <c r="H2026" s="153"/>
      <c r="I2026" s="72"/>
      <c r="K2026" s="658"/>
    </row>
    <row r="2027" spans="1:11" customFormat="1" x14ac:dyDescent="0.25">
      <c r="A2027" s="661"/>
      <c r="B2027" s="73" t="s">
        <v>140</v>
      </c>
      <c r="C2027" s="73"/>
      <c r="D2027" s="73"/>
      <c r="E2027" s="73"/>
      <c r="F2027" s="73"/>
      <c r="G2027" s="74" t="s">
        <v>3</v>
      </c>
      <c r="H2027" s="153">
        <f>0.008*3.14*2*0.08*1.2</f>
        <v>4.8230399999999998E-3</v>
      </c>
      <c r="I2027" s="72"/>
      <c r="K2027" s="658"/>
    </row>
    <row r="2028" spans="1:11" customFormat="1" ht="17.25" x14ac:dyDescent="0.25">
      <c r="A2028" s="661"/>
      <c r="B2028" s="73" t="s">
        <v>23</v>
      </c>
      <c r="C2028" s="73"/>
      <c r="D2028" s="73"/>
      <c r="E2028" s="73"/>
      <c r="F2028" s="73"/>
      <c r="G2028" s="74" t="s">
        <v>596</v>
      </c>
      <c r="H2028" s="153">
        <f>H2027*2</f>
        <v>9.6460799999999996E-3</v>
      </c>
      <c r="I2028" s="72"/>
      <c r="K2028" s="658"/>
    </row>
    <row r="2029" spans="1:11" customFormat="1" x14ac:dyDescent="0.25">
      <c r="A2029" s="661"/>
      <c r="B2029" s="73" t="s">
        <v>142</v>
      </c>
      <c r="C2029" s="73"/>
      <c r="D2029" s="73"/>
      <c r="E2029" s="73"/>
      <c r="F2029" s="73"/>
      <c r="G2029" s="74" t="s">
        <v>3</v>
      </c>
      <c r="H2029" s="153">
        <f>H2027/4</f>
        <v>1.2057599999999999E-3</v>
      </c>
      <c r="I2029" s="72"/>
      <c r="K2029" s="658"/>
    </row>
    <row r="2030" spans="1:11" customFormat="1" x14ac:dyDescent="0.25">
      <c r="A2030" s="661"/>
      <c r="B2030" s="73" t="s">
        <v>143</v>
      </c>
      <c r="C2030" s="73"/>
      <c r="D2030" s="73"/>
      <c r="E2030" s="73"/>
      <c r="F2030" s="73"/>
      <c r="G2030" s="74" t="s">
        <v>3</v>
      </c>
      <c r="H2030" s="153">
        <f>H2031</f>
        <v>1.3926131999999999E-2</v>
      </c>
      <c r="I2030" s="72"/>
      <c r="K2030" s="658"/>
    </row>
    <row r="2031" spans="1:11" customFormat="1" x14ac:dyDescent="0.25">
      <c r="A2031" s="661"/>
      <c r="B2031" s="100" t="s">
        <v>8</v>
      </c>
      <c r="C2031" s="73"/>
      <c r="D2031" s="73"/>
      <c r="E2031" s="73"/>
      <c r="F2031" s="73"/>
      <c r="G2031" s="74" t="s">
        <v>3</v>
      </c>
      <c r="H2031" s="153">
        <f>H2032*0.99</f>
        <v>1.3926131999999999E-2</v>
      </c>
      <c r="I2031" s="72"/>
      <c r="K2031" s="658"/>
    </row>
    <row r="2032" spans="1:11" customFormat="1" x14ac:dyDescent="0.25">
      <c r="A2032" s="661"/>
      <c r="B2032" s="73" t="s">
        <v>1783</v>
      </c>
      <c r="C2032" s="73"/>
      <c r="D2032" s="73"/>
      <c r="E2032" s="73"/>
      <c r="F2032" s="73"/>
      <c r="G2032" s="74" t="s">
        <v>3</v>
      </c>
      <c r="H2032" s="153">
        <f>0.46*0.011*2*1.39</f>
        <v>1.4066799999999999E-2</v>
      </c>
      <c r="I2032" s="72"/>
      <c r="K2032" s="658"/>
    </row>
    <row r="2033" spans="1:11" customFormat="1" x14ac:dyDescent="0.25">
      <c r="A2033" s="661"/>
      <c r="B2033" s="100" t="s">
        <v>12</v>
      </c>
      <c r="C2033" s="73"/>
      <c r="D2033" s="73"/>
      <c r="E2033" s="73"/>
      <c r="F2033" s="73"/>
      <c r="G2033" s="74" t="s">
        <v>3</v>
      </c>
      <c r="H2033" s="153">
        <f>0.3*(H2031+H2030+H2032)</f>
        <v>1.25757192E-2</v>
      </c>
      <c r="I2033" s="72"/>
      <c r="K2033" s="658"/>
    </row>
    <row r="2034" spans="1:11" customFormat="1" x14ac:dyDescent="0.25">
      <c r="A2034" s="661"/>
      <c r="B2034" s="73"/>
      <c r="C2034" s="75" t="s">
        <v>8600</v>
      </c>
      <c r="D2034" s="73"/>
      <c r="E2034" s="73"/>
      <c r="F2034" s="73"/>
      <c r="G2034" s="74"/>
      <c r="H2034" s="153"/>
      <c r="I2034" s="72"/>
      <c r="K2034" s="658"/>
    </row>
    <row r="2035" spans="1:11" customFormat="1" x14ac:dyDescent="0.25">
      <c r="A2035" s="661"/>
      <c r="B2035" s="73"/>
      <c r="C2035" s="73" t="s">
        <v>1245</v>
      </c>
      <c r="D2035" s="73"/>
      <c r="E2035" s="73"/>
      <c r="F2035" s="73"/>
      <c r="G2035" s="74" t="s">
        <v>3</v>
      </c>
      <c r="H2035" s="153">
        <v>0.12</v>
      </c>
      <c r="I2035" s="72"/>
      <c r="J2035" t="s">
        <v>8599</v>
      </c>
      <c r="K2035" s="658"/>
    </row>
    <row r="2036" spans="1:11" customFormat="1" x14ac:dyDescent="0.25">
      <c r="A2036" s="661"/>
      <c r="B2036" s="73"/>
      <c r="C2036" s="73"/>
      <c r="D2036" s="73"/>
      <c r="E2036" s="73"/>
      <c r="F2036" s="73"/>
      <c r="G2036" s="74"/>
      <c r="H2036" s="153"/>
      <c r="I2036" s="72"/>
      <c r="K2036" s="658"/>
    </row>
    <row r="2037" spans="1:11" customFormat="1" x14ac:dyDescent="0.25">
      <c r="A2037" s="678"/>
      <c r="B2037" s="75" t="s">
        <v>8598</v>
      </c>
      <c r="C2037" s="73"/>
      <c r="D2037" s="73"/>
      <c r="E2037" s="73"/>
      <c r="F2037" s="73"/>
      <c r="G2037" s="74"/>
      <c r="H2037" s="153"/>
      <c r="I2037" s="72"/>
      <c r="K2037" s="658"/>
    </row>
    <row r="2038" spans="1:11" customFormat="1" x14ac:dyDescent="0.25">
      <c r="A2038" s="661"/>
      <c r="B2038" s="77" t="s">
        <v>1054</v>
      </c>
      <c r="C2038" s="73"/>
      <c r="D2038" s="73"/>
      <c r="E2038" s="73"/>
      <c r="F2038" s="73"/>
      <c r="G2038" s="74" t="s">
        <v>3</v>
      </c>
      <c r="H2038" s="153">
        <f>0.08*0.07*1.2</f>
        <v>6.7200000000000011E-3</v>
      </c>
      <c r="I2038" s="72"/>
      <c r="K2038" s="658"/>
    </row>
    <row r="2039" spans="1:11" customFormat="1" ht="17.25" x14ac:dyDescent="0.25">
      <c r="A2039" s="661"/>
      <c r="B2039" s="77" t="s">
        <v>1055</v>
      </c>
      <c r="C2039" s="73"/>
      <c r="D2039" s="73"/>
      <c r="E2039" s="73"/>
      <c r="F2039" s="73"/>
      <c r="G2039" s="74" t="s">
        <v>596</v>
      </c>
      <c r="H2039" s="153">
        <f>H2038</f>
        <v>6.7200000000000011E-3</v>
      </c>
      <c r="I2039" s="72"/>
      <c r="K2039" s="658"/>
    </row>
    <row r="2040" spans="1:11" customFormat="1" x14ac:dyDescent="0.25">
      <c r="A2040" s="661"/>
      <c r="B2040" s="100" t="s">
        <v>8</v>
      </c>
      <c r="C2040" s="73"/>
      <c r="D2040" s="73"/>
      <c r="E2040" s="73"/>
      <c r="F2040" s="73"/>
      <c r="G2040" s="74" t="s">
        <v>3</v>
      </c>
      <c r="H2040" s="153">
        <f>H2042*0.859</f>
        <v>2.9547882000000004E-2</v>
      </c>
      <c r="I2040" s="72"/>
      <c r="K2040" s="658"/>
    </row>
    <row r="2041" spans="1:11" customFormat="1" x14ac:dyDescent="0.25">
      <c r="A2041" s="661"/>
      <c r="B2041" s="100" t="s">
        <v>12</v>
      </c>
      <c r="C2041" s="73"/>
      <c r="D2041" s="73"/>
      <c r="E2041" s="73"/>
      <c r="F2041" s="73"/>
      <c r="G2041" s="74" t="s">
        <v>3</v>
      </c>
      <c r="H2041" s="153">
        <f>0.3*H2040</f>
        <v>8.8643646000000006E-3</v>
      </c>
      <c r="I2041" s="72"/>
      <c r="K2041" s="658"/>
    </row>
    <row r="2042" spans="1:11" customFormat="1" x14ac:dyDescent="0.25">
      <c r="A2042" s="661"/>
      <c r="B2042" s="73" t="s">
        <v>72</v>
      </c>
      <c r="C2042" s="73"/>
      <c r="D2042" s="73"/>
      <c r="E2042" s="73"/>
      <c r="F2042" s="73"/>
      <c r="G2042" s="74" t="s">
        <v>3</v>
      </c>
      <c r="H2042" s="153">
        <f>0.735*0.06*2*0.15*2*1.3</f>
        <v>3.4398000000000005E-2</v>
      </c>
      <c r="I2042" s="72"/>
      <c r="K2042" s="658"/>
    </row>
    <row r="2043" spans="1:11" customFormat="1" x14ac:dyDescent="0.25">
      <c r="A2043" s="661"/>
      <c r="B2043" s="73" t="s">
        <v>11</v>
      </c>
      <c r="C2043" s="73"/>
      <c r="D2043" s="73"/>
      <c r="E2043" s="73"/>
      <c r="F2043" s="73"/>
      <c r="G2043" s="74" t="s">
        <v>3</v>
      </c>
      <c r="H2043" s="153">
        <f>0.3*H2042</f>
        <v>1.0319400000000001E-2</v>
      </c>
      <c r="I2043" s="72"/>
      <c r="K2043" s="658"/>
    </row>
    <row r="2044" spans="1:11" customFormat="1" x14ac:dyDescent="0.25">
      <c r="A2044" s="661"/>
      <c r="B2044" s="73" t="s">
        <v>13</v>
      </c>
      <c r="C2044" s="73"/>
      <c r="D2044" s="73"/>
      <c r="E2044" s="73"/>
      <c r="F2044" s="73"/>
      <c r="G2044" s="74" t="s">
        <v>3</v>
      </c>
      <c r="H2044" s="153">
        <v>0.02</v>
      </c>
      <c r="I2044" s="72"/>
      <c r="K2044" s="658"/>
    </row>
    <row r="2045" spans="1:11" customFormat="1" x14ac:dyDescent="0.25">
      <c r="A2045" s="661"/>
      <c r="B2045" s="100"/>
      <c r="C2045" s="75" t="s">
        <v>8597</v>
      </c>
      <c r="D2045" s="73"/>
      <c r="E2045" s="73"/>
      <c r="F2045" s="73"/>
      <c r="G2045" s="74"/>
      <c r="H2045" s="153"/>
      <c r="I2045" s="72"/>
      <c r="K2045" s="658"/>
    </row>
    <row r="2046" spans="1:11" customFormat="1" x14ac:dyDescent="0.25">
      <c r="A2046" s="661"/>
      <c r="B2046" s="100"/>
      <c r="C2046" s="73" t="s">
        <v>1650</v>
      </c>
      <c r="D2046" s="73"/>
      <c r="E2046" s="73"/>
      <c r="F2046" s="73"/>
      <c r="G2046" s="74" t="s">
        <v>3</v>
      </c>
      <c r="H2046" s="153">
        <f>0.825*0.04*1.5*8*1.124</f>
        <v>0.44510400000000006</v>
      </c>
      <c r="I2046" s="72"/>
      <c r="K2046" s="658"/>
    </row>
    <row r="2047" spans="1:11" customFormat="1" x14ac:dyDescent="0.25">
      <c r="A2047" s="661"/>
      <c r="B2047" s="73"/>
      <c r="C2047" s="73"/>
      <c r="D2047" s="73"/>
      <c r="E2047" s="73"/>
      <c r="F2047" s="73"/>
      <c r="G2047" s="74"/>
      <c r="H2047" s="153"/>
      <c r="I2047" s="72"/>
      <c r="K2047" s="658"/>
    </row>
    <row r="2048" spans="1:11" customFormat="1" x14ac:dyDescent="0.25">
      <c r="A2048" s="678"/>
      <c r="B2048" s="75" t="s">
        <v>8596</v>
      </c>
      <c r="C2048" s="73"/>
      <c r="D2048" s="73"/>
      <c r="E2048" s="73"/>
      <c r="F2048" s="73"/>
      <c r="G2048" s="74"/>
      <c r="H2048" s="153"/>
      <c r="I2048" s="72"/>
      <c r="K2048" s="658"/>
    </row>
    <row r="2049" spans="1:11" customFormat="1" x14ac:dyDescent="0.25">
      <c r="A2049" s="661"/>
      <c r="B2049" s="73" t="s">
        <v>140</v>
      </c>
      <c r="C2049" s="73"/>
      <c r="D2049" s="73"/>
      <c r="E2049" s="73"/>
      <c r="F2049" s="73"/>
      <c r="G2049" s="74" t="s">
        <v>3</v>
      </c>
      <c r="H2049" s="153">
        <f>0.012*3.14*2*0.08*1.2</f>
        <v>7.234560000000001E-3</v>
      </c>
      <c r="I2049" s="72"/>
      <c r="K2049" s="658"/>
    </row>
    <row r="2050" spans="1:11" customFormat="1" ht="17.25" x14ac:dyDescent="0.25">
      <c r="A2050" s="661"/>
      <c r="B2050" s="73" t="s">
        <v>23</v>
      </c>
      <c r="C2050" s="73"/>
      <c r="D2050" s="73"/>
      <c r="E2050" s="73"/>
      <c r="F2050" s="73"/>
      <c r="G2050" s="74" t="s">
        <v>596</v>
      </c>
      <c r="H2050" s="153">
        <f>H2049*2</f>
        <v>1.4469120000000002E-2</v>
      </c>
      <c r="I2050" s="72"/>
      <c r="K2050" s="658"/>
    </row>
    <row r="2051" spans="1:11" customFormat="1" x14ac:dyDescent="0.25">
      <c r="A2051" s="661"/>
      <c r="B2051" s="73" t="s">
        <v>142</v>
      </c>
      <c r="C2051" s="73"/>
      <c r="D2051" s="73"/>
      <c r="E2051" s="73"/>
      <c r="F2051" s="73"/>
      <c r="G2051" s="74" t="s">
        <v>3</v>
      </c>
      <c r="H2051" s="153">
        <f>H2049/4</f>
        <v>1.8086400000000002E-3</v>
      </c>
      <c r="I2051" s="72"/>
      <c r="K2051" s="658"/>
    </row>
    <row r="2052" spans="1:11" customFormat="1" x14ac:dyDescent="0.25">
      <c r="A2052" s="661"/>
      <c r="B2052" s="73" t="s">
        <v>143</v>
      </c>
      <c r="C2052" s="73"/>
      <c r="D2052" s="73"/>
      <c r="E2052" s="73"/>
      <c r="F2052" s="73"/>
      <c r="G2052" s="74" t="s">
        <v>3</v>
      </c>
      <c r="H2052" s="153">
        <f>H2053</f>
        <v>4.9658399999999998E-2</v>
      </c>
      <c r="I2052" s="72"/>
      <c r="K2052" s="658"/>
    </row>
    <row r="2053" spans="1:11" customFormat="1" x14ac:dyDescent="0.25">
      <c r="A2053" s="661"/>
      <c r="B2053" s="100" t="s">
        <v>8</v>
      </c>
      <c r="C2053" s="73"/>
      <c r="D2053" s="73"/>
      <c r="E2053" s="73"/>
      <c r="F2053" s="73"/>
      <c r="G2053" s="74" t="s">
        <v>3</v>
      </c>
      <c r="H2053" s="153">
        <f>H2054*0.99</f>
        <v>4.9658399999999998E-2</v>
      </c>
      <c r="I2053" s="72"/>
      <c r="K2053" s="658"/>
    </row>
    <row r="2054" spans="1:11" customFormat="1" x14ac:dyDescent="0.25">
      <c r="A2054" s="661"/>
      <c r="B2054" s="73" t="s">
        <v>1783</v>
      </c>
      <c r="C2054" s="73"/>
      <c r="D2054" s="73"/>
      <c r="E2054" s="73"/>
      <c r="F2054" s="73"/>
      <c r="G2054" s="74" t="s">
        <v>3</v>
      </c>
      <c r="H2054" s="153">
        <f>1.9*0.011*2*1.2</f>
        <v>5.0159999999999996E-2</v>
      </c>
      <c r="I2054" s="72"/>
      <c r="K2054" s="658"/>
    </row>
    <row r="2055" spans="1:11" customFormat="1" x14ac:dyDescent="0.25">
      <c r="A2055" s="661"/>
      <c r="B2055" s="100" t="s">
        <v>12</v>
      </c>
      <c r="C2055" s="73"/>
      <c r="D2055" s="73"/>
      <c r="E2055" s="73"/>
      <c r="F2055" s="73"/>
      <c r="G2055" s="74" t="s">
        <v>3</v>
      </c>
      <c r="H2055" s="153">
        <f>0.3*(H2053+H2052+H2054)</f>
        <v>4.4843039999999994E-2</v>
      </c>
      <c r="I2055" s="72"/>
      <c r="K2055" s="658"/>
    </row>
    <row r="2056" spans="1:11" customFormat="1" x14ac:dyDescent="0.25">
      <c r="A2056" s="661"/>
      <c r="B2056" s="73"/>
      <c r="C2056" s="75" t="s">
        <v>8595</v>
      </c>
      <c r="D2056" s="73"/>
      <c r="E2056" s="73"/>
      <c r="F2056" s="73"/>
      <c r="G2056" s="74"/>
      <c r="H2056" s="153"/>
      <c r="I2056" s="72"/>
      <c r="K2056" s="658"/>
    </row>
    <row r="2057" spans="1:11" customFormat="1" x14ac:dyDescent="0.25">
      <c r="A2057" s="661"/>
      <c r="B2057" s="73"/>
      <c r="C2057" s="73" t="s">
        <v>4798</v>
      </c>
      <c r="D2057" s="73"/>
      <c r="E2057" s="73"/>
      <c r="F2057" s="73"/>
      <c r="G2057" s="74" t="s">
        <v>3</v>
      </c>
      <c r="H2057" s="153">
        <v>0.56999999999999995</v>
      </c>
      <c r="I2057" s="72"/>
      <c r="J2057" t="s">
        <v>5725</v>
      </c>
      <c r="K2057" s="658"/>
    </row>
    <row r="2058" spans="1:11" customFormat="1" x14ac:dyDescent="0.25">
      <c r="A2058" s="661"/>
      <c r="B2058" s="73"/>
      <c r="C2058" s="73"/>
      <c r="D2058" s="73"/>
      <c r="E2058" s="73"/>
      <c r="F2058" s="73"/>
      <c r="G2058" s="74"/>
      <c r="H2058" s="153"/>
      <c r="I2058" s="72"/>
      <c r="K2058" s="658"/>
    </row>
    <row r="2059" spans="1:11" customFormat="1" x14ac:dyDescent="0.25">
      <c r="A2059" s="661"/>
      <c r="B2059" s="73"/>
      <c r="C2059" s="73"/>
      <c r="D2059" s="73"/>
      <c r="E2059" s="73"/>
      <c r="F2059" s="73"/>
      <c r="G2059" s="74"/>
      <c r="H2059" s="153"/>
      <c r="I2059" s="72"/>
      <c r="K2059" s="658"/>
    </row>
    <row r="2060" spans="1:11" customFormat="1" x14ac:dyDescent="0.25">
      <c r="A2060" s="678"/>
      <c r="B2060" s="75" t="s">
        <v>8594</v>
      </c>
      <c r="C2060" s="73"/>
      <c r="D2060" s="73"/>
      <c r="E2060" s="73"/>
      <c r="F2060" s="73"/>
      <c r="G2060" s="74"/>
      <c r="H2060" s="153"/>
      <c r="I2060" s="72"/>
      <c r="K2060" s="658"/>
    </row>
    <row r="2061" spans="1:11" customFormat="1" x14ac:dyDescent="0.25">
      <c r="A2061" s="661"/>
      <c r="B2061" s="73" t="s">
        <v>140</v>
      </c>
      <c r="C2061" s="73"/>
      <c r="D2061" s="73"/>
      <c r="E2061" s="73"/>
      <c r="F2061" s="73"/>
      <c r="G2061" s="74" t="s">
        <v>3</v>
      </c>
      <c r="H2061" s="153">
        <f>0.012*3.14*2*0.08*1.2</f>
        <v>7.234560000000001E-3</v>
      </c>
      <c r="I2061" s="72"/>
      <c r="K2061" s="658"/>
    </row>
    <row r="2062" spans="1:11" customFormat="1" ht="17.25" x14ac:dyDescent="0.25">
      <c r="A2062" s="661"/>
      <c r="B2062" s="73" t="s">
        <v>23</v>
      </c>
      <c r="C2062" s="73"/>
      <c r="D2062" s="73"/>
      <c r="E2062" s="73"/>
      <c r="F2062" s="73"/>
      <c r="G2062" s="74" t="s">
        <v>596</v>
      </c>
      <c r="H2062" s="153">
        <f>H2061*2</f>
        <v>1.4469120000000002E-2</v>
      </c>
      <c r="I2062" s="72"/>
      <c r="K2062" s="658"/>
    </row>
    <row r="2063" spans="1:11" customFormat="1" x14ac:dyDescent="0.25">
      <c r="A2063" s="661"/>
      <c r="B2063" s="73" t="s">
        <v>142</v>
      </c>
      <c r="C2063" s="73"/>
      <c r="D2063" s="73"/>
      <c r="E2063" s="73"/>
      <c r="F2063" s="73"/>
      <c r="G2063" s="74" t="s">
        <v>3</v>
      </c>
      <c r="H2063" s="153">
        <f>H2061/4</f>
        <v>1.8086400000000002E-3</v>
      </c>
      <c r="I2063" s="72"/>
      <c r="K2063" s="658"/>
    </row>
    <row r="2064" spans="1:11" customFormat="1" x14ac:dyDescent="0.25">
      <c r="A2064" s="661"/>
      <c r="B2064" s="73" t="s">
        <v>143</v>
      </c>
      <c r="C2064" s="73"/>
      <c r="D2064" s="73"/>
      <c r="E2064" s="73"/>
      <c r="F2064" s="73"/>
      <c r="G2064" s="74" t="s">
        <v>3</v>
      </c>
      <c r="H2064" s="153">
        <f>H2065</f>
        <v>9.8336699999999992E-3</v>
      </c>
      <c r="I2064" s="72"/>
      <c r="K2064" s="658"/>
    </row>
    <row r="2065" spans="1:11" customFormat="1" x14ac:dyDescent="0.25">
      <c r="A2065" s="661"/>
      <c r="B2065" s="100" t="s">
        <v>8</v>
      </c>
      <c r="C2065" s="73"/>
      <c r="D2065" s="73"/>
      <c r="E2065" s="73"/>
      <c r="F2065" s="73"/>
      <c r="G2065" s="74" t="s">
        <v>3</v>
      </c>
      <c r="H2065" s="153">
        <f>H2066*0.99</f>
        <v>9.8336699999999992E-3</v>
      </c>
      <c r="I2065" s="72"/>
      <c r="K2065" s="658"/>
    </row>
    <row r="2066" spans="1:11" customFormat="1" x14ac:dyDescent="0.25">
      <c r="A2066" s="661"/>
      <c r="B2066" s="73" t="s">
        <v>1783</v>
      </c>
      <c r="C2066" s="73"/>
      <c r="D2066" s="73"/>
      <c r="E2066" s="73"/>
      <c r="F2066" s="73"/>
      <c r="G2066" s="74" t="s">
        <v>3</v>
      </c>
      <c r="H2066" s="153">
        <f>0.35*0.011*2*1.29</f>
        <v>9.9329999999999991E-3</v>
      </c>
      <c r="I2066" s="72"/>
      <c r="K2066" s="658"/>
    </row>
    <row r="2067" spans="1:11" customFormat="1" x14ac:dyDescent="0.25">
      <c r="A2067" s="661"/>
      <c r="B2067" s="100" t="s">
        <v>12</v>
      </c>
      <c r="C2067" s="73"/>
      <c r="D2067" s="73"/>
      <c r="E2067" s="73"/>
      <c r="F2067" s="73"/>
      <c r="G2067" s="74" t="s">
        <v>3</v>
      </c>
      <c r="H2067" s="153">
        <f>0.3*(H2065+H2064+H2066)</f>
        <v>8.8801019999999991E-3</v>
      </c>
      <c r="I2067" s="72"/>
      <c r="K2067" s="658"/>
    </row>
    <row r="2068" spans="1:11" customFormat="1" x14ac:dyDescent="0.25">
      <c r="A2068" s="661"/>
      <c r="B2068" s="73"/>
      <c r="C2068" s="75" t="s">
        <v>8593</v>
      </c>
      <c r="D2068" s="73"/>
      <c r="E2068" s="73"/>
      <c r="F2068" s="73"/>
      <c r="G2068" s="74"/>
      <c r="H2068" s="153"/>
      <c r="I2068" s="72"/>
      <c r="K2068" s="658"/>
    </row>
    <row r="2069" spans="1:11" customFormat="1" x14ac:dyDescent="0.25">
      <c r="A2069" s="661"/>
      <c r="B2069" s="73"/>
      <c r="C2069" s="73" t="s">
        <v>159</v>
      </c>
      <c r="D2069" s="73"/>
      <c r="E2069" s="73"/>
      <c r="F2069" s="73"/>
      <c r="G2069" s="74" t="s">
        <v>3</v>
      </c>
      <c r="H2069" s="153">
        <v>0.11</v>
      </c>
      <c r="I2069" s="72"/>
      <c r="J2069" t="s">
        <v>8592</v>
      </c>
      <c r="K2069" s="658"/>
    </row>
    <row r="2070" spans="1:11" customFormat="1" x14ac:dyDescent="0.25">
      <c r="A2070" s="661"/>
      <c r="B2070" s="73"/>
      <c r="C2070" s="73"/>
      <c r="D2070" s="73"/>
      <c r="E2070" s="73"/>
      <c r="F2070" s="73"/>
      <c r="G2070" s="74"/>
      <c r="H2070" s="153"/>
      <c r="I2070" s="72"/>
      <c r="K2070" s="658"/>
    </row>
    <row r="2071" spans="1:11" customFormat="1" x14ac:dyDescent="0.25">
      <c r="A2071" s="678"/>
      <c r="B2071" s="75" t="s">
        <v>8591</v>
      </c>
      <c r="C2071" s="73"/>
      <c r="D2071" s="73"/>
      <c r="E2071" s="73"/>
      <c r="F2071" s="73"/>
      <c r="G2071" s="74"/>
      <c r="H2071" s="153"/>
      <c r="I2071" s="72"/>
      <c r="K2071" s="658"/>
    </row>
    <row r="2072" spans="1:11" customFormat="1" x14ac:dyDescent="0.25">
      <c r="A2072" s="661"/>
      <c r="B2072" s="73" t="s">
        <v>140</v>
      </c>
      <c r="C2072" s="73"/>
      <c r="D2072" s="73"/>
      <c r="E2072" s="73"/>
      <c r="F2072" s="73"/>
      <c r="G2072" s="74" t="s">
        <v>3</v>
      </c>
      <c r="H2072" s="153">
        <f>0.008*3.14*4*0.07*1.2</f>
        <v>8.4403200000000012E-3</v>
      </c>
      <c r="I2072" s="72"/>
      <c r="K2072" s="658"/>
    </row>
    <row r="2073" spans="1:11" customFormat="1" ht="17.25" x14ac:dyDescent="0.25">
      <c r="A2073" s="661"/>
      <c r="B2073" s="73" t="s">
        <v>23</v>
      </c>
      <c r="C2073" s="73"/>
      <c r="D2073" s="73"/>
      <c r="E2073" s="73"/>
      <c r="F2073" s="73"/>
      <c r="G2073" s="74" t="s">
        <v>596</v>
      </c>
      <c r="H2073" s="153">
        <f>H2072*2</f>
        <v>1.6880640000000002E-2</v>
      </c>
      <c r="I2073" s="72"/>
      <c r="K2073" s="658"/>
    </row>
    <row r="2074" spans="1:11" customFormat="1" x14ac:dyDescent="0.25">
      <c r="A2074" s="661"/>
      <c r="B2074" s="73" t="s">
        <v>142</v>
      </c>
      <c r="C2074" s="73"/>
      <c r="D2074" s="73"/>
      <c r="E2074" s="73"/>
      <c r="F2074" s="73"/>
      <c r="G2074" s="74" t="s">
        <v>3</v>
      </c>
      <c r="H2074" s="153">
        <f>H2072/4</f>
        <v>2.1100800000000003E-3</v>
      </c>
      <c r="I2074" s="72"/>
      <c r="K2074" s="658"/>
    </row>
    <row r="2075" spans="1:11" customFormat="1" x14ac:dyDescent="0.25">
      <c r="A2075" s="661"/>
      <c r="B2075" s="100" t="s">
        <v>8</v>
      </c>
      <c r="C2075" s="73"/>
      <c r="D2075" s="73"/>
      <c r="E2075" s="73"/>
      <c r="F2075" s="73"/>
      <c r="G2075" s="74" t="s">
        <v>3</v>
      </c>
      <c r="H2075" s="153">
        <f>H2076</f>
        <v>8.4479999999999989E-3</v>
      </c>
      <c r="I2075" s="72"/>
      <c r="K2075" s="658"/>
    </row>
    <row r="2076" spans="1:11" customFormat="1" x14ac:dyDescent="0.25">
      <c r="A2076" s="661"/>
      <c r="B2076" s="100" t="s">
        <v>5794</v>
      </c>
      <c r="C2076" s="73"/>
      <c r="D2076" s="73"/>
      <c r="E2076" s="73"/>
      <c r="F2076" s="73"/>
      <c r="G2076" s="74" t="s">
        <v>3</v>
      </c>
      <c r="H2076" s="153">
        <f>0.32*0.011*2*1.2</f>
        <v>8.4479999999999989E-3</v>
      </c>
      <c r="I2076" s="72"/>
      <c r="K2076" s="658"/>
    </row>
    <row r="2077" spans="1:11" customFormat="1" x14ac:dyDescent="0.25">
      <c r="A2077" s="661"/>
      <c r="B2077" s="100" t="s">
        <v>143</v>
      </c>
      <c r="C2077" s="73"/>
      <c r="D2077" s="73"/>
      <c r="E2077" s="73"/>
      <c r="F2077" s="73"/>
      <c r="G2077" s="74" t="s">
        <v>3</v>
      </c>
      <c r="H2077" s="153">
        <f>H2076</f>
        <v>8.4479999999999989E-3</v>
      </c>
      <c r="I2077" s="72"/>
      <c r="K2077" s="658"/>
    </row>
    <row r="2078" spans="1:11" customFormat="1" x14ac:dyDescent="0.25">
      <c r="A2078" s="661"/>
      <c r="B2078" s="100" t="s">
        <v>12</v>
      </c>
      <c r="C2078" s="73"/>
      <c r="D2078" s="73"/>
      <c r="E2078" s="73"/>
      <c r="F2078" s="73"/>
      <c r="G2078" s="74" t="s">
        <v>3</v>
      </c>
      <c r="H2078" s="153">
        <f>0.3*(H2077+H2076+H2075)</f>
        <v>7.6031999999999992E-3</v>
      </c>
      <c r="I2078" s="72"/>
      <c r="K2078" s="658"/>
    </row>
    <row r="2079" spans="1:11" customFormat="1" x14ac:dyDescent="0.25">
      <c r="A2079" s="661"/>
      <c r="B2079" s="75"/>
      <c r="C2079" s="75" t="s">
        <v>8590</v>
      </c>
      <c r="D2079" s="73"/>
      <c r="E2079" s="73"/>
      <c r="F2079" s="73"/>
      <c r="G2079" s="74"/>
      <c r="H2079" s="153"/>
      <c r="I2079" s="72"/>
      <c r="K2079" s="658"/>
    </row>
    <row r="2080" spans="1:11" customFormat="1" x14ac:dyDescent="0.25">
      <c r="A2080" s="661"/>
      <c r="B2080" s="75"/>
      <c r="C2080" s="73" t="s">
        <v>8584</v>
      </c>
      <c r="D2080" s="73"/>
      <c r="E2080" s="73"/>
      <c r="F2080" s="73"/>
      <c r="G2080" s="74" t="s">
        <v>3</v>
      </c>
      <c r="H2080" s="153">
        <v>0.03</v>
      </c>
      <c r="I2080" s="72"/>
      <c r="J2080" t="s">
        <v>8589</v>
      </c>
      <c r="K2080" s="658"/>
    </row>
    <row r="2081" spans="1:11" customFormat="1" x14ac:dyDescent="0.25">
      <c r="A2081" s="661"/>
      <c r="B2081" s="75"/>
      <c r="C2081" s="75" t="s">
        <v>8588</v>
      </c>
      <c r="D2081" s="73"/>
      <c r="E2081" s="73"/>
      <c r="F2081" s="73"/>
      <c r="G2081" s="74"/>
      <c r="H2081" s="153"/>
      <c r="I2081" s="72"/>
      <c r="K2081" s="658"/>
    </row>
    <row r="2082" spans="1:11" customFormat="1" x14ac:dyDescent="0.25">
      <c r="A2082" s="661"/>
      <c r="B2082" s="75"/>
      <c r="C2082" s="73" t="s">
        <v>8584</v>
      </c>
      <c r="D2082" s="73"/>
      <c r="E2082" s="73"/>
      <c r="F2082" s="73"/>
      <c r="G2082" s="74" t="s">
        <v>3</v>
      </c>
      <c r="H2082" s="153">
        <v>0.05</v>
      </c>
      <c r="I2082" s="72"/>
      <c r="J2082" t="s">
        <v>2005</v>
      </c>
      <c r="K2082" s="658"/>
    </row>
    <row r="2083" spans="1:11" customFormat="1" x14ac:dyDescent="0.25">
      <c r="A2083" s="661"/>
      <c r="B2083" s="75"/>
      <c r="C2083" s="73"/>
      <c r="D2083" s="73"/>
      <c r="E2083" s="73"/>
      <c r="F2083" s="73"/>
      <c r="G2083" s="74"/>
      <c r="H2083" s="153"/>
      <c r="I2083" s="72"/>
      <c r="K2083" s="658"/>
    </row>
    <row r="2084" spans="1:11" customFormat="1" x14ac:dyDescent="0.25">
      <c r="A2084" s="678"/>
      <c r="B2084" s="75" t="s">
        <v>8587</v>
      </c>
      <c r="C2084" s="73"/>
      <c r="D2084" s="73"/>
      <c r="E2084" s="73"/>
      <c r="F2084" s="73"/>
      <c r="G2084" s="74"/>
      <c r="H2084" s="153"/>
      <c r="I2084" s="72"/>
      <c r="K2084" s="658"/>
    </row>
    <row r="2085" spans="1:11" customFormat="1" x14ac:dyDescent="0.25">
      <c r="A2085" s="661"/>
      <c r="B2085" s="73" t="s">
        <v>140</v>
      </c>
      <c r="C2085" s="73"/>
      <c r="D2085" s="73"/>
      <c r="E2085" s="73"/>
      <c r="F2085" s="73"/>
      <c r="G2085" s="74" t="s">
        <v>3</v>
      </c>
      <c r="H2085" s="153">
        <f>0.008*3.14*4*0.07*1.2</f>
        <v>8.4403200000000012E-3</v>
      </c>
      <c r="I2085" s="72"/>
      <c r="K2085" s="658"/>
    </row>
    <row r="2086" spans="1:11" customFormat="1" ht="17.25" x14ac:dyDescent="0.25">
      <c r="A2086" s="661"/>
      <c r="B2086" s="73" t="s">
        <v>23</v>
      </c>
      <c r="C2086" s="73"/>
      <c r="D2086" s="73"/>
      <c r="E2086" s="73"/>
      <c r="F2086" s="73"/>
      <c r="G2086" s="74" t="s">
        <v>596</v>
      </c>
      <c r="H2086" s="153">
        <f>H2085*2</f>
        <v>1.6880640000000002E-2</v>
      </c>
      <c r="I2086" s="72"/>
      <c r="K2086" s="658"/>
    </row>
    <row r="2087" spans="1:11" customFormat="1" x14ac:dyDescent="0.25">
      <c r="A2087" s="661"/>
      <c r="B2087" s="73" t="s">
        <v>142</v>
      </c>
      <c r="C2087" s="73"/>
      <c r="D2087" s="73"/>
      <c r="E2087" s="73"/>
      <c r="F2087" s="73"/>
      <c r="G2087" s="74" t="s">
        <v>3</v>
      </c>
      <c r="H2087" s="153">
        <f>H2085/4</f>
        <v>2.1100800000000003E-3</v>
      </c>
      <c r="I2087" s="72"/>
      <c r="K2087" s="658"/>
    </row>
    <row r="2088" spans="1:11" customFormat="1" x14ac:dyDescent="0.25">
      <c r="A2088" s="661"/>
      <c r="B2088" s="100" t="s">
        <v>8</v>
      </c>
      <c r="C2088" s="73"/>
      <c r="D2088" s="73"/>
      <c r="E2088" s="73"/>
      <c r="F2088" s="73"/>
      <c r="G2088" s="74" t="s">
        <v>3</v>
      </c>
      <c r="H2088" s="153">
        <f>H2089*0.9</f>
        <v>2.0195999999999999E-2</v>
      </c>
      <c r="I2088" s="72"/>
      <c r="K2088" s="658"/>
    </row>
    <row r="2089" spans="1:11" customFormat="1" x14ac:dyDescent="0.25">
      <c r="A2089" s="661"/>
      <c r="B2089" s="100" t="s">
        <v>5794</v>
      </c>
      <c r="C2089" s="73"/>
      <c r="D2089" s="73"/>
      <c r="E2089" s="73"/>
      <c r="F2089" s="73"/>
      <c r="G2089" s="74" t="s">
        <v>3</v>
      </c>
      <c r="H2089" s="153">
        <f>0.85*0.011*2*1.2</f>
        <v>2.2439999999999998E-2</v>
      </c>
      <c r="I2089" s="72"/>
      <c r="K2089" s="658"/>
    </row>
    <row r="2090" spans="1:11" customFormat="1" x14ac:dyDescent="0.25">
      <c r="A2090" s="661"/>
      <c r="B2090" s="100" t="s">
        <v>143</v>
      </c>
      <c r="C2090" s="73"/>
      <c r="D2090" s="73"/>
      <c r="E2090" s="73"/>
      <c r="F2090" s="73"/>
      <c r="G2090" s="74" t="s">
        <v>3</v>
      </c>
      <c r="H2090" s="153">
        <f>H2088</f>
        <v>2.0195999999999999E-2</v>
      </c>
      <c r="I2090" s="72"/>
      <c r="K2090" s="658"/>
    </row>
    <row r="2091" spans="1:11" customFormat="1" x14ac:dyDescent="0.25">
      <c r="A2091" s="661"/>
      <c r="B2091" s="100" t="s">
        <v>12</v>
      </c>
      <c r="C2091" s="73"/>
      <c r="D2091" s="73"/>
      <c r="E2091" s="73"/>
      <c r="F2091" s="73"/>
      <c r="G2091" s="74" t="s">
        <v>3</v>
      </c>
      <c r="H2091" s="153">
        <f>0.3*(H2090+H2089+H2088)</f>
        <v>1.8849599999999998E-2</v>
      </c>
      <c r="I2091" s="72"/>
      <c r="K2091" s="658"/>
    </row>
    <row r="2092" spans="1:11" customFormat="1" x14ac:dyDescent="0.25">
      <c r="A2092" s="661"/>
      <c r="B2092" s="75"/>
      <c r="C2092" s="75" t="s">
        <v>8586</v>
      </c>
      <c r="D2092" s="73"/>
      <c r="E2092" s="73"/>
      <c r="F2092" s="73"/>
      <c r="G2092" s="74"/>
      <c r="H2092" s="153"/>
      <c r="I2092" s="72"/>
      <c r="K2092" s="658"/>
    </row>
    <row r="2093" spans="1:11" customFormat="1" x14ac:dyDescent="0.25">
      <c r="A2093" s="661"/>
      <c r="B2093" s="75"/>
      <c r="C2093" s="73" t="s">
        <v>8584</v>
      </c>
      <c r="D2093" s="73"/>
      <c r="E2093" s="73"/>
      <c r="F2093" s="73"/>
      <c r="G2093" s="74" t="s">
        <v>3</v>
      </c>
      <c r="H2093" s="153">
        <v>1.7999999999999999E-2</v>
      </c>
      <c r="I2093" s="72"/>
      <c r="J2093" t="s">
        <v>2463</v>
      </c>
      <c r="K2093" s="658"/>
    </row>
    <row r="2094" spans="1:11" customFormat="1" x14ac:dyDescent="0.25">
      <c r="A2094" s="661"/>
      <c r="B2094" s="75"/>
      <c r="C2094" s="75" t="s">
        <v>8585</v>
      </c>
      <c r="D2094" s="73"/>
      <c r="E2094" s="73"/>
      <c r="F2094" s="73"/>
      <c r="G2094" s="74"/>
      <c r="H2094" s="153"/>
      <c r="I2094" s="72"/>
      <c r="K2094" s="658"/>
    </row>
    <row r="2095" spans="1:11" customFormat="1" x14ac:dyDescent="0.25">
      <c r="A2095" s="661"/>
      <c r="B2095" s="75"/>
      <c r="C2095" s="73" t="s">
        <v>8584</v>
      </c>
      <c r="D2095" s="73"/>
      <c r="E2095" s="73"/>
      <c r="F2095" s="73"/>
      <c r="G2095" s="74" t="s">
        <v>3</v>
      </c>
      <c r="H2095" s="153">
        <v>0.185</v>
      </c>
      <c r="I2095" s="72"/>
      <c r="J2095" t="s">
        <v>8583</v>
      </c>
      <c r="K2095" s="658"/>
    </row>
    <row r="2096" spans="1:11" customFormat="1" x14ac:dyDescent="0.25">
      <c r="A2096" s="661"/>
      <c r="B2096" s="75"/>
      <c r="C2096" s="73"/>
      <c r="D2096" s="73"/>
      <c r="E2096" s="73"/>
      <c r="F2096" s="73"/>
      <c r="G2096" s="74"/>
      <c r="H2096" s="153"/>
      <c r="I2096" s="72"/>
      <c r="K2096" s="658"/>
    </row>
    <row r="2097" spans="1:11" customFormat="1" x14ac:dyDescent="0.25">
      <c r="A2097" s="678"/>
      <c r="B2097" s="75" t="s">
        <v>8582</v>
      </c>
      <c r="C2097" s="73"/>
      <c r="D2097" s="73"/>
      <c r="E2097" s="73"/>
      <c r="F2097" s="73"/>
      <c r="G2097" s="74"/>
      <c r="H2097" s="153"/>
      <c r="I2097" s="72"/>
      <c r="K2097" s="658"/>
    </row>
    <row r="2098" spans="1:11" customFormat="1" x14ac:dyDescent="0.25">
      <c r="A2098" s="661"/>
      <c r="B2098" s="73" t="s">
        <v>140</v>
      </c>
      <c r="C2098" s="73"/>
      <c r="D2098" s="73"/>
      <c r="E2098" s="73"/>
      <c r="F2098" s="73"/>
      <c r="G2098" s="74" t="s">
        <v>3</v>
      </c>
      <c r="H2098" s="153">
        <f>0.012*3.14*4*0.08*1.2</f>
        <v>1.4469120000000002E-2</v>
      </c>
      <c r="I2098" s="72"/>
      <c r="K2098" s="658"/>
    </row>
    <row r="2099" spans="1:11" customFormat="1" ht="17.25" x14ac:dyDescent="0.25">
      <c r="A2099" s="661"/>
      <c r="B2099" s="73" t="s">
        <v>23</v>
      </c>
      <c r="C2099" s="73"/>
      <c r="D2099" s="73"/>
      <c r="E2099" s="73"/>
      <c r="F2099" s="73"/>
      <c r="G2099" s="74" t="s">
        <v>596</v>
      </c>
      <c r="H2099" s="153">
        <f>H2098*2</f>
        <v>2.8938240000000004E-2</v>
      </c>
      <c r="I2099" s="72"/>
      <c r="K2099" s="658"/>
    </row>
    <row r="2100" spans="1:11" customFormat="1" x14ac:dyDescent="0.25">
      <c r="A2100" s="661"/>
      <c r="B2100" s="73" t="s">
        <v>142</v>
      </c>
      <c r="C2100" s="73"/>
      <c r="D2100" s="73"/>
      <c r="E2100" s="73"/>
      <c r="F2100" s="73"/>
      <c r="G2100" s="74" t="s">
        <v>3</v>
      </c>
      <c r="H2100" s="153">
        <f>H2098/4</f>
        <v>3.6172800000000005E-3</v>
      </c>
      <c r="I2100" s="72"/>
      <c r="K2100" s="658"/>
    </row>
    <row r="2101" spans="1:11" customFormat="1" x14ac:dyDescent="0.25">
      <c r="A2101" s="661"/>
      <c r="B2101" s="100" t="s">
        <v>8</v>
      </c>
      <c r="C2101" s="73"/>
      <c r="D2101" s="73"/>
      <c r="E2101" s="73"/>
      <c r="F2101" s="73"/>
      <c r="G2101" s="74" t="s">
        <v>3</v>
      </c>
      <c r="H2101" s="153">
        <f>H2102*0.9</f>
        <v>1.7820000000000003E-2</v>
      </c>
      <c r="I2101" s="72"/>
      <c r="K2101" s="658"/>
    </row>
    <row r="2102" spans="1:11" customFormat="1" x14ac:dyDescent="0.25">
      <c r="A2102" s="661"/>
      <c r="B2102" s="100" t="s">
        <v>5794</v>
      </c>
      <c r="C2102" s="73"/>
      <c r="D2102" s="73"/>
      <c r="E2102" s="73"/>
      <c r="F2102" s="73"/>
      <c r="G2102" s="74" t="s">
        <v>3</v>
      </c>
      <c r="H2102" s="153">
        <f>0.75*0.011*2*1.2</f>
        <v>1.9800000000000002E-2</v>
      </c>
      <c r="I2102" s="72"/>
      <c r="K2102" s="658"/>
    </row>
    <row r="2103" spans="1:11" customFormat="1" x14ac:dyDescent="0.25">
      <c r="A2103" s="661"/>
      <c r="B2103" s="100" t="s">
        <v>143</v>
      </c>
      <c r="C2103" s="73"/>
      <c r="D2103" s="73"/>
      <c r="E2103" s="73"/>
      <c r="F2103" s="73"/>
      <c r="G2103" s="74" t="s">
        <v>3</v>
      </c>
      <c r="H2103" s="153">
        <f>H2101</f>
        <v>1.7820000000000003E-2</v>
      </c>
      <c r="I2103" s="72"/>
      <c r="K2103" s="658"/>
    </row>
    <row r="2104" spans="1:11" customFormat="1" x14ac:dyDescent="0.25">
      <c r="A2104" s="661"/>
      <c r="B2104" s="100" t="s">
        <v>12</v>
      </c>
      <c r="C2104" s="73"/>
      <c r="D2104" s="73"/>
      <c r="E2104" s="73"/>
      <c r="F2104" s="73"/>
      <c r="G2104" s="74" t="s">
        <v>3</v>
      </c>
      <c r="H2104" s="153">
        <f>0.3*(H2103+H2102+H2101)</f>
        <v>1.6632000000000001E-2</v>
      </c>
      <c r="I2104" s="72"/>
      <c r="K2104" s="658"/>
    </row>
    <row r="2105" spans="1:11" customFormat="1" x14ac:dyDescent="0.25">
      <c r="A2105" s="661"/>
      <c r="B2105" s="75"/>
      <c r="C2105" s="75" t="s">
        <v>8581</v>
      </c>
      <c r="D2105" s="73"/>
      <c r="E2105" s="73"/>
      <c r="F2105" s="73"/>
      <c r="G2105" s="74"/>
      <c r="H2105" s="153"/>
      <c r="I2105" s="72"/>
      <c r="K2105" s="658"/>
    </row>
    <row r="2106" spans="1:11" customFormat="1" x14ac:dyDescent="0.25">
      <c r="A2106" s="661"/>
      <c r="B2106" s="75"/>
      <c r="C2106" s="73" t="s">
        <v>8574</v>
      </c>
      <c r="D2106" s="73"/>
      <c r="E2106" s="73"/>
      <c r="F2106" s="73"/>
      <c r="G2106" s="74" t="s">
        <v>3</v>
      </c>
      <c r="H2106" s="153">
        <v>8.1000000000000003E-2</v>
      </c>
      <c r="I2106" s="72"/>
      <c r="J2106" t="s">
        <v>5734</v>
      </c>
      <c r="K2106" s="658"/>
    </row>
    <row r="2107" spans="1:11" customFormat="1" x14ac:dyDescent="0.25">
      <c r="A2107" s="661"/>
      <c r="B2107" s="75"/>
      <c r="C2107" s="75" t="s">
        <v>8580</v>
      </c>
      <c r="D2107" s="73"/>
      <c r="E2107" s="73"/>
      <c r="F2107" s="73"/>
      <c r="G2107" s="74"/>
      <c r="H2107" s="153"/>
      <c r="I2107" s="72"/>
      <c r="K2107" s="658"/>
    </row>
    <row r="2108" spans="1:11" customFormat="1" x14ac:dyDescent="0.25">
      <c r="A2108" s="661"/>
      <c r="B2108" s="75"/>
      <c r="C2108" s="73" t="s">
        <v>8574</v>
      </c>
      <c r="D2108" s="73"/>
      <c r="E2108" s="73"/>
      <c r="F2108" s="73"/>
      <c r="G2108" s="74" t="s">
        <v>3</v>
      </c>
      <c r="H2108" s="153">
        <v>0.13</v>
      </c>
      <c r="I2108" s="72"/>
      <c r="J2108" t="s">
        <v>7897</v>
      </c>
      <c r="K2108" s="658"/>
    </row>
    <row r="2109" spans="1:11" customFormat="1" x14ac:dyDescent="0.25">
      <c r="A2109" s="661"/>
      <c r="B2109" s="75"/>
      <c r="C2109" s="73"/>
      <c r="D2109" s="73"/>
      <c r="E2109" s="73"/>
      <c r="F2109" s="73"/>
      <c r="G2109" s="74"/>
      <c r="H2109" s="153"/>
      <c r="I2109" s="72"/>
      <c r="K2109" s="658"/>
    </row>
    <row r="2110" spans="1:11" customFormat="1" x14ac:dyDescent="0.25">
      <c r="A2110" s="678"/>
      <c r="B2110" s="75" t="s">
        <v>8579</v>
      </c>
      <c r="C2110" s="73"/>
      <c r="D2110" s="73"/>
      <c r="E2110" s="73"/>
      <c r="F2110" s="73"/>
      <c r="G2110" s="74"/>
      <c r="H2110" s="153"/>
      <c r="I2110" s="72"/>
      <c r="K2110" s="658"/>
    </row>
    <row r="2111" spans="1:11" customFormat="1" x14ac:dyDescent="0.25">
      <c r="A2111" s="661"/>
      <c r="B2111" s="73" t="s">
        <v>140</v>
      </c>
      <c r="C2111" s="73"/>
      <c r="D2111" s="73"/>
      <c r="E2111" s="73"/>
      <c r="F2111" s="73"/>
      <c r="G2111" s="74" t="s">
        <v>3</v>
      </c>
      <c r="H2111" s="153">
        <f>0.012*3.14*2*0.08*1.2</f>
        <v>7.234560000000001E-3</v>
      </c>
      <c r="I2111" s="72"/>
      <c r="K2111" s="658"/>
    </row>
    <row r="2112" spans="1:11" customFormat="1" ht="17.25" x14ac:dyDescent="0.25">
      <c r="A2112" s="661"/>
      <c r="B2112" s="73" t="s">
        <v>23</v>
      </c>
      <c r="C2112" s="73"/>
      <c r="D2112" s="73"/>
      <c r="E2112" s="73"/>
      <c r="F2112" s="73"/>
      <c r="G2112" s="74" t="s">
        <v>596</v>
      </c>
      <c r="H2112" s="153">
        <f>H2111*2</f>
        <v>1.4469120000000002E-2</v>
      </c>
      <c r="I2112" s="72"/>
      <c r="K2112" s="658"/>
    </row>
    <row r="2113" spans="1:11" customFormat="1" x14ac:dyDescent="0.25">
      <c r="A2113" s="661"/>
      <c r="B2113" s="73" t="s">
        <v>142</v>
      </c>
      <c r="C2113" s="73"/>
      <c r="D2113" s="73"/>
      <c r="E2113" s="73"/>
      <c r="F2113" s="73"/>
      <c r="G2113" s="74" t="s">
        <v>3</v>
      </c>
      <c r="H2113" s="153">
        <f>H2111/4</f>
        <v>1.8086400000000002E-3</v>
      </c>
      <c r="I2113" s="72"/>
      <c r="K2113" s="658"/>
    </row>
    <row r="2114" spans="1:11" customFormat="1" x14ac:dyDescent="0.25">
      <c r="A2114" s="661"/>
      <c r="B2114" s="100" t="s">
        <v>8</v>
      </c>
      <c r="C2114" s="73"/>
      <c r="D2114" s="73"/>
      <c r="E2114" s="73"/>
      <c r="F2114" s="73"/>
      <c r="G2114" s="74" t="s">
        <v>3</v>
      </c>
      <c r="H2114" s="153">
        <f>H2115*0.9</f>
        <v>5.989499999999999E-2</v>
      </c>
      <c r="I2114" s="72"/>
      <c r="K2114" s="658"/>
    </row>
    <row r="2115" spans="1:11" customFormat="1" x14ac:dyDescent="0.25">
      <c r="A2115" s="661"/>
      <c r="B2115" s="100" t="s">
        <v>5794</v>
      </c>
      <c r="C2115" s="73"/>
      <c r="D2115" s="73"/>
      <c r="E2115" s="73"/>
      <c r="F2115" s="73"/>
      <c r="G2115" s="74" t="s">
        <v>3</v>
      </c>
      <c r="H2115" s="153">
        <f>2.5*0.011*2*1.21</f>
        <v>6.6549999999999984E-2</v>
      </c>
      <c r="I2115" s="72"/>
      <c r="K2115" s="658"/>
    </row>
    <row r="2116" spans="1:11" customFormat="1" x14ac:dyDescent="0.25">
      <c r="A2116" s="661"/>
      <c r="B2116" s="100" t="s">
        <v>143</v>
      </c>
      <c r="C2116" s="73"/>
      <c r="D2116" s="73"/>
      <c r="E2116" s="73"/>
      <c r="F2116" s="73"/>
      <c r="G2116" s="74" t="s">
        <v>3</v>
      </c>
      <c r="H2116" s="153">
        <f>H2114</f>
        <v>5.989499999999999E-2</v>
      </c>
      <c r="I2116" s="72"/>
      <c r="K2116" s="658"/>
    </row>
    <row r="2117" spans="1:11" customFormat="1" x14ac:dyDescent="0.25">
      <c r="A2117" s="661"/>
      <c r="B2117" s="100" t="s">
        <v>12</v>
      </c>
      <c r="C2117" s="73"/>
      <c r="D2117" s="73"/>
      <c r="E2117" s="73"/>
      <c r="F2117" s="73"/>
      <c r="G2117" s="74" t="s">
        <v>3</v>
      </c>
      <c r="H2117" s="153">
        <f>0.3*(H2116+H2115+H2114)</f>
        <v>5.5901999999999986E-2</v>
      </c>
      <c r="I2117" s="72"/>
      <c r="K2117" s="658"/>
    </row>
    <row r="2118" spans="1:11" customFormat="1" x14ac:dyDescent="0.25">
      <c r="A2118" s="661"/>
      <c r="B2118" s="75"/>
      <c r="C2118" s="75" t="s">
        <v>8578</v>
      </c>
      <c r="D2118" s="73"/>
      <c r="E2118" s="73"/>
      <c r="F2118" s="73"/>
      <c r="G2118" s="74"/>
      <c r="H2118" s="153"/>
      <c r="I2118" s="72"/>
      <c r="K2118" s="658"/>
    </row>
    <row r="2119" spans="1:11" customFormat="1" x14ac:dyDescent="0.25">
      <c r="A2119" s="661"/>
      <c r="B2119" s="75"/>
      <c r="C2119" s="73" t="s">
        <v>8574</v>
      </c>
      <c r="D2119" s="73"/>
      <c r="E2119" s="73"/>
      <c r="F2119" s="73"/>
      <c r="G2119" s="74" t="s">
        <v>3</v>
      </c>
      <c r="H2119" s="153">
        <v>0.73</v>
      </c>
      <c r="I2119" s="72"/>
      <c r="J2119" t="s">
        <v>8577</v>
      </c>
      <c r="K2119" s="658"/>
    </row>
    <row r="2120" spans="1:11" customFormat="1" x14ac:dyDescent="0.25">
      <c r="A2120" s="661"/>
      <c r="B2120" s="75"/>
      <c r="C2120" s="73"/>
      <c r="D2120" s="73"/>
      <c r="E2120" s="73"/>
      <c r="F2120" s="73"/>
      <c r="G2120" s="74"/>
      <c r="H2120" s="153"/>
      <c r="I2120" s="72"/>
      <c r="K2120" s="658"/>
    </row>
    <row r="2121" spans="1:11" customFormat="1" x14ac:dyDescent="0.25">
      <c r="A2121" s="678"/>
      <c r="B2121" s="75" t="s">
        <v>8576</v>
      </c>
      <c r="C2121" s="73"/>
      <c r="D2121" s="73"/>
      <c r="E2121" s="73"/>
      <c r="F2121" s="73"/>
      <c r="G2121" s="74"/>
      <c r="H2121" s="153"/>
      <c r="I2121" s="72"/>
      <c r="K2121" s="658"/>
    </row>
    <row r="2122" spans="1:11" customFormat="1" x14ac:dyDescent="0.25">
      <c r="A2122" s="661"/>
      <c r="B2122" s="73" t="s">
        <v>140</v>
      </c>
      <c r="C2122" s="73"/>
      <c r="D2122" s="73"/>
      <c r="E2122" s="73"/>
      <c r="F2122" s="73"/>
      <c r="G2122" s="74" t="s">
        <v>3</v>
      </c>
      <c r="H2122" s="153">
        <f>0.012*3.14*2*0.08*1.2</f>
        <v>7.234560000000001E-3</v>
      </c>
      <c r="I2122" s="72"/>
      <c r="K2122" s="658"/>
    </row>
    <row r="2123" spans="1:11" customFormat="1" ht="17.25" x14ac:dyDescent="0.25">
      <c r="A2123" s="661"/>
      <c r="B2123" s="73" t="s">
        <v>23</v>
      </c>
      <c r="C2123" s="73"/>
      <c r="D2123" s="73"/>
      <c r="E2123" s="73"/>
      <c r="F2123" s="73"/>
      <c r="G2123" s="74" t="s">
        <v>596</v>
      </c>
      <c r="H2123" s="153">
        <f>H2122*2</f>
        <v>1.4469120000000002E-2</v>
      </c>
      <c r="I2123" s="72"/>
      <c r="K2123" s="658"/>
    </row>
    <row r="2124" spans="1:11" customFormat="1" x14ac:dyDescent="0.25">
      <c r="A2124" s="661"/>
      <c r="B2124" s="73" t="s">
        <v>142</v>
      </c>
      <c r="C2124" s="73"/>
      <c r="D2124" s="73"/>
      <c r="E2124" s="73"/>
      <c r="F2124" s="73"/>
      <c r="G2124" s="74" t="s">
        <v>3</v>
      </c>
      <c r="H2124" s="153">
        <f>H2122/4</f>
        <v>1.8086400000000002E-3</v>
      </c>
      <c r="I2124" s="72"/>
      <c r="K2124" s="658"/>
    </row>
    <row r="2125" spans="1:11" customFormat="1" x14ac:dyDescent="0.25">
      <c r="A2125" s="661"/>
      <c r="B2125" s="73" t="s">
        <v>143</v>
      </c>
      <c r="C2125" s="73"/>
      <c r="D2125" s="73"/>
      <c r="E2125" s="73"/>
      <c r="F2125" s="73"/>
      <c r="G2125" s="74" t="s">
        <v>3</v>
      </c>
      <c r="H2125" s="153">
        <f>H2126</f>
        <v>3.5640000000000005E-2</v>
      </c>
      <c r="I2125" s="72"/>
      <c r="K2125" s="658"/>
    </row>
    <row r="2126" spans="1:11" customFormat="1" x14ac:dyDescent="0.25">
      <c r="A2126" s="661"/>
      <c r="B2126" s="73" t="s">
        <v>8</v>
      </c>
      <c r="C2126" s="73"/>
      <c r="D2126" s="73"/>
      <c r="E2126" s="73"/>
      <c r="F2126" s="73"/>
      <c r="G2126" s="74" t="s">
        <v>3</v>
      </c>
      <c r="H2126" s="153">
        <f>H2127*0.9</f>
        <v>3.5640000000000005E-2</v>
      </c>
      <c r="I2126" s="72"/>
      <c r="K2126" s="658"/>
    </row>
    <row r="2127" spans="1:11" customFormat="1" x14ac:dyDescent="0.25">
      <c r="A2127" s="661"/>
      <c r="B2127" s="73" t="s">
        <v>5794</v>
      </c>
      <c r="C2127" s="73"/>
      <c r="D2127" s="73"/>
      <c r="E2127" s="73"/>
      <c r="F2127" s="73"/>
      <c r="G2127" s="74" t="s">
        <v>3</v>
      </c>
      <c r="H2127" s="153">
        <f>1.5*0.011*2*1.2</f>
        <v>3.9600000000000003E-2</v>
      </c>
      <c r="I2127" s="72"/>
      <c r="K2127" s="658"/>
    </row>
    <row r="2128" spans="1:11" customFormat="1" x14ac:dyDescent="0.25">
      <c r="A2128" s="661"/>
      <c r="B2128" s="100" t="s">
        <v>12</v>
      </c>
      <c r="C2128" s="73"/>
      <c r="D2128" s="73"/>
      <c r="E2128" s="73"/>
      <c r="F2128" s="73"/>
      <c r="G2128" s="74" t="s">
        <v>3</v>
      </c>
      <c r="H2128" s="153">
        <f>0.3*(H2127+H2126+H2125)</f>
        <v>3.3264000000000002E-2</v>
      </c>
      <c r="I2128" s="72"/>
      <c r="K2128" s="658"/>
    </row>
    <row r="2129" spans="1:11" customFormat="1" x14ac:dyDescent="0.25">
      <c r="A2129" s="661"/>
      <c r="B2129" s="75"/>
      <c r="C2129" s="75" t="s">
        <v>8575</v>
      </c>
      <c r="D2129" s="73"/>
      <c r="E2129" s="73"/>
      <c r="F2129" s="73"/>
      <c r="G2129" s="74"/>
      <c r="H2129" s="153"/>
      <c r="I2129" s="72"/>
      <c r="K2129" s="658"/>
    </row>
    <row r="2130" spans="1:11" customFormat="1" x14ac:dyDescent="0.25">
      <c r="A2130" s="661"/>
      <c r="B2130" s="75"/>
      <c r="C2130" s="73" t="s">
        <v>8574</v>
      </c>
      <c r="D2130" s="73"/>
      <c r="E2130" s="73"/>
      <c r="F2130" s="73"/>
      <c r="G2130" s="74" t="s">
        <v>3</v>
      </c>
      <c r="H2130" s="153">
        <v>0.46</v>
      </c>
      <c r="I2130" s="72"/>
      <c r="J2130" t="s">
        <v>8573</v>
      </c>
      <c r="K2130" s="658"/>
    </row>
    <row r="2131" spans="1:11" customFormat="1" x14ac:dyDescent="0.25">
      <c r="A2131" s="661"/>
      <c r="B2131" s="75"/>
      <c r="C2131" s="73"/>
      <c r="D2131" s="73"/>
      <c r="E2131" s="73"/>
      <c r="F2131" s="73"/>
      <c r="G2131" s="74"/>
      <c r="H2131" s="153"/>
      <c r="I2131" s="72"/>
      <c r="K2131" s="658"/>
    </row>
    <row r="2132" spans="1:11" customFormat="1" x14ac:dyDescent="0.25">
      <c r="A2132" s="678"/>
      <c r="B2132" s="75" t="s">
        <v>8572</v>
      </c>
      <c r="C2132" s="73"/>
      <c r="D2132" s="73"/>
      <c r="E2132" s="73"/>
      <c r="F2132" s="73"/>
      <c r="G2132" s="74"/>
      <c r="H2132" s="153"/>
      <c r="I2132" s="72"/>
      <c r="K2132" s="658"/>
    </row>
    <row r="2133" spans="1:11" customFormat="1" x14ac:dyDescent="0.25">
      <c r="A2133" s="661"/>
      <c r="B2133" s="73" t="s">
        <v>140</v>
      </c>
      <c r="C2133" s="73"/>
      <c r="D2133" s="73"/>
      <c r="E2133" s="73"/>
      <c r="F2133" s="73"/>
      <c r="G2133" s="74" t="s">
        <v>3</v>
      </c>
      <c r="H2133" s="153">
        <f>0.006*3.14*4*0.08*1.2</f>
        <v>7.234560000000001E-3</v>
      </c>
      <c r="I2133" s="72"/>
      <c r="K2133" s="658"/>
    </row>
    <row r="2134" spans="1:11" customFormat="1" ht="17.25" x14ac:dyDescent="0.25">
      <c r="A2134" s="661"/>
      <c r="B2134" s="73" t="s">
        <v>23</v>
      </c>
      <c r="C2134" s="73"/>
      <c r="D2134" s="73"/>
      <c r="E2134" s="73"/>
      <c r="F2134" s="73"/>
      <c r="G2134" s="74" t="s">
        <v>596</v>
      </c>
      <c r="H2134" s="153">
        <f>H2133*2</f>
        <v>1.4469120000000002E-2</v>
      </c>
      <c r="I2134" s="72"/>
      <c r="K2134" s="658"/>
    </row>
    <row r="2135" spans="1:11" customFormat="1" x14ac:dyDescent="0.25">
      <c r="A2135" s="661"/>
      <c r="B2135" s="73" t="s">
        <v>142</v>
      </c>
      <c r="C2135" s="73"/>
      <c r="D2135" s="73"/>
      <c r="E2135" s="73"/>
      <c r="F2135" s="73"/>
      <c r="G2135" s="74" t="s">
        <v>3</v>
      </c>
      <c r="H2135" s="153">
        <f>H2133/4</f>
        <v>1.8086400000000002E-3</v>
      </c>
      <c r="I2135" s="72"/>
      <c r="K2135" s="658"/>
    </row>
    <row r="2136" spans="1:11" customFormat="1" x14ac:dyDescent="0.25">
      <c r="A2136" s="661"/>
      <c r="B2136" s="73" t="s">
        <v>143</v>
      </c>
      <c r="C2136" s="73"/>
      <c r="D2136" s="73"/>
      <c r="E2136" s="73"/>
      <c r="F2136" s="73"/>
      <c r="G2136" s="74" t="s">
        <v>3</v>
      </c>
      <c r="H2136" s="153">
        <f>H2137</f>
        <v>3.3263999999999995E-2</v>
      </c>
      <c r="I2136" s="72"/>
      <c r="K2136" s="658"/>
    </row>
    <row r="2137" spans="1:11" customFormat="1" x14ac:dyDescent="0.25">
      <c r="A2137" s="661"/>
      <c r="B2137" s="73" t="s">
        <v>8</v>
      </c>
      <c r="C2137" s="73"/>
      <c r="D2137" s="73"/>
      <c r="E2137" s="73"/>
      <c r="F2137" s="73"/>
      <c r="G2137" s="74" t="s">
        <v>3</v>
      </c>
      <c r="H2137" s="153">
        <f>H2138*0.9</f>
        <v>3.3263999999999995E-2</v>
      </c>
      <c r="I2137" s="72"/>
      <c r="K2137" s="658"/>
    </row>
    <row r="2138" spans="1:11" customFormat="1" x14ac:dyDescent="0.25">
      <c r="A2138" s="661"/>
      <c r="B2138" s="73" t="s">
        <v>5794</v>
      </c>
      <c r="C2138" s="73"/>
      <c r="D2138" s="73"/>
      <c r="E2138" s="73"/>
      <c r="F2138" s="73"/>
      <c r="G2138" s="74" t="s">
        <v>3</v>
      </c>
      <c r="H2138" s="153">
        <f>1.4*0.011*2*1.2</f>
        <v>3.6959999999999993E-2</v>
      </c>
      <c r="I2138" s="72"/>
      <c r="K2138" s="658"/>
    </row>
    <row r="2139" spans="1:11" customFormat="1" x14ac:dyDescent="0.25">
      <c r="A2139" s="661"/>
      <c r="B2139" s="100" t="s">
        <v>12</v>
      </c>
      <c r="C2139" s="73"/>
      <c r="D2139" s="73"/>
      <c r="E2139" s="73"/>
      <c r="F2139" s="73"/>
      <c r="G2139" s="74" t="s">
        <v>3</v>
      </c>
      <c r="H2139" s="153">
        <f>0.3*(H2138+H2137+H2136)</f>
        <v>3.1046399999999988E-2</v>
      </c>
      <c r="I2139" s="72"/>
      <c r="K2139" s="658"/>
    </row>
    <row r="2140" spans="1:11" customFormat="1" x14ac:dyDescent="0.25">
      <c r="A2140" s="661"/>
      <c r="B2140" s="100"/>
      <c r="C2140" s="75" t="s">
        <v>8571</v>
      </c>
      <c r="D2140" s="73"/>
      <c r="E2140" s="73"/>
      <c r="F2140" s="73"/>
      <c r="G2140" s="74"/>
      <c r="H2140" s="153"/>
      <c r="I2140" s="72"/>
      <c r="K2140" s="658"/>
    </row>
    <row r="2141" spans="1:11" customFormat="1" x14ac:dyDescent="0.25">
      <c r="A2141" s="661"/>
      <c r="B2141" s="100"/>
      <c r="C2141" s="73" t="s">
        <v>8535</v>
      </c>
      <c r="D2141" s="73"/>
      <c r="E2141" s="73"/>
      <c r="F2141" s="73"/>
      <c r="G2141" s="74" t="s">
        <v>3</v>
      </c>
      <c r="H2141" s="153">
        <v>1.4999999999999999E-2</v>
      </c>
      <c r="I2141" s="72"/>
      <c r="J2141" t="s">
        <v>1459</v>
      </c>
      <c r="K2141" s="658"/>
    </row>
    <row r="2142" spans="1:11" customFormat="1" x14ac:dyDescent="0.25">
      <c r="A2142" s="661"/>
      <c r="B2142" s="100"/>
      <c r="C2142" s="75" t="s">
        <v>8570</v>
      </c>
      <c r="D2142" s="73"/>
      <c r="E2142" s="73"/>
      <c r="F2142" s="73"/>
      <c r="G2142" s="74"/>
      <c r="H2142" s="153"/>
      <c r="I2142" s="72"/>
      <c r="K2142" s="658"/>
    </row>
    <row r="2143" spans="1:11" customFormat="1" x14ac:dyDescent="0.25">
      <c r="A2143" s="661"/>
      <c r="B2143" s="100"/>
      <c r="C2143" s="73" t="s">
        <v>8535</v>
      </c>
      <c r="D2143" s="73"/>
      <c r="E2143" s="73"/>
      <c r="F2143" s="73"/>
      <c r="G2143" s="74" t="s">
        <v>3</v>
      </c>
      <c r="H2143" s="153">
        <v>0.185</v>
      </c>
      <c r="I2143" s="72"/>
      <c r="J2143" t="s">
        <v>8569</v>
      </c>
      <c r="K2143" s="658"/>
    </row>
    <row r="2144" spans="1:11" customFormat="1" x14ac:dyDescent="0.25">
      <c r="A2144" s="661"/>
      <c r="B2144" s="100"/>
      <c r="C2144" s="73"/>
      <c r="D2144" s="73"/>
      <c r="E2144" s="73"/>
      <c r="F2144" s="73"/>
      <c r="G2144" s="74"/>
      <c r="H2144" s="153"/>
      <c r="I2144" s="72"/>
      <c r="K2144" s="658"/>
    </row>
    <row r="2145" spans="1:11" customFormat="1" x14ac:dyDescent="0.25">
      <c r="A2145" s="678"/>
      <c r="B2145" s="75" t="s">
        <v>8568</v>
      </c>
      <c r="C2145" s="73"/>
      <c r="D2145" s="73"/>
      <c r="E2145" s="73"/>
      <c r="F2145" s="73"/>
      <c r="G2145" s="74"/>
      <c r="H2145" s="153"/>
      <c r="I2145" s="72"/>
      <c r="K2145" s="658"/>
    </row>
    <row r="2146" spans="1:11" customFormat="1" x14ac:dyDescent="0.25">
      <c r="A2146" s="661"/>
      <c r="B2146" s="73" t="s">
        <v>140</v>
      </c>
      <c r="C2146" s="73"/>
      <c r="D2146" s="73"/>
      <c r="E2146" s="73"/>
      <c r="F2146" s="73"/>
      <c r="G2146" s="74" t="s">
        <v>3</v>
      </c>
      <c r="H2146" s="153">
        <f>0.006*3.14*2*0.08*1.2</f>
        <v>3.6172800000000005E-3</v>
      </c>
      <c r="I2146" s="72"/>
      <c r="K2146" s="658"/>
    </row>
    <row r="2147" spans="1:11" customFormat="1" ht="17.25" x14ac:dyDescent="0.25">
      <c r="A2147" s="661"/>
      <c r="B2147" s="73" t="s">
        <v>23</v>
      </c>
      <c r="C2147" s="73"/>
      <c r="D2147" s="73"/>
      <c r="E2147" s="73"/>
      <c r="F2147" s="73"/>
      <c r="G2147" s="74" t="s">
        <v>596</v>
      </c>
      <c r="H2147" s="153">
        <f>H2146*2</f>
        <v>7.234560000000001E-3</v>
      </c>
      <c r="I2147" s="72"/>
      <c r="K2147" s="658"/>
    </row>
    <row r="2148" spans="1:11" customFormat="1" x14ac:dyDescent="0.25">
      <c r="A2148" s="661"/>
      <c r="B2148" s="73" t="s">
        <v>142</v>
      </c>
      <c r="C2148" s="73"/>
      <c r="D2148" s="73"/>
      <c r="E2148" s="73"/>
      <c r="F2148" s="73"/>
      <c r="G2148" s="74" t="s">
        <v>3</v>
      </c>
      <c r="H2148" s="153">
        <f>H2146/4</f>
        <v>9.0432000000000012E-4</v>
      </c>
      <c r="I2148" s="72"/>
      <c r="K2148" s="658"/>
    </row>
    <row r="2149" spans="1:11" customFormat="1" x14ac:dyDescent="0.25">
      <c r="A2149" s="661"/>
      <c r="B2149" s="73" t="s">
        <v>143</v>
      </c>
      <c r="C2149" s="73"/>
      <c r="D2149" s="73"/>
      <c r="E2149" s="73"/>
      <c r="F2149" s="73"/>
      <c r="G2149" s="74" t="s">
        <v>3</v>
      </c>
      <c r="H2149" s="153">
        <f>H2150</f>
        <v>6.316200000000001E-2</v>
      </c>
      <c r="I2149" s="72"/>
      <c r="K2149" s="658"/>
    </row>
    <row r="2150" spans="1:11" customFormat="1" x14ac:dyDescent="0.25">
      <c r="A2150" s="661"/>
      <c r="B2150" s="73" t="s">
        <v>8</v>
      </c>
      <c r="C2150" s="73"/>
      <c r="D2150" s="73"/>
      <c r="E2150" s="73"/>
      <c r="F2150" s="73"/>
      <c r="G2150" s="74" t="s">
        <v>3</v>
      </c>
      <c r="H2150" s="153">
        <f>H2151*0.9</f>
        <v>6.316200000000001E-2</v>
      </c>
      <c r="I2150" s="72"/>
      <c r="K2150" s="658"/>
    </row>
    <row r="2151" spans="1:11" customFormat="1" x14ac:dyDescent="0.25">
      <c r="A2151" s="661"/>
      <c r="B2151" s="73" t="s">
        <v>5794</v>
      </c>
      <c r="C2151" s="73"/>
      <c r="D2151" s="73"/>
      <c r="E2151" s="73"/>
      <c r="F2151" s="73"/>
      <c r="G2151" s="74" t="s">
        <v>3</v>
      </c>
      <c r="H2151" s="153">
        <f>2.9*0.011*2*1.1</f>
        <v>7.0180000000000006E-2</v>
      </c>
      <c r="I2151" s="72"/>
      <c r="K2151" s="658"/>
    </row>
    <row r="2152" spans="1:11" customFormat="1" x14ac:dyDescent="0.25">
      <c r="A2152" s="661"/>
      <c r="B2152" s="100" t="s">
        <v>12</v>
      </c>
      <c r="C2152" s="73"/>
      <c r="D2152" s="73"/>
      <c r="E2152" s="73"/>
      <c r="F2152" s="73"/>
      <c r="G2152" s="74" t="s">
        <v>3</v>
      </c>
      <c r="H2152" s="153">
        <f>0.3*(H2151+H2150+H2149)</f>
        <v>5.8951200000000002E-2</v>
      </c>
      <c r="I2152" s="72"/>
      <c r="K2152" s="658"/>
    </row>
    <row r="2153" spans="1:11" customFormat="1" x14ac:dyDescent="0.25">
      <c r="A2153" s="661"/>
      <c r="B2153" s="100"/>
      <c r="C2153" s="75" t="s">
        <v>8567</v>
      </c>
      <c r="D2153" s="73"/>
      <c r="E2153" s="73"/>
      <c r="F2153" s="73"/>
      <c r="G2153" s="74"/>
      <c r="H2153" s="153"/>
      <c r="I2153" s="72"/>
      <c r="K2153" s="658"/>
    </row>
    <row r="2154" spans="1:11" customFormat="1" x14ac:dyDescent="0.25">
      <c r="A2154" s="661"/>
      <c r="B2154" s="100"/>
      <c r="C2154" s="73" t="s">
        <v>8535</v>
      </c>
      <c r="D2154" s="73"/>
      <c r="E2154" s="73"/>
      <c r="F2154" s="73"/>
      <c r="G2154" s="74" t="s">
        <v>3</v>
      </c>
      <c r="H2154" s="153">
        <v>0.37</v>
      </c>
      <c r="I2154" s="72"/>
      <c r="J2154" t="s">
        <v>8566</v>
      </c>
      <c r="K2154" s="658"/>
    </row>
    <row r="2155" spans="1:11" customFormat="1" x14ac:dyDescent="0.25">
      <c r="A2155" s="661"/>
      <c r="B2155" s="100"/>
      <c r="C2155" s="73"/>
      <c r="D2155" s="73"/>
      <c r="E2155" s="73"/>
      <c r="F2155" s="73"/>
      <c r="G2155" s="74"/>
      <c r="H2155" s="153"/>
      <c r="I2155" s="72"/>
      <c r="K2155" s="658"/>
    </row>
    <row r="2156" spans="1:11" customFormat="1" x14ac:dyDescent="0.25">
      <c r="A2156" s="678"/>
      <c r="B2156" s="75" t="s">
        <v>8565</v>
      </c>
      <c r="C2156" s="73"/>
      <c r="D2156" s="73"/>
      <c r="E2156" s="73"/>
      <c r="F2156" s="73"/>
      <c r="G2156" s="74"/>
      <c r="H2156" s="153"/>
      <c r="I2156" s="72"/>
      <c r="K2156" s="658"/>
    </row>
    <row r="2157" spans="1:11" customFormat="1" x14ac:dyDescent="0.25">
      <c r="A2157" s="661"/>
      <c r="B2157" s="73" t="s">
        <v>140</v>
      </c>
      <c r="C2157" s="73"/>
      <c r="D2157" s="73"/>
      <c r="E2157" s="73"/>
      <c r="F2157" s="73"/>
      <c r="G2157" s="74" t="s">
        <v>3</v>
      </c>
      <c r="H2157" s="153">
        <f>0.006*3.14*2*0.08*1.2</f>
        <v>3.6172800000000005E-3</v>
      </c>
      <c r="I2157" s="72"/>
      <c r="K2157" s="658"/>
    </row>
    <row r="2158" spans="1:11" customFormat="1" ht="17.25" x14ac:dyDescent="0.25">
      <c r="A2158" s="661"/>
      <c r="B2158" s="73" t="s">
        <v>23</v>
      </c>
      <c r="C2158" s="73"/>
      <c r="D2158" s="73"/>
      <c r="E2158" s="73"/>
      <c r="F2158" s="73"/>
      <c r="G2158" s="74" t="s">
        <v>596</v>
      </c>
      <c r="H2158" s="153">
        <f>H2157*2</f>
        <v>7.234560000000001E-3</v>
      </c>
      <c r="I2158" s="72"/>
      <c r="K2158" s="658"/>
    </row>
    <row r="2159" spans="1:11" customFormat="1" x14ac:dyDescent="0.25">
      <c r="A2159" s="661"/>
      <c r="B2159" s="73" t="s">
        <v>142</v>
      </c>
      <c r="C2159" s="73"/>
      <c r="D2159" s="73"/>
      <c r="E2159" s="73"/>
      <c r="F2159" s="73"/>
      <c r="G2159" s="74" t="s">
        <v>3</v>
      </c>
      <c r="H2159" s="153">
        <f>H2157/4</f>
        <v>9.0432000000000012E-4</v>
      </c>
      <c r="I2159" s="72"/>
      <c r="K2159" s="658"/>
    </row>
    <row r="2160" spans="1:11" customFormat="1" x14ac:dyDescent="0.25">
      <c r="A2160" s="661"/>
      <c r="B2160" s="73" t="s">
        <v>143</v>
      </c>
      <c r="C2160" s="73"/>
      <c r="D2160" s="73"/>
      <c r="E2160" s="73"/>
      <c r="F2160" s="73"/>
      <c r="G2160" s="74" t="s">
        <v>3</v>
      </c>
      <c r="H2160" s="153">
        <f>H2161</f>
        <v>3.4739100000000002E-2</v>
      </c>
      <c r="I2160" s="72"/>
      <c r="K2160" s="658"/>
    </row>
    <row r="2161" spans="1:11" customFormat="1" x14ac:dyDescent="0.25">
      <c r="A2161" s="661"/>
      <c r="B2161" s="73" t="s">
        <v>8</v>
      </c>
      <c r="C2161" s="73"/>
      <c r="D2161" s="73"/>
      <c r="E2161" s="73"/>
      <c r="F2161" s="73"/>
      <c r="G2161" s="74" t="s">
        <v>3</v>
      </c>
      <c r="H2161" s="153">
        <f>H2162*0.87</f>
        <v>3.4739100000000002E-2</v>
      </c>
      <c r="I2161" s="72"/>
      <c r="K2161" s="658"/>
    </row>
    <row r="2162" spans="1:11" customFormat="1" x14ac:dyDescent="0.25">
      <c r="A2162" s="661"/>
      <c r="B2162" s="73" t="s">
        <v>5794</v>
      </c>
      <c r="C2162" s="73"/>
      <c r="D2162" s="73"/>
      <c r="E2162" s="73"/>
      <c r="F2162" s="73"/>
      <c r="G2162" s="74" t="s">
        <v>3</v>
      </c>
      <c r="H2162" s="153">
        <f>1.65*0.011*2*1.1</f>
        <v>3.993E-2</v>
      </c>
      <c r="I2162" s="72"/>
      <c r="K2162" s="658"/>
    </row>
    <row r="2163" spans="1:11" customFormat="1" x14ac:dyDescent="0.25">
      <c r="A2163" s="661"/>
      <c r="B2163" s="100" t="s">
        <v>12</v>
      </c>
      <c r="C2163" s="73"/>
      <c r="D2163" s="73"/>
      <c r="E2163" s="73"/>
      <c r="F2163" s="73"/>
      <c r="G2163" s="74" t="s">
        <v>3</v>
      </c>
      <c r="H2163" s="153">
        <f>0.3*(H2162+H2161+H2160)</f>
        <v>3.2822460000000005E-2</v>
      </c>
      <c r="I2163" s="72"/>
      <c r="K2163" s="658"/>
    </row>
    <row r="2164" spans="1:11" customFormat="1" x14ac:dyDescent="0.25">
      <c r="A2164" s="661"/>
      <c r="B2164" s="100"/>
      <c r="C2164" s="75" t="s">
        <v>8564</v>
      </c>
      <c r="D2164" s="73"/>
      <c r="E2164" s="73"/>
      <c r="F2164" s="73"/>
      <c r="G2164" s="74"/>
      <c r="H2164" s="153"/>
      <c r="I2164" s="72"/>
      <c r="K2164" s="658"/>
    </row>
    <row r="2165" spans="1:11" customFormat="1" x14ac:dyDescent="0.25">
      <c r="A2165" s="661"/>
      <c r="B2165" s="100"/>
      <c r="C2165" s="73" t="s">
        <v>8535</v>
      </c>
      <c r="D2165" s="73"/>
      <c r="E2165" s="73"/>
      <c r="F2165" s="73"/>
      <c r="G2165" s="74" t="s">
        <v>3</v>
      </c>
      <c r="H2165" s="153">
        <v>0.22500000000000001</v>
      </c>
      <c r="I2165" s="72"/>
      <c r="J2165" t="s">
        <v>8563</v>
      </c>
      <c r="K2165" s="658"/>
    </row>
    <row r="2166" spans="1:11" customFormat="1" x14ac:dyDescent="0.25">
      <c r="A2166" s="661"/>
      <c r="B2166" s="75"/>
      <c r="C2166" s="73"/>
      <c r="D2166" s="73"/>
      <c r="E2166" s="73"/>
      <c r="F2166" s="73"/>
      <c r="G2166" s="74"/>
      <c r="H2166" s="153"/>
      <c r="I2166" s="72"/>
      <c r="K2166" s="658"/>
    </row>
    <row r="2167" spans="1:11" customFormat="1" x14ac:dyDescent="0.25">
      <c r="A2167" s="678"/>
      <c r="B2167" s="75" t="s">
        <v>8562</v>
      </c>
      <c r="C2167" s="73"/>
      <c r="D2167" s="73"/>
      <c r="E2167" s="73"/>
      <c r="F2167" s="73"/>
      <c r="G2167" s="74"/>
      <c r="H2167" s="153"/>
      <c r="I2167" s="72"/>
      <c r="K2167" s="658"/>
    </row>
    <row r="2168" spans="1:11" customFormat="1" x14ac:dyDescent="0.25">
      <c r="A2168" s="661"/>
      <c r="B2168" s="73" t="s">
        <v>140</v>
      </c>
      <c r="C2168" s="73"/>
      <c r="D2168" s="73"/>
      <c r="E2168" s="73"/>
      <c r="F2168" s="73"/>
      <c r="G2168" s="74" t="s">
        <v>3</v>
      </c>
      <c r="H2168" s="153">
        <f>0.006*3.14*4*0.08*1.2</f>
        <v>7.234560000000001E-3</v>
      </c>
      <c r="I2168" s="72"/>
      <c r="K2168" s="658"/>
    </row>
    <row r="2169" spans="1:11" customFormat="1" ht="17.25" x14ac:dyDescent="0.25">
      <c r="A2169" s="661"/>
      <c r="B2169" s="73" t="s">
        <v>23</v>
      </c>
      <c r="C2169" s="73"/>
      <c r="D2169" s="73"/>
      <c r="E2169" s="73"/>
      <c r="F2169" s="73"/>
      <c r="G2169" s="74" t="s">
        <v>596</v>
      </c>
      <c r="H2169" s="153">
        <f>H2168*2</f>
        <v>1.4469120000000002E-2</v>
      </c>
      <c r="I2169" s="72"/>
      <c r="K2169" s="658"/>
    </row>
    <row r="2170" spans="1:11" customFormat="1" x14ac:dyDescent="0.25">
      <c r="A2170" s="661"/>
      <c r="B2170" s="73" t="s">
        <v>142</v>
      </c>
      <c r="C2170" s="73"/>
      <c r="D2170" s="73"/>
      <c r="E2170" s="73"/>
      <c r="F2170" s="73"/>
      <c r="G2170" s="74" t="s">
        <v>3</v>
      </c>
      <c r="H2170" s="153">
        <f>H2168/4</f>
        <v>1.8086400000000002E-3</v>
      </c>
      <c r="I2170" s="72"/>
      <c r="K2170" s="658"/>
    </row>
    <row r="2171" spans="1:11" customFormat="1" x14ac:dyDescent="0.25">
      <c r="A2171" s="661"/>
      <c r="B2171" s="73" t="s">
        <v>143</v>
      </c>
      <c r="C2171" s="73"/>
      <c r="D2171" s="73"/>
      <c r="E2171" s="73"/>
      <c r="F2171" s="73"/>
      <c r="G2171" s="74" t="s">
        <v>3</v>
      </c>
      <c r="H2171" s="153">
        <f>H2172</f>
        <v>5.5164999999999985E-2</v>
      </c>
      <c r="I2171" s="72"/>
      <c r="K2171" s="658"/>
    </row>
    <row r="2172" spans="1:11" customFormat="1" x14ac:dyDescent="0.25">
      <c r="A2172" s="661"/>
      <c r="B2172" s="73" t="s">
        <v>8</v>
      </c>
      <c r="C2172" s="73"/>
      <c r="D2172" s="73"/>
      <c r="E2172" s="73"/>
      <c r="F2172" s="73"/>
      <c r="G2172" s="74" t="s">
        <v>3</v>
      </c>
      <c r="H2172" s="153">
        <f>H2173*0.85</f>
        <v>5.5164999999999985E-2</v>
      </c>
      <c r="I2172" s="72"/>
      <c r="K2172" s="658"/>
    </row>
    <row r="2173" spans="1:11" customFormat="1" x14ac:dyDescent="0.25">
      <c r="A2173" s="661"/>
      <c r="B2173" s="73" t="s">
        <v>5794</v>
      </c>
      <c r="C2173" s="73"/>
      <c r="D2173" s="73"/>
      <c r="E2173" s="73"/>
      <c r="F2173" s="73"/>
      <c r="G2173" s="74" t="s">
        <v>3</v>
      </c>
      <c r="H2173" s="153">
        <f>2.5*0.011*2*1.18</f>
        <v>6.4899999999999985E-2</v>
      </c>
      <c r="I2173" s="72"/>
      <c r="K2173" s="658"/>
    </row>
    <row r="2174" spans="1:11" customFormat="1" x14ac:dyDescent="0.25">
      <c r="A2174" s="661"/>
      <c r="B2174" s="100" t="s">
        <v>12</v>
      </c>
      <c r="C2174" s="73"/>
      <c r="D2174" s="73"/>
      <c r="E2174" s="73"/>
      <c r="F2174" s="73"/>
      <c r="G2174" s="74" t="s">
        <v>3</v>
      </c>
      <c r="H2174" s="153">
        <f>0.3*(H2173+H2172+H2171)</f>
        <v>5.2568999999999991E-2</v>
      </c>
      <c r="I2174" s="72"/>
      <c r="K2174" s="658"/>
    </row>
    <row r="2175" spans="1:11" customFormat="1" x14ac:dyDescent="0.25">
      <c r="A2175" s="661"/>
      <c r="B2175" s="73"/>
      <c r="C2175" s="75" t="s">
        <v>8561</v>
      </c>
      <c r="D2175" s="73"/>
      <c r="E2175" s="73"/>
      <c r="F2175" s="74"/>
      <c r="G2175" s="153"/>
      <c r="H2175" s="153"/>
      <c r="I2175" s="164"/>
      <c r="K2175" s="658"/>
    </row>
    <row r="2176" spans="1:11" customFormat="1" x14ac:dyDescent="0.25">
      <c r="A2176" s="661"/>
      <c r="B2176" s="73"/>
      <c r="C2176" s="73" t="s">
        <v>8535</v>
      </c>
      <c r="D2176" s="73"/>
      <c r="E2176" s="73"/>
      <c r="F2176" s="73"/>
      <c r="G2176" s="74" t="s">
        <v>3</v>
      </c>
      <c r="H2176" s="153">
        <v>2.5000000000000001E-2</v>
      </c>
      <c r="I2176" s="72"/>
      <c r="J2176" t="s">
        <v>6323</v>
      </c>
      <c r="K2176" s="658"/>
    </row>
    <row r="2177" spans="1:11" customFormat="1" x14ac:dyDescent="0.25">
      <c r="A2177" s="661"/>
      <c r="B2177" s="73"/>
      <c r="C2177" s="75" t="s">
        <v>8560</v>
      </c>
      <c r="D2177" s="73"/>
      <c r="E2177" s="73"/>
      <c r="F2177" s="73"/>
      <c r="G2177" s="74"/>
      <c r="H2177" s="153"/>
      <c r="I2177" s="72"/>
      <c r="K2177" s="658"/>
    </row>
    <row r="2178" spans="1:11" customFormat="1" x14ac:dyDescent="0.25">
      <c r="A2178" s="661"/>
      <c r="B2178" s="73"/>
      <c r="C2178" s="73" t="s">
        <v>8535</v>
      </c>
      <c r="D2178" s="73"/>
      <c r="E2178" s="73"/>
      <c r="F2178" s="73"/>
      <c r="G2178" s="74" t="s">
        <v>3</v>
      </c>
      <c r="H2178" s="153">
        <v>0.315</v>
      </c>
      <c r="I2178" s="72"/>
      <c r="J2178" t="s">
        <v>8559</v>
      </c>
      <c r="K2178" s="658"/>
    </row>
    <row r="2179" spans="1:11" customFormat="1" x14ac:dyDescent="0.25">
      <c r="A2179" s="661"/>
      <c r="B2179" s="75"/>
      <c r="C2179" s="73"/>
      <c r="D2179" s="73"/>
      <c r="E2179" s="73"/>
      <c r="F2179" s="73"/>
      <c r="G2179" s="74"/>
      <c r="H2179" s="153"/>
      <c r="I2179" s="72"/>
      <c r="K2179" s="658"/>
    </row>
    <row r="2180" spans="1:11" customFormat="1" x14ac:dyDescent="0.25">
      <c r="A2180" s="678"/>
      <c r="B2180" s="75" t="s">
        <v>8558</v>
      </c>
      <c r="C2180" s="73"/>
      <c r="D2180" s="73"/>
      <c r="E2180" s="73"/>
      <c r="F2180" s="73"/>
      <c r="G2180" s="74"/>
      <c r="H2180" s="153"/>
      <c r="I2180" s="72"/>
      <c r="K2180" s="658"/>
    </row>
    <row r="2181" spans="1:11" customFormat="1" x14ac:dyDescent="0.25">
      <c r="A2181" s="661"/>
      <c r="B2181" s="73" t="s">
        <v>140</v>
      </c>
      <c r="C2181" s="73"/>
      <c r="D2181" s="73"/>
      <c r="E2181" s="73"/>
      <c r="F2181" s="73"/>
      <c r="G2181" s="74" t="s">
        <v>3</v>
      </c>
      <c r="H2181" s="153">
        <f>0.006*3.14*2*0.08*1.2</f>
        <v>3.6172800000000005E-3</v>
      </c>
      <c r="I2181" s="72"/>
      <c r="K2181" s="658"/>
    </row>
    <row r="2182" spans="1:11" customFormat="1" ht="17.25" x14ac:dyDescent="0.25">
      <c r="A2182" s="661"/>
      <c r="B2182" s="73" t="s">
        <v>23</v>
      </c>
      <c r="C2182" s="73"/>
      <c r="D2182" s="73"/>
      <c r="E2182" s="73"/>
      <c r="F2182" s="73"/>
      <c r="G2182" s="74" t="s">
        <v>596</v>
      </c>
      <c r="H2182" s="153">
        <f>H2181*2</f>
        <v>7.234560000000001E-3</v>
      </c>
      <c r="I2182" s="72"/>
      <c r="K2182" s="658"/>
    </row>
    <row r="2183" spans="1:11" customFormat="1" x14ac:dyDescent="0.25">
      <c r="A2183" s="661"/>
      <c r="B2183" s="73" t="s">
        <v>142</v>
      </c>
      <c r="C2183" s="73"/>
      <c r="D2183" s="73"/>
      <c r="E2183" s="73"/>
      <c r="F2183" s="73"/>
      <c r="G2183" s="74" t="s">
        <v>3</v>
      </c>
      <c r="H2183" s="153">
        <f>H2181/4</f>
        <v>9.0432000000000012E-4</v>
      </c>
      <c r="I2183" s="72"/>
      <c r="K2183" s="658"/>
    </row>
    <row r="2184" spans="1:11" customFormat="1" x14ac:dyDescent="0.25">
      <c r="A2184" s="661"/>
      <c r="B2184" s="73" t="s">
        <v>143</v>
      </c>
      <c r="C2184" s="73"/>
      <c r="D2184" s="73"/>
      <c r="E2184" s="73"/>
      <c r="F2184" s="73"/>
      <c r="G2184" s="74" t="s">
        <v>3</v>
      </c>
      <c r="H2184" s="153">
        <f>H2185</f>
        <v>2.5132799999999997E-2</v>
      </c>
      <c r="I2184" s="72"/>
      <c r="K2184" s="658"/>
    </row>
    <row r="2185" spans="1:11" customFormat="1" x14ac:dyDescent="0.25">
      <c r="A2185" s="661"/>
      <c r="B2185" s="73" t="s">
        <v>8</v>
      </c>
      <c r="C2185" s="73"/>
      <c r="D2185" s="73"/>
      <c r="E2185" s="73"/>
      <c r="F2185" s="73"/>
      <c r="G2185" s="74" t="s">
        <v>3</v>
      </c>
      <c r="H2185" s="153">
        <f>H2186*0.85</f>
        <v>2.5132799999999997E-2</v>
      </c>
      <c r="I2185" s="72"/>
      <c r="K2185" s="658"/>
    </row>
    <row r="2186" spans="1:11" customFormat="1" x14ac:dyDescent="0.25">
      <c r="A2186" s="661"/>
      <c r="B2186" s="73" t="s">
        <v>5794</v>
      </c>
      <c r="C2186" s="73"/>
      <c r="D2186" s="73"/>
      <c r="E2186" s="73"/>
      <c r="F2186" s="73"/>
      <c r="G2186" s="74" t="s">
        <v>3</v>
      </c>
      <c r="H2186" s="153">
        <f>1.2*0.011*2*1.12</f>
        <v>2.9567999999999997E-2</v>
      </c>
      <c r="I2186" s="72"/>
      <c r="K2186" s="658"/>
    </row>
    <row r="2187" spans="1:11" customFormat="1" x14ac:dyDescent="0.25">
      <c r="A2187" s="661"/>
      <c r="B2187" s="100" t="s">
        <v>12</v>
      </c>
      <c r="C2187" s="73"/>
      <c r="D2187" s="73"/>
      <c r="E2187" s="73"/>
      <c r="F2187" s="73"/>
      <c r="G2187" s="74" t="s">
        <v>3</v>
      </c>
      <c r="H2187" s="153">
        <f>0.3*(H2186+H2185+H2184)</f>
        <v>2.3950079999999995E-2</v>
      </c>
      <c r="I2187" s="72"/>
      <c r="K2187" s="658"/>
    </row>
    <row r="2188" spans="1:11" customFormat="1" x14ac:dyDescent="0.25">
      <c r="A2188" s="661"/>
      <c r="B2188" s="75"/>
      <c r="C2188" s="75" t="s">
        <v>8557</v>
      </c>
      <c r="D2188" s="73"/>
      <c r="E2188" s="73"/>
      <c r="F2188" s="74"/>
      <c r="G2188" s="153"/>
      <c r="H2188" s="153"/>
      <c r="I2188" s="164"/>
      <c r="K2188" s="658"/>
    </row>
    <row r="2189" spans="1:11" customFormat="1" x14ac:dyDescent="0.25">
      <c r="A2189" s="661"/>
      <c r="B2189" s="75"/>
      <c r="C2189" s="73" t="s">
        <v>8535</v>
      </c>
      <c r="D2189" s="73"/>
      <c r="E2189" s="73"/>
      <c r="F2189" s="73"/>
      <c r="G2189" s="74" t="s">
        <v>3</v>
      </c>
      <c r="H2189" s="153">
        <v>0.16500000000000001</v>
      </c>
      <c r="I2189" s="72"/>
      <c r="J2189" t="s">
        <v>8556</v>
      </c>
      <c r="K2189" s="658"/>
    </row>
    <row r="2190" spans="1:11" customFormat="1" x14ac:dyDescent="0.25">
      <c r="A2190" s="661"/>
      <c r="B2190" s="75"/>
      <c r="C2190" s="73"/>
      <c r="D2190" s="73"/>
      <c r="E2190" s="73"/>
      <c r="F2190" s="73"/>
      <c r="G2190" s="74"/>
      <c r="H2190" s="153"/>
      <c r="I2190" s="72"/>
      <c r="K2190" s="658"/>
    </row>
    <row r="2191" spans="1:11" customFormat="1" x14ac:dyDescent="0.25">
      <c r="A2191" s="678"/>
      <c r="B2191" s="75" t="s">
        <v>8555</v>
      </c>
      <c r="C2191" s="73"/>
      <c r="D2191" s="73"/>
      <c r="E2191" s="73"/>
      <c r="F2191" s="73"/>
      <c r="G2191" s="74"/>
      <c r="H2191" s="153"/>
      <c r="I2191" s="72"/>
      <c r="K2191" s="658"/>
    </row>
    <row r="2192" spans="1:11" customFormat="1" x14ac:dyDescent="0.25">
      <c r="A2192" s="661"/>
      <c r="B2192" s="73" t="s">
        <v>140</v>
      </c>
      <c r="C2192" s="73"/>
      <c r="D2192" s="73"/>
      <c r="E2192" s="73"/>
      <c r="F2192" s="73"/>
      <c r="G2192" s="74" t="s">
        <v>3</v>
      </c>
      <c r="H2192" s="153">
        <f>0.006*3.14*2*0.08*1.2</f>
        <v>3.6172800000000005E-3</v>
      </c>
      <c r="I2192" s="72"/>
      <c r="K2192" s="658"/>
    </row>
    <row r="2193" spans="1:11" customFormat="1" ht="17.25" x14ac:dyDescent="0.25">
      <c r="A2193" s="661"/>
      <c r="B2193" s="73" t="s">
        <v>23</v>
      </c>
      <c r="C2193" s="73"/>
      <c r="D2193" s="73"/>
      <c r="E2193" s="73"/>
      <c r="F2193" s="73"/>
      <c r="G2193" s="74" t="s">
        <v>596</v>
      </c>
      <c r="H2193" s="153">
        <f>H2192*2</f>
        <v>7.234560000000001E-3</v>
      </c>
      <c r="I2193" s="72"/>
      <c r="K2193" s="658"/>
    </row>
    <row r="2194" spans="1:11" customFormat="1" x14ac:dyDescent="0.25">
      <c r="A2194" s="661"/>
      <c r="B2194" s="73" t="s">
        <v>142</v>
      </c>
      <c r="C2194" s="73"/>
      <c r="D2194" s="73"/>
      <c r="E2194" s="73"/>
      <c r="F2194" s="73"/>
      <c r="G2194" s="74" t="s">
        <v>3</v>
      </c>
      <c r="H2194" s="153">
        <f>H2192/4</f>
        <v>9.0432000000000012E-4</v>
      </c>
      <c r="I2194" s="72"/>
      <c r="K2194" s="658"/>
    </row>
    <row r="2195" spans="1:11" customFormat="1" x14ac:dyDescent="0.25">
      <c r="A2195" s="661"/>
      <c r="B2195" s="73" t="s">
        <v>143</v>
      </c>
      <c r="C2195" s="73"/>
      <c r="D2195" s="73"/>
      <c r="E2195" s="73"/>
      <c r="F2195" s="73"/>
      <c r="G2195" s="74" t="s">
        <v>3</v>
      </c>
      <c r="H2195" s="153">
        <f>H2196</f>
        <v>8.0000000000000002E-3</v>
      </c>
      <c r="I2195" s="72"/>
      <c r="K2195" s="658"/>
    </row>
    <row r="2196" spans="1:11" customFormat="1" x14ac:dyDescent="0.25">
      <c r="A2196" s="661"/>
      <c r="B2196" s="73" t="s">
        <v>8</v>
      </c>
      <c r="C2196" s="73"/>
      <c r="D2196" s="73"/>
      <c r="E2196" s="73"/>
      <c r="F2196" s="73"/>
      <c r="G2196" s="74" t="s">
        <v>3</v>
      </c>
      <c r="H2196" s="153">
        <v>8.0000000000000002E-3</v>
      </c>
      <c r="I2196" s="72"/>
      <c r="K2196" s="658"/>
    </row>
    <row r="2197" spans="1:11" customFormat="1" x14ac:dyDescent="0.25">
      <c r="A2197" s="661"/>
      <c r="B2197" s="73" t="s">
        <v>5794</v>
      </c>
      <c r="C2197" s="73"/>
      <c r="D2197" s="73"/>
      <c r="E2197" s="73"/>
      <c r="F2197" s="73"/>
      <c r="G2197" s="74" t="s">
        <v>3</v>
      </c>
      <c r="H2197" s="153">
        <f>0.2*0.011*2*1.9</f>
        <v>8.3599999999999994E-3</v>
      </c>
      <c r="I2197" s="72"/>
      <c r="K2197" s="658"/>
    </row>
    <row r="2198" spans="1:11" customFormat="1" x14ac:dyDescent="0.25">
      <c r="A2198" s="661"/>
      <c r="B2198" s="100" t="s">
        <v>12</v>
      </c>
      <c r="C2198" s="73"/>
      <c r="D2198" s="73"/>
      <c r="E2198" s="73"/>
      <c r="F2198" s="73"/>
      <c r="G2198" s="74" t="s">
        <v>3</v>
      </c>
      <c r="H2198" s="153">
        <f>0.3*(H2197+H2196+H2195)</f>
        <v>7.3079999999999994E-3</v>
      </c>
      <c r="I2198" s="72"/>
      <c r="K2198" s="658"/>
    </row>
    <row r="2199" spans="1:11" customFormat="1" x14ac:dyDescent="0.25">
      <c r="A2199" s="661"/>
      <c r="B2199" s="75"/>
      <c r="C2199" s="75" t="s">
        <v>8554</v>
      </c>
      <c r="D2199" s="73"/>
      <c r="E2199" s="73"/>
      <c r="F2199" s="74"/>
      <c r="G2199" s="153"/>
      <c r="H2199" s="153"/>
      <c r="I2199" s="164"/>
      <c r="K2199" s="658"/>
    </row>
    <row r="2200" spans="1:11" customFormat="1" x14ac:dyDescent="0.25">
      <c r="A2200" s="661"/>
      <c r="B2200" s="75"/>
      <c r="C2200" s="73" t="s">
        <v>8535</v>
      </c>
      <c r="D2200" s="73"/>
      <c r="E2200" s="73"/>
      <c r="F2200" s="73"/>
      <c r="G2200" s="74" t="s">
        <v>3</v>
      </c>
      <c r="H2200" s="153">
        <v>0.03</v>
      </c>
      <c r="I2200" s="72"/>
      <c r="J2200" t="s">
        <v>8553</v>
      </c>
      <c r="K2200" s="658"/>
    </row>
    <row r="2201" spans="1:11" customFormat="1" x14ac:dyDescent="0.25">
      <c r="A2201" s="661"/>
      <c r="B2201" s="75"/>
      <c r="C2201" s="73"/>
      <c r="D2201" s="73"/>
      <c r="E2201" s="73"/>
      <c r="F2201" s="73"/>
      <c r="G2201" s="74"/>
      <c r="H2201" s="153"/>
      <c r="I2201" s="72"/>
      <c r="K2201" s="658"/>
    </row>
    <row r="2202" spans="1:11" customFormat="1" x14ac:dyDescent="0.25">
      <c r="A2202" s="678"/>
      <c r="B2202" s="75" t="s">
        <v>8552</v>
      </c>
      <c r="C2202" s="73"/>
      <c r="D2202" s="73"/>
      <c r="E2202" s="73"/>
      <c r="F2202" s="73"/>
      <c r="G2202" s="74"/>
      <c r="H2202" s="153"/>
      <c r="I2202" s="72"/>
      <c r="K2202" s="658"/>
    </row>
    <row r="2203" spans="1:11" customFormat="1" x14ac:dyDescent="0.25">
      <c r="A2203" s="661"/>
      <c r="B2203" s="73" t="s">
        <v>140</v>
      </c>
      <c r="C2203" s="73"/>
      <c r="D2203" s="73"/>
      <c r="E2203" s="73"/>
      <c r="F2203" s="73"/>
      <c r="G2203" s="74" t="s">
        <v>3</v>
      </c>
      <c r="H2203" s="153">
        <f>0.006*3.14*6*0.08*1.2</f>
        <v>1.0851840000000001E-2</v>
      </c>
      <c r="I2203" s="72"/>
      <c r="K2203" s="658"/>
    </row>
    <row r="2204" spans="1:11" customFormat="1" ht="17.25" x14ac:dyDescent="0.25">
      <c r="A2204" s="661"/>
      <c r="B2204" s="73" t="s">
        <v>23</v>
      </c>
      <c r="C2204" s="73"/>
      <c r="D2204" s="73"/>
      <c r="E2204" s="73"/>
      <c r="F2204" s="73"/>
      <c r="G2204" s="74" t="s">
        <v>596</v>
      </c>
      <c r="H2204" s="153">
        <f>H2203*2</f>
        <v>2.1703680000000003E-2</v>
      </c>
      <c r="I2204" s="72"/>
      <c r="K2204" s="658"/>
    </row>
    <row r="2205" spans="1:11" customFormat="1" x14ac:dyDescent="0.25">
      <c r="A2205" s="661"/>
      <c r="B2205" s="73" t="s">
        <v>142</v>
      </c>
      <c r="C2205" s="73"/>
      <c r="D2205" s="73"/>
      <c r="E2205" s="73"/>
      <c r="F2205" s="73"/>
      <c r="G2205" s="74" t="s">
        <v>3</v>
      </c>
      <c r="H2205" s="153">
        <f>H2203/4</f>
        <v>2.7129600000000004E-3</v>
      </c>
      <c r="I2205" s="72"/>
      <c r="K2205" s="658"/>
    </row>
    <row r="2206" spans="1:11" customFormat="1" x14ac:dyDescent="0.25">
      <c r="A2206" s="661"/>
      <c r="B2206" s="73" t="s">
        <v>143</v>
      </c>
      <c r="C2206" s="73"/>
      <c r="D2206" s="73"/>
      <c r="E2206" s="73"/>
      <c r="F2206" s="73"/>
      <c r="G2206" s="74" t="s">
        <v>3</v>
      </c>
      <c r="H2206" s="153">
        <f>H2207</f>
        <v>1.452E-2</v>
      </c>
      <c r="I2206" s="72"/>
      <c r="K2206" s="658"/>
    </row>
    <row r="2207" spans="1:11" customFormat="1" x14ac:dyDescent="0.25">
      <c r="A2207" s="661"/>
      <c r="B2207" s="73" t="s">
        <v>8</v>
      </c>
      <c r="C2207" s="73"/>
      <c r="D2207" s="73"/>
      <c r="E2207" s="73"/>
      <c r="F2207" s="73"/>
      <c r="G2207" s="74" t="s">
        <v>3</v>
      </c>
      <c r="H2207" s="153">
        <f>H2208</f>
        <v>1.452E-2</v>
      </c>
      <c r="I2207" s="72"/>
      <c r="K2207" s="658"/>
    </row>
    <row r="2208" spans="1:11" customFormat="1" x14ac:dyDescent="0.25">
      <c r="A2208" s="661"/>
      <c r="B2208" s="73" t="s">
        <v>5794</v>
      </c>
      <c r="C2208" s="73"/>
      <c r="D2208" s="73"/>
      <c r="E2208" s="73"/>
      <c r="F2208" s="73"/>
      <c r="G2208" s="74" t="s">
        <v>3</v>
      </c>
      <c r="H2208" s="153">
        <f>0.5*0.011*2*1.32</f>
        <v>1.452E-2</v>
      </c>
      <c r="I2208" s="72"/>
      <c r="K2208" s="658"/>
    </row>
    <row r="2209" spans="1:11" customFormat="1" x14ac:dyDescent="0.25">
      <c r="A2209" s="661"/>
      <c r="B2209" s="100" t="s">
        <v>12</v>
      </c>
      <c r="C2209" s="73"/>
      <c r="D2209" s="73"/>
      <c r="E2209" s="73"/>
      <c r="F2209" s="73"/>
      <c r="G2209" s="74" t="s">
        <v>3</v>
      </c>
      <c r="H2209" s="153">
        <f>0.3*(H2208+H2207+H2206)</f>
        <v>1.3068E-2</v>
      </c>
      <c r="I2209" s="72"/>
      <c r="K2209" s="658"/>
    </row>
    <row r="2210" spans="1:11" customFormat="1" x14ac:dyDescent="0.25">
      <c r="A2210" s="661"/>
      <c r="B2210" s="75"/>
      <c r="C2210" s="75" t="s">
        <v>8551</v>
      </c>
      <c r="D2210" s="73"/>
      <c r="E2210" s="73"/>
      <c r="F2210" s="74"/>
      <c r="G2210" s="153"/>
      <c r="H2210" s="153"/>
      <c r="I2210" s="164"/>
      <c r="K2210" s="658"/>
    </row>
    <row r="2211" spans="1:11" customFormat="1" x14ac:dyDescent="0.25">
      <c r="A2211" s="661"/>
      <c r="B2211" s="75"/>
      <c r="C2211" s="73" t="s">
        <v>8535</v>
      </c>
      <c r="D2211" s="73"/>
      <c r="E2211" s="73"/>
      <c r="F2211" s="73"/>
      <c r="G2211" s="74" t="s">
        <v>3</v>
      </c>
      <c r="H2211" s="153">
        <v>0.05</v>
      </c>
      <c r="I2211" s="72"/>
      <c r="J2211" t="s">
        <v>6306</v>
      </c>
      <c r="K2211" s="658"/>
    </row>
    <row r="2212" spans="1:11" customFormat="1" x14ac:dyDescent="0.25">
      <c r="A2212" s="661"/>
      <c r="B2212" s="75"/>
      <c r="C2212" s="75" t="s">
        <v>8550</v>
      </c>
      <c r="D2212" s="73"/>
      <c r="E2212" s="73"/>
      <c r="F2212" s="74"/>
      <c r="G2212" s="153"/>
      <c r="H2212" s="153"/>
      <c r="I2212" s="164"/>
      <c r="K2212" s="658"/>
    </row>
    <row r="2213" spans="1:11" customFormat="1" x14ac:dyDescent="0.25">
      <c r="A2213" s="661"/>
      <c r="B2213" s="75"/>
      <c r="C2213" s="73" t="s">
        <v>8535</v>
      </c>
      <c r="D2213" s="73"/>
      <c r="E2213" s="73"/>
      <c r="F2213" s="73"/>
      <c r="G2213" s="74" t="s">
        <v>3</v>
      </c>
      <c r="H2213" s="153">
        <v>1.2E-2</v>
      </c>
      <c r="I2213" s="72"/>
      <c r="J2213" t="s">
        <v>2463</v>
      </c>
      <c r="K2213" s="658"/>
    </row>
    <row r="2214" spans="1:11" customFormat="1" x14ac:dyDescent="0.25">
      <c r="A2214" s="661"/>
      <c r="B2214" s="75"/>
      <c r="C2214" s="75" t="s">
        <v>8549</v>
      </c>
      <c r="D2214" s="73"/>
      <c r="E2214" s="73"/>
      <c r="F2214" s="74"/>
      <c r="G2214" s="153"/>
      <c r="H2214" s="153"/>
      <c r="I2214" s="164"/>
      <c r="K2214" s="658"/>
    </row>
    <row r="2215" spans="1:11" customFormat="1" x14ac:dyDescent="0.25">
      <c r="A2215" s="661"/>
      <c r="B2215" s="75"/>
      <c r="C2215" s="73" t="s">
        <v>8535</v>
      </c>
      <c r="D2215" s="73"/>
      <c r="E2215" s="73"/>
      <c r="F2215" s="73"/>
      <c r="G2215" s="74" t="s">
        <v>3</v>
      </c>
      <c r="H2215" s="153">
        <v>1.2E-2</v>
      </c>
      <c r="I2215" s="72"/>
      <c r="J2215" t="s">
        <v>8548</v>
      </c>
      <c r="K2215" s="658"/>
    </row>
    <row r="2216" spans="1:11" customFormat="1" x14ac:dyDescent="0.25">
      <c r="A2216" s="661"/>
      <c r="B2216" s="75"/>
      <c r="C2216" s="73"/>
      <c r="D2216" s="73"/>
      <c r="E2216" s="73"/>
      <c r="F2216" s="73"/>
      <c r="G2216" s="74"/>
      <c r="H2216" s="153"/>
      <c r="I2216" s="72"/>
      <c r="K2216" s="658"/>
    </row>
    <row r="2217" spans="1:11" customFormat="1" x14ac:dyDescent="0.25">
      <c r="A2217" s="678"/>
      <c r="B2217" s="75" t="s">
        <v>8547</v>
      </c>
      <c r="C2217" s="73"/>
      <c r="D2217" s="73"/>
      <c r="E2217" s="73"/>
      <c r="F2217" s="73"/>
      <c r="G2217" s="74"/>
      <c r="H2217" s="153"/>
      <c r="I2217" s="72"/>
      <c r="K2217" s="658"/>
    </row>
    <row r="2218" spans="1:11" customFormat="1" x14ac:dyDescent="0.25">
      <c r="A2218" s="661"/>
      <c r="B2218" s="73" t="s">
        <v>5843</v>
      </c>
      <c r="C2218" s="73"/>
      <c r="D2218" s="73"/>
      <c r="E2218" s="73"/>
      <c r="F2218" s="73"/>
      <c r="G2218" s="74" t="s">
        <v>3</v>
      </c>
      <c r="H2218" s="153">
        <f>0.006*3.14*2*0.08*1.2</f>
        <v>3.6172800000000005E-3</v>
      </c>
      <c r="I2218" s="72"/>
      <c r="K2218" s="658"/>
    </row>
    <row r="2219" spans="1:11" customFormat="1" x14ac:dyDescent="0.25">
      <c r="A2219" s="661"/>
      <c r="B2219" s="73" t="s">
        <v>1994</v>
      </c>
      <c r="C2219" s="73"/>
      <c r="D2219" s="73"/>
      <c r="E2219" s="73"/>
      <c r="F2219" s="73"/>
      <c r="G2219" s="74" t="s">
        <v>3</v>
      </c>
      <c r="H2219" s="153">
        <f>H2218/3</f>
        <v>1.2057600000000002E-3</v>
      </c>
      <c r="I2219" s="72"/>
      <c r="K2219" s="658"/>
    </row>
    <row r="2220" spans="1:11" customFormat="1" x14ac:dyDescent="0.25">
      <c r="A2220" s="661"/>
      <c r="B2220" s="73" t="s">
        <v>1993</v>
      </c>
      <c r="C2220" s="73"/>
      <c r="D2220" s="73"/>
      <c r="E2220" s="73"/>
      <c r="F2220" s="73"/>
      <c r="G2220" s="74" t="s">
        <v>3</v>
      </c>
      <c r="H2220" s="153">
        <f>H2218/2</f>
        <v>1.8086400000000002E-3</v>
      </c>
      <c r="I2220" s="72"/>
      <c r="K2220" s="658"/>
    </row>
    <row r="2221" spans="1:11" customFormat="1" x14ac:dyDescent="0.25">
      <c r="A2221" s="661"/>
      <c r="B2221" s="73" t="s">
        <v>143</v>
      </c>
      <c r="C2221" s="73"/>
      <c r="D2221" s="73"/>
      <c r="E2221" s="73"/>
      <c r="F2221" s="73"/>
      <c r="G2221" s="74" t="s">
        <v>3</v>
      </c>
      <c r="H2221" s="153">
        <f>H2222</f>
        <v>9.6800000000000011E-3</v>
      </c>
      <c r="I2221" s="72"/>
      <c r="K2221" s="658"/>
    </row>
    <row r="2222" spans="1:11" customFormat="1" x14ac:dyDescent="0.25">
      <c r="A2222" s="661"/>
      <c r="B2222" s="73" t="s">
        <v>8</v>
      </c>
      <c r="C2222" s="73"/>
      <c r="D2222" s="73"/>
      <c r="E2222" s="73"/>
      <c r="F2222" s="73"/>
      <c r="G2222" s="74" t="s">
        <v>3</v>
      </c>
      <c r="H2222" s="153">
        <f>H2223</f>
        <v>9.6800000000000011E-3</v>
      </c>
      <c r="I2222" s="72"/>
      <c r="K2222" s="658"/>
    </row>
    <row r="2223" spans="1:11" customFormat="1" x14ac:dyDescent="0.25">
      <c r="A2223" s="661"/>
      <c r="B2223" s="73" t="s">
        <v>5794</v>
      </c>
      <c r="C2223" s="73"/>
      <c r="D2223" s="73"/>
      <c r="E2223" s="73"/>
      <c r="F2223" s="73"/>
      <c r="G2223" s="74" t="s">
        <v>3</v>
      </c>
      <c r="H2223" s="153">
        <f>0.4*0.011*2*1.1</f>
        <v>9.6800000000000011E-3</v>
      </c>
      <c r="I2223" s="72"/>
      <c r="K2223" s="658"/>
    </row>
    <row r="2224" spans="1:11" customFormat="1" x14ac:dyDescent="0.25">
      <c r="A2224" s="661"/>
      <c r="B2224" s="100" t="s">
        <v>12</v>
      </c>
      <c r="C2224" s="73"/>
      <c r="D2224" s="73"/>
      <c r="E2224" s="73"/>
      <c r="F2224" s="73"/>
      <c r="G2224" s="74" t="s">
        <v>3</v>
      </c>
      <c r="H2224" s="153">
        <f>0.3*(H2223+H2222+H2221)</f>
        <v>8.712000000000001E-3</v>
      </c>
      <c r="I2224" s="72"/>
      <c r="K2224" s="658"/>
    </row>
    <row r="2225" spans="1:11" customFormat="1" x14ac:dyDescent="0.25">
      <c r="A2225" s="661"/>
      <c r="B2225" s="100"/>
      <c r="C2225" s="75" t="s">
        <v>8546</v>
      </c>
      <c r="D2225" s="73"/>
      <c r="E2225" s="73"/>
      <c r="F2225" s="74"/>
      <c r="G2225" s="153"/>
      <c r="H2225" s="153"/>
      <c r="I2225" s="164"/>
      <c r="K2225" s="658"/>
    </row>
    <row r="2226" spans="1:11" customFormat="1" x14ac:dyDescent="0.25">
      <c r="A2226" s="661"/>
      <c r="B2226" s="100"/>
      <c r="C2226" s="73" t="s">
        <v>1997</v>
      </c>
      <c r="D2226" s="73"/>
      <c r="E2226" s="73"/>
      <c r="F2226" s="73"/>
      <c r="G2226" s="74" t="s">
        <v>3</v>
      </c>
      <c r="H2226" s="153">
        <v>6.2E-2</v>
      </c>
      <c r="I2226" s="72"/>
      <c r="J2226" t="s">
        <v>8545</v>
      </c>
      <c r="K2226" s="658"/>
    </row>
    <row r="2227" spans="1:11" customFormat="1" x14ac:dyDescent="0.25">
      <c r="A2227" s="661"/>
      <c r="B2227" s="75"/>
      <c r="C2227" s="73"/>
      <c r="D2227" s="73"/>
      <c r="E2227" s="73"/>
      <c r="F2227" s="73"/>
      <c r="G2227" s="74"/>
      <c r="H2227" s="153"/>
      <c r="I2227" s="72"/>
      <c r="K2227" s="658"/>
    </row>
    <row r="2228" spans="1:11" customFormat="1" x14ac:dyDescent="0.25">
      <c r="A2228" s="678"/>
      <c r="B2228" s="75" t="s">
        <v>8544</v>
      </c>
      <c r="C2228" s="73"/>
      <c r="D2228" s="73"/>
      <c r="E2228" s="73"/>
      <c r="F2228" s="73"/>
      <c r="G2228" s="74"/>
      <c r="H2228" s="153"/>
      <c r="I2228" s="72"/>
      <c r="K2228" s="658"/>
    </row>
    <row r="2229" spans="1:11" customFormat="1" x14ac:dyDescent="0.25">
      <c r="A2229" s="661"/>
      <c r="B2229" s="77" t="s">
        <v>1054</v>
      </c>
      <c r="C2229" s="73"/>
      <c r="D2229" s="73"/>
      <c r="E2229" s="73"/>
      <c r="F2229" s="73"/>
      <c r="G2229" s="74" t="s">
        <v>3</v>
      </c>
      <c r="H2229" s="153">
        <f>0.15*0.08*1.5</f>
        <v>1.8000000000000002E-2</v>
      </c>
      <c r="I2229" s="72"/>
      <c r="K2229" s="658"/>
    </row>
    <row r="2230" spans="1:11" customFormat="1" ht="17.25" x14ac:dyDescent="0.25">
      <c r="A2230" s="661"/>
      <c r="B2230" s="77" t="s">
        <v>1055</v>
      </c>
      <c r="C2230" s="73"/>
      <c r="D2230" s="73"/>
      <c r="E2230" s="73"/>
      <c r="F2230" s="73"/>
      <c r="G2230" s="74" t="s">
        <v>596</v>
      </c>
      <c r="H2230" s="153">
        <f>H2229</f>
        <v>1.8000000000000002E-2</v>
      </c>
      <c r="I2230" s="72"/>
      <c r="K2230" s="658"/>
    </row>
    <row r="2231" spans="1:11" customFormat="1" x14ac:dyDescent="0.25">
      <c r="A2231" s="661"/>
      <c r="B2231" s="73" t="s">
        <v>8</v>
      </c>
      <c r="C2231" s="73"/>
      <c r="D2231" s="73"/>
      <c r="E2231" s="73"/>
      <c r="F2231" s="73"/>
      <c r="G2231" s="74" t="s">
        <v>3</v>
      </c>
      <c r="H2231" s="153">
        <f>H2232</f>
        <v>2.0358000000000001E-2</v>
      </c>
      <c r="I2231" s="72"/>
      <c r="K2231" s="658"/>
    </row>
    <row r="2232" spans="1:11" customFormat="1" x14ac:dyDescent="0.25">
      <c r="A2232" s="661"/>
      <c r="B2232" s="73" t="s">
        <v>6248</v>
      </c>
      <c r="C2232" s="73"/>
      <c r="D2232" s="73"/>
      <c r="E2232" s="73"/>
      <c r="F2232" s="73"/>
      <c r="G2232" s="74" t="s">
        <v>3</v>
      </c>
      <c r="H2232" s="153">
        <f>0.18*0.13*2*0.15*2*1.45</f>
        <v>2.0358000000000001E-2</v>
      </c>
      <c r="I2232" s="72"/>
      <c r="K2232" s="658"/>
    </row>
    <row r="2233" spans="1:11" customFormat="1" x14ac:dyDescent="0.25">
      <c r="A2233" s="661"/>
      <c r="B2233" s="100" t="s">
        <v>12</v>
      </c>
      <c r="C2233" s="73"/>
      <c r="D2233" s="73"/>
      <c r="E2233" s="73"/>
      <c r="F2233" s="73"/>
      <c r="G2233" s="74" t="s">
        <v>3</v>
      </c>
      <c r="H2233" s="153">
        <f>0.3*(H2232+H2231)</f>
        <v>1.22148E-2</v>
      </c>
      <c r="I2233" s="72"/>
      <c r="K2233" s="658"/>
    </row>
    <row r="2234" spans="1:11" customFormat="1" x14ac:dyDescent="0.25">
      <c r="A2234" s="661"/>
      <c r="B2234" s="75"/>
      <c r="C2234" s="75" t="s">
        <v>8543</v>
      </c>
      <c r="D2234" s="73"/>
      <c r="E2234" s="73"/>
      <c r="F2234" s="73"/>
      <c r="G2234" s="74"/>
      <c r="H2234" s="153"/>
      <c r="I2234" s="72"/>
      <c r="K2234" s="658"/>
    </row>
    <row r="2235" spans="1:11" customFormat="1" x14ac:dyDescent="0.25">
      <c r="A2235" s="661"/>
      <c r="B2235" s="75"/>
      <c r="C2235" s="73" t="s">
        <v>588</v>
      </c>
      <c r="D2235" s="73"/>
      <c r="E2235" s="73"/>
      <c r="F2235" s="73"/>
      <c r="G2235" s="74" t="s">
        <v>3</v>
      </c>
      <c r="H2235" s="153">
        <f>0.28*0.03*5*8*1.16</f>
        <v>0.38976000000000005</v>
      </c>
      <c r="I2235" s="72"/>
      <c r="K2235" s="658"/>
    </row>
    <row r="2236" spans="1:11" customFormat="1" x14ac:dyDescent="0.25">
      <c r="A2236" s="661"/>
      <c r="B2236" s="75"/>
      <c r="C2236" s="75" t="s">
        <v>8542</v>
      </c>
      <c r="D2236" s="73"/>
      <c r="E2236" s="73"/>
      <c r="F2236" s="73"/>
      <c r="G2236" s="74"/>
      <c r="H2236" s="153"/>
      <c r="I2236" s="72"/>
      <c r="K2236" s="658"/>
    </row>
    <row r="2237" spans="1:11" customFormat="1" x14ac:dyDescent="0.25">
      <c r="A2237" s="661"/>
      <c r="B2237" s="75"/>
      <c r="C2237" s="73" t="s">
        <v>588</v>
      </c>
      <c r="D2237" s="73"/>
      <c r="E2237" s="73"/>
      <c r="F2237" s="73"/>
      <c r="G2237" s="74" t="s">
        <v>3</v>
      </c>
      <c r="H2237" s="153">
        <f>0.27*0.03*5*8*1.16</f>
        <v>0.3758399999999999</v>
      </c>
      <c r="I2237" s="72"/>
      <c r="K2237" s="658"/>
    </row>
    <row r="2238" spans="1:11" customFormat="1" x14ac:dyDescent="0.25">
      <c r="A2238" s="661"/>
      <c r="B2238" s="75"/>
      <c r="C2238" s="75" t="s">
        <v>8541</v>
      </c>
      <c r="D2238" s="73"/>
      <c r="E2238" s="73"/>
      <c r="F2238" s="73"/>
      <c r="G2238" s="74"/>
      <c r="H2238" s="153"/>
      <c r="I2238" s="72"/>
      <c r="K2238" s="658"/>
    </row>
    <row r="2239" spans="1:11" customFormat="1" x14ac:dyDescent="0.25">
      <c r="A2239" s="661"/>
      <c r="B2239" s="75"/>
      <c r="C2239" s="73" t="s">
        <v>588</v>
      </c>
      <c r="D2239" s="73"/>
      <c r="E2239" s="73"/>
      <c r="F2239" s="73"/>
      <c r="G2239" s="74" t="s">
        <v>3</v>
      </c>
      <c r="H2239" s="153">
        <f>0.185*0.135*5*8*1.151</f>
        <v>1.1498490000000001</v>
      </c>
      <c r="I2239" s="72"/>
      <c r="K2239" s="658"/>
    </row>
    <row r="2240" spans="1:11" customFormat="1" x14ac:dyDescent="0.25">
      <c r="A2240" s="661"/>
      <c r="B2240" s="75"/>
      <c r="C2240" s="73"/>
      <c r="D2240" s="73"/>
      <c r="E2240" s="73"/>
      <c r="F2240" s="73"/>
      <c r="G2240" s="74"/>
      <c r="H2240" s="153"/>
      <c r="I2240" s="72"/>
      <c r="K2240" s="658"/>
    </row>
    <row r="2241" spans="1:11" customFormat="1" x14ac:dyDescent="0.25">
      <c r="A2241" s="678"/>
      <c r="B2241" s="75" t="s">
        <v>8540</v>
      </c>
      <c r="C2241" s="73"/>
      <c r="D2241" s="73"/>
      <c r="E2241" s="73"/>
      <c r="F2241" s="73"/>
      <c r="G2241" s="74"/>
      <c r="H2241" s="153"/>
      <c r="I2241" s="72"/>
      <c r="K2241" s="658"/>
    </row>
    <row r="2242" spans="1:11" customFormat="1" x14ac:dyDescent="0.25">
      <c r="A2242" s="661"/>
      <c r="B2242" s="73" t="s">
        <v>140</v>
      </c>
      <c r="C2242" s="73"/>
      <c r="D2242" s="73"/>
      <c r="E2242" s="73"/>
      <c r="F2242" s="73"/>
      <c r="G2242" s="74" t="s">
        <v>3</v>
      </c>
      <c r="H2242" s="153">
        <f>0.006*3.14*2*0.08*1.2</f>
        <v>3.6172800000000005E-3</v>
      </c>
      <c r="I2242" s="72"/>
      <c r="K2242" s="658"/>
    </row>
    <row r="2243" spans="1:11" customFormat="1" ht="17.25" x14ac:dyDescent="0.25">
      <c r="A2243" s="661"/>
      <c r="B2243" s="73" t="s">
        <v>23</v>
      </c>
      <c r="C2243" s="73"/>
      <c r="D2243" s="73"/>
      <c r="E2243" s="73"/>
      <c r="F2243" s="73"/>
      <c r="G2243" s="74" t="s">
        <v>596</v>
      </c>
      <c r="H2243" s="153">
        <f>H2242*2</f>
        <v>7.234560000000001E-3</v>
      </c>
      <c r="I2243" s="72"/>
      <c r="K2243" s="658"/>
    </row>
    <row r="2244" spans="1:11" customFormat="1" x14ac:dyDescent="0.25">
      <c r="A2244" s="661"/>
      <c r="B2244" s="73" t="s">
        <v>142</v>
      </c>
      <c r="C2244" s="73"/>
      <c r="D2244" s="73"/>
      <c r="E2244" s="73"/>
      <c r="F2244" s="73"/>
      <c r="G2244" s="74" t="s">
        <v>3</v>
      </c>
      <c r="H2244" s="153">
        <f>H2242/4</f>
        <v>9.0432000000000012E-4</v>
      </c>
      <c r="I2244" s="72"/>
      <c r="K2244" s="658"/>
    </row>
    <row r="2245" spans="1:11" customFormat="1" x14ac:dyDescent="0.25">
      <c r="A2245" s="661"/>
      <c r="B2245" s="73" t="s">
        <v>143</v>
      </c>
      <c r="C2245" s="73"/>
      <c r="D2245" s="73"/>
      <c r="E2245" s="73"/>
      <c r="F2245" s="73"/>
      <c r="G2245" s="74" t="s">
        <v>3</v>
      </c>
      <c r="H2245" s="153">
        <f>H2246</f>
        <v>3.5217600000000002E-2</v>
      </c>
      <c r="I2245" s="72"/>
      <c r="K2245" s="658"/>
    </row>
    <row r="2246" spans="1:11" customFormat="1" x14ac:dyDescent="0.25">
      <c r="A2246" s="661"/>
      <c r="B2246" s="73" t="s">
        <v>8</v>
      </c>
      <c r="C2246" s="73"/>
      <c r="D2246" s="73"/>
      <c r="E2246" s="73"/>
      <c r="F2246" s="73"/>
      <c r="G2246" s="74" t="s">
        <v>3</v>
      </c>
      <c r="H2246" s="153">
        <f>H2247*0.87</f>
        <v>3.5217600000000002E-2</v>
      </c>
      <c r="I2246" s="72"/>
      <c r="K2246" s="658"/>
    </row>
    <row r="2247" spans="1:11" customFormat="1" x14ac:dyDescent="0.25">
      <c r="A2247" s="661"/>
      <c r="B2247" s="73" t="s">
        <v>5794</v>
      </c>
      <c r="C2247" s="73"/>
      <c r="D2247" s="73"/>
      <c r="E2247" s="73"/>
      <c r="F2247" s="73"/>
      <c r="G2247" s="74" t="s">
        <v>3</v>
      </c>
      <c r="H2247" s="153">
        <f>1.6*0.011*2*1.15</f>
        <v>4.0480000000000002E-2</v>
      </c>
      <c r="I2247" s="72"/>
      <c r="K2247" s="658"/>
    </row>
    <row r="2248" spans="1:11" customFormat="1" x14ac:dyDescent="0.25">
      <c r="A2248" s="661"/>
      <c r="B2248" s="100" t="s">
        <v>12</v>
      </c>
      <c r="C2248" s="73"/>
      <c r="D2248" s="73"/>
      <c r="E2248" s="73"/>
      <c r="F2248" s="73"/>
      <c r="G2248" s="74" t="s">
        <v>3</v>
      </c>
      <c r="H2248" s="153">
        <f>0.3*(H2247+H2246+H2245)</f>
        <v>3.3274560000000002E-2</v>
      </c>
      <c r="I2248" s="72"/>
      <c r="K2248" s="658"/>
    </row>
    <row r="2249" spans="1:11" customFormat="1" x14ac:dyDescent="0.25">
      <c r="A2249" s="661"/>
      <c r="B2249" s="100"/>
      <c r="C2249" s="75" t="s">
        <v>8539</v>
      </c>
      <c r="D2249" s="73"/>
      <c r="E2249" s="73"/>
      <c r="F2249" s="73"/>
      <c r="G2249" s="74"/>
      <c r="H2249" s="153"/>
      <c r="I2249" s="72"/>
      <c r="K2249" s="658"/>
    </row>
    <row r="2250" spans="1:11" customFormat="1" x14ac:dyDescent="0.25">
      <c r="A2250" s="661"/>
      <c r="B2250" s="100"/>
      <c r="C2250" s="73" t="s">
        <v>8535</v>
      </c>
      <c r="D2250" s="73"/>
      <c r="E2250" s="73"/>
      <c r="F2250" s="73"/>
      <c r="G2250" s="74" t="s">
        <v>3</v>
      </c>
      <c r="H2250" s="153">
        <v>0.21</v>
      </c>
      <c r="I2250" s="72"/>
      <c r="J2250" t="s">
        <v>8538</v>
      </c>
      <c r="K2250" s="658"/>
    </row>
    <row r="2251" spans="1:11" customFormat="1" x14ac:dyDescent="0.25">
      <c r="A2251" s="661"/>
      <c r="B2251" s="75"/>
      <c r="C2251" s="73"/>
      <c r="D2251" s="73"/>
      <c r="E2251" s="73"/>
      <c r="F2251" s="73"/>
      <c r="G2251" s="74"/>
      <c r="H2251" s="153"/>
      <c r="I2251" s="72"/>
      <c r="K2251" s="658"/>
    </row>
    <row r="2252" spans="1:11" customFormat="1" x14ac:dyDescent="0.25">
      <c r="A2252" s="678"/>
      <c r="B2252" s="75" t="s">
        <v>8537</v>
      </c>
      <c r="C2252" s="73"/>
      <c r="D2252" s="73"/>
      <c r="E2252" s="73"/>
      <c r="F2252" s="73"/>
      <c r="G2252" s="74"/>
      <c r="H2252" s="153"/>
      <c r="I2252" s="72"/>
      <c r="K2252" s="658"/>
    </row>
    <row r="2253" spans="1:11" customFormat="1" x14ac:dyDescent="0.25">
      <c r="A2253" s="661"/>
      <c r="B2253" s="73" t="s">
        <v>140</v>
      </c>
      <c r="C2253" s="73"/>
      <c r="D2253" s="73"/>
      <c r="E2253" s="73"/>
      <c r="F2253" s="73"/>
      <c r="G2253" s="74" t="s">
        <v>3</v>
      </c>
      <c r="H2253" s="153">
        <f>0.006*3.14*2*0.08*1.2</f>
        <v>3.6172800000000005E-3</v>
      </c>
      <c r="I2253" s="72"/>
      <c r="K2253" s="658"/>
    </row>
    <row r="2254" spans="1:11" customFormat="1" ht="17.25" x14ac:dyDescent="0.25">
      <c r="A2254" s="661"/>
      <c r="B2254" s="73" t="s">
        <v>23</v>
      </c>
      <c r="C2254" s="73"/>
      <c r="D2254" s="73"/>
      <c r="E2254" s="73"/>
      <c r="F2254" s="73"/>
      <c r="G2254" s="74" t="s">
        <v>596</v>
      </c>
      <c r="H2254" s="153">
        <f>H2253*2</f>
        <v>7.234560000000001E-3</v>
      </c>
      <c r="I2254" s="72"/>
      <c r="K2254" s="658"/>
    </row>
    <row r="2255" spans="1:11" customFormat="1" x14ac:dyDescent="0.25">
      <c r="A2255" s="661"/>
      <c r="B2255" s="73" t="s">
        <v>142</v>
      </c>
      <c r="C2255" s="73"/>
      <c r="D2255" s="73"/>
      <c r="E2255" s="73"/>
      <c r="F2255" s="73"/>
      <c r="G2255" s="74" t="s">
        <v>3</v>
      </c>
      <c r="H2255" s="153">
        <f>H2253/4</f>
        <v>9.0432000000000012E-4</v>
      </c>
      <c r="I2255" s="72"/>
      <c r="K2255" s="658"/>
    </row>
    <row r="2256" spans="1:11" customFormat="1" x14ac:dyDescent="0.25">
      <c r="A2256" s="661"/>
      <c r="B2256" s="73" t="s">
        <v>143</v>
      </c>
      <c r="C2256" s="73"/>
      <c r="D2256" s="73"/>
      <c r="E2256" s="73"/>
      <c r="F2256" s="73"/>
      <c r="G2256" s="74" t="s">
        <v>3</v>
      </c>
      <c r="H2256" s="153">
        <f>H2257</f>
        <v>1.7608800000000001E-2</v>
      </c>
      <c r="I2256" s="72"/>
      <c r="K2256" s="658"/>
    </row>
    <row r="2257" spans="1:11" customFormat="1" x14ac:dyDescent="0.25">
      <c r="A2257" s="661"/>
      <c r="B2257" s="73" t="s">
        <v>8</v>
      </c>
      <c r="C2257" s="73"/>
      <c r="D2257" s="73"/>
      <c r="E2257" s="73"/>
      <c r="F2257" s="73"/>
      <c r="G2257" s="74" t="s">
        <v>3</v>
      </c>
      <c r="H2257" s="153">
        <f>H2258*0.87</f>
        <v>1.7608800000000001E-2</v>
      </c>
      <c r="I2257" s="72"/>
      <c r="K2257" s="658"/>
    </row>
    <row r="2258" spans="1:11" customFormat="1" x14ac:dyDescent="0.25">
      <c r="A2258" s="661"/>
      <c r="B2258" s="73" t="s">
        <v>5794</v>
      </c>
      <c r="C2258" s="73"/>
      <c r="D2258" s="73"/>
      <c r="E2258" s="73"/>
      <c r="F2258" s="73"/>
      <c r="G2258" s="74" t="s">
        <v>3</v>
      </c>
      <c r="H2258" s="153">
        <f>0.8*0.011*2*1.15</f>
        <v>2.0240000000000001E-2</v>
      </c>
      <c r="I2258" s="72"/>
      <c r="K2258" s="658"/>
    </row>
    <row r="2259" spans="1:11" customFormat="1" x14ac:dyDescent="0.25">
      <c r="A2259" s="661"/>
      <c r="B2259" s="100" t="s">
        <v>12</v>
      </c>
      <c r="C2259" s="73"/>
      <c r="D2259" s="73"/>
      <c r="E2259" s="73"/>
      <c r="F2259" s="73"/>
      <c r="G2259" s="74" t="s">
        <v>3</v>
      </c>
      <c r="H2259" s="153">
        <f>0.3*(H2258+H2257+H2256)</f>
        <v>1.6637280000000001E-2</v>
      </c>
      <c r="I2259" s="72"/>
      <c r="K2259" s="658"/>
    </row>
    <row r="2260" spans="1:11" customFormat="1" x14ac:dyDescent="0.25">
      <c r="A2260" s="661"/>
      <c r="B2260" s="100"/>
      <c r="C2260" s="75" t="s">
        <v>8536</v>
      </c>
      <c r="D2260" s="73"/>
      <c r="E2260" s="73"/>
      <c r="F2260" s="73"/>
      <c r="G2260" s="74"/>
      <c r="H2260" s="153"/>
      <c r="I2260" s="72"/>
      <c r="K2260" s="658"/>
    </row>
    <row r="2261" spans="1:11" customFormat="1" x14ac:dyDescent="0.25">
      <c r="A2261" s="661"/>
      <c r="B2261" s="75"/>
      <c r="C2261" s="73" t="s">
        <v>8535</v>
      </c>
      <c r="D2261" s="73"/>
      <c r="E2261" s="73"/>
      <c r="F2261" s="73"/>
      <c r="G2261" s="74" t="s">
        <v>3</v>
      </c>
      <c r="H2261" s="153">
        <v>0.112</v>
      </c>
      <c r="I2261" s="72"/>
      <c r="J2261" t="s">
        <v>8534</v>
      </c>
      <c r="K2261" s="658"/>
    </row>
    <row r="2262" spans="1:11" customFormat="1" x14ac:dyDescent="0.25">
      <c r="A2262" s="661"/>
      <c r="B2262" s="75"/>
      <c r="C2262" s="73"/>
      <c r="D2262" s="73"/>
      <c r="E2262" s="73"/>
      <c r="F2262" s="73"/>
      <c r="G2262" s="74"/>
      <c r="H2262" s="153"/>
      <c r="I2262" s="72"/>
      <c r="K2262" s="658"/>
    </row>
    <row r="2263" spans="1:11" customFormat="1" x14ac:dyDescent="0.25">
      <c r="A2263" s="678"/>
      <c r="B2263" s="75" t="s">
        <v>8533</v>
      </c>
      <c r="C2263" s="73"/>
      <c r="D2263" s="73"/>
      <c r="E2263" s="73"/>
      <c r="F2263" s="73"/>
      <c r="G2263" s="74"/>
      <c r="H2263" s="153"/>
      <c r="I2263" s="72"/>
      <c r="K2263" s="658"/>
    </row>
    <row r="2264" spans="1:11" customFormat="1" x14ac:dyDescent="0.25">
      <c r="A2264" s="661"/>
      <c r="B2264" s="75"/>
      <c r="C2264" s="75" t="s">
        <v>8532</v>
      </c>
      <c r="D2264" s="73"/>
      <c r="E2264" s="73"/>
      <c r="F2264" s="73"/>
      <c r="G2264" s="74"/>
      <c r="H2264" s="153"/>
      <c r="I2264" s="72"/>
      <c r="K2264" s="658"/>
    </row>
    <row r="2265" spans="1:11" customFormat="1" x14ac:dyDescent="0.25">
      <c r="A2265" s="661"/>
      <c r="B2265" s="75"/>
      <c r="C2265" s="73" t="s">
        <v>5843</v>
      </c>
      <c r="D2265" s="73"/>
      <c r="E2265" s="73"/>
      <c r="F2265" s="73"/>
      <c r="G2265" s="74" t="s">
        <v>3</v>
      </c>
      <c r="H2265" s="153">
        <f>0.006*3.14*2*0.08*1.2</f>
        <v>3.6172800000000005E-3</v>
      </c>
      <c r="I2265" s="72"/>
      <c r="K2265" s="658"/>
    </row>
    <row r="2266" spans="1:11" customFormat="1" x14ac:dyDescent="0.25">
      <c r="A2266" s="661"/>
      <c r="B2266" s="75"/>
      <c r="C2266" s="73" t="s">
        <v>1994</v>
      </c>
      <c r="D2266" s="73"/>
      <c r="E2266" s="73"/>
      <c r="F2266" s="73"/>
      <c r="G2266" s="74" t="s">
        <v>3</v>
      </c>
      <c r="H2266" s="153">
        <f>H2265/3</f>
        <v>1.2057600000000002E-3</v>
      </c>
      <c r="I2266" s="72"/>
      <c r="K2266" s="658"/>
    </row>
    <row r="2267" spans="1:11" customFormat="1" x14ac:dyDescent="0.25">
      <c r="A2267" s="661"/>
      <c r="B2267" s="75"/>
      <c r="C2267" s="73" t="s">
        <v>1993</v>
      </c>
      <c r="D2267" s="73"/>
      <c r="E2267" s="73"/>
      <c r="F2267" s="73"/>
      <c r="G2267" s="74" t="s">
        <v>3</v>
      </c>
      <c r="H2267" s="153">
        <f>H2265/2</f>
        <v>1.8086400000000002E-3</v>
      </c>
      <c r="I2267" s="72"/>
      <c r="K2267" s="658"/>
    </row>
    <row r="2268" spans="1:11" customFormat="1" x14ac:dyDescent="0.25">
      <c r="A2268" s="661"/>
      <c r="B2268" s="75"/>
      <c r="C2268" s="77" t="s">
        <v>1054</v>
      </c>
      <c r="D2268" s="73"/>
      <c r="E2268" s="73"/>
      <c r="F2268" s="73"/>
      <c r="G2268" s="74" t="s">
        <v>3</v>
      </c>
      <c r="H2268" s="153">
        <f>0.05*0.08*1.2</f>
        <v>4.7999999999999996E-3</v>
      </c>
      <c r="I2268" s="72"/>
      <c r="K2268" s="658"/>
    </row>
    <row r="2269" spans="1:11" customFormat="1" ht="17.25" x14ac:dyDescent="0.25">
      <c r="A2269" s="661"/>
      <c r="B2269" s="75"/>
      <c r="C2269" s="77" t="s">
        <v>1055</v>
      </c>
      <c r="D2269" s="73"/>
      <c r="E2269" s="73"/>
      <c r="F2269" s="73"/>
      <c r="G2269" s="74" t="s">
        <v>596</v>
      </c>
      <c r="H2269" s="153">
        <f>H2268</f>
        <v>4.7999999999999996E-3</v>
      </c>
      <c r="I2269" s="72"/>
      <c r="K2269" s="658"/>
    </row>
    <row r="2270" spans="1:11" customFormat="1" x14ac:dyDescent="0.25">
      <c r="A2270" s="661"/>
      <c r="B2270" s="75"/>
      <c r="C2270" s="73" t="s">
        <v>143</v>
      </c>
      <c r="D2270" s="73"/>
      <c r="E2270" s="73"/>
      <c r="F2270" s="73"/>
      <c r="G2270" s="74" t="s">
        <v>3</v>
      </c>
      <c r="H2270" s="153">
        <f>H2271</f>
        <v>1.6444999999999998E-2</v>
      </c>
      <c r="I2270" s="72"/>
      <c r="K2270" s="658"/>
    </row>
    <row r="2271" spans="1:11" customFormat="1" x14ac:dyDescent="0.25">
      <c r="A2271" s="661"/>
      <c r="B2271" s="75"/>
      <c r="C2271" s="73" t="s">
        <v>8</v>
      </c>
      <c r="D2271" s="73"/>
      <c r="E2271" s="73"/>
      <c r="F2271" s="73"/>
      <c r="G2271" s="74" t="s">
        <v>3</v>
      </c>
      <c r="H2271" s="153">
        <f>H2272</f>
        <v>1.6444999999999998E-2</v>
      </c>
      <c r="I2271" s="72"/>
      <c r="K2271" s="658"/>
    </row>
    <row r="2272" spans="1:11" customFormat="1" x14ac:dyDescent="0.25">
      <c r="A2272" s="661"/>
      <c r="B2272" s="75"/>
      <c r="C2272" s="73" t="s">
        <v>5794</v>
      </c>
      <c r="D2272" s="73"/>
      <c r="E2272" s="73"/>
      <c r="F2272" s="73"/>
      <c r="G2272" s="74" t="s">
        <v>3</v>
      </c>
      <c r="H2272" s="153">
        <f>0.65*0.011*2*1.15</f>
        <v>1.6444999999999998E-2</v>
      </c>
      <c r="I2272" s="72"/>
      <c r="K2272" s="658"/>
    </row>
    <row r="2273" spans="1:11" customFormat="1" x14ac:dyDescent="0.25">
      <c r="A2273" s="661"/>
      <c r="B2273" s="75"/>
      <c r="C2273" s="100" t="s">
        <v>12</v>
      </c>
      <c r="D2273" s="73"/>
      <c r="E2273" s="73"/>
      <c r="F2273" s="73"/>
      <c r="G2273" s="74" t="s">
        <v>3</v>
      </c>
      <c r="H2273" s="153">
        <f>0.3*(H2272+H2271+H2270)</f>
        <v>1.4800499999999996E-2</v>
      </c>
      <c r="I2273" s="72"/>
      <c r="K2273" s="658"/>
    </row>
    <row r="2274" spans="1:11" customFormat="1" x14ac:dyDescent="0.25">
      <c r="A2274" s="661"/>
      <c r="B2274" s="75"/>
      <c r="C2274" s="100"/>
      <c r="D2274" s="75" t="s">
        <v>8531</v>
      </c>
      <c r="E2274" s="73"/>
      <c r="F2274" s="73"/>
      <c r="G2274" s="153"/>
      <c r="H2274" s="153"/>
      <c r="I2274" s="164"/>
      <c r="K2274" s="658"/>
    </row>
    <row r="2275" spans="1:11" customFormat="1" x14ac:dyDescent="0.25">
      <c r="A2275" s="661"/>
      <c r="B2275" s="75"/>
      <c r="C2275" s="100"/>
      <c r="D2275" s="73" t="s">
        <v>1997</v>
      </c>
      <c r="E2275" s="73"/>
      <c r="F2275" s="73"/>
      <c r="G2275" s="74" t="s">
        <v>3</v>
      </c>
      <c r="H2275" s="153">
        <v>9.5000000000000001E-2</v>
      </c>
      <c r="I2275" s="72"/>
      <c r="J2275" t="s">
        <v>8530</v>
      </c>
      <c r="K2275" s="658"/>
    </row>
    <row r="2276" spans="1:11" customFormat="1" x14ac:dyDescent="0.25">
      <c r="A2276" s="661"/>
      <c r="B2276" s="75"/>
      <c r="C2276" s="75"/>
      <c r="D2276" s="73"/>
      <c r="E2276" s="73"/>
      <c r="F2276" s="73"/>
      <c r="G2276" s="74"/>
      <c r="H2276" s="153"/>
      <c r="I2276" s="72"/>
      <c r="K2276" s="658"/>
    </row>
    <row r="2277" spans="1:11" customFormat="1" x14ac:dyDescent="0.25">
      <c r="A2277" s="678"/>
      <c r="B2277" s="75" t="s">
        <v>8529</v>
      </c>
      <c r="C2277" s="73"/>
      <c r="D2277" s="73"/>
      <c r="E2277" s="73"/>
      <c r="F2277" s="73"/>
      <c r="G2277" s="74"/>
      <c r="H2277" s="153"/>
      <c r="I2277" s="72"/>
      <c r="K2277" s="658"/>
    </row>
    <row r="2278" spans="1:11" customFormat="1" x14ac:dyDescent="0.25">
      <c r="A2278" s="661"/>
      <c r="B2278" s="100" t="s">
        <v>213</v>
      </c>
      <c r="C2278" s="73"/>
      <c r="D2278" s="73"/>
      <c r="E2278" s="73"/>
      <c r="F2278" s="73"/>
      <c r="G2278" s="74" t="s">
        <v>3</v>
      </c>
      <c r="H2278" s="153">
        <f>0.15*0.12*3*2.7*1.165</f>
        <v>0.16985699999999998</v>
      </c>
      <c r="I2278" s="72"/>
      <c r="K2278" s="658"/>
    </row>
    <row r="2279" spans="1:11" customFormat="1" x14ac:dyDescent="0.25">
      <c r="A2279" s="661"/>
      <c r="B2279" s="100" t="s">
        <v>8528</v>
      </c>
      <c r="C2279" s="73"/>
      <c r="D2279" s="73"/>
      <c r="E2279" s="73"/>
      <c r="F2279" s="73"/>
      <c r="G2279" s="74" t="s">
        <v>3</v>
      </c>
      <c r="H2279" s="153">
        <v>3.0000000000000001E-3</v>
      </c>
      <c r="I2279" s="72"/>
      <c r="K2279" s="658"/>
    </row>
    <row r="2280" spans="1:11" customFormat="1" x14ac:dyDescent="0.25">
      <c r="A2280" s="661"/>
      <c r="B2280" s="75"/>
      <c r="C2280" s="73"/>
      <c r="D2280" s="73"/>
      <c r="E2280" s="73"/>
      <c r="F2280" s="73"/>
      <c r="G2280" s="74"/>
      <c r="H2280" s="153"/>
      <c r="I2280" s="72"/>
      <c r="K2280" s="658"/>
    </row>
    <row r="2281" spans="1:11" customFormat="1" x14ac:dyDescent="0.25">
      <c r="A2281" s="678"/>
      <c r="B2281" s="75" t="s">
        <v>8527</v>
      </c>
      <c r="C2281" s="73"/>
      <c r="D2281" s="73"/>
      <c r="E2281" s="73"/>
      <c r="F2281" s="73"/>
      <c r="G2281" s="74"/>
      <c r="H2281" s="153"/>
      <c r="I2281" s="72"/>
      <c r="K2281" s="658"/>
    </row>
    <row r="2282" spans="1:11" customFormat="1" x14ac:dyDescent="0.25">
      <c r="A2282" s="661"/>
      <c r="B2282" s="100" t="s">
        <v>8526</v>
      </c>
      <c r="C2282" s="73"/>
      <c r="D2282" s="73"/>
      <c r="E2282" s="73"/>
      <c r="F2282" s="73"/>
      <c r="G2282" s="74" t="s">
        <v>3</v>
      </c>
      <c r="H2282" s="153">
        <f>0.115*0.05*3*1.45*1.18</f>
        <v>2.9514749999999999E-2</v>
      </c>
      <c r="I2282" s="72"/>
      <c r="K2282" s="658"/>
    </row>
    <row r="2283" spans="1:11" customFormat="1" x14ac:dyDescent="0.25">
      <c r="A2283" s="661"/>
      <c r="B2283" s="75"/>
      <c r="C2283" s="73"/>
      <c r="D2283" s="73"/>
      <c r="E2283" s="73"/>
      <c r="F2283" s="73"/>
      <c r="G2283" s="74"/>
      <c r="H2283" s="153"/>
      <c r="I2283" s="72"/>
      <c r="K2283" s="658"/>
    </row>
    <row r="2284" spans="1:11" customFormat="1" x14ac:dyDescent="0.25">
      <c r="A2284" s="678"/>
      <c r="B2284" s="75" t="s">
        <v>8525</v>
      </c>
      <c r="C2284" s="73"/>
      <c r="D2284" s="73"/>
      <c r="E2284" s="73"/>
      <c r="F2284" s="73"/>
      <c r="G2284" s="74"/>
      <c r="H2284" s="153"/>
      <c r="I2284" s="72"/>
      <c r="K2284" s="658"/>
    </row>
    <row r="2285" spans="1:11" customFormat="1" x14ac:dyDescent="0.25">
      <c r="A2285" s="661"/>
      <c r="B2285" s="77" t="s">
        <v>1054</v>
      </c>
      <c r="C2285" s="73"/>
      <c r="D2285" s="73"/>
      <c r="E2285" s="73"/>
      <c r="F2285" s="73"/>
      <c r="G2285" s="74" t="s">
        <v>3</v>
      </c>
      <c r="H2285" s="153">
        <f>0.012*3.14*3*0.08*1.15</f>
        <v>1.0399680000000001E-2</v>
      </c>
      <c r="I2285" s="72"/>
      <c r="K2285" s="658"/>
    </row>
    <row r="2286" spans="1:11" customFormat="1" ht="17.25" x14ac:dyDescent="0.25">
      <c r="A2286" s="661"/>
      <c r="B2286" s="77" t="s">
        <v>1055</v>
      </c>
      <c r="C2286" s="73"/>
      <c r="D2286" s="73"/>
      <c r="E2286" s="73"/>
      <c r="F2286" s="73"/>
      <c r="G2286" s="74" t="s">
        <v>596</v>
      </c>
      <c r="H2286" s="153">
        <f>H2285</f>
        <v>1.0399680000000001E-2</v>
      </c>
      <c r="I2286" s="72"/>
      <c r="K2286" s="658"/>
    </row>
    <row r="2287" spans="1:11" customFormat="1" x14ac:dyDescent="0.25">
      <c r="A2287" s="661"/>
      <c r="B2287" s="77"/>
      <c r="C2287" s="75" t="s">
        <v>8524</v>
      </c>
      <c r="D2287" s="73"/>
      <c r="E2287" s="73"/>
      <c r="F2287" s="73"/>
      <c r="G2287" s="74"/>
      <c r="H2287" s="153"/>
      <c r="I2287" s="72"/>
      <c r="K2287" s="658"/>
    </row>
    <row r="2288" spans="1:11" customFormat="1" x14ac:dyDescent="0.25">
      <c r="A2288" s="661"/>
      <c r="B2288" s="77"/>
      <c r="C2288" s="73" t="s">
        <v>640</v>
      </c>
      <c r="D2288" s="73"/>
      <c r="E2288" s="73"/>
      <c r="F2288" s="73"/>
      <c r="G2288" s="74" t="s">
        <v>3</v>
      </c>
      <c r="H2288" s="153">
        <f>0.205*0.13*2*8*1.15</f>
        <v>0.49035999999999996</v>
      </c>
      <c r="I2288" s="72"/>
      <c r="K2288" s="658"/>
    </row>
    <row r="2289" spans="1:11" customFormat="1" x14ac:dyDescent="0.25">
      <c r="A2289" s="661"/>
      <c r="B2289" s="77"/>
      <c r="C2289" s="77" t="s">
        <v>1054</v>
      </c>
      <c r="D2289" s="73"/>
      <c r="E2289" s="73"/>
      <c r="F2289" s="73"/>
      <c r="G2289" s="74" t="s">
        <v>3</v>
      </c>
      <c r="H2289" s="153">
        <f>0.1*0.08*1.2</f>
        <v>9.5999999999999992E-3</v>
      </c>
      <c r="I2289" s="72"/>
      <c r="K2289" s="658"/>
    </row>
    <row r="2290" spans="1:11" customFormat="1" ht="17.25" x14ac:dyDescent="0.25">
      <c r="A2290" s="661"/>
      <c r="B2290" s="77"/>
      <c r="C2290" s="77" t="s">
        <v>1055</v>
      </c>
      <c r="D2290" s="73"/>
      <c r="E2290" s="73"/>
      <c r="F2290" s="73"/>
      <c r="G2290" s="74" t="s">
        <v>596</v>
      </c>
      <c r="H2290" s="153">
        <f>H2289</f>
        <v>9.5999999999999992E-3</v>
      </c>
      <c r="I2290" s="72"/>
      <c r="K2290" s="658"/>
    </row>
    <row r="2291" spans="1:11" customFormat="1" x14ac:dyDescent="0.25">
      <c r="A2291" s="661"/>
      <c r="B2291" s="75"/>
      <c r="C2291" s="73"/>
      <c r="D2291" s="73"/>
      <c r="E2291" s="73"/>
      <c r="F2291" s="73"/>
      <c r="G2291" s="74"/>
      <c r="H2291" s="153"/>
      <c r="I2291" s="72"/>
      <c r="K2291" s="658"/>
    </row>
    <row r="2292" spans="1:11" customFormat="1" x14ac:dyDescent="0.25">
      <c r="A2292" s="678"/>
      <c r="B2292" s="75" t="s">
        <v>7653</v>
      </c>
      <c r="C2292" s="73"/>
      <c r="D2292" s="73"/>
      <c r="E2292" s="73"/>
      <c r="F2292" s="73"/>
      <c r="G2292" s="74"/>
      <c r="H2292" s="153"/>
      <c r="I2292" s="72"/>
      <c r="K2292" s="658"/>
    </row>
    <row r="2293" spans="1:11" customFormat="1" x14ac:dyDescent="0.25">
      <c r="A2293" s="661"/>
      <c r="B2293" s="75"/>
      <c r="C2293" s="75" t="s">
        <v>8523</v>
      </c>
      <c r="D2293" s="73"/>
      <c r="E2293" s="73"/>
      <c r="F2293" s="73"/>
      <c r="G2293" s="74"/>
      <c r="H2293" s="153"/>
      <c r="I2293" s="72"/>
      <c r="K2293" s="658"/>
    </row>
    <row r="2294" spans="1:11" customFormat="1" x14ac:dyDescent="0.25">
      <c r="A2294" s="661"/>
      <c r="B2294" s="75"/>
      <c r="C2294" s="77" t="s">
        <v>1054</v>
      </c>
      <c r="D2294" s="73"/>
      <c r="E2294" s="73"/>
      <c r="F2294" s="73"/>
      <c r="G2294" s="74" t="s">
        <v>3</v>
      </c>
      <c r="H2294" s="153">
        <f>3*0.08*1.123</f>
        <v>0.26951999999999998</v>
      </c>
      <c r="I2294" s="72"/>
      <c r="K2294" s="658"/>
    </row>
    <row r="2295" spans="1:11" customFormat="1" ht="17.25" x14ac:dyDescent="0.25">
      <c r="A2295" s="661"/>
      <c r="B2295" s="75"/>
      <c r="C2295" s="77" t="s">
        <v>1055</v>
      </c>
      <c r="D2295" s="73"/>
      <c r="E2295" s="73"/>
      <c r="F2295" s="73"/>
      <c r="G2295" s="74" t="s">
        <v>596</v>
      </c>
      <c r="H2295" s="153">
        <f>H2294</f>
        <v>0.26951999999999998</v>
      </c>
      <c r="I2295" s="72"/>
      <c r="K2295" s="658"/>
    </row>
    <row r="2296" spans="1:11" customFormat="1" x14ac:dyDescent="0.25">
      <c r="A2296" s="661"/>
      <c r="B2296" s="75"/>
      <c r="C2296" s="73" t="s">
        <v>8</v>
      </c>
      <c r="D2296" s="73"/>
      <c r="E2296" s="73"/>
      <c r="F2296" s="73"/>
      <c r="G2296" s="74" t="s">
        <v>3</v>
      </c>
      <c r="H2296" s="153">
        <f>0.9*H2297+0.002</f>
        <v>0.20002475000000006</v>
      </c>
      <c r="I2296" s="72"/>
      <c r="K2296" s="658"/>
    </row>
    <row r="2297" spans="1:11" customFormat="1" x14ac:dyDescent="0.25">
      <c r="A2297" s="661"/>
      <c r="B2297" s="75"/>
      <c r="C2297" s="73" t="s">
        <v>2930</v>
      </c>
      <c r="D2297" s="73"/>
      <c r="E2297" s="73"/>
      <c r="F2297" s="73"/>
      <c r="G2297" s="74" t="s">
        <v>3</v>
      </c>
      <c r="H2297" s="153">
        <f>1.05*0.55*0.15*2*1.27</f>
        <v>0.22002750000000007</v>
      </c>
      <c r="I2297" s="72"/>
      <c r="K2297" s="658"/>
    </row>
    <row r="2298" spans="1:11" customFormat="1" x14ac:dyDescent="0.25">
      <c r="A2298" s="661"/>
      <c r="B2298" s="75"/>
      <c r="C2298" s="73" t="s">
        <v>12</v>
      </c>
      <c r="D2298" s="73"/>
      <c r="E2298" s="73"/>
      <c r="F2298" s="73"/>
      <c r="G2298" s="74" t="s">
        <v>3</v>
      </c>
      <c r="H2298" s="153">
        <f>0.3*(H2297+H2296)</f>
        <v>0.12601567500000002</v>
      </c>
      <c r="I2298" s="72"/>
      <c r="K2298" s="658"/>
    </row>
    <row r="2299" spans="1:11" customFormat="1" x14ac:dyDescent="0.25">
      <c r="A2299" s="661"/>
      <c r="B2299" s="75"/>
      <c r="C2299" s="73"/>
      <c r="D2299" s="75" t="s">
        <v>8522</v>
      </c>
      <c r="E2299" s="73"/>
      <c r="F2299" s="73"/>
      <c r="G2299" s="74"/>
      <c r="H2299" s="153"/>
      <c r="I2299" s="72"/>
      <c r="K2299" s="658"/>
    </row>
    <row r="2300" spans="1:11" customFormat="1" x14ac:dyDescent="0.25">
      <c r="A2300" s="661"/>
      <c r="B2300" s="75"/>
      <c r="C2300" s="73"/>
      <c r="D2300" s="77" t="s">
        <v>1054</v>
      </c>
      <c r="E2300" s="73"/>
      <c r="F2300" s="73"/>
      <c r="G2300" s="74" t="s">
        <v>3</v>
      </c>
      <c r="H2300" s="153">
        <f>0.6*0.05*1.15</f>
        <v>3.4499999999999996E-2</v>
      </c>
      <c r="I2300" s="72"/>
      <c r="K2300" s="658"/>
    </row>
    <row r="2301" spans="1:11" customFormat="1" ht="17.25" x14ac:dyDescent="0.25">
      <c r="A2301" s="661"/>
      <c r="B2301" s="75"/>
      <c r="C2301" s="73"/>
      <c r="D2301" s="77" t="s">
        <v>1055</v>
      </c>
      <c r="E2301" s="73"/>
      <c r="F2301" s="73"/>
      <c r="G2301" s="74" t="s">
        <v>596</v>
      </c>
      <c r="H2301" s="153">
        <f>H2300</f>
        <v>3.4499999999999996E-2</v>
      </c>
      <c r="I2301" s="72"/>
      <c r="K2301" s="658"/>
    </row>
    <row r="2302" spans="1:11" customFormat="1" x14ac:dyDescent="0.25">
      <c r="A2302" s="661"/>
      <c r="B2302" s="75"/>
      <c r="C2302" s="73"/>
      <c r="D2302" s="77"/>
      <c r="E2302" s="75" t="s">
        <v>8521</v>
      </c>
      <c r="F2302" s="73"/>
      <c r="G2302" s="74"/>
      <c r="H2302" s="153"/>
      <c r="I2302" s="72"/>
      <c r="K2302" s="658"/>
    </row>
    <row r="2303" spans="1:11" customFormat="1" x14ac:dyDescent="0.25">
      <c r="A2303" s="661"/>
      <c r="B2303" s="75"/>
      <c r="C2303" s="73"/>
      <c r="D2303" s="77"/>
      <c r="E2303" s="73" t="s">
        <v>2169</v>
      </c>
      <c r="F2303" s="73"/>
      <c r="G2303" s="74" t="s">
        <v>3</v>
      </c>
      <c r="H2303" s="153">
        <f>1.17*0.33</f>
        <v>0.3861</v>
      </c>
      <c r="I2303" s="72"/>
      <c r="J2303" t="s">
        <v>8520</v>
      </c>
      <c r="K2303" s="658"/>
    </row>
    <row r="2304" spans="1:11" customFormat="1" x14ac:dyDescent="0.25">
      <c r="A2304" s="661"/>
      <c r="B2304" s="75"/>
      <c r="C2304" s="73"/>
      <c r="D2304" s="78" t="s">
        <v>8519</v>
      </c>
      <c r="E2304" s="73"/>
      <c r="F2304" s="73"/>
      <c r="G2304" s="74"/>
      <c r="H2304" s="153"/>
      <c r="I2304" s="72"/>
      <c r="K2304" s="658"/>
    </row>
    <row r="2305" spans="1:11" customFormat="1" x14ac:dyDescent="0.25">
      <c r="A2305" s="661"/>
      <c r="B2305" s="75"/>
      <c r="C2305" s="73"/>
      <c r="D2305" s="77" t="s">
        <v>89</v>
      </c>
      <c r="E2305" s="73"/>
      <c r="F2305" s="73"/>
      <c r="G2305" s="74" t="s">
        <v>3</v>
      </c>
      <c r="H2305" s="153">
        <f>1.05*0.55*4*8*1.12015</f>
        <v>20.700372000000005</v>
      </c>
      <c r="I2305" s="72"/>
      <c r="K2305" s="658"/>
    </row>
    <row r="2306" spans="1:11" customFormat="1" x14ac:dyDescent="0.25">
      <c r="A2306" s="661"/>
      <c r="B2306" s="75"/>
      <c r="C2306" s="73"/>
      <c r="D2306" s="78" t="s">
        <v>8518</v>
      </c>
      <c r="E2306" s="73"/>
      <c r="F2306" s="73"/>
      <c r="G2306" s="74"/>
      <c r="H2306" s="153"/>
      <c r="I2306" s="72"/>
      <c r="K2306" s="658"/>
    </row>
    <row r="2307" spans="1:11" customFormat="1" x14ac:dyDescent="0.25">
      <c r="A2307" s="661"/>
      <c r="B2307" s="75"/>
      <c r="C2307" s="73"/>
      <c r="D2307" s="77" t="s">
        <v>89</v>
      </c>
      <c r="E2307" s="73"/>
      <c r="F2307" s="73"/>
      <c r="G2307" s="74" t="s">
        <v>3</v>
      </c>
      <c r="H2307" s="153">
        <f>0.51*0.56*4*8*1.15</f>
        <v>10.51008</v>
      </c>
      <c r="I2307" s="72"/>
      <c r="K2307" s="658"/>
    </row>
    <row r="2308" spans="1:11" customFormat="1" x14ac:dyDescent="0.25">
      <c r="A2308" s="661"/>
      <c r="B2308" s="75"/>
      <c r="C2308" s="73"/>
      <c r="D2308" s="78" t="s">
        <v>8517</v>
      </c>
      <c r="E2308" s="73"/>
      <c r="F2308" s="73"/>
      <c r="G2308" s="74"/>
      <c r="H2308" s="153"/>
      <c r="I2308" s="72"/>
      <c r="K2308" s="658"/>
    </row>
    <row r="2309" spans="1:11" customFormat="1" x14ac:dyDescent="0.25">
      <c r="A2309" s="661"/>
      <c r="B2309" s="75"/>
      <c r="C2309" s="73"/>
      <c r="D2309" s="77" t="s">
        <v>89</v>
      </c>
      <c r="E2309" s="73"/>
      <c r="F2309" s="73"/>
      <c r="G2309" s="74" t="s">
        <v>3</v>
      </c>
      <c r="H2309" s="153">
        <f>0.49*0.065*4*8*1.128</f>
        <v>1.1496576000000001</v>
      </c>
      <c r="I2309" s="72"/>
      <c r="K2309" s="658"/>
    </row>
    <row r="2310" spans="1:11" customFormat="1" x14ac:dyDescent="0.25">
      <c r="A2310" s="661"/>
      <c r="B2310" s="75"/>
      <c r="C2310" s="73"/>
      <c r="D2310" s="78" t="s">
        <v>8516</v>
      </c>
      <c r="E2310" s="73"/>
      <c r="F2310" s="73"/>
      <c r="G2310" s="74"/>
      <c r="H2310" s="153"/>
      <c r="I2310" s="72"/>
      <c r="K2310" s="658"/>
    </row>
    <row r="2311" spans="1:11" customFormat="1" x14ac:dyDescent="0.25">
      <c r="A2311" s="661"/>
      <c r="B2311" s="75"/>
      <c r="C2311" s="73"/>
      <c r="D2311" s="77" t="s">
        <v>89</v>
      </c>
      <c r="E2311" s="73"/>
      <c r="F2311" s="73"/>
      <c r="G2311" s="74" t="s">
        <v>3</v>
      </c>
      <c r="H2311" s="153">
        <f>0.12*0.02*4*8*1.12</f>
        <v>8.6015999999999995E-2</v>
      </c>
      <c r="I2311" s="72"/>
      <c r="K2311" s="658"/>
    </row>
    <row r="2312" spans="1:11" customFormat="1" x14ac:dyDescent="0.25">
      <c r="A2312" s="661"/>
      <c r="B2312" s="75"/>
      <c r="C2312" s="73"/>
      <c r="D2312" s="78" t="s">
        <v>8515</v>
      </c>
      <c r="E2312" s="73"/>
      <c r="F2312" s="73"/>
      <c r="G2312" s="74"/>
      <c r="H2312" s="153"/>
      <c r="I2312" s="72"/>
      <c r="K2312" s="658"/>
    </row>
    <row r="2313" spans="1:11" customFormat="1" x14ac:dyDescent="0.25">
      <c r="A2313" s="661"/>
      <c r="B2313" s="75"/>
      <c r="C2313" s="73"/>
      <c r="D2313" s="77" t="s">
        <v>89</v>
      </c>
      <c r="E2313" s="73"/>
      <c r="F2313" s="73"/>
      <c r="G2313" s="74" t="s">
        <v>3</v>
      </c>
      <c r="H2313" s="153">
        <f>0.08*0.015*4*8</f>
        <v>3.8399999999999997E-2</v>
      </c>
      <c r="I2313" s="72"/>
      <c r="K2313" s="658"/>
    </row>
    <row r="2314" spans="1:11" customFormat="1" x14ac:dyDescent="0.25">
      <c r="A2314" s="661"/>
      <c r="B2314" s="75"/>
      <c r="C2314" s="73"/>
      <c r="D2314" s="78" t="s">
        <v>8514</v>
      </c>
      <c r="E2314" s="73"/>
      <c r="F2314" s="73"/>
      <c r="G2314" s="74"/>
      <c r="H2314" s="153"/>
      <c r="I2314" s="72"/>
      <c r="K2314" s="658"/>
    </row>
    <row r="2315" spans="1:11" customFormat="1" x14ac:dyDescent="0.25">
      <c r="A2315" s="661"/>
      <c r="B2315" s="75"/>
      <c r="C2315" s="73"/>
      <c r="D2315" s="77" t="s">
        <v>89</v>
      </c>
      <c r="E2315" s="73"/>
      <c r="F2315" s="73"/>
      <c r="G2315" s="74" t="s">
        <v>3</v>
      </c>
      <c r="H2315" s="153">
        <f>0.535*0.06*4*8*1.15-0.001</f>
        <v>1.1802800000000002</v>
      </c>
      <c r="I2315" s="72"/>
      <c r="K2315" s="658"/>
    </row>
    <row r="2316" spans="1:11" customFormat="1" x14ac:dyDescent="0.25">
      <c r="A2316" s="661"/>
      <c r="B2316" s="75"/>
      <c r="C2316" s="73"/>
      <c r="D2316" s="78" t="s">
        <v>8513</v>
      </c>
      <c r="E2316" s="73"/>
      <c r="F2316" s="73"/>
      <c r="G2316" s="74"/>
      <c r="H2316" s="153"/>
      <c r="I2316" s="72"/>
      <c r="K2316" s="658"/>
    </row>
    <row r="2317" spans="1:11" customFormat="1" x14ac:dyDescent="0.25">
      <c r="A2317" s="661"/>
      <c r="B2317" s="75"/>
      <c r="C2317" s="73"/>
      <c r="D2317" s="77" t="s">
        <v>89</v>
      </c>
      <c r="E2317" s="73"/>
      <c r="F2317" s="73"/>
      <c r="G2317" s="74" t="s">
        <v>3</v>
      </c>
      <c r="H2317" s="153">
        <f>0.065*0.02*4*8*1.12</f>
        <v>4.6592000000000008E-2</v>
      </c>
      <c r="I2317" s="72"/>
      <c r="K2317" s="658"/>
    </row>
    <row r="2318" spans="1:11" customFormat="1" x14ac:dyDescent="0.25">
      <c r="A2318" s="661"/>
      <c r="B2318" s="75"/>
      <c r="C2318" s="73"/>
      <c r="D2318" s="78" t="s">
        <v>8512</v>
      </c>
      <c r="E2318" s="73"/>
      <c r="F2318" s="73"/>
      <c r="G2318" s="74"/>
      <c r="H2318" s="153"/>
      <c r="I2318" s="72"/>
      <c r="K2318" s="658"/>
    </row>
    <row r="2319" spans="1:11" customFormat="1" x14ac:dyDescent="0.25">
      <c r="A2319" s="661"/>
      <c r="B2319" s="75"/>
      <c r="C2319" s="73"/>
      <c r="D2319" s="77" t="s">
        <v>89</v>
      </c>
      <c r="E2319" s="73"/>
      <c r="F2319" s="73"/>
      <c r="G2319" s="74" t="s">
        <v>3</v>
      </c>
      <c r="H2319" s="153">
        <f>0.065*0.016*4*8</f>
        <v>3.3280000000000004E-2</v>
      </c>
      <c r="I2319" s="72"/>
      <c r="K2319" s="658"/>
    </row>
    <row r="2320" spans="1:11" customFormat="1" x14ac:dyDescent="0.25">
      <c r="A2320" s="661"/>
      <c r="B2320" s="75"/>
      <c r="C2320" s="73"/>
      <c r="D2320" s="78" t="s">
        <v>8511</v>
      </c>
      <c r="E2320" s="73"/>
      <c r="F2320" s="73"/>
      <c r="G2320" s="74"/>
      <c r="H2320" s="153"/>
      <c r="I2320" s="72"/>
      <c r="K2320" s="658"/>
    </row>
    <row r="2321" spans="1:11" customFormat="1" x14ac:dyDescent="0.25">
      <c r="A2321" s="661"/>
      <c r="B2321" s="75"/>
      <c r="C2321" s="73"/>
      <c r="D2321" s="77" t="s">
        <v>54</v>
      </c>
      <c r="E2321" s="73"/>
      <c r="F2321" s="73"/>
      <c r="G2321" s="74" t="s">
        <v>3</v>
      </c>
      <c r="H2321" s="153">
        <f>0.236*0.04*5*8*1.125</f>
        <v>0.42480000000000007</v>
      </c>
      <c r="I2321" s="72"/>
      <c r="K2321" s="658"/>
    </row>
    <row r="2322" spans="1:11" customFormat="1" x14ac:dyDescent="0.25">
      <c r="A2322" s="661"/>
      <c r="B2322" s="75"/>
      <c r="C2322" s="73"/>
      <c r="D2322" s="78" t="s">
        <v>8510</v>
      </c>
      <c r="E2322" s="73"/>
      <c r="F2322" s="73"/>
      <c r="G2322" s="74"/>
      <c r="H2322" s="153"/>
      <c r="I2322" s="72"/>
      <c r="K2322" s="658"/>
    </row>
    <row r="2323" spans="1:11" customFormat="1" x14ac:dyDescent="0.25">
      <c r="A2323" s="661"/>
      <c r="B2323" s="75"/>
      <c r="C2323" s="73"/>
      <c r="D2323" s="77" t="s">
        <v>8509</v>
      </c>
      <c r="E2323" s="73"/>
      <c r="F2323" s="73"/>
      <c r="G2323" s="74" t="s">
        <v>3</v>
      </c>
      <c r="H2323" s="153">
        <v>1.0999999999999999E-2</v>
      </c>
      <c r="I2323" s="72"/>
      <c r="J2323" t="s">
        <v>1323</v>
      </c>
      <c r="K2323" s="658"/>
    </row>
    <row r="2324" spans="1:11" customFormat="1" x14ac:dyDescent="0.25">
      <c r="A2324" s="661"/>
      <c r="B2324" s="75"/>
      <c r="C2324" s="75" t="s">
        <v>8508</v>
      </c>
      <c r="D2324" s="73"/>
      <c r="E2324" s="73"/>
      <c r="F2324" s="73"/>
      <c r="G2324" s="74"/>
      <c r="H2324" s="153"/>
      <c r="I2324" s="72"/>
      <c r="K2324" s="658"/>
    </row>
    <row r="2325" spans="1:11" customFormat="1" x14ac:dyDescent="0.25">
      <c r="A2325" s="661"/>
      <c r="B2325" s="75"/>
      <c r="C2325" s="77" t="s">
        <v>1054</v>
      </c>
      <c r="D2325" s="73"/>
      <c r="E2325" s="73"/>
      <c r="F2325" s="73"/>
      <c r="G2325" s="74" t="s">
        <v>3</v>
      </c>
      <c r="H2325" s="153">
        <f>0.6*0.07*1.2</f>
        <v>5.04E-2</v>
      </c>
      <c r="I2325" s="72"/>
      <c r="K2325" s="658"/>
    </row>
    <row r="2326" spans="1:11" customFormat="1" ht="17.25" x14ac:dyDescent="0.25">
      <c r="A2326" s="661"/>
      <c r="B2326" s="75"/>
      <c r="C2326" s="77" t="s">
        <v>1055</v>
      </c>
      <c r="D2326" s="73"/>
      <c r="E2326" s="73"/>
      <c r="F2326" s="73"/>
      <c r="G2326" s="74" t="s">
        <v>596</v>
      </c>
      <c r="H2326" s="153">
        <f>H2325</f>
        <v>5.04E-2</v>
      </c>
      <c r="I2326" s="72"/>
      <c r="K2326" s="658"/>
    </row>
    <row r="2327" spans="1:11" customFormat="1" x14ac:dyDescent="0.25">
      <c r="A2327" s="661"/>
      <c r="B2327" s="75"/>
      <c r="C2327" s="73" t="s">
        <v>8</v>
      </c>
      <c r="D2327" s="73"/>
      <c r="E2327" s="73"/>
      <c r="F2327" s="73"/>
      <c r="G2327" s="74" t="s">
        <v>3</v>
      </c>
      <c r="H2327" s="153">
        <f>0.9*H2328</f>
        <v>1.3291200000000001E-2</v>
      </c>
      <c r="I2327" s="72"/>
      <c r="K2327" s="658"/>
    </row>
    <row r="2328" spans="1:11" customFormat="1" x14ac:dyDescent="0.25">
      <c r="A2328" s="661"/>
      <c r="B2328" s="75"/>
      <c r="C2328" s="73" t="s">
        <v>2930</v>
      </c>
      <c r="D2328" s="73"/>
      <c r="E2328" s="73"/>
      <c r="F2328" s="73"/>
      <c r="G2328" s="74" t="s">
        <v>3</v>
      </c>
      <c r="H2328" s="153">
        <f>0.26*0.02*2*1.42</f>
        <v>1.4768000000000002E-2</v>
      </c>
      <c r="I2328" s="72"/>
      <c r="K2328" s="658"/>
    </row>
    <row r="2329" spans="1:11" customFormat="1" x14ac:dyDescent="0.25">
      <c r="A2329" s="661"/>
      <c r="B2329" s="75"/>
      <c r="C2329" s="73" t="s">
        <v>12</v>
      </c>
      <c r="D2329" s="73"/>
      <c r="E2329" s="73"/>
      <c r="F2329" s="73"/>
      <c r="G2329" s="74" t="s">
        <v>3</v>
      </c>
      <c r="H2329" s="153">
        <f>0.3*(H2328+H2327)</f>
        <v>8.4177599999999998E-3</v>
      </c>
      <c r="I2329" s="72"/>
      <c r="K2329" s="658"/>
    </row>
    <row r="2330" spans="1:11" customFormat="1" x14ac:dyDescent="0.25">
      <c r="A2330" s="661"/>
      <c r="B2330" s="75"/>
      <c r="C2330" s="73"/>
      <c r="D2330" s="75" t="s">
        <v>8507</v>
      </c>
      <c r="E2330" s="73"/>
      <c r="F2330" s="73"/>
      <c r="G2330" s="74"/>
      <c r="H2330" s="153"/>
      <c r="I2330" s="72"/>
      <c r="K2330" s="658"/>
    </row>
    <row r="2331" spans="1:11" customFormat="1" x14ac:dyDescent="0.25">
      <c r="A2331" s="661"/>
      <c r="B2331" s="75"/>
      <c r="C2331" s="73"/>
      <c r="D2331" s="73" t="s">
        <v>8506</v>
      </c>
      <c r="E2331" s="73"/>
      <c r="F2331" s="73"/>
      <c r="G2331" s="74" t="s">
        <v>3</v>
      </c>
      <c r="H2331" s="153">
        <v>0.32</v>
      </c>
      <c r="I2331" s="72"/>
      <c r="J2331" t="s">
        <v>1982</v>
      </c>
      <c r="K2331" s="658"/>
    </row>
    <row r="2332" spans="1:11" customFormat="1" x14ac:dyDescent="0.25">
      <c r="A2332" s="661"/>
      <c r="B2332" s="75"/>
      <c r="C2332" s="73"/>
      <c r="D2332" s="75" t="s">
        <v>8505</v>
      </c>
      <c r="E2332" s="73"/>
      <c r="F2332" s="73"/>
      <c r="G2332" s="74"/>
      <c r="H2332" s="153"/>
      <c r="I2332" s="72"/>
      <c r="K2332" s="658"/>
    </row>
    <row r="2333" spans="1:11" customFormat="1" x14ac:dyDescent="0.25">
      <c r="A2333" s="661"/>
      <c r="B2333" s="75"/>
      <c r="C2333" s="73"/>
      <c r="D2333" s="73" t="s">
        <v>1143</v>
      </c>
      <c r="E2333" s="73"/>
      <c r="F2333" s="73"/>
      <c r="G2333" s="74" t="s">
        <v>3</v>
      </c>
      <c r="H2333" s="153">
        <f>0.055*0.025*3*8*1.1</f>
        <v>3.6300000000000006E-2</v>
      </c>
      <c r="I2333" s="72"/>
      <c r="K2333" s="658"/>
    </row>
    <row r="2334" spans="1:11" customFormat="1" x14ac:dyDescent="0.25">
      <c r="A2334" s="661"/>
      <c r="B2334" s="75"/>
      <c r="C2334" s="73"/>
      <c r="D2334" s="73"/>
      <c r="E2334" s="73"/>
      <c r="F2334" s="73"/>
      <c r="G2334" s="74"/>
      <c r="H2334" s="153"/>
      <c r="I2334" s="72"/>
      <c r="K2334" s="658"/>
    </row>
    <row r="2335" spans="1:11" customFormat="1" x14ac:dyDescent="0.25">
      <c r="A2335" s="678"/>
      <c r="B2335" s="75" t="s">
        <v>8504</v>
      </c>
      <c r="C2335" s="73"/>
      <c r="D2335" s="73"/>
      <c r="E2335" s="73"/>
      <c r="F2335" s="73"/>
      <c r="G2335" s="74"/>
      <c r="H2335" s="153"/>
      <c r="I2335" s="72"/>
      <c r="K2335" s="658"/>
    </row>
    <row r="2336" spans="1:11" customFormat="1" x14ac:dyDescent="0.25">
      <c r="A2336" s="661"/>
      <c r="B2336" s="75"/>
      <c r="C2336" s="73" t="s">
        <v>8503</v>
      </c>
      <c r="D2336" s="73"/>
      <c r="E2336" s="73"/>
      <c r="F2336" s="73"/>
      <c r="G2336" s="74" t="s">
        <v>3</v>
      </c>
      <c r="H2336" s="153">
        <v>4.0000000000000001E-3</v>
      </c>
      <c r="I2336" s="72"/>
      <c r="K2336" s="658"/>
    </row>
    <row r="2337" spans="1:11" customFormat="1" x14ac:dyDescent="0.25">
      <c r="A2337" s="661"/>
      <c r="B2337" s="75"/>
      <c r="C2337" s="73"/>
      <c r="D2337" s="73"/>
      <c r="E2337" s="73"/>
      <c r="F2337" s="73"/>
      <c r="G2337" s="74"/>
      <c r="H2337" s="153"/>
      <c r="I2337" s="72"/>
      <c r="K2337" s="658"/>
    </row>
    <row r="2338" spans="1:11" customFormat="1" x14ac:dyDescent="0.25">
      <c r="A2338" s="678"/>
      <c r="B2338" s="75" t="s">
        <v>8502</v>
      </c>
      <c r="C2338" s="73"/>
      <c r="D2338" s="73"/>
      <c r="E2338" s="73"/>
      <c r="F2338" s="73"/>
      <c r="G2338" s="74"/>
      <c r="H2338" s="153"/>
      <c r="I2338" s="72"/>
      <c r="K2338" s="658"/>
    </row>
    <row r="2339" spans="1:11" customFormat="1" x14ac:dyDescent="0.25">
      <c r="A2339" s="661"/>
      <c r="B2339" s="100" t="s">
        <v>8495</v>
      </c>
      <c r="C2339" s="73"/>
      <c r="D2339" s="73"/>
      <c r="E2339" s="73"/>
      <c r="F2339" s="73"/>
      <c r="G2339" s="74" t="s">
        <v>3</v>
      </c>
      <c r="H2339" s="153">
        <f>H2341</f>
        <v>1.755E-2</v>
      </c>
      <c r="I2339" s="72"/>
      <c r="K2339" s="658"/>
    </row>
    <row r="2340" spans="1:11" customFormat="1" x14ac:dyDescent="0.25">
      <c r="A2340" s="661"/>
      <c r="B2340" s="100" t="s">
        <v>313</v>
      </c>
      <c r="C2340" s="73"/>
      <c r="D2340" s="73"/>
      <c r="E2340" s="73"/>
      <c r="F2340" s="73"/>
      <c r="G2340" s="74" t="s">
        <v>3</v>
      </c>
      <c r="H2340" s="153">
        <f>0.3*H2339</f>
        <v>5.2649999999999997E-3</v>
      </c>
      <c r="I2340" s="72"/>
      <c r="K2340" s="658"/>
    </row>
    <row r="2341" spans="1:11" customFormat="1" x14ac:dyDescent="0.25">
      <c r="A2341" s="661"/>
      <c r="B2341" s="100" t="s">
        <v>72</v>
      </c>
      <c r="C2341" s="73"/>
      <c r="D2341" s="73"/>
      <c r="E2341" s="73"/>
      <c r="F2341" s="73"/>
      <c r="G2341" s="74" t="s">
        <v>3</v>
      </c>
      <c r="H2341" s="153">
        <f>0.15*0.15*2*0.15*2*1.3</f>
        <v>1.755E-2</v>
      </c>
      <c r="I2341" s="72"/>
      <c r="K2341" s="658"/>
    </row>
    <row r="2342" spans="1:11" customFormat="1" x14ac:dyDescent="0.25">
      <c r="A2342" s="661"/>
      <c r="B2342" s="100" t="s">
        <v>11</v>
      </c>
      <c r="C2342" s="73"/>
      <c r="D2342" s="73"/>
      <c r="E2342" s="73"/>
      <c r="F2342" s="73"/>
      <c r="G2342" s="74" t="s">
        <v>3</v>
      </c>
      <c r="H2342" s="153">
        <f>0.3*H2341</f>
        <v>5.2649999999999997E-3</v>
      </c>
      <c r="I2342" s="72"/>
      <c r="K2342" s="658"/>
    </row>
    <row r="2343" spans="1:11" customFormat="1" x14ac:dyDescent="0.25">
      <c r="A2343" s="661"/>
      <c r="B2343" s="580" t="s">
        <v>6724</v>
      </c>
      <c r="C2343" s="75"/>
      <c r="D2343" s="75"/>
      <c r="E2343" s="75"/>
      <c r="F2343" s="73"/>
      <c r="G2343" s="74" t="s">
        <v>3</v>
      </c>
      <c r="H2343" s="427">
        <f>0.13*0.05*1.3</f>
        <v>8.4500000000000009E-3</v>
      </c>
      <c r="I2343" s="72"/>
      <c r="K2343" s="658"/>
    </row>
    <row r="2344" spans="1:11" customFormat="1" ht="17.25" x14ac:dyDescent="0.25">
      <c r="A2344" s="661"/>
      <c r="B2344" s="204" t="s">
        <v>6723</v>
      </c>
      <c r="C2344" s="75"/>
      <c r="D2344" s="75"/>
      <c r="E2344" s="75"/>
      <c r="F2344" s="73"/>
      <c r="G2344" s="74" t="s">
        <v>596</v>
      </c>
      <c r="H2344" s="153">
        <f>1.09*H2343</f>
        <v>9.2105000000000017E-3</v>
      </c>
      <c r="I2344" s="72"/>
      <c r="K2344" s="658"/>
    </row>
    <row r="2345" spans="1:11" customFormat="1" x14ac:dyDescent="0.25">
      <c r="A2345" s="661"/>
      <c r="B2345" s="77"/>
      <c r="C2345" s="75" t="s">
        <v>8501</v>
      </c>
      <c r="D2345" s="73"/>
      <c r="E2345" s="73"/>
      <c r="F2345" s="73"/>
      <c r="G2345" s="74"/>
      <c r="H2345" s="153"/>
      <c r="I2345" s="72"/>
      <c r="K2345" s="658"/>
    </row>
    <row r="2346" spans="1:11" customFormat="1" x14ac:dyDescent="0.25">
      <c r="A2346" s="661"/>
      <c r="B2346" s="77"/>
      <c r="C2346" s="73" t="s">
        <v>213</v>
      </c>
      <c r="D2346" s="73"/>
      <c r="E2346" s="73"/>
      <c r="F2346" s="73"/>
      <c r="G2346" s="74" t="s">
        <v>3</v>
      </c>
      <c r="H2346" s="153">
        <f>0.18*0.21*3*2.7*1.11</f>
        <v>0.33985980000000005</v>
      </c>
      <c r="I2346" s="72"/>
      <c r="K2346" s="658"/>
    </row>
    <row r="2347" spans="1:11" customFormat="1" x14ac:dyDescent="0.25">
      <c r="A2347" s="661"/>
      <c r="B2347" s="77"/>
      <c r="C2347" s="75" t="s">
        <v>8500</v>
      </c>
      <c r="D2347" s="73"/>
      <c r="E2347" s="73"/>
      <c r="F2347" s="73"/>
      <c r="G2347" s="74"/>
      <c r="H2347" s="153"/>
      <c r="I2347" s="72"/>
      <c r="K2347" s="658"/>
    </row>
    <row r="2348" spans="1:11" customFormat="1" x14ac:dyDescent="0.25">
      <c r="A2348" s="661"/>
      <c r="B2348" s="77"/>
      <c r="C2348" s="73" t="s">
        <v>213</v>
      </c>
      <c r="D2348" s="73"/>
      <c r="E2348" s="73"/>
      <c r="F2348" s="73"/>
      <c r="G2348" s="74" t="s">
        <v>3</v>
      </c>
      <c r="H2348" s="153">
        <f>0.062*0.08*3*2.7*1.12</f>
        <v>4.4997120000000008E-2</v>
      </c>
      <c r="I2348" s="72"/>
      <c r="K2348" s="658"/>
    </row>
    <row r="2349" spans="1:11" customFormat="1" x14ac:dyDescent="0.25">
      <c r="A2349" s="661"/>
      <c r="B2349" s="77"/>
      <c r="C2349" s="75" t="s">
        <v>8499</v>
      </c>
      <c r="D2349" s="73"/>
      <c r="E2349" s="73"/>
      <c r="F2349" s="73"/>
      <c r="G2349" s="74"/>
      <c r="H2349" s="153"/>
      <c r="I2349" s="72"/>
      <c r="K2349" s="658"/>
    </row>
    <row r="2350" spans="1:11" customFormat="1" x14ac:dyDescent="0.25">
      <c r="A2350" s="661"/>
      <c r="B2350" s="77"/>
      <c r="C2350" s="73" t="s">
        <v>213</v>
      </c>
      <c r="D2350" s="73"/>
      <c r="E2350" s="73"/>
      <c r="F2350" s="73"/>
      <c r="G2350" s="74" t="s">
        <v>3</v>
      </c>
      <c r="H2350" s="153">
        <f>0.04*0.02*3*2.7*1.1</f>
        <v>7.1280000000000024E-3</v>
      </c>
      <c r="I2350" s="72"/>
      <c r="K2350" s="658"/>
    </row>
    <row r="2351" spans="1:11" customFormat="1" x14ac:dyDescent="0.25">
      <c r="A2351" s="661"/>
      <c r="B2351" s="77"/>
      <c r="C2351" s="75"/>
      <c r="D2351" s="73"/>
      <c r="E2351" s="73"/>
      <c r="F2351" s="73"/>
      <c r="G2351" s="74"/>
      <c r="H2351" s="153"/>
      <c r="I2351" s="72"/>
      <c r="K2351" s="658"/>
    </row>
    <row r="2352" spans="1:11" customFormat="1" x14ac:dyDescent="0.25">
      <c r="A2352" s="678"/>
      <c r="B2352" s="75" t="s">
        <v>8498</v>
      </c>
      <c r="C2352" s="73"/>
      <c r="D2352" s="73"/>
      <c r="E2352" s="73"/>
      <c r="F2352" s="73"/>
      <c r="G2352" s="74"/>
      <c r="H2352" s="153"/>
      <c r="I2352" s="72"/>
      <c r="K2352" s="658"/>
    </row>
    <row r="2353" spans="1:11" customFormat="1" x14ac:dyDescent="0.25">
      <c r="A2353" s="661"/>
      <c r="B2353" s="77" t="s">
        <v>1054</v>
      </c>
      <c r="C2353" s="73"/>
      <c r="D2353" s="73"/>
      <c r="E2353" s="73"/>
      <c r="F2353" s="73"/>
      <c r="G2353" s="74" t="s">
        <v>3</v>
      </c>
      <c r="H2353" s="153">
        <f>0.012*3.14*4*0.05*1.2</f>
        <v>9.0432000000000012E-3</v>
      </c>
      <c r="I2353" s="72"/>
      <c r="K2353" s="658"/>
    </row>
    <row r="2354" spans="1:11" customFormat="1" ht="17.25" x14ac:dyDescent="0.25">
      <c r="A2354" s="661"/>
      <c r="B2354" s="77" t="s">
        <v>1055</v>
      </c>
      <c r="C2354" s="73"/>
      <c r="D2354" s="73"/>
      <c r="E2354" s="73"/>
      <c r="F2354" s="73"/>
      <c r="G2354" s="74" t="s">
        <v>596</v>
      </c>
      <c r="H2354" s="153">
        <f>H2353</f>
        <v>9.0432000000000012E-3</v>
      </c>
      <c r="I2354" s="72"/>
      <c r="K2354" s="658"/>
    </row>
    <row r="2355" spans="1:11" customFormat="1" x14ac:dyDescent="0.25">
      <c r="A2355" s="661"/>
      <c r="B2355" s="75"/>
      <c r="C2355" s="75" t="s">
        <v>8497</v>
      </c>
      <c r="D2355" s="73"/>
      <c r="E2355" s="73"/>
      <c r="F2355" s="73"/>
      <c r="G2355" s="74"/>
      <c r="H2355" s="153"/>
      <c r="I2355" s="72"/>
      <c r="K2355" s="658"/>
    </row>
    <row r="2356" spans="1:11" customFormat="1" x14ac:dyDescent="0.25">
      <c r="A2356" s="661"/>
      <c r="B2356" s="75"/>
      <c r="C2356" s="73" t="s">
        <v>300</v>
      </c>
      <c r="D2356" s="73"/>
      <c r="E2356" s="73"/>
      <c r="F2356" s="73"/>
      <c r="G2356" s="74" t="s">
        <v>3</v>
      </c>
      <c r="H2356" s="153">
        <f>0.085*0.19*3*8*1.15</f>
        <v>0.44574000000000003</v>
      </c>
      <c r="I2356" s="72"/>
      <c r="K2356" s="658"/>
    </row>
    <row r="2357" spans="1:11" customFormat="1" x14ac:dyDescent="0.25">
      <c r="A2357" s="661"/>
      <c r="B2357" s="75"/>
      <c r="C2357" s="73"/>
      <c r="D2357" s="73"/>
      <c r="E2357" s="73"/>
      <c r="F2357" s="73"/>
      <c r="G2357" s="74"/>
      <c r="H2357" s="153"/>
      <c r="I2357" s="72"/>
      <c r="K2357" s="658"/>
    </row>
    <row r="2358" spans="1:11" customFormat="1" x14ac:dyDescent="0.25">
      <c r="A2358" s="678"/>
      <c r="B2358" s="75" t="s">
        <v>8496</v>
      </c>
      <c r="C2358" s="73"/>
      <c r="D2358" s="73"/>
      <c r="E2358" s="73"/>
      <c r="F2358" s="73"/>
      <c r="G2358" s="74"/>
      <c r="H2358" s="153"/>
      <c r="I2358" s="72"/>
      <c r="K2358" s="658"/>
    </row>
    <row r="2359" spans="1:11" customFormat="1" x14ac:dyDescent="0.25">
      <c r="A2359" s="661"/>
      <c r="B2359" s="580" t="s">
        <v>6724</v>
      </c>
      <c r="C2359" s="75"/>
      <c r="D2359" s="75"/>
      <c r="E2359" s="75"/>
      <c r="F2359" s="73"/>
      <c r="G2359" s="74" t="s">
        <v>3</v>
      </c>
      <c r="H2359" s="427">
        <f>0.3*0.05*1.2</f>
        <v>1.7999999999999999E-2</v>
      </c>
      <c r="I2359" s="72"/>
      <c r="K2359" s="658"/>
    </row>
    <row r="2360" spans="1:11" customFormat="1" ht="17.25" x14ac:dyDescent="0.25">
      <c r="A2360" s="661"/>
      <c r="B2360" s="204" t="s">
        <v>6723</v>
      </c>
      <c r="C2360" s="75"/>
      <c r="D2360" s="75"/>
      <c r="E2360" s="75"/>
      <c r="F2360" s="73"/>
      <c r="G2360" s="74" t="s">
        <v>596</v>
      </c>
      <c r="H2360" s="153">
        <f>1.09*H2359</f>
        <v>1.9619999999999999E-2</v>
      </c>
      <c r="I2360" s="72"/>
      <c r="K2360" s="658"/>
    </row>
    <row r="2361" spans="1:11" customFormat="1" x14ac:dyDescent="0.25">
      <c r="A2361" s="661"/>
      <c r="B2361" s="100" t="s">
        <v>8495</v>
      </c>
      <c r="C2361" s="73"/>
      <c r="D2361" s="73"/>
      <c r="E2361" s="73"/>
      <c r="F2361" s="73"/>
      <c r="G2361" s="74" t="s">
        <v>3</v>
      </c>
      <c r="H2361" s="153">
        <f>H2362*0.855</f>
        <v>0.14969853000000002</v>
      </c>
      <c r="I2361" s="72"/>
      <c r="K2361" s="658"/>
    </row>
    <row r="2362" spans="1:11" customFormat="1" x14ac:dyDescent="0.25">
      <c r="A2362" s="661"/>
      <c r="B2362" s="100" t="s">
        <v>36</v>
      </c>
      <c r="C2362" s="73"/>
      <c r="D2362" s="73"/>
      <c r="E2362" s="73"/>
      <c r="F2362" s="73"/>
      <c r="G2362" s="74" t="s">
        <v>3</v>
      </c>
      <c r="H2362" s="153">
        <f>(0.6*0.28+0.15*0.15*2)*2*0.15*2*1.37</f>
        <v>0.17508600000000002</v>
      </c>
      <c r="I2362" s="72"/>
      <c r="K2362" s="658"/>
    </row>
    <row r="2363" spans="1:11" customFormat="1" x14ac:dyDescent="0.25">
      <c r="A2363" s="661"/>
      <c r="B2363" s="100" t="s">
        <v>313</v>
      </c>
      <c r="C2363" s="73"/>
      <c r="D2363" s="73"/>
      <c r="E2363" s="73"/>
      <c r="F2363" s="73"/>
      <c r="G2363" s="74" t="s">
        <v>3</v>
      </c>
      <c r="H2363" s="153">
        <f>0.3*(H2362+H2361)</f>
        <v>9.7435359000000013E-2</v>
      </c>
      <c r="I2363" s="72"/>
      <c r="K2363" s="658"/>
    </row>
    <row r="2364" spans="1:11" customFormat="1" x14ac:dyDescent="0.25">
      <c r="A2364" s="661"/>
      <c r="B2364" s="100"/>
      <c r="C2364" s="75" t="s">
        <v>8494</v>
      </c>
      <c r="D2364" s="73"/>
      <c r="E2364" s="73"/>
      <c r="F2364" s="73"/>
      <c r="G2364" s="74"/>
      <c r="H2364" s="153"/>
      <c r="I2364" s="72"/>
      <c r="K2364" s="658"/>
    </row>
    <row r="2365" spans="1:11" customFormat="1" x14ac:dyDescent="0.25">
      <c r="A2365" s="661"/>
      <c r="B2365" s="100"/>
      <c r="C2365" s="580" t="s">
        <v>6724</v>
      </c>
      <c r="D2365" s="75"/>
      <c r="E2365" s="75"/>
      <c r="F2365" s="75"/>
      <c r="G2365" s="74" t="s">
        <v>3</v>
      </c>
      <c r="H2365" s="427">
        <f>0.15*0.05*1.2</f>
        <v>8.9999999999999993E-3</v>
      </c>
      <c r="I2365" s="72"/>
      <c r="K2365" s="658"/>
    </row>
    <row r="2366" spans="1:11" customFormat="1" ht="17.25" x14ac:dyDescent="0.25">
      <c r="A2366" s="661"/>
      <c r="B2366" s="100"/>
      <c r="C2366" s="204" t="s">
        <v>6723</v>
      </c>
      <c r="D2366" s="75"/>
      <c r="E2366" s="75"/>
      <c r="F2366" s="75"/>
      <c r="G2366" s="74" t="s">
        <v>596</v>
      </c>
      <c r="H2366" s="153">
        <f>1.09*H2365</f>
        <v>9.8099999999999993E-3</v>
      </c>
      <c r="I2366" s="72"/>
      <c r="K2366" s="658"/>
    </row>
    <row r="2367" spans="1:11" customFormat="1" x14ac:dyDescent="0.25">
      <c r="A2367" s="661"/>
      <c r="B2367" s="100"/>
      <c r="C2367" s="75"/>
      <c r="D2367" s="75" t="s">
        <v>8493</v>
      </c>
      <c r="E2367" s="73"/>
      <c r="F2367" s="73"/>
      <c r="G2367" s="153"/>
      <c r="H2367" s="153"/>
      <c r="I2367" s="72"/>
      <c r="K2367" s="658"/>
    </row>
    <row r="2368" spans="1:11" customFormat="1" x14ac:dyDescent="0.25">
      <c r="A2368" s="661"/>
      <c r="B2368" s="100"/>
      <c r="C2368" s="75"/>
      <c r="D2368" s="580" t="s">
        <v>6724</v>
      </c>
      <c r="E2368" s="75"/>
      <c r="F2368" s="75"/>
      <c r="G2368" s="74" t="s">
        <v>3</v>
      </c>
      <c r="H2368" s="427">
        <f>0.07*0.05*1.2</f>
        <v>4.2000000000000006E-3</v>
      </c>
      <c r="I2368" s="72"/>
      <c r="K2368" s="658"/>
    </row>
    <row r="2369" spans="1:11" customFormat="1" ht="17.25" x14ac:dyDescent="0.25">
      <c r="A2369" s="661"/>
      <c r="B2369" s="100"/>
      <c r="C2369" s="75"/>
      <c r="D2369" s="204" t="s">
        <v>6723</v>
      </c>
      <c r="E2369" s="75"/>
      <c r="F2369" s="75"/>
      <c r="G2369" s="74" t="s">
        <v>596</v>
      </c>
      <c r="H2369" s="153">
        <f>1.09*H2368</f>
        <v>4.5780000000000013E-3</v>
      </c>
      <c r="I2369" s="72"/>
      <c r="K2369" s="658"/>
    </row>
    <row r="2370" spans="1:11" customFormat="1" x14ac:dyDescent="0.25">
      <c r="A2370" s="661"/>
      <c r="B2370" s="100"/>
      <c r="C2370" s="73"/>
      <c r="D2370" s="73" t="s">
        <v>651</v>
      </c>
      <c r="E2370" s="73"/>
      <c r="F2370" s="73"/>
      <c r="G2370" s="74" t="s">
        <v>3</v>
      </c>
      <c r="H2370" s="153">
        <f>0.16*0.19*2*2.7*1.128</f>
        <v>0.18517247999999997</v>
      </c>
      <c r="I2370" s="72"/>
      <c r="K2370" s="658"/>
    </row>
    <row r="2371" spans="1:11" customFormat="1" x14ac:dyDescent="0.25">
      <c r="A2371" s="661"/>
      <c r="B2371" s="100"/>
      <c r="C2371" s="75" t="s">
        <v>8492</v>
      </c>
      <c r="D2371" s="73"/>
      <c r="E2371" s="73"/>
      <c r="F2371" s="73"/>
      <c r="G2371" s="74"/>
      <c r="H2371" s="153"/>
      <c r="I2371" s="72"/>
      <c r="K2371" s="658"/>
    </row>
    <row r="2372" spans="1:11" customFormat="1" x14ac:dyDescent="0.25">
      <c r="A2372" s="661"/>
      <c r="B2372" s="100"/>
      <c r="C2372" s="73" t="s">
        <v>651</v>
      </c>
      <c r="D2372" s="73"/>
      <c r="E2372" s="73"/>
      <c r="F2372" s="73"/>
      <c r="G2372" s="74" t="s">
        <v>3</v>
      </c>
      <c r="H2372" s="153">
        <f>0.6*0.3*2*2.7*1.152</f>
        <v>1.1197439999999999</v>
      </c>
      <c r="I2372" s="72"/>
      <c r="K2372" s="658"/>
    </row>
    <row r="2373" spans="1:11" customFormat="1" x14ac:dyDescent="0.25">
      <c r="A2373" s="661"/>
      <c r="B2373" s="100"/>
      <c r="C2373" s="580" t="s">
        <v>6724</v>
      </c>
      <c r="D2373" s="75"/>
      <c r="E2373" s="75"/>
      <c r="F2373" s="73"/>
      <c r="G2373" s="74" t="s">
        <v>3</v>
      </c>
      <c r="H2373" s="427">
        <f>0.3*0.05*1.35</f>
        <v>2.0250000000000001E-2</v>
      </c>
      <c r="I2373" s="72"/>
      <c r="K2373" s="658"/>
    </row>
    <row r="2374" spans="1:11" customFormat="1" ht="17.25" x14ac:dyDescent="0.25">
      <c r="A2374" s="661"/>
      <c r="B2374" s="100"/>
      <c r="C2374" s="204" t="s">
        <v>6723</v>
      </c>
      <c r="D2374" s="75"/>
      <c r="E2374" s="75"/>
      <c r="F2374" s="73"/>
      <c r="G2374" s="74" t="s">
        <v>596</v>
      </c>
      <c r="H2374" s="153">
        <f>1.09*H2373</f>
        <v>2.2072500000000002E-2</v>
      </c>
      <c r="I2374" s="72"/>
      <c r="K2374" s="658"/>
    </row>
    <row r="2375" spans="1:11" customFormat="1" x14ac:dyDescent="0.25">
      <c r="A2375" s="661"/>
      <c r="B2375" s="100"/>
      <c r="C2375" s="75" t="s">
        <v>8491</v>
      </c>
      <c r="D2375" s="73"/>
      <c r="E2375" s="73"/>
      <c r="F2375" s="73"/>
      <c r="G2375" s="74"/>
      <c r="H2375" s="153"/>
      <c r="I2375" s="72"/>
      <c r="K2375" s="658"/>
    </row>
    <row r="2376" spans="1:11" customFormat="1" x14ac:dyDescent="0.25">
      <c r="A2376" s="661"/>
      <c r="B2376" s="73"/>
      <c r="C2376" s="73" t="s">
        <v>651</v>
      </c>
      <c r="D2376" s="73"/>
      <c r="E2376" s="73"/>
      <c r="F2376" s="73"/>
      <c r="G2376" s="74" t="s">
        <v>3</v>
      </c>
      <c r="H2376" s="153">
        <f>0.13*0.13*2*2.7*1.15</f>
        <v>0.10494900000000001</v>
      </c>
      <c r="I2376" s="72"/>
      <c r="K2376" s="658"/>
    </row>
    <row r="2377" spans="1:11" customFormat="1" x14ac:dyDescent="0.25">
      <c r="A2377" s="661"/>
      <c r="B2377" s="75"/>
      <c r="C2377" s="75" t="s">
        <v>8490</v>
      </c>
      <c r="D2377" s="73"/>
      <c r="E2377" s="73"/>
      <c r="F2377" s="73"/>
      <c r="G2377" s="74"/>
      <c r="H2377" s="153"/>
      <c r="I2377" s="72"/>
      <c r="K2377" s="658"/>
    </row>
    <row r="2378" spans="1:11" customFormat="1" x14ac:dyDescent="0.25">
      <c r="A2378" s="661"/>
      <c r="B2378" s="75"/>
      <c r="C2378" s="73" t="s">
        <v>651</v>
      </c>
      <c r="D2378" s="73"/>
      <c r="E2378" s="73"/>
      <c r="F2378" s="73"/>
      <c r="G2378" s="74" t="s">
        <v>3</v>
      </c>
      <c r="H2378" s="153">
        <f>0.075*0.015*2*2.7*1.15</f>
        <v>6.9862499999999994E-3</v>
      </c>
      <c r="I2378" s="72"/>
      <c r="K2378" s="658"/>
    </row>
    <row r="2379" spans="1:11" customFormat="1" x14ac:dyDescent="0.25">
      <c r="A2379" s="661"/>
      <c r="B2379" s="75"/>
      <c r="C2379" s="75" t="s">
        <v>8315</v>
      </c>
      <c r="D2379" s="73"/>
      <c r="E2379" s="73"/>
      <c r="F2379" s="73"/>
      <c r="G2379" s="74"/>
      <c r="H2379" s="153"/>
      <c r="I2379" s="72"/>
      <c r="K2379" s="658"/>
    </row>
    <row r="2380" spans="1:11" customFormat="1" x14ac:dyDescent="0.25">
      <c r="A2380" s="661"/>
      <c r="B2380" s="75"/>
      <c r="C2380" s="100" t="s">
        <v>8489</v>
      </c>
      <c r="D2380" s="73"/>
      <c r="E2380" s="73"/>
      <c r="F2380" s="73"/>
      <c r="G2380" s="74" t="s">
        <v>3</v>
      </c>
      <c r="H2380" s="153">
        <v>1.7999999999999999E-2</v>
      </c>
      <c r="I2380" s="72"/>
      <c r="J2380" t="s">
        <v>5687</v>
      </c>
      <c r="K2380" s="658"/>
    </row>
    <row r="2381" spans="1:11" customFormat="1" x14ac:dyDescent="0.25">
      <c r="A2381" s="661"/>
      <c r="B2381" s="75"/>
      <c r="C2381" s="75"/>
      <c r="D2381" s="73"/>
      <c r="E2381" s="73"/>
      <c r="F2381" s="73"/>
      <c r="G2381" s="74"/>
      <c r="H2381" s="153"/>
      <c r="I2381" s="72"/>
      <c r="K2381" s="658"/>
    </row>
    <row r="2382" spans="1:11" customFormat="1" x14ac:dyDescent="0.25">
      <c r="A2382" s="678"/>
      <c r="B2382" s="75" t="s">
        <v>8488</v>
      </c>
      <c r="C2382" s="75"/>
      <c r="D2382" s="73"/>
      <c r="E2382" s="73"/>
      <c r="F2382" s="73"/>
      <c r="G2382" s="74"/>
      <c r="H2382" s="153"/>
      <c r="I2382" s="72"/>
      <c r="K2382" s="658"/>
    </row>
    <row r="2383" spans="1:11" customFormat="1" x14ac:dyDescent="0.25">
      <c r="A2383" s="661"/>
      <c r="B2383" s="73" t="s">
        <v>140</v>
      </c>
      <c r="C2383" s="73"/>
      <c r="D2383" s="73"/>
      <c r="E2383" s="73"/>
      <c r="F2383" s="73"/>
      <c r="G2383" s="74" t="s">
        <v>3</v>
      </c>
      <c r="H2383" s="153">
        <f>0.02*3.14*0.08*2*1.2</f>
        <v>1.2057600000000002E-2</v>
      </c>
      <c r="I2383" s="72"/>
      <c r="K2383" s="658"/>
    </row>
    <row r="2384" spans="1:11" customFormat="1" ht="17.25" x14ac:dyDescent="0.25">
      <c r="A2384" s="661"/>
      <c r="B2384" s="73" t="s">
        <v>23</v>
      </c>
      <c r="C2384" s="73"/>
      <c r="D2384" s="73"/>
      <c r="E2384" s="73"/>
      <c r="F2384" s="73"/>
      <c r="G2384" s="74" t="s">
        <v>596</v>
      </c>
      <c r="H2384" s="153">
        <f>H2383*2</f>
        <v>2.4115200000000003E-2</v>
      </c>
      <c r="I2384" s="72"/>
      <c r="K2384" s="658"/>
    </row>
    <row r="2385" spans="1:15" customFormat="1" x14ac:dyDescent="0.25">
      <c r="A2385" s="661"/>
      <c r="B2385" s="73" t="s">
        <v>142</v>
      </c>
      <c r="C2385" s="73"/>
      <c r="D2385" s="73"/>
      <c r="E2385" s="73"/>
      <c r="F2385" s="73"/>
      <c r="G2385" s="74" t="s">
        <v>3</v>
      </c>
      <c r="H2385" s="153">
        <f>H2383/4</f>
        <v>3.0144000000000004E-3</v>
      </c>
      <c r="I2385" s="72"/>
      <c r="K2385" s="658"/>
    </row>
    <row r="2386" spans="1:15" customFormat="1" x14ac:dyDescent="0.25">
      <c r="A2386" s="661"/>
      <c r="B2386" s="73" t="s">
        <v>14</v>
      </c>
      <c r="C2386" s="73"/>
      <c r="D2386" s="73"/>
      <c r="E2386" s="73"/>
      <c r="F2386" s="73"/>
      <c r="G2386" s="74" t="s">
        <v>3</v>
      </c>
      <c r="H2386" s="153">
        <f>H2387*0.87</f>
        <v>3.4626000000000004E-2</v>
      </c>
      <c r="I2386" s="72"/>
      <c r="K2386" s="658"/>
    </row>
    <row r="2387" spans="1:15" customFormat="1" x14ac:dyDescent="0.25">
      <c r="A2387" s="661"/>
      <c r="B2387" s="73" t="s">
        <v>325</v>
      </c>
      <c r="C2387" s="73"/>
      <c r="D2387" s="73"/>
      <c r="E2387" s="73"/>
      <c r="F2387" s="73"/>
      <c r="G2387" s="74" t="s">
        <v>3</v>
      </c>
      <c r="H2387" s="153">
        <f>0.85*0.02*2*1.2-0.001</f>
        <v>3.9800000000000002E-2</v>
      </c>
      <c r="I2387" s="72"/>
      <c r="K2387" s="658"/>
    </row>
    <row r="2388" spans="1:15" customFormat="1" x14ac:dyDescent="0.25">
      <c r="A2388" s="661"/>
      <c r="B2388" s="73" t="s">
        <v>143</v>
      </c>
      <c r="C2388" s="73"/>
      <c r="D2388" s="73"/>
      <c r="E2388" s="73"/>
      <c r="F2388" s="73"/>
      <c r="G2388" s="74" t="s">
        <v>3</v>
      </c>
      <c r="H2388" s="153">
        <f>H2386</f>
        <v>3.4626000000000004E-2</v>
      </c>
      <c r="I2388" s="72"/>
      <c r="K2388" s="658"/>
    </row>
    <row r="2389" spans="1:15" customFormat="1" x14ac:dyDescent="0.25">
      <c r="A2389" s="661"/>
      <c r="B2389" s="73" t="s">
        <v>12</v>
      </c>
      <c r="C2389" s="73"/>
      <c r="D2389" s="73"/>
      <c r="E2389" s="73"/>
      <c r="F2389" s="73"/>
      <c r="G2389" s="74" t="s">
        <v>3</v>
      </c>
      <c r="H2389" s="153">
        <f>0.3*(H2387+H2386+H2388)</f>
        <v>3.2715600000000004E-2</v>
      </c>
      <c r="I2389" s="72"/>
      <c r="K2389" s="658"/>
    </row>
    <row r="2390" spans="1:15" customFormat="1" x14ac:dyDescent="0.25">
      <c r="A2390" s="661"/>
      <c r="B2390" s="75"/>
      <c r="C2390" s="75" t="s">
        <v>8487</v>
      </c>
      <c r="D2390" s="73"/>
      <c r="E2390" s="73"/>
      <c r="F2390" s="73"/>
      <c r="G2390" s="74"/>
      <c r="H2390" s="153"/>
      <c r="I2390" s="72"/>
      <c r="K2390" s="658"/>
    </row>
    <row r="2391" spans="1:15" customFormat="1" x14ac:dyDescent="0.25">
      <c r="A2391" s="661"/>
      <c r="B2391" s="75"/>
      <c r="C2391" s="100" t="s">
        <v>327</v>
      </c>
      <c r="D2391" s="73"/>
      <c r="E2391" s="73"/>
      <c r="F2391" s="73"/>
      <c r="G2391" s="74" t="s">
        <v>3</v>
      </c>
      <c r="H2391" s="153">
        <v>0.47</v>
      </c>
      <c r="I2391" s="72"/>
      <c r="J2391" t="s">
        <v>8486</v>
      </c>
      <c r="K2391" s="658"/>
    </row>
    <row r="2392" spans="1:15" customFormat="1" x14ac:dyDescent="0.25">
      <c r="A2392" s="661"/>
      <c r="B2392" s="75"/>
      <c r="C2392" s="75"/>
      <c r="D2392" s="73"/>
      <c r="E2392" s="73"/>
      <c r="F2392" s="73"/>
      <c r="G2392" s="74"/>
      <c r="H2392" s="153"/>
      <c r="I2392" s="72"/>
      <c r="K2392" s="658"/>
    </row>
    <row r="2393" spans="1:15" customFormat="1" x14ac:dyDescent="0.25">
      <c r="A2393" s="678"/>
      <c r="B2393" s="75" t="s">
        <v>8485</v>
      </c>
      <c r="C2393" s="73"/>
      <c r="D2393" s="73"/>
      <c r="E2393" s="73"/>
      <c r="F2393" s="73"/>
      <c r="G2393" s="74"/>
      <c r="H2393" s="153"/>
      <c r="I2393" s="72"/>
      <c r="K2393" s="658"/>
    </row>
    <row r="2394" spans="1:15" customFormat="1" x14ac:dyDescent="0.25">
      <c r="A2394" s="661"/>
      <c r="B2394" s="75"/>
      <c r="C2394" s="73" t="s">
        <v>588</v>
      </c>
      <c r="D2394" s="73"/>
      <c r="E2394" s="73"/>
      <c r="F2394" s="73"/>
      <c r="G2394" s="74" t="s">
        <v>3</v>
      </c>
      <c r="H2394" s="153">
        <f>0.11*0.102*5*8*1.125</f>
        <v>0.50490000000000002</v>
      </c>
      <c r="I2394" s="72"/>
      <c r="K2394" s="658"/>
    </row>
    <row r="2395" spans="1:15" customFormat="1" x14ac:dyDescent="0.25">
      <c r="A2395" s="661"/>
      <c r="B2395" s="75"/>
      <c r="C2395" s="73"/>
      <c r="D2395" s="73"/>
      <c r="E2395" s="73"/>
      <c r="F2395" s="73"/>
      <c r="G2395" s="74"/>
      <c r="H2395" s="153"/>
      <c r="I2395" s="72"/>
      <c r="K2395" s="658"/>
    </row>
    <row r="2396" spans="1:15" customFormat="1" x14ac:dyDescent="0.25">
      <c r="A2396" s="678"/>
      <c r="B2396" s="75" t="s">
        <v>8484</v>
      </c>
      <c r="C2396" s="73"/>
      <c r="D2396" s="73"/>
      <c r="E2396" s="73"/>
      <c r="F2396" s="73"/>
      <c r="G2396" s="74"/>
      <c r="H2396" s="153"/>
      <c r="I2396" s="72"/>
      <c r="J2396" s="73"/>
      <c r="K2396" s="671"/>
      <c r="L2396" s="73"/>
      <c r="M2396" s="73"/>
      <c r="N2396" s="74"/>
      <c r="O2396" s="153"/>
    </row>
    <row r="2397" spans="1:15" customFormat="1" x14ac:dyDescent="0.25">
      <c r="A2397" s="661"/>
      <c r="B2397" s="77" t="s">
        <v>1054</v>
      </c>
      <c r="C2397" s="73"/>
      <c r="D2397" s="73"/>
      <c r="E2397" s="73"/>
      <c r="F2397" s="73"/>
      <c r="G2397" s="74" t="s">
        <v>3</v>
      </c>
      <c r="H2397" s="153">
        <f>0.45*0.08*1.1</f>
        <v>3.960000000000001E-2</v>
      </c>
      <c r="I2397" s="72"/>
      <c r="J2397" s="73"/>
      <c r="K2397" s="671"/>
      <c r="L2397" s="73"/>
      <c r="M2397" s="73"/>
      <c r="N2397" s="74"/>
      <c r="O2397" s="153"/>
    </row>
    <row r="2398" spans="1:15" customFormat="1" ht="17.25" x14ac:dyDescent="0.25">
      <c r="A2398" s="661"/>
      <c r="B2398" s="77" t="s">
        <v>1055</v>
      </c>
      <c r="C2398" s="73"/>
      <c r="D2398" s="73"/>
      <c r="E2398" s="73"/>
      <c r="F2398" s="73"/>
      <c r="G2398" s="74" t="s">
        <v>596</v>
      </c>
      <c r="H2398" s="153">
        <f>H2397</f>
        <v>3.960000000000001E-2</v>
      </c>
      <c r="I2398" s="72"/>
      <c r="J2398" s="73"/>
      <c r="K2398" s="671"/>
      <c r="L2398" s="73"/>
      <c r="M2398" s="73"/>
      <c r="N2398" s="74"/>
      <c r="O2398" s="153"/>
    </row>
    <row r="2399" spans="1:15" customFormat="1" x14ac:dyDescent="0.25">
      <c r="A2399" s="661"/>
      <c r="B2399" s="77" t="s">
        <v>8</v>
      </c>
      <c r="C2399" s="73"/>
      <c r="D2399" s="73"/>
      <c r="E2399" s="73"/>
      <c r="F2399" s="73"/>
      <c r="G2399" s="74" t="s">
        <v>3</v>
      </c>
      <c r="H2399" s="153">
        <f>H2400*0.92</f>
        <v>1.9872000000000001E-2</v>
      </c>
      <c r="I2399" s="72"/>
      <c r="J2399" s="73"/>
      <c r="K2399" s="671"/>
      <c r="L2399" s="73"/>
      <c r="M2399" s="73"/>
      <c r="N2399" s="74"/>
      <c r="O2399" s="153"/>
    </row>
    <row r="2400" spans="1:15" customFormat="1" x14ac:dyDescent="0.25">
      <c r="A2400" s="661"/>
      <c r="B2400" s="77" t="s">
        <v>36</v>
      </c>
      <c r="C2400" s="73"/>
      <c r="D2400" s="73"/>
      <c r="E2400" s="73"/>
      <c r="F2400" s="73"/>
      <c r="G2400" s="74" t="s">
        <v>3</v>
      </c>
      <c r="H2400" s="153">
        <f>0.16*0.18*2*0.15*2*1.25</f>
        <v>2.1600000000000001E-2</v>
      </c>
      <c r="I2400" s="72"/>
      <c r="J2400" s="73"/>
      <c r="K2400" s="671"/>
      <c r="L2400" s="73"/>
      <c r="M2400" s="73"/>
      <c r="N2400" s="74"/>
      <c r="O2400" s="153"/>
    </row>
    <row r="2401" spans="1:15" customFormat="1" x14ac:dyDescent="0.25">
      <c r="A2401" s="661"/>
      <c r="B2401" s="77" t="s">
        <v>12</v>
      </c>
      <c r="C2401" s="73"/>
      <c r="D2401" s="73"/>
      <c r="E2401" s="73"/>
      <c r="F2401" s="73"/>
      <c r="G2401" s="74" t="s">
        <v>3</v>
      </c>
      <c r="H2401" s="153">
        <f>0.3*(H2400+H2399)</f>
        <v>1.2441600000000001E-2</v>
      </c>
      <c r="I2401" s="72"/>
      <c r="J2401" s="73"/>
      <c r="K2401" s="671"/>
      <c r="L2401" s="73"/>
      <c r="M2401" s="73"/>
      <c r="N2401" s="74"/>
      <c r="O2401" s="153"/>
    </row>
    <row r="2402" spans="1:15" customFormat="1" x14ac:dyDescent="0.25">
      <c r="A2402" s="661"/>
      <c r="B2402" s="75"/>
      <c r="C2402" s="75" t="s">
        <v>8483</v>
      </c>
      <c r="D2402" s="73"/>
      <c r="E2402" s="73"/>
      <c r="F2402" s="73"/>
      <c r="G2402" s="74"/>
      <c r="H2402" s="153"/>
      <c r="I2402" s="72"/>
      <c r="J2402" s="73"/>
      <c r="K2402" s="671"/>
      <c r="L2402" s="73"/>
      <c r="M2402" s="73"/>
      <c r="N2402" s="74"/>
      <c r="O2402" s="153"/>
    </row>
    <row r="2403" spans="1:15" customFormat="1" x14ac:dyDescent="0.25">
      <c r="A2403" s="661"/>
      <c r="B2403" s="75"/>
      <c r="C2403" s="73" t="s">
        <v>226</v>
      </c>
      <c r="D2403" s="73"/>
      <c r="E2403" s="73"/>
      <c r="F2403" s="73"/>
      <c r="G2403" s="74" t="s">
        <v>3</v>
      </c>
      <c r="H2403" s="153">
        <f>0.16*0.18*5*8*1.12</f>
        <v>1.2902400000000001</v>
      </c>
      <c r="I2403" s="72"/>
      <c r="J2403" s="73"/>
      <c r="K2403" s="671"/>
      <c r="L2403" s="73"/>
      <c r="M2403" s="73"/>
      <c r="N2403" s="74"/>
      <c r="O2403" s="153"/>
    </row>
    <row r="2404" spans="1:15" customFormat="1" x14ac:dyDescent="0.25">
      <c r="A2404" s="661"/>
      <c r="B2404" s="75"/>
      <c r="C2404" s="75" t="s">
        <v>8482</v>
      </c>
      <c r="D2404" s="73"/>
      <c r="E2404" s="73"/>
      <c r="F2404" s="73"/>
      <c r="G2404" s="74"/>
      <c r="H2404" s="153"/>
      <c r="I2404" s="72"/>
      <c r="J2404" s="73"/>
      <c r="K2404" s="671"/>
      <c r="L2404" s="73"/>
      <c r="M2404" s="73"/>
      <c r="N2404" s="74"/>
      <c r="O2404" s="153"/>
    </row>
    <row r="2405" spans="1:15" customFormat="1" x14ac:dyDescent="0.25">
      <c r="A2405" s="661"/>
      <c r="B2405" s="75"/>
      <c r="C2405" s="73" t="s">
        <v>226</v>
      </c>
      <c r="D2405" s="73"/>
      <c r="E2405" s="73"/>
      <c r="F2405" s="73"/>
      <c r="G2405" s="74" t="s">
        <v>3</v>
      </c>
      <c r="H2405" s="153">
        <f>0.1*0.09*5*8</f>
        <v>0.36</v>
      </c>
      <c r="I2405" s="72"/>
      <c r="J2405" s="73"/>
      <c r="K2405" s="671"/>
      <c r="L2405" s="73"/>
      <c r="M2405" s="73"/>
      <c r="N2405" s="74"/>
      <c r="O2405" s="153"/>
    </row>
    <row r="2406" spans="1:15" customFormat="1" x14ac:dyDescent="0.25">
      <c r="A2406" s="661"/>
      <c r="B2406" s="75"/>
      <c r="C2406" s="75" t="s">
        <v>8481</v>
      </c>
      <c r="D2406" s="73"/>
      <c r="E2406" s="73"/>
      <c r="F2406" s="73"/>
      <c r="G2406" s="74"/>
      <c r="H2406" s="153"/>
      <c r="I2406" s="72"/>
      <c r="J2406" s="73"/>
      <c r="K2406" s="671"/>
      <c r="L2406" s="73"/>
      <c r="M2406" s="73"/>
      <c r="N2406" s="74"/>
      <c r="O2406" s="153"/>
    </row>
    <row r="2407" spans="1:15" customFormat="1" x14ac:dyDescent="0.25">
      <c r="A2407" s="661"/>
      <c r="B2407" s="75"/>
      <c r="C2407" s="73" t="s">
        <v>226</v>
      </c>
      <c r="D2407" s="73"/>
      <c r="E2407" s="73"/>
      <c r="F2407" s="73"/>
      <c r="G2407" s="74" t="s">
        <v>3</v>
      </c>
      <c r="H2407" s="153">
        <f>0.09*0.09*5*8</f>
        <v>0.32399999999999995</v>
      </c>
      <c r="I2407" s="72"/>
      <c r="J2407" s="73"/>
      <c r="K2407" s="671"/>
      <c r="L2407" s="73"/>
      <c r="M2407" s="73"/>
      <c r="N2407" s="74"/>
      <c r="O2407" s="153"/>
    </row>
    <row r="2408" spans="1:15" customFormat="1" x14ac:dyDescent="0.25">
      <c r="A2408" s="661"/>
      <c r="B2408" s="75"/>
      <c r="C2408" s="73"/>
      <c r="D2408" s="73"/>
      <c r="E2408" s="73"/>
      <c r="F2408" s="73"/>
      <c r="G2408" s="74"/>
      <c r="H2408" s="153"/>
      <c r="I2408" s="72"/>
      <c r="J2408" s="73"/>
      <c r="K2408" s="671"/>
      <c r="L2408" s="73"/>
      <c r="M2408" s="73"/>
      <c r="N2408" s="74"/>
      <c r="O2408" s="153"/>
    </row>
    <row r="2409" spans="1:15" customFormat="1" x14ac:dyDescent="0.25">
      <c r="A2409" s="678"/>
      <c r="B2409" s="75" t="s">
        <v>8480</v>
      </c>
      <c r="C2409" s="73"/>
      <c r="D2409" s="73"/>
      <c r="E2409" s="73"/>
      <c r="F2409" s="73"/>
      <c r="G2409" s="74"/>
      <c r="H2409" s="153"/>
      <c r="I2409" s="72"/>
      <c r="J2409" s="73"/>
      <c r="K2409" s="671"/>
      <c r="L2409" s="73"/>
      <c r="M2409" s="73"/>
      <c r="N2409" s="74"/>
      <c r="O2409" s="153"/>
    </row>
    <row r="2410" spans="1:15" customFormat="1" x14ac:dyDescent="0.25">
      <c r="A2410" s="661"/>
      <c r="B2410" s="77" t="s">
        <v>1054</v>
      </c>
      <c r="C2410" s="73"/>
      <c r="D2410" s="73"/>
      <c r="E2410" s="73"/>
      <c r="F2410" s="73"/>
      <c r="G2410" s="74" t="s">
        <v>3</v>
      </c>
      <c r="H2410" s="153">
        <f>0.47*0.07*1.22</f>
        <v>4.0138E-2</v>
      </c>
      <c r="I2410" s="72"/>
      <c r="J2410" s="73"/>
      <c r="K2410" s="671"/>
      <c r="L2410" s="73"/>
      <c r="M2410" s="73"/>
      <c r="N2410" s="74"/>
      <c r="O2410" s="153"/>
    </row>
    <row r="2411" spans="1:15" customFormat="1" ht="17.25" x14ac:dyDescent="0.25">
      <c r="A2411" s="661"/>
      <c r="B2411" s="77" t="s">
        <v>1055</v>
      </c>
      <c r="C2411" s="73"/>
      <c r="D2411" s="73"/>
      <c r="E2411" s="73"/>
      <c r="F2411" s="73"/>
      <c r="G2411" s="74" t="s">
        <v>596</v>
      </c>
      <c r="H2411" s="153">
        <f>H2410</f>
        <v>4.0138E-2</v>
      </c>
      <c r="I2411" s="72"/>
      <c r="J2411" s="73"/>
      <c r="K2411" s="671"/>
      <c r="L2411" s="73"/>
      <c r="M2411" s="73"/>
      <c r="N2411" s="74"/>
      <c r="O2411" s="153"/>
    </row>
    <row r="2412" spans="1:15" customFormat="1" x14ac:dyDescent="0.25">
      <c r="A2412" s="661"/>
      <c r="B2412" s="77" t="s">
        <v>8</v>
      </c>
      <c r="C2412" s="73"/>
      <c r="D2412" s="73"/>
      <c r="E2412" s="73"/>
      <c r="F2412" s="73"/>
      <c r="G2412" s="74" t="s">
        <v>3</v>
      </c>
      <c r="H2412" s="153">
        <f>H2413*0.92</f>
        <v>4.6367999999999993E-2</v>
      </c>
      <c r="I2412" s="72"/>
      <c r="J2412" s="73"/>
      <c r="K2412" s="671"/>
      <c r="L2412" s="73"/>
      <c r="M2412" s="73"/>
      <c r="N2412" s="74"/>
      <c r="O2412" s="153"/>
    </row>
    <row r="2413" spans="1:15" customFormat="1" x14ac:dyDescent="0.25">
      <c r="A2413" s="661"/>
      <c r="B2413" s="77" t="s">
        <v>36</v>
      </c>
      <c r="C2413" s="73"/>
      <c r="D2413" s="73"/>
      <c r="E2413" s="73"/>
      <c r="F2413" s="73"/>
      <c r="G2413" s="74" t="s">
        <v>3</v>
      </c>
      <c r="H2413" s="153">
        <f>0.32*0.21*2*0.15*2*1.25</f>
        <v>5.0399999999999993E-2</v>
      </c>
      <c r="I2413" s="72"/>
      <c r="J2413" s="73"/>
      <c r="K2413" s="671"/>
      <c r="L2413" s="73"/>
      <c r="M2413" s="73"/>
      <c r="N2413" s="74"/>
      <c r="O2413" s="153"/>
    </row>
    <row r="2414" spans="1:15" customFormat="1" x14ac:dyDescent="0.25">
      <c r="A2414" s="661"/>
      <c r="B2414" s="77" t="s">
        <v>12</v>
      </c>
      <c r="C2414" s="73"/>
      <c r="D2414" s="73"/>
      <c r="E2414" s="73"/>
      <c r="F2414" s="73"/>
      <c r="G2414" s="74" t="s">
        <v>3</v>
      </c>
      <c r="H2414" s="153">
        <f>0.3*(H2413+H2412)</f>
        <v>2.9030399999999998E-2</v>
      </c>
      <c r="I2414" s="72"/>
      <c r="J2414" s="73"/>
      <c r="K2414" s="671"/>
      <c r="L2414" s="73"/>
      <c r="M2414" s="73"/>
      <c r="N2414" s="74"/>
      <c r="O2414" s="153"/>
    </row>
    <row r="2415" spans="1:15" customFormat="1" x14ac:dyDescent="0.25">
      <c r="A2415" s="661"/>
      <c r="B2415" s="75"/>
      <c r="C2415" s="75" t="s">
        <v>8479</v>
      </c>
      <c r="D2415" s="73"/>
      <c r="E2415" s="73"/>
      <c r="F2415" s="73"/>
      <c r="G2415" s="74"/>
      <c r="H2415" s="153"/>
      <c r="I2415" s="72"/>
      <c r="J2415" s="73"/>
      <c r="K2415" s="671"/>
      <c r="L2415" s="73"/>
      <c r="M2415" s="73"/>
      <c r="N2415" s="74"/>
      <c r="O2415" s="153"/>
    </row>
    <row r="2416" spans="1:15" customFormat="1" x14ac:dyDescent="0.25">
      <c r="A2416" s="661"/>
      <c r="B2416" s="75"/>
      <c r="C2416" s="73" t="s">
        <v>260</v>
      </c>
      <c r="D2416" s="73"/>
      <c r="E2416" s="73"/>
      <c r="F2416" s="73"/>
      <c r="G2416" s="74" t="s">
        <v>3</v>
      </c>
      <c r="H2416" s="153">
        <f>0.215*0.235*4*8*1.1505</f>
        <v>1.8601283999999998</v>
      </c>
      <c r="I2416" s="72"/>
      <c r="J2416" s="73"/>
      <c r="K2416" s="671"/>
      <c r="L2416" s="73"/>
      <c r="M2416" s="73"/>
      <c r="N2416" s="74"/>
      <c r="O2416" s="153"/>
    </row>
    <row r="2417" spans="1:15" customFormat="1" x14ac:dyDescent="0.25">
      <c r="A2417" s="661"/>
      <c r="B2417" s="75"/>
      <c r="C2417" s="75" t="s">
        <v>8478</v>
      </c>
      <c r="D2417" s="73"/>
      <c r="E2417" s="73"/>
      <c r="F2417" s="73"/>
      <c r="G2417" s="74"/>
      <c r="H2417" s="153"/>
      <c r="I2417" s="72"/>
      <c r="J2417" s="73"/>
      <c r="K2417" s="671"/>
      <c r="L2417" s="73"/>
      <c r="M2417" s="73"/>
      <c r="N2417" s="74"/>
      <c r="O2417" s="153"/>
    </row>
    <row r="2418" spans="1:15" customFormat="1" x14ac:dyDescent="0.25">
      <c r="A2418" s="661"/>
      <c r="B2418" s="75"/>
      <c r="C2418" s="73" t="s">
        <v>260</v>
      </c>
      <c r="D2418" s="73"/>
      <c r="E2418" s="73"/>
      <c r="F2418" s="73"/>
      <c r="G2418" s="74" t="s">
        <v>3</v>
      </c>
      <c r="H2418" s="153">
        <f>0.09*0.21*4*8*1.12</f>
        <v>0.67737600000000009</v>
      </c>
      <c r="I2418" s="72"/>
      <c r="J2418" s="73"/>
      <c r="K2418" s="671"/>
      <c r="L2418" s="73"/>
      <c r="M2418" s="73"/>
      <c r="N2418" s="74"/>
      <c r="O2418" s="153"/>
    </row>
    <row r="2419" spans="1:15" customFormat="1" x14ac:dyDescent="0.25">
      <c r="A2419" s="661"/>
      <c r="B2419" s="75"/>
      <c r="C2419" s="75" t="s">
        <v>8477</v>
      </c>
      <c r="D2419" s="73"/>
      <c r="E2419" s="73"/>
      <c r="F2419" s="73"/>
      <c r="G2419" s="74"/>
      <c r="H2419" s="153"/>
      <c r="I2419" s="72"/>
      <c r="J2419" s="73"/>
      <c r="K2419" s="671"/>
      <c r="L2419" s="73"/>
      <c r="M2419" s="73"/>
      <c r="N2419" s="74"/>
      <c r="O2419" s="153"/>
    </row>
    <row r="2420" spans="1:15" customFormat="1" ht="15.75" thickBot="1" x14ac:dyDescent="0.3">
      <c r="A2420" s="660"/>
      <c r="B2420" s="235"/>
      <c r="C2420" s="68" t="s">
        <v>260</v>
      </c>
      <c r="D2420" s="68"/>
      <c r="E2420" s="68"/>
      <c r="F2420" s="68"/>
      <c r="G2420" s="82" t="s">
        <v>3</v>
      </c>
      <c r="H2420" s="89">
        <f>0.225*0.055*4*8*1.123</f>
        <v>0.44470800000000005</v>
      </c>
      <c r="I2420" s="83"/>
      <c r="J2420" s="73"/>
      <c r="K2420" s="671"/>
      <c r="L2420" s="73"/>
      <c r="M2420" s="73"/>
      <c r="N2420" s="74"/>
      <c r="O2420" s="153"/>
    </row>
    <row r="2421" spans="1:15" customFormat="1" x14ac:dyDescent="0.25">
      <c r="A2421" s="662"/>
      <c r="B2421" s="184"/>
      <c r="C2421" s="93"/>
      <c r="D2421" s="93"/>
      <c r="E2421" s="93"/>
      <c r="F2421" s="93"/>
      <c r="G2421" s="160"/>
      <c r="H2421" s="182" t="s">
        <v>8476</v>
      </c>
      <c r="I2421" s="176"/>
      <c r="J2421" s="73"/>
      <c r="K2421" s="671"/>
      <c r="L2421" s="73"/>
      <c r="M2421" s="73"/>
      <c r="N2421" s="74"/>
      <c r="O2421" s="153"/>
    </row>
    <row r="2422" spans="1:15" customFormat="1" x14ac:dyDescent="0.25">
      <c r="A2422" s="661"/>
      <c r="B2422" s="75"/>
      <c r="C2422" s="73"/>
      <c r="D2422" s="73"/>
      <c r="E2422" s="73"/>
      <c r="F2422" s="73"/>
      <c r="G2422" s="74"/>
      <c r="H2422" s="153"/>
      <c r="I2422" s="72"/>
      <c r="J2422" s="73"/>
      <c r="K2422" s="671"/>
      <c r="L2422" s="73"/>
      <c r="M2422" s="73"/>
      <c r="N2422" s="74"/>
      <c r="O2422" s="153"/>
    </row>
    <row r="2423" spans="1:15" customFormat="1" x14ac:dyDescent="0.25">
      <c r="A2423" s="678"/>
      <c r="B2423" s="75" t="s">
        <v>8475</v>
      </c>
      <c r="C2423" s="73"/>
      <c r="D2423" s="73"/>
      <c r="E2423" s="73"/>
      <c r="F2423" s="73"/>
      <c r="G2423" s="74"/>
      <c r="H2423" s="153"/>
      <c r="I2423" s="72"/>
      <c r="J2423" s="73"/>
      <c r="K2423" s="671"/>
      <c r="L2423" s="73"/>
      <c r="M2423" s="73"/>
      <c r="N2423" s="74"/>
      <c r="O2423" s="153"/>
    </row>
    <row r="2424" spans="1:15" customFormat="1" x14ac:dyDescent="0.25">
      <c r="A2424" s="661"/>
      <c r="B2424" s="77" t="s">
        <v>1054</v>
      </c>
      <c r="C2424" s="73"/>
      <c r="D2424" s="73"/>
      <c r="E2424" s="73"/>
      <c r="F2424" s="73"/>
      <c r="G2424" s="74" t="s">
        <v>3</v>
      </c>
      <c r="H2424" s="153">
        <f>0.015*3.14*0.08*1.2</f>
        <v>4.5216000000000006E-3</v>
      </c>
      <c r="I2424" s="72"/>
      <c r="J2424" s="73"/>
      <c r="K2424" s="671"/>
      <c r="L2424" s="73"/>
      <c r="M2424" s="73"/>
      <c r="N2424" s="74"/>
      <c r="O2424" s="153"/>
    </row>
    <row r="2425" spans="1:15" customFormat="1" ht="17.25" x14ac:dyDescent="0.25">
      <c r="A2425" s="661"/>
      <c r="B2425" s="77" t="s">
        <v>1055</v>
      </c>
      <c r="C2425" s="73"/>
      <c r="D2425" s="73"/>
      <c r="E2425" s="73"/>
      <c r="F2425" s="73"/>
      <c r="G2425" s="74" t="s">
        <v>596</v>
      </c>
      <c r="H2425" s="153">
        <f>H2424</f>
        <v>4.5216000000000006E-3</v>
      </c>
      <c r="I2425" s="72"/>
      <c r="J2425" s="73"/>
      <c r="K2425" s="671"/>
      <c r="L2425" s="73"/>
      <c r="M2425" s="73"/>
      <c r="N2425" s="74"/>
      <c r="O2425" s="153"/>
    </row>
    <row r="2426" spans="1:15" customFormat="1" x14ac:dyDescent="0.25">
      <c r="A2426" s="661"/>
      <c r="B2426" s="100" t="s">
        <v>8</v>
      </c>
      <c r="C2426" s="73"/>
      <c r="D2426" s="73"/>
      <c r="E2426" s="73"/>
      <c r="F2426" s="73"/>
      <c r="G2426" s="74" t="s">
        <v>3</v>
      </c>
      <c r="H2426" s="153">
        <f>H2427*0.8</f>
        <v>1.2355199999999998E-2</v>
      </c>
      <c r="I2426" s="72"/>
      <c r="J2426" s="73"/>
      <c r="K2426" s="671"/>
      <c r="L2426" s="73"/>
      <c r="M2426" s="73"/>
      <c r="N2426" s="74"/>
      <c r="O2426" s="153"/>
    </row>
    <row r="2427" spans="1:15" customFormat="1" x14ac:dyDescent="0.25">
      <c r="A2427" s="661"/>
      <c r="B2427" s="100" t="s">
        <v>36</v>
      </c>
      <c r="C2427" s="73"/>
      <c r="D2427" s="73"/>
      <c r="E2427" s="73"/>
      <c r="F2427" s="73"/>
      <c r="G2427" s="74" t="s">
        <v>3</v>
      </c>
      <c r="H2427" s="153">
        <f>0.11*0.18*2*0.15*2*1.3</f>
        <v>1.5443999999999998E-2</v>
      </c>
      <c r="I2427" s="72"/>
      <c r="J2427" s="73"/>
      <c r="K2427" s="671"/>
      <c r="L2427" s="73"/>
      <c r="M2427" s="73"/>
      <c r="N2427" s="74"/>
      <c r="O2427" s="153"/>
    </row>
    <row r="2428" spans="1:15" customFormat="1" x14ac:dyDescent="0.25">
      <c r="A2428" s="661"/>
      <c r="B2428" s="100" t="s">
        <v>12</v>
      </c>
      <c r="C2428" s="73"/>
      <c r="D2428" s="73"/>
      <c r="E2428" s="73"/>
      <c r="F2428" s="73"/>
      <c r="G2428" s="74" t="s">
        <v>3</v>
      </c>
      <c r="H2428" s="153">
        <f>0.3*(H2427+H2426)</f>
        <v>8.3397599999999981E-3</v>
      </c>
      <c r="I2428" s="72"/>
      <c r="J2428" s="73"/>
      <c r="K2428" s="671"/>
      <c r="L2428" s="73"/>
      <c r="M2428" s="73"/>
      <c r="N2428" s="74"/>
      <c r="O2428" s="153"/>
    </row>
    <row r="2429" spans="1:15" customFormat="1" x14ac:dyDescent="0.25">
      <c r="A2429" s="661"/>
      <c r="B2429" s="75"/>
      <c r="C2429" s="75" t="s">
        <v>8474</v>
      </c>
      <c r="D2429" s="73"/>
      <c r="E2429" s="73"/>
      <c r="F2429" s="73"/>
      <c r="G2429" s="74"/>
      <c r="H2429" s="153"/>
      <c r="I2429" s="72"/>
      <c r="J2429" s="73"/>
      <c r="K2429" s="671"/>
      <c r="L2429" s="73"/>
      <c r="M2429" s="73"/>
      <c r="N2429" s="74"/>
      <c r="O2429" s="153"/>
    </row>
    <row r="2430" spans="1:15" customFormat="1" x14ac:dyDescent="0.25">
      <c r="A2430" s="661"/>
      <c r="B2430" s="75"/>
      <c r="C2430" s="73" t="s">
        <v>226</v>
      </c>
      <c r="D2430" s="73"/>
      <c r="E2430" s="73"/>
      <c r="F2430" s="73"/>
      <c r="G2430" s="74" t="s">
        <v>3</v>
      </c>
      <c r="H2430" s="153">
        <f>0.11*0.18*5*8*1.124</f>
        <v>0.890208</v>
      </c>
      <c r="I2430" s="72"/>
      <c r="J2430" s="73"/>
      <c r="K2430" s="671"/>
      <c r="L2430" s="73"/>
      <c r="M2430" s="73"/>
      <c r="N2430" s="74"/>
      <c r="O2430" s="153"/>
    </row>
    <row r="2431" spans="1:15" customFormat="1" x14ac:dyDescent="0.25">
      <c r="A2431" s="661"/>
      <c r="B2431" s="75"/>
      <c r="C2431" s="73"/>
      <c r="D2431" s="73"/>
      <c r="E2431" s="73"/>
      <c r="F2431" s="73"/>
      <c r="G2431" s="74"/>
      <c r="H2431" s="153"/>
      <c r="I2431" s="72"/>
      <c r="J2431" s="73"/>
      <c r="K2431" s="671"/>
      <c r="L2431" s="73"/>
      <c r="M2431" s="73"/>
      <c r="N2431" s="74"/>
      <c r="O2431" s="153"/>
    </row>
    <row r="2432" spans="1:15" customFormat="1" x14ac:dyDescent="0.25">
      <c r="A2432" s="678"/>
      <c r="B2432" s="75" t="s">
        <v>8473</v>
      </c>
      <c r="C2432" s="73"/>
      <c r="D2432" s="73"/>
      <c r="E2432" s="73"/>
      <c r="F2432" s="73"/>
      <c r="G2432" s="74"/>
      <c r="H2432" s="153"/>
      <c r="I2432" s="72"/>
      <c r="J2432" s="73"/>
      <c r="K2432" s="671"/>
      <c r="L2432" s="73"/>
      <c r="M2432" s="73"/>
      <c r="N2432" s="74"/>
      <c r="O2432" s="153"/>
    </row>
    <row r="2433" spans="1:15" customFormat="1" x14ac:dyDescent="0.25">
      <c r="A2433" s="661"/>
      <c r="B2433" s="77" t="s">
        <v>1054</v>
      </c>
      <c r="C2433" s="73"/>
      <c r="D2433" s="73"/>
      <c r="E2433" s="73"/>
      <c r="F2433" s="73"/>
      <c r="G2433" s="74" t="s">
        <v>3</v>
      </c>
      <c r="H2433" s="153">
        <f>0.155*0.05*1.2</f>
        <v>9.2999999999999992E-3</v>
      </c>
      <c r="I2433" s="72"/>
      <c r="J2433" s="73"/>
      <c r="K2433" s="671"/>
      <c r="L2433" s="73"/>
      <c r="M2433" s="73"/>
      <c r="N2433" s="74"/>
      <c r="O2433" s="153"/>
    </row>
    <row r="2434" spans="1:15" customFormat="1" ht="17.25" x14ac:dyDescent="0.25">
      <c r="A2434" s="661"/>
      <c r="B2434" s="77" t="s">
        <v>1055</v>
      </c>
      <c r="C2434" s="73"/>
      <c r="D2434" s="73"/>
      <c r="E2434" s="73"/>
      <c r="F2434" s="73"/>
      <c r="G2434" s="74" t="s">
        <v>596</v>
      </c>
      <c r="H2434" s="153">
        <f>H2433</f>
        <v>9.2999999999999992E-3</v>
      </c>
      <c r="I2434" s="72"/>
      <c r="J2434" s="73"/>
      <c r="K2434" s="671"/>
      <c r="L2434" s="73"/>
      <c r="M2434" s="73"/>
      <c r="N2434" s="74"/>
      <c r="O2434" s="153"/>
    </row>
    <row r="2435" spans="1:15" customFormat="1" x14ac:dyDescent="0.25">
      <c r="A2435" s="661"/>
      <c r="B2435" s="75"/>
      <c r="C2435" s="75" t="s">
        <v>8472</v>
      </c>
      <c r="D2435" s="73"/>
      <c r="E2435" s="73"/>
      <c r="F2435" s="73"/>
      <c r="G2435" s="74"/>
      <c r="H2435" s="153"/>
      <c r="I2435" s="72"/>
      <c r="J2435" s="73"/>
      <c r="K2435" s="671"/>
      <c r="L2435" s="73"/>
      <c r="M2435" s="73"/>
      <c r="N2435" s="74"/>
      <c r="O2435" s="153"/>
    </row>
    <row r="2436" spans="1:15" customFormat="1" x14ac:dyDescent="0.25">
      <c r="A2436" s="661"/>
      <c r="B2436" s="75"/>
      <c r="C2436" s="100" t="s">
        <v>6894</v>
      </c>
      <c r="D2436" s="73"/>
      <c r="E2436" s="73"/>
      <c r="F2436" s="73"/>
      <c r="G2436" s="74" t="s">
        <v>3</v>
      </c>
      <c r="H2436" s="153">
        <v>0.54500000000000004</v>
      </c>
      <c r="I2436" s="72"/>
      <c r="J2436" t="s">
        <v>7897</v>
      </c>
      <c r="K2436" s="671"/>
      <c r="L2436" s="73"/>
      <c r="M2436" s="73"/>
      <c r="N2436" s="74"/>
      <c r="O2436" s="153"/>
    </row>
    <row r="2437" spans="1:15" customFormat="1" x14ac:dyDescent="0.25">
      <c r="A2437" s="661"/>
      <c r="B2437" s="75"/>
      <c r="C2437" s="75" t="s">
        <v>8471</v>
      </c>
      <c r="D2437" s="73"/>
      <c r="E2437" s="73"/>
      <c r="F2437" s="73"/>
      <c r="G2437" s="74"/>
      <c r="H2437" s="153"/>
      <c r="I2437" s="72"/>
      <c r="J2437" s="73"/>
      <c r="K2437" s="671"/>
      <c r="L2437" s="73"/>
      <c r="M2437" s="73"/>
      <c r="N2437" s="74"/>
      <c r="O2437" s="153"/>
    </row>
    <row r="2438" spans="1:15" customFormat="1" x14ac:dyDescent="0.25">
      <c r="A2438" s="661"/>
      <c r="B2438" s="75"/>
      <c r="C2438" s="100" t="s">
        <v>1143</v>
      </c>
      <c r="D2438" s="73"/>
      <c r="E2438" s="73"/>
      <c r="F2438" s="73"/>
      <c r="G2438" s="74" t="s">
        <v>3</v>
      </c>
      <c r="H2438" s="153">
        <f>0.1*0.03*3*8*1.11</f>
        <v>7.9920000000000019E-2</v>
      </c>
      <c r="I2438" s="72"/>
      <c r="J2438" s="73"/>
      <c r="K2438" s="671"/>
      <c r="L2438" s="73"/>
      <c r="M2438" s="73"/>
      <c r="N2438" s="74"/>
      <c r="O2438" s="153"/>
    </row>
    <row r="2439" spans="1:15" customFormat="1" x14ac:dyDescent="0.25">
      <c r="A2439" s="661"/>
      <c r="B2439" s="75"/>
      <c r="C2439" s="75" t="s">
        <v>8470</v>
      </c>
      <c r="D2439" s="73"/>
      <c r="E2439" s="73"/>
      <c r="F2439" s="73"/>
      <c r="G2439" s="74"/>
      <c r="H2439" s="153"/>
      <c r="I2439" s="72"/>
      <c r="J2439" s="73"/>
      <c r="K2439" s="671"/>
      <c r="L2439" s="73"/>
      <c r="M2439" s="73"/>
      <c r="N2439" s="74"/>
      <c r="O2439" s="153"/>
    </row>
    <row r="2440" spans="1:15" customFormat="1" x14ac:dyDescent="0.25">
      <c r="A2440" s="661"/>
      <c r="B2440" s="75"/>
      <c r="C2440" s="100" t="s">
        <v>1143</v>
      </c>
      <c r="D2440" s="73"/>
      <c r="E2440" s="73"/>
      <c r="F2440" s="73"/>
      <c r="G2440" s="74" t="s">
        <v>3</v>
      </c>
      <c r="H2440" s="153">
        <f>0.054*0.03*2*8*1.15</f>
        <v>2.9807999999999998E-2</v>
      </c>
      <c r="I2440" s="72"/>
      <c r="J2440" s="73"/>
      <c r="K2440" s="671"/>
      <c r="L2440" s="73"/>
      <c r="M2440" s="73"/>
      <c r="N2440" s="74"/>
      <c r="O2440" s="153"/>
    </row>
    <row r="2441" spans="1:15" customFormat="1" x14ac:dyDescent="0.25">
      <c r="A2441" s="661"/>
      <c r="B2441" s="75"/>
      <c r="C2441" s="73"/>
      <c r="D2441" s="73"/>
      <c r="E2441" s="73"/>
      <c r="F2441" s="73"/>
      <c r="G2441" s="74"/>
      <c r="H2441" s="153"/>
      <c r="I2441" s="72"/>
      <c r="J2441" s="73"/>
      <c r="K2441" s="671"/>
      <c r="L2441" s="73"/>
      <c r="M2441" s="73"/>
      <c r="N2441" s="74"/>
      <c r="O2441" s="153"/>
    </row>
    <row r="2442" spans="1:15" customFormat="1" x14ac:dyDescent="0.25">
      <c r="A2442" s="678"/>
      <c r="B2442" s="75" t="s">
        <v>8469</v>
      </c>
      <c r="C2442" s="73"/>
      <c r="D2442" s="73"/>
      <c r="E2442" s="73"/>
      <c r="F2442" s="73"/>
      <c r="G2442" s="74"/>
      <c r="H2442" s="153"/>
      <c r="I2442" s="72"/>
      <c r="K2442" s="658"/>
    </row>
    <row r="2443" spans="1:15" customFormat="1" x14ac:dyDescent="0.25">
      <c r="A2443" s="661"/>
      <c r="B2443" s="75"/>
      <c r="C2443" s="75" t="s">
        <v>8468</v>
      </c>
      <c r="D2443" s="73"/>
      <c r="E2443" s="73"/>
      <c r="F2443" s="73"/>
      <c r="G2443" s="74"/>
      <c r="H2443" s="153"/>
      <c r="I2443" s="72"/>
      <c r="J2443" s="73"/>
      <c r="K2443" s="671"/>
      <c r="L2443" s="73"/>
      <c r="M2443" s="73"/>
      <c r="N2443" s="74"/>
      <c r="O2443" s="153"/>
    </row>
    <row r="2444" spans="1:15" customFormat="1" x14ac:dyDescent="0.25">
      <c r="A2444" s="661"/>
      <c r="B2444" s="75"/>
      <c r="C2444" s="77" t="s">
        <v>1054</v>
      </c>
      <c r="D2444" s="73"/>
      <c r="E2444" s="73"/>
      <c r="F2444" s="73"/>
      <c r="G2444" s="74" t="s">
        <v>3</v>
      </c>
      <c r="H2444" s="153">
        <f>0.016*3.14*0.06*1.2</f>
        <v>3.6172799999999996E-3</v>
      </c>
      <c r="I2444" s="72"/>
      <c r="J2444" s="73"/>
      <c r="K2444" s="671"/>
      <c r="L2444" s="73"/>
      <c r="M2444" s="73"/>
      <c r="N2444" s="74"/>
      <c r="O2444" s="153"/>
    </row>
    <row r="2445" spans="1:15" customFormat="1" ht="17.25" x14ac:dyDescent="0.25">
      <c r="A2445" s="661"/>
      <c r="B2445" s="75"/>
      <c r="C2445" s="77" t="s">
        <v>1055</v>
      </c>
      <c r="D2445" s="73"/>
      <c r="E2445" s="73"/>
      <c r="F2445" s="73"/>
      <c r="G2445" s="74" t="s">
        <v>596</v>
      </c>
      <c r="H2445" s="153">
        <f>H2444</f>
        <v>3.6172799999999996E-3</v>
      </c>
      <c r="I2445" s="72"/>
      <c r="J2445" s="73"/>
      <c r="K2445" s="671"/>
      <c r="L2445" s="73"/>
      <c r="M2445" s="73"/>
      <c r="N2445" s="74"/>
      <c r="O2445" s="153"/>
    </row>
    <row r="2446" spans="1:15" customFormat="1" x14ac:dyDescent="0.25">
      <c r="A2446" s="661"/>
      <c r="B2446" s="75"/>
      <c r="C2446" s="75"/>
      <c r="D2446" s="75" t="s">
        <v>8467</v>
      </c>
      <c r="E2446" s="73"/>
      <c r="F2446" s="73"/>
      <c r="G2446" s="74"/>
      <c r="H2446" s="153"/>
      <c r="I2446" s="72"/>
      <c r="J2446" s="73"/>
      <c r="K2446" s="671"/>
      <c r="L2446" s="73"/>
      <c r="M2446" s="73"/>
      <c r="N2446" s="74"/>
      <c r="O2446" s="153"/>
    </row>
    <row r="2447" spans="1:15" customFormat="1" x14ac:dyDescent="0.25">
      <c r="A2447" s="661"/>
      <c r="B2447" s="75"/>
      <c r="C2447" s="75"/>
      <c r="D2447" s="73" t="s">
        <v>150</v>
      </c>
      <c r="E2447" s="73"/>
      <c r="F2447" s="73"/>
      <c r="G2447" s="74" t="s">
        <v>3</v>
      </c>
      <c r="H2447" s="153">
        <f>0.12*0.1*2*8*1.095</f>
        <v>0.21024000000000001</v>
      </c>
      <c r="I2447" s="72"/>
      <c r="J2447" s="73"/>
      <c r="K2447" s="671"/>
      <c r="L2447" s="73"/>
      <c r="M2447" s="73"/>
      <c r="N2447" s="74"/>
      <c r="O2447" s="153"/>
    </row>
    <row r="2448" spans="1:15" customFormat="1" x14ac:dyDescent="0.25">
      <c r="A2448" s="661"/>
      <c r="B2448" s="75"/>
      <c r="C2448" s="75"/>
      <c r="D2448" s="75"/>
      <c r="E2448" s="73"/>
      <c r="F2448" s="73"/>
      <c r="G2448" s="74"/>
      <c r="H2448" s="153"/>
      <c r="I2448" s="72"/>
      <c r="J2448" s="73"/>
      <c r="K2448" s="671"/>
      <c r="L2448" s="73"/>
      <c r="M2448" s="73"/>
      <c r="N2448" s="74"/>
      <c r="O2448" s="153"/>
    </row>
    <row r="2449" spans="1:15" customFormat="1" x14ac:dyDescent="0.25">
      <c r="A2449" s="678"/>
      <c r="B2449" s="75" t="s">
        <v>8051</v>
      </c>
      <c r="C2449" s="73"/>
      <c r="D2449" s="73"/>
      <c r="E2449" s="73"/>
      <c r="F2449" s="73"/>
      <c r="G2449" s="74"/>
      <c r="H2449" s="153"/>
      <c r="I2449" s="72"/>
      <c r="K2449" s="658"/>
    </row>
    <row r="2450" spans="1:15" customFormat="1" x14ac:dyDescent="0.25">
      <c r="A2450" s="661"/>
      <c r="B2450" s="75"/>
      <c r="C2450" s="75" t="s">
        <v>8466</v>
      </c>
      <c r="D2450" s="75"/>
      <c r="E2450" s="73"/>
      <c r="F2450" s="73"/>
      <c r="G2450" s="74"/>
      <c r="H2450" s="153"/>
      <c r="I2450" s="72"/>
      <c r="J2450" s="73"/>
      <c r="K2450" s="671"/>
      <c r="L2450" s="73"/>
      <c r="M2450" s="73"/>
      <c r="N2450" s="74"/>
      <c r="O2450" s="153"/>
    </row>
    <row r="2451" spans="1:15" customFormat="1" x14ac:dyDescent="0.25">
      <c r="A2451" s="661"/>
      <c r="B2451" s="75"/>
      <c r="C2451" s="73" t="s">
        <v>8464</v>
      </c>
      <c r="D2451" s="75"/>
      <c r="E2451" s="73"/>
      <c r="F2451" s="73"/>
      <c r="G2451" s="74" t="s">
        <v>3</v>
      </c>
      <c r="H2451" s="153">
        <f>0.1*0.13*2*8*1.12</f>
        <v>0.23296000000000006</v>
      </c>
      <c r="I2451" s="72"/>
      <c r="J2451" s="73"/>
      <c r="K2451" s="671"/>
      <c r="L2451" s="73"/>
      <c r="M2451" s="73"/>
      <c r="N2451" s="74"/>
      <c r="O2451" s="153"/>
    </row>
    <row r="2452" spans="1:15" customFormat="1" x14ac:dyDescent="0.25">
      <c r="A2452" s="661"/>
      <c r="B2452" s="75"/>
      <c r="C2452" s="75" t="s">
        <v>8465</v>
      </c>
      <c r="D2452" s="75"/>
      <c r="E2452" s="73"/>
      <c r="F2452" s="73"/>
      <c r="G2452" s="74"/>
      <c r="H2452" s="153"/>
      <c r="I2452" s="72"/>
      <c r="J2452" s="73"/>
      <c r="K2452" s="671"/>
      <c r="L2452" s="73"/>
      <c r="M2452" s="73"/>
      <c r="N2452" s="74"/>
      <c r="O2452" s="153"/>
    </row>
    <row r="2453" spans="1:15" customFormat="1" x14ac:dyDescent="0.25">
      <c r="A2453" s="661"/>
      <c r="B2453" s="75"/>
      <c r="C2453" s="73" t="s">
        <v>8464</v>
      </c>
      <c r="D2453" s="75"/>
      <c r="E2453" s="73"/>
      <c r="F2453" s="73"/>
      <c r="G2453" s="74" t="s">
        <v>3</v>
      </c>
      <c r="H2453" s="153">
        <f>0.13*0.012*2*8*1.12</f>
        <v>2.7955200000000006E-2</v>
      </c>
      <c r="I2453" s="72"/>
      <c r="J2453" s="73"/>
      <c r="K2453" s="671"/>
      <c r="L2453" s="73"/>
      <c r="M2453" s="73"/>
      <c r="N2453" s="74"/>
      <c r="O2453" s="153"/>
    </row>
    <row r="2454" spans="1:15" customFormat="1" x14ac:dyDescent="0.25">
      <c r="A2454" s="661"/>
      <c r="B2454" s="75"/>
      <c r="C2454" s="100" t="s">
        <v>15</v>
      </c>
      <c r="D2454" s="75"/>
      <c r="E2454" s="73"/>
      <c r="F2454" s="73"/>
      <c r="G2454" s="74" t="s">
        <v>3</v>
      </c>
      <c r="H2454" s="153">
        <f>0.13*0.011*2*1.3</f>
        <v>3.7180000000000004E-3</v>
      </c>
      <c r="I2454" s="72"/>
      <c r="J2454" s="73"/>
      <c r="K2454" s="671"/>
      <c r="L2454" s="73"/>
      <c r="M2454" s="73"/>
      <c r="N2454" s="74"/>
      <c r="O2454" s="153"/>
    </row>
    <row r="2455" spans="1:15" customFormat="1" x14ac:dyDescent="0.25">
      <c r="A2455" s="661"/>
      <c r="B2455" s="75"/>
      <c r="C2455" s="75"/>
      <c r="D2455" s="75"/>
      <c r="E2455" s="73"/>
      <c r="F2455" s="73"/>
      <c r="G2455" s="74"/>
      <c r="H2455" s="153"/>
      <c r="I2455" s="72"/>
      <c r="J2455" s="73"/>
      <c r="K2455" s="671"/>
      <c r="L2455" s="73"/>
      <c r="M2455" s="73"/>
      <c r="N2455" s="74"/>
      <c r="O2455" s="153"/>
    </row>
    <row r="2456" spans="1:15" customFormat="1" x14ac:dyDescent="0.25">
      <c r="A2456" s="678"/>
      <c r="B2456" s="75" t="s">
        <v>8463</v>
      </c>
      <c r="C2456" s="73"/>
      <c r="D2456" s="73"/>
      <c r="E2456" s="73"/>
      <c r="F2456" s="73"/>
      <c r="G2456" s="74"/>
      <c r="H2456" s="153"/>
      <c r="I2456" s="72"/>
      <c r="J2456" s="73"/>
      <c r="K2456" s="671"/>
      <c r="L2456" s="73"/>
      <c r="M2456" s="73"/>
      <c r="N2456" s="74"/>
      <c r="O2456" s="153"/>
    </row>
    <row r="2457" spans="1:15" customFormat="1" x14ac:dyDescent="0.25">
      <c r="A2457" s="661"/>
      <c r="B2457" s="100" t="s">
        <v>8</v>
      </c>
      <c r="C2457" s="73"/>
      <c r="D2457" s="73"/>
      <c r="E2457" s="73"/>
      <c r="F2457" s="73"/>
      <c r="G2457" s="74" t="s">
        <v>3</v>
      </c>
      <c r="H2457" s="153">
        <f>H2458*0.85</f>
        <v>3.7025999999999996E-2</v>
      </c>
      <c r="I2457" s="72"/>
      <c r="J2457" s="73"/>
      <c r="K2457" s="671"/>
      <c r="L2457" s="73"/>
      <c r="M2457" s="73"/>
      <c r="N2457" s="74"/>
      <c r="O2457" s="153"/>
    </row>
    <row r="2458" spans="1:15" customFormat="1" x14ac:dyDescent="0.25">
      <c r="A2458" s="661"/>
      <c r="B2458" s="100" t="s">
        <v>649</v>
      </c>
      <c r="C2458" s="73"/>
      <c r="D2458" s="73"/>
      <c r="E2458" s="73"/>
      <c r="F2458" s="73"/>
      <c r="G2458" s="74" t="s">
        <v>3</v>
      </c>
      <c r="H2458" s="153">
        <f>1.65*0.011*2*1.2</f>
        <v>4.3559999999999995E-2</v>
      </c>
      <c r="I2458" s="72"/>
      <c r="J2458" s="73"/>
      <c r="K2458" s="671"/>
      <c r="L2458" s="73"/>
      <c r="M2458" s="73"/>
      <c r="N2458" s="74"/>
      <c r="O2458" s="153"/>
    </row>
    <row r="2459" spans="1:15" customFormat="1" x14ac:dyDescent="0.25">
      <c r="A2459" s="661"/>
      <c r="B2459" s="100" t="s">
        <v>12</v>
      </c>
      <c r="C2459" s="73"/>
      <c r="D2459" s="73"/>
      <c r="E2459" s="73"/>
      <c r="F2459" s="73"/>
      <c r="G2459" s="74" t="s">
        <v>3</v>
      </c>
      <c r="H2459" s="153">
        <f>0.3*(H2458+H2457)</f>
        <v>2.4175799999999997E-2</v>
      </c>
      <c r="I2459" s="72"/>
      <c r="J2459" s="73"/>
      <c r="K2459" s="671"/>
      <c r="L2459" s="73"/>
      <c r="M2459" s="73"/>
      <c r="N2459" s="74"/>
      <c r="O2459" s="153"/>
    </row>
    <row r="2460" spans="1:15" customFormat="1" x14ac:dyDescent="0.25">
      <c r="A2460" s="661"/>
      <c r="B2460" s="73" t="s">
        <v>140</v>
      </c>
      <c r="C2460" s="73"/>
      <c r="D2460" s="73"/>
      <c r="E2460" s="73"/>
      <c r="F2460" s="73"/>
      <c r="G2460" s="74" t="s">
        <v>3</v>
      </c>
      <c r="H2460" s="153">
        <f>0.065*0.08*1.2</f>
        <v>6.2400000000000008E-3</v>
      </c>
      <c r="I2460" s="72"/>
      <c r="J2460" s="73"/>
      <c r="K2460" s="671"/>
      <c r="L2460" s="73"/>
      <c r="M2460" s="73"/>
      <c r="N2460" s="74"/>
      <c r="O2460" s="153"/>
    </row>
    <row r="2461" spans="1:15" customFormat="1" ht="17.25" x14ac:dyDescent="0.25">
      <c r="A2461" s="661"/>
      <c r="B2461" s="73" t="s">
        <v>23</v>
      </c>
      <c r="C2461" s="73"/>
      <c r="D2461" s="73"/>
      <c r="E2461" s="73"/>
      <c r="F2461" s="73"/>
      <c r="G2461" s="74" t="s">
        <v>596</v>
      </c>
      <c r="H2461" s="153">
        <f>H2460*2</f>
        <v>1.2480000000000002E-2</v>
      </c>
      <c r="I2461" s="72"/>
      <c r="J2461" s="73"/>
      <c r="K2461" s="671"/>
      <c r="L2461" s="73"/>
      <c r="M2461" s="73"/>
      <c r="N2461" s="74"/>
      <c r="O2461" s="153"/>
    </row>
    <row r="2462" spans="1:15" customFormat="1" x14ac:dyDescent="0.25">
      <c r="A2462" s="661"/>
      <c r="B2462" s="73" t="s">
        <v>142</v>
      </c>
      <c r="C2462" s="73"/>
      <c r="D2462" s="73"/>
      <c r="E2462" s="73"/>
      <c r="F2462" s="73"/>
      <c r="G2462" s="74" t="s">
        <v>3</v>
      </c>
      <c r="H2462" s="153">
        <f>H2460/4</f>
        <v>1.5600000000000002E-3</v>
      </c>
      <c r="I2462" s="72"/>
      <c r="J2462" s="73"/>
      <c r="K2462" s="671"/>
      <c r="L2462" s="73"/>
      <c r="M2462" s="73"/>
      <c r="N2462" s="74"/>
      <c r="O2462" s="153"/>
    </row>
    <row r="2463" spans="1:15" customFormat="1" x14ac:dyDescent="0.25">
      <c r="A2463" s="661"/>
      <c r="B2463" s="75"/>
      <c r="C2463" s="75" t="s">
        <v>8462</v>
      </c>
      <c r="D2463" s="73"/>
      <c r="E2463" s="73"/>
      <c r="F2463" s="73"/>
      <c r="G2463" s="74"/>
      <c r="H2463" s="153"/>
      <c r="I2463" s="72"/>
      <c r="J2463" s="73"/>
      <c r="K2463" s="671"/>
      <c r="L2463" s="73"/>
      <c r="M2463" s="73"/>
      <c r="N2463" s="74"/>
      <c r="O2463" s="153"/>
    </row>
    <row r="2464" spans="1:15" customFormat="1" x14ac:dyDescent="0.25">
      <c r="A2464" s="661"/>
      <c r="B2464" s="75"/>
      <c r="C2464" s="100" t="s">
        <v>1777</v>
      </c>
      <c r="D2464" s="73"/>
      <c r="E2464" s="73"/>
      <c r="F2464" s="73"/>
      <c r="G2464" s="74" t="s">
        <v>3</v>
      </c>
      <c r="H2464" s="153">
        <v>0.44500000000000001</v>
      </c>
      <c r="I2464" s="72"/>
      <c r="J2464" t="s">
        <v>8461</v>
      </c>
      <c r="K2464" s="671"/>
      <c r="L2464" s="73"/>
      <c r="M2464" s="73"/>
      <c r="N2464" s="74"/>
      <c r="O2464" s="153"/>
    </row>
    <row r="2465" spans="1:15" customFormat="1" x14ac:dyDescent="0.25">
      <c r="A2465" s="661"/>
      <c r="B2465" s="75"/>
      <c r="C2465" s="73"/>
      <c r="D2465" s="73"/>
      <c r="E2465" s="73"/>
      <c r="F2465" s="73"/>
      <c r="G2465" s="74"/>
      <c r="H2465" s="153"/>
      <c r="I2465" s="72"/>
      <c r="J2465" s="73"/>
      <c r="K2465" s="671"/>
      <c r="L2465" s="73"/>
      <c r="M2465" s="73"/>
      <c r="N2465" s="74"/>
      <c r="O2465" s="153"/>
    </row>
    <row r="2466" spans="1:15" customFormat="1" x14ac:dyDescent="0.25">
      <c r="A2466" s="678"/>
      <c r="B2466" s="75" t="s">
        <v>8460</v>
      </c>
      <c r="C2466" s="73"/>
      <c r="D2466" s="73"/>
      <c r="E2466" s="73"/>
      <c r="F2466" s="73"/>
      <c r="G2466" s="74"/>
      <c r="H2466" s="153"/>
      <c r="I2466" s="72"/>
      <c r="J2466" s="73"/>
      <c r="K2466" s="671"/>
      <c r="L2466" s="73"/>
      <c r="M2466" s="73"/>
      <c r="N2466" s="74"/>
      <c r="O2466" s="153"/>
    </row>
    <row r="2467" spans="1:15" customFormat="1" x14ac:dyDescent="0.25">
      <c r="A2467" s="661"/>
      <c r="B2467" s="73" t="s">
        <v>140</v>
      </c>
      <c r="C2467" s="73"/>
      <c r="D2467" s="73"/>
      <c r="E2467" s="73"/>
      <c r="F2467" s="73"/>
      <c r="G2467" s="74" t="s">
        <v>3</v>
      </c>
      <c r="H2467" s="153">
        <f>0.1*0.08*1.2</f>
        <v>9.5999999999999992E-3</v>
      </c>
      <c r="I2467" s="72"/>
      <c r="J2467" s="73"/>
      <c r="K2467" s="671"/>
      <c r="L2467" s="73"/>
      <c r="M2467" s="73"/>
      <c r="N2467" s="74"/>
      <c r="O2467" s="153"/>
    </row>
    <row r="2468" spans="1:15" customFormat="1" ht="17.25" x14ac:dyDescent="0.25">
      <c r="A2468" s="661"/>
      <c r="B2468" s="73" t="s">
        <v>23</v>
      </c>
      <c r="C2468" s="73"/>
      <c r="D2468" s="73"/>
      <c r="E2468" s="73"/>
      <c r="F2468" s="73"/>
      <c r="G2468" s="74" t="s">
        <v>596</v>
      </c>
      <c r="H2468" s="153">
        <f>H2467*2</f>
        <v>1.9199999999999998E-2</v>
      </c>
      <c r="I2468" s="72"/>
      <c r="J2468" s="73"/>
      <c r="K2468" s="671"/>
      <c r="L2468" s="73"/>
      <c r="M2468" s="73"/>
      <c r="N2468" s="74"/>
      <c r="O2468" s="153"/>
    </row>
    <row r="2469" spans="1:15" customFormat="1" x14ac:dyDescent="0.25">
      <c r="A2469" s="661"/>
      <c r="B2469" s="73" t="s">
        <v>142</v>
      </c>
      <c r="C2469" s="73"/>
      <c r="D2469" s="73"/>
      <c r="E2469" s="73"/>
      <c r="F2469" s="73"/>
      <c r="G2469" s="74" t="s">
        <v>3</v>
      </c>
      <c r="H2469" s="153">
        <f>H2467/4</f>
        <v>2.3999999999999998E-3</v>
      </c>
      <c r="I2469" s="72"/>
      <c r="J2469" s="73"/>
      <c r="K2469" s="671"/>
      <c r="L2469" s="73"/>
      <c r="M2469" s="73"/>
      <c r="N2469" s="74"/>
      <c r="O2469" s="153"/>
    </row>
    <row r="2470" spans="1:15" customFormat="1" x14ac:dyDescent="0.25">
      <c r="A2470" s="661"/>
      <c r="B2470" s="100" t="s">
        <v>8</v>
      </c>
      <c r="C2470" s="73"/>
      <c r="D2470" s="73"/>
      <c r="E2470" s="73"/>
      <c r="F2470" s="73"/>
      <c r="G2470" s="74" t="s">
        <v>3</v>
      </c>
      <c r="H2470" s="153">
        <f>H2471*0.85</f>
        <v>2.6927999999999994E-2</v>
      </c>
      <c r="I2470" s="72"/>
      <c r="J2470" s="73"/>
      <c r="K2470" s="671"/>
      <c r="L2470" s="73"/>
      <c r="M2470" s="73"/>
      <c r="N2470" s="74"/>
      <c r="O2470" s="153"/>
    </row>
    <row r="2471" spans="1:15" customFormat="1" x14ac:dyDescent="0.25">
      <c r="A2471" s="661"/>
      <c r="B2471" s="100" t="s">
        <v>649</v>
      </c>
      <c r="C2471" s="73"/>
      <c r="D2471" s="73"/>
      <c r="E2471" s="73"/>
      <c r="F2471" s="73"/>
      <c r="G2471" s="74" t="s">
        <v>3</v>
      </c>
      <c r="H2471" s="153">
        <f>1.2*0.011*2*1.2</f>
        <v>3.1679999999999993E-2</v>
      </c>
      <c r="I2471" s="72"/>
      <c r="J2471" s="73"/>
      <c r="K2471" s="671"/>
      <c r="L2471" s="73"/>
      <c r="M2471" s="73"/>
      <c r="N2471" s="74"/>
      <c r="O2471" s="153"/>
    </row>
    <row r="2472" spans="1:15" customFormat="1" x14ac:dyDescent="0.25">
      <c r="A2472" s="661"/>
      <c r="B2472" s="100" t="s">
        <v>12</v>
      </c>
      <c r="C2472" s="73"/>
      <c r="D2472" s="73"/>
      <c r="E2472" s="73"/>
      <c r="F2472" s="73"/>
      <c r="G2472" s="74" t="s">
        <v>3</v>
      </c>
      <c r="H2472" s="153">
        <f>0.3*(H2471+H2470)</f>
        <v>1.7582399999999995E-2</v>
      </c>
      <c r="I2472" s="72"/>
      <c r="J2472" s="73"/>
      <c r="K2472" s="671"/>
      <c r="L2472" s="73"/>
      <c r="M2472" s="73"/>
      <c r="N2472" s="74"/>
      <c r="O2472" s="153"/>
    </row>
    <row r="2473" spans="1:15" customFormat="1" x14ac:dyDescent="0.25">
      <c r="A2473" s="661"/>
      <c r="B2473" s="100"/>
      <c r="C2473" s="75" t="s">
        <v>8459</v>
      </c>
      <c r="D2473" s="73"/>
      <c r="E2473" s="73"/>
      <c r="F2473" s="73"/>
      <c r="G2473" s="74"/>
      <c r="H2473" s="153"/>
      <c r="I2473" s="72"/>
      <c r="J2473" s="73"/>
      <c r="K2473" s="671"/>
      <c r="L2473" s="73"/>
      <c r="M2473" s="73"/>
      <c r="N2473" s="74"/>
      <c r="O2473" s="153"/>
    </row>
    <row r="2474" spans="1:15" customFormat="1" x14ac:dyDescent="0.25">
      <c r="A2474" s="661"/>
      <c r="B2474" s="100"/>
      <c r="C2474" s="100" t="s">
        <v>1777</v>
      </c>
      <c r="D2474" s="73"/>
      <c r="E2474" s="73"/>
      <c r="F2474" s="73"/>
      <c r="G2474" s="74" t="s">
        <v>3</v>
      </c>
      <c r="H2474" s="153">
        <v>0.115</v>
      </c>
      <c r="I2474" s="72"/>
      <c r="J2474" t="s">
        <v>1153</v>
      </c>
      <c r="K2474" s="671"/>
      <c r="L2474" s="73"/>
      <c r="M2474" s="73"/>
      <c r="N2474" s="74"/>
      <c r="O2474" s="153"/>
    </row>
    <row r="2475" spans="1:15" customFormat="1" x14ac:dyDescent="0.25">
      <c r="A2475" s="661"/>
      <c r="B2475" s="100"/>
      <c r="C2475" s="75" t="s">
        <v>8458</v>
      </c>
      <c r="D2475" s="73"/>
      <c r="E2475" s="73"/>
      <c r="F2475" s="73"/>
      <c r="G2475" s="74"/>
      <c r="H2475" s="153"/>
      <c r="I2475" s="72"/>
      <c r="J2475" s="73"/>
      <c r="K2475" s="671"/>
      <c r="L2475" s="73"/>
      <c r="M2475" s="73"/>
      <c r="N2475" s="74"/>
      <c r="O2475" s="153"/>
    </row>
    <row r="2476" spans="1:15" customFormat="1" x14ac:dyDescent="0.25">
      <c r="A2476" s="661"/>
      <c r="B2476" s="75"/>
      <c r="C2476" s="100" t="s">
        <v>1777</v>
      </c>
      <c r="D2476" s="73"/>
      <c r="E2476" s="73"/>
      <c r="F2476" s="73"/>
      <c r="G2476" s="74" t="s">
        <v>3</v>
      </c>
      <c r="H2476" s="153">
        <f>0.2*1.1</f>
        <v>0.22000000000000003</v>
      </c>
      <c r="I2476" s="72"/>
      <c r="J2476" t="s">
        <v>8457</v>
      </c>
      <c r="K2476" s="671"/>
      <c r="L2476" s="73"/>
      <c r="M2476" s="73"/>
      <c r="N2476" s="74"/>
      <c r="O2476" s="153"/>
    </row>
    <row r="2477" spans="1:15" customFormat="1" x14ac:dyDescent="0.25">
      <c r="A2477" s="661"/>
      <c r="B2477" s="75"/>
      <c r="C2477" s="73"/>
      <c r="D2477" s="73"/>
      <c r="E2477" s="73"/>
      <c r="F2477" s="73"/>
      <c r="G2477" s="74"/>
      <c r="H2477" s="153"/>
      <c r="I2477" s="72"/>
      <c r="J2477" s="73"/>
      <c r="K2477" s="671"/>
      <c r="L2477" s="73"/>
      <c r="M2477" s="73"/>
      <c r="N2477" s="74"/>
      <c r="O2477" s="153"/>
    </row>
    <row r="2478" spans="1:15" customFormat="1" x14ac:dyDescent="0.25">
      <c r="A2478" s="678"/>
      <c r="B2478" s="75" t="s">
        <v>8456</v>
      </c>
      <c r="C2478" s="73"/>
      <c r="D2478" s="73"/>
      <c r="E2478" s="73"/>
      <c r="F2478" s="73"/>
      <c r="G2478" s="74"/>
      <c r="H2478" s="153"/>
      <c r="I2478" s="72"/>
      <c r="J2478" s="73"/>
      <c r="K2478" s="671"/>
      <c r="L2478" s="73"/>
      <c r="M2478" s="73"/>
      <c r="N2478" s="74"/>
      <c r="O2478" s="153"/>
    </row>
    <row r="2479" spans="1:15" customFormat="1" x14ac:dyDescent="0.25">
      <c r="A2479" s="661"/>
      <c r="B2479" s="73" t="s">
        <v>140</v>
      </c>
      <c r="C2479" s="73"/>
      <c r="D2479" s="73"/>
      <c r="E2479" s="73"/>
      <c r="F2479" s="73"/>
      <c r="G2479" s="74" t="s">
        <v>3</v>
      </c>
      <c r="H2479" s="153">
        <f>0.032*8*0.08*1.2</f>
        <v>2.4576000000000001E-2</v>
      </c>
      <c r="I2479" s="72"/>
      <c r="J2479" s="73"/>
      <c r="K2479" s="671"/>
      <c r="L2479" s="73"/>
      <c r="M2479" s="73"/>
      <c r="N2479" s="74"/>
      <c r="O2479" s="153"/>
    </row>
    <row r="2480" spans="1:15" customFormat="1" ht="17.25" x14ac:dyDescent="0.25">
      <c r="A2480" s="661"/>
      <c r="B2480" s="73" t="s">
        <v>23</v>
      </c>
      <c r="C2480" s="73"/>
      <c r="D2480" s="73"/>
      <c r="E2480" s="73"/>
      <c r="F2480" s="73"/>
      <c r="G2480" s="74" t="s">
        <v>596</v>
      </c>
      <c r="H2480" s="153">
        <f>H2479*2</f>
        <v>4.9152000000000001E-2</v>
      </c>
      <c r="I2480" s="72"/>
      <c r="J2480" s="73"/>
      <c r="K2480" s="671"/>
      <c r="L2480" s="73"/>
      <c r="M2480" s="73"/>
      <c r="N2480" s="74"/>
      <c r="O2480" s="153"/>
    </row>
    <row r="2481" spans="1:15" customFormat="1" x14ac:dyDescent="0.25">
      <c r="A2481" s="661"/>
      <c r="B2481" s="73" t="s">
        <v>142</v>
      </c>
      <c r="C2481" s="73"/>
      <c r="D2481" s="73"/>
      <c r="E2481" s="73"/>
      <c r="F2481" s="73"/>
      <c r="G2481" s="74" t="s">
        <v>3</v>
      </c>
      <c r="H2481" s="153">
        <f>H2479/4</f>
        <v>6.1440000000000002E-3</v>
      </c>
      <c r="I2481" s="72"/>
      <c r="J2481" s="73"/>
      <c r="K2481" s="671"/>
      <c r="L2481" s="73"/>
      <c r="M2481" s="73"/>
      <c r="N2481" s="74"/>
      <c r="O2481" s="153"/>
    </row>
    <row r="2482" spans="1:15" customFormat="1" x14ac:dyDescent="0.25">
      <c r="A2482" s="661"/>
      <c r="B2482" s="100" t="s">
        <v>8</v>
      </c>
      <c r="C2482" s="73"/>
      <c r="D2482" s="73"/>
      <c r="E2482" s="73"/>
      <c r="F2482" s="73"/>
      <c r="G2482" s="74" t="s">
        <v>3</v>
      </c>
      <c r="H2482" s="153">
        <f>H2483*0.85</f>
        <v>3.8147999999999994E-2</v>
      </c>
      <c r="I2482" s="72"/>
      <c r="J2482" s="73"/>
      <c r="K2482" s="671"/>
      <c r="L2482" s="73"/>
      <c r="M2482" s="73"/>
      <c r="N2482" s="74"/>
      <c r="O2482" s="153"/>
    </row>
    <row r="2483" spans="1:15" customFormat="1" x14ac:dyDescent="0.25">
      <c r="A2483" s="661"/>
      <c r="B2483" s="100" t="s">
        <v>649</v>
      </c>
      <c r="C2483" s="73"/>
      <c r="D2483" s="73"/>
      <c r="E2483" s="73"/>
      <c r="F2483" s="73"/>
      <c r="G2483" s="74" t="s">
        <v>3</v>
      </c>
      <c r="H2483" s="153">
        <f>1.7*0.011*2*1.2</f>
        <v>4.4879999999999996E-2</v>
      </c>
      <c r="I2483" s="72"/>
      <c r="J2483" s="73"/>
      <c r="K2483" s="671"/>
      <c r="L2483" s="73"/>
      <c r="M2483" s="73"/>
      <c r="N2483" s="74"/>
      <c r="O2483" s="153"/>
    </row>
    <row r="2484" spans="1:15" customFormat="1" x14ac:dyDescent="0.25">
      <c r="A2484" s="661"/>
      <c r="B2484" s="100" t="s">
        <v>12</v>
      </c>
      <c r="C2484" s="73"/>
      <c r="D2484" s="73"/>
      <c r="E2484" s="73"/>
      <c r="F2484" s="73"/>
      <c r="G2484" s="74" t="s">
        <v>3</v>
      </c>
      <c r="H2484" s="153">
        <f>0.3*(H2483+H2482)</f>
        <v>2.4908399999999997E-2</v>
      </c>
      <c r="I2484" s="72"/>
      <c r="J2484" s="73"/>
      <c r="K2484" s="671"/>
      <c r="L2484" s="73"/>
      <c r="M2484" s="73"/>
      <c r="N2484" s="74"/>
      <c r="O2484" s="153"/>
    </row>
    <row r="2485" spans="1:15" customFormat="1" x14ac:dyDescent="0.25">
      <c r="A2485" s="661"/>
      <c r="B2485" s="100"/>
      <c r="C2485" s="75" t="s">
        <v>8455</v>
      </c>
      <c r="D2485" s="73"/>
      <c r="E2485" s="73"/>
      <c r="F2485" s="73"/>
      <c r="G2485" s="74"/>
      <c r="H2485" s="153"/>
      <c r="I2485" s="72"/>
      <c r="J2485" s="73"/>
      <c r="K2485" s="671"/>
      <c r="L2485" s="73"/>
      <c r="M2485" s="73"/>
      <c r="N2485" s="74"/>
      <c r="O2485" s="153"/>
    </row>
    <row r="2486" spans="1:15" customFormat="1" x14ac:dyDescent="0.25">
      <c r="A2486" s="661"/>
      <c r="B2486" s="100"/>
      <c r="C2486" s="100" t="s">
        <v>1777</v>
      </c>
      <c r="D2486" s="73"/>
      <c r="E2486" s="73"/>
      <c r="F2486" s="73"/>
      <c r="G2486" s="74" t="s">
        <v>3</v>
      </c>
      <c r="H2486" s="153">
        <v>0.16</v>
      </c>
      <c r="I2486" s="72"/>
      <c r="J2486" t="s">
        <v>8454</v>
      </c>
      <c r="K2486" s="671"/>
      <c r="L2486" s="73"/>
      <c r="M2486" s="73"/>
      <c r="N2486" s="74"/>
      <c r="O2486" s="153"/>
    </row>
    <row r="2487" spans="1:15" customFormat="1" x14ac:dyDescent="0.25">
      <c r="A2487" s="661"/>
      <c r="B2487" s="100"/>
      <c r="C2487" s="75" t="s">
        <v>8453</v>
      </c>
      <c r="D2487" s="73"/>
      <c r="E2487" s="73"/>
      <c r="F2487" s="73"/>
      <c r="G2487" s="74"/>
      <c r="H2487" s="153"/>
      <c r="I2487" s="72"/>
      <c r="J2487" s="73"/>
      <c r="K2487" s="671"/>
      <c r="L2487" s="73"/>
      <c r="M2487" s="73"/>
      <c r="N2487" s="74"/>
      <c r="O2487" s="153"/>
    </row>
    <row r="2488" spans="1:15" customFormat="1" x14ac:dyDescent="0.25">
      <c r="A2488" s="661"/>
      <c r="B2488" s="100"/>
      <c r="C2488" s="100" t="s">
        <v>1777</v>
      </c>
      <c r="D2488" s="73"/>
      <c r="E2488" s="73"/>
      <c r="F2488" s="73"/>
      <c r="G2488" s="74" t="s">
        <v>3</v>
      </c>
      <c r="H2488" s="153">
        <v>0.03</v>
      </c>
      <c r="I2488" s="72"/>
      <c r="J2488" t="s">
        <v>5687</v>
      </c>
      <c r="K2488" s="671"/>
      <c r="L2488" s="73"/>
      <c r="M2488" s="73"/>
      <c r="N2488" s="74"/>
      <c r="O2488" s="153"/>
    </row>
    <row r="2489" spans="1:15" customFormat="1" x14ac:dyDescent="0.25">
      <c r="A2489" s="661"/>
      <c r="B2489" s="100"/>
      <c r="C2489" s="75" t="s">
        <v>8452</v>
      </c>
      <c r="D2489" s="73"/>
      <c r="E2489" s="73"/>
      <c r="F2489" s="73"/>
      <c r="G2489" s="74"/>
      <c r="H2489" s="153"/>
      <c r="I2489" s="72"/>
      <c r="J2489" s="73"/>
      <c r="K2489" s="671"/>
      <c r="L2489" s="73"/>
      <c r="M2489" s="73"/>
      <c r="N2489" s="74"/>
      <c r="O2489" s="153"/>
    </row>
    <row r="2490" spans="1:15" customFormat="1" x14ac:dyDescent="0.25">
      <c r="A2490" s="661"/>
      <c r="B2490" s="100"/>
      <c r="C2490" s="100" t="s">
        <v>1777</v>
      </c>
      <c r="D2490" s="73"/>
      <c r="E2490" s="73"/>
      <c r="F2490" s="73"/>
      <c r="G2490" s="74" t="s">
        <v>3</v>
      </c>
      <c r="H2490" s="153">
        <v>0.17699999999999999</v>
      </c>
      <c r="I2490" s="72"/>
      <c r="J2490" t="s">
        <v>8451</v>
      </c>
      <c r="K2490" s="671"/>
      <c r="L2490" s="73"/>
      <c r="M2490" s="73"/>
      <c r="N2490" s="74"/>
      <c r="O2490" s="153"/>
    </row>
    <row r="2491" spans="1:15" customFormat="1" x14ac:dyDescent="0.25">
      <c r="A2491" s="661"/>
      <c r="B2491" s="100"/>
      <c r="C2491" s="75" t="s">
        <v>8450</v>
      </c>
      <c r="D2491" s="73"/>
      <c r="E2491" s="73"/>
      <c r="F2491" s="73"/>
      <c r="G2491" s="74"/>
      <c r="H2491" s="153"/>
      <c r="I2491" s="72"/>
      <c r="J2491" s="73"/>
      <c r="K2491" s="671"/>
      <c r="L2491" s="73"/>
      <c r="M2491" s="73"/>
      <c r="N2491" s="74"/>
      <c r="O2491" s="153"/>
    </row>
    <row r="2492" spans="1:15" customFormat="1" x14ac:dyDescent="0.25">
      <c r="A2492" s="661"/>
      <c r="B2492" s="100"/>
      <c r="C2492" s="100" t="s">
        <v>1777</v>
      </c>
      <c r="D2492" s="73"/>
      <c r="E2492" s="73"/>
      <c r="F2492" s="73"/>
      <c r="G2492" s="74" t="s">
        <v>3</v>
      </c>
      <c r="H2492" s="153">
        <v>5.6000000000000001E-2</v>
      </c>
      <c r="I2492" s="72"/>
      <c r="J2492" t="s">
        <v>2005</v>
      </c>
      <c r="K2492" s="671"/>
      <c r="L2492" s="73"/>
      <c r="M2492" s="73"/>
      <c r="N2492" s="74"/>
      <c r="O2492" s="153"/>
    </row>
    <row r="2493" spans="1:15" customFormat="1" x14ac:dyDescent="0.25">
      <c r="A2493" s="661"/>
      <c r="B2493" s="100"/>
      <c r="C2493" s="75" t="s">
        <v>8449</v>
      </c>
      <c r="D2493" s="73"/>
      <c r="E2493" s="73"/>
      <c r="F2493" s="73"/>
      <c r="G2493" s="74"/>
      <c r="H2493" s="153"/>
      <c r="I2493" s="72"/>
      <c r="K2493" s="671"/>
      <c r="L2493" s="73"/>
      <c r="M2493" s="73"/>
      <c r="N2493" s="74"/>
      <c r="O2493" s="153"/>
    </row>
    <row r="2494" spans="1:15" customFormat="1" x14ac:dyDescent="0.25">
      <c r="A2494" s="661"/>
      <c r="B2494" s="100"/>
      <c r="C2494" s="100" t="s">
        <v>1777</v>
      </c>
      <c r="D2494" s="73"/>
      <c r="E2494" s="73"/>
      <c r="F2494" s="73"/>
      <c r="G2494" s="74" t="s">
        <v>3</v>
      </c>
      <c r="H2494" s="153">
        <v>3.3000000000000002E-2</v>
      </c>
      <c r="I2494" s="72"/>
      <c r="J2494" t="s">
        <v>8448</v>
      </c>
      <c r="K2494" s="671"/>
      <c r="L2494" s="73"/>
      <c r="M2494" s="73"/>
      <c r="N2494" s="74"/>
      <c r="O2494" s="153"/>
    </row>
    <row r="2495" spans="1:15" customFormat="1" x14ac:dyDescent="0.25">
      <c r="A2495" s="661"/>
      <c r="B2495" s="75"/>
      <c r="C2495" s="73"/>
      <c r="D2495" s="73"/>
      <c r="E2495" s="73"/>
      <c r="F2495" s="73"/>
      <c r="G2495" s="74"/>
      <c r="H2495" s="153"/>
      <c r="I2495" s="72"/>
      <c r="J2495" s="73"/>
      <c r="K2495" s="671"/>
      <c r="L2495" s="73"/>
      <c r="M2495" s="73"/>
      <c r="N2495" s="74"/>
      <c r="O2495" s="153"/>
    </row>
    <row r="2496" spans="1:15" customFormat="1" x14ac:dyDescent="0.25">
      <c r="A2496" s="678"/>
      <c r="B2496" s="75" t="s">
        <v>8447</v>
      </c>
      <c r="C2496" s="73"/>
      <c r="D2496" s="73"/>
      <c r="E2496" s="73"/>
      <c r="F2496" s="73"/>
      <c r="G2496" s="74"/>
      <c r="H2496" s="153"/>
      <c r="I2496" s="72"/>
      <c r="J2496" s="73"/>
      <c r="K2496" s="671"/>
      <c r="L2496" s="73"/>
      <c r="M2496" s="73"/>
      <c r="N2496" s="74"/>
      <c r="O2496" s="153"/>
    </row>
    <row r="2497" spans="1:15" customFormat="1" x14ac:dyDescent="0.25">
      <c r="A2497" s="661"/>
      <c r="B2497" s="73" t="s">
        <v>140</v>
      </c>
      <c r="C2497" s="73"/>
      <c r="D2497" s="73"/>
      <c r="E2497" s="73"/>
      <c r="F2497" s="73"/>
      <c r="G2497" s="74" t="s">
        <v>3</v>
      </c>
      <c r="H2497" s="153">
        <f>0.032*8*0.08*1.2</f>
        <v>2.4576000000000001E-2</v>
      </c>
      <c r="I2497" s="72"/>
      <c r="J2497" s="73"/>
      <c r="K2497" s="671"/>
      <c r="L2497" s="73"/>
      <c r="M2497" s="73"/>
      <c r="N2497" s="74"/>
      <c r="O2497" s="153"/>
    </row>
    <row r="2498" spans="1:15" customFormat="1" ht="17.25" x14ac:dyDescent="0.25">
      <c r="A2498" s="661"/>
      <c r="B2498" s="73" t="s">
        <v>23</v>
      </c>
      <c r="C2498" s="73"/>
      <c r="D2498" s="73"/>
      <c r="E2498" s="73"/>
      <c r="F2498" s="73"/>
      <c r="G2498" s="74" t="s">
        <v>596</v>
      </c>
      <c r="H2498" s="153">
        <f>H2497*2</f>
        <v>4.9152000000000001E-2</v>
      </c>
      <c r="I2498" s="72"/>
      <c r="J2498" s="73"/>
      <c r="K2498" s="671"/>
      <c r="L2498" s="73"/>
      <c r="M2498" s="73"/>
      <c r="N2498" s="74"/>
      <c r="O2498" s="153"/>
    </row>
    <row r="2499" spans="1:15" customFormat="1" x14ac:dyDescent="0.25">
      <c r="A2499" s="661"/>
      <c r="B2499" s="73" t="s">
        <v>142</v>
      </c>
      <c r="C2499" s="73"/>
      <c r="D2499" s="73"/>
      <c r="E2499" s="73"/>
      <c r="F2499" s="73"/>
      <c r="G2499" s="74" t="s">
        <v>3</v>
      </c>
      <c r="H2499" s="153">
        <f>H2497/4</f>
        <v>6.1440000000000002E-3</v>
      </c>
      <c r="I2499" s="72"/>
      <c r="J2499" s="73"/>
      <c r="K2499" s="671"/>
      <c r="L2499" s="73"/>
      <c r="M2499" s="73"/>
      <c r="N2499" s="74"/>
      <c r="O2499" s="153"/>
    </row>
    <row r="2500" spans="1:15" customFormat="1" x14ac:dyDescent="0.25">
      <c r="A2500" s="661"/>
      <c r="B2500" s="100" t="s">
        <v>8</v>
      </c>
      <c r="C2500" s="73"/>
      <c r="D2500" s="73"/>
      <c r="E2500" s="73"/>
      <c r="F2500" s="73"/>
      <c r="G2500" s="74" t="s">
        <v>3</v>
      </c>
      <c r="H2500" s="153">
        <f>H2501*0.85</f>
        <v>3.1415999999999993E-2</v>
      </c>
      <c r="I2500" s="72"/>
      <c r="J2500" s="73"/>
      <c r="K2500" s="671"/>
      <c r="L2500" s="73"/>
      <c r="M2500" s="73"/>
      <c r="N2500" s="74"/>
      <c r="O2500" s="153"/>
    </row>
    <row r="2501" spans="1:15" customFormat="1" x14ac:dyDescent="0.25">
      <c r="A2501" s="661"/>
      <c r="B2501" s="100" t="s">
        <v>649</v>
      </c>
      <c r="C2501" s="73"/>
      <c r="D2501" s="73"/>
      <c r="E2501" s="73"/>
      <c r="F2501" s="73"/>
      <c r="G2501" s="74" t="s">
        <v>3</v>
      </c>
      <c r="H2501" s="153">
        <f>1.4*0.011*2*1.2</f>
        <v>3.6959999999999993E-2</v>
      </c>
      <c r="I2501" s="72"/>
      <c r="J2501" s="73"/>
      <c r="K2501" s="671"/>
      <c r="L2501" s="73"/>
      <c r="M2501" s="73"/>
      <c r="N2501" s="74"/>
      <c r="O2501" s="153"/>
    </row>
    <row r="2502" spans="1:15" customFormat="1" x14ac:dyDescent="0.25">
      <c r="A2502" s="661"/>
      <c r="B2502" s="100" t="s">
        <v>12</v>
      </c>
      <c r="C2502" s="73"/>
      <c r="D2502" s="73"/>
      <c r="E2502" s="73"/>
      <c r="F2502" s="73"/>
      <c r="G2502" s="74" t="s">
        <v>3</v>
      </c>
      <c r="H2502" s="153">
        <f>0.3*(H2501+H2500)</f>
        <v>2.0512799999999998E-2</v>
      </c>
      <c r="I2502" s="72"/>
      <c r="J2502" s="73"/>
      <c r="K2502" s="671"/>
      <c r="L2502" s="73"/>
      <c r="M2502" s="73"/>
      <c r="N2502" s="74"/>
      <c r="O2502" s="153"/>
    </row>
    <row r="2503" spans="1:15" customFormat="1" x14ac:dyDescent="0.25">
      <c r="A2503" s="661"/>
      <c r="B2503" s="100"/>
      <c r="C2503" s="75" t="s">
        <v>8446</v>
      </c>
      <c r="D2503" s="73"/>
      <c r="E2503" s="73"/>
      <c r="F2503" s="73"/>
      <c r="G2503" s="74"/>
      <c r="H2503" s="153"/>
      <c r="I2503" s="72"/>
      <c r="J2503" s="73"/>
      <c r="K2503" s="671"/>
      <c r="L2503" s="73"/>
      <c r="M2503" s="73"/>
      <c r="N2503" s="74"/>
      <c r="O2503" s="153"/>
    </row>
    <row r="2504" spans="1:15" customFormat="1" x14ac:dyDescent="0.25">
      <c r="A2504" s="661"/>
      <c r="B2504" s="100"/>
      <c r="C2504" s="100" t="s">
        <v>1777</v>
      </c>
      <c r="D2504" s="73"/>
      <c r="E2504" s="73"/>
      <c r="F2504" s="73"/>
      <c r="G2504" s="74" t="s">
        <v>3</v>
      </c>
      <c r="H2504" s="153">
        <f>0.06*1.12</f>
        <v>6.720000000000001E-2</v>
      </c>
      <c r="I2504" s="72"/>
      <c r="J2504" t="s">
        <v>8415</v>
      </c>
      <c r="K2504" s="671"/>
      <c r="L2504" s="73"/>
      <c r="M2504" s="73"/>
      <c r="N2504" s="74"/>
      <c r="O2504" s="153"/>
    </row>
    <row r="2505" spans="1:15" customFormat="1" x14ac:dyDescent="0.25">
      <c r="A2505" s="661"/>
      <c r="B2505" s="100"/>
      <c r="C2505" s="75" t="s">
        <v>8445</v>
      </c>
      <c r="D2505" s="73"/>
      <c r="E2505" s="73"/>
      <c r="F2505" s="73"/>
      <c r="G2505" s="74"/>
      <c r="H2505" s="153"/>
      <c r="I2505" s="72"/>
      <c r="J2505" s="73"/>
      <c r="K2505" s="671"/>
      <c r="L2505" s="73"/>
      <c r="M2505" s="73"/>
      <c r="N2505" s="74"/>
      <c r="O2505" s="153"/>
    </row>
    <row r="2506" spans="1:15" customFormat="1" x14ac:dyDescent="0.25">
      <c r="A2506" s="661"/>
      <c r="B2506" s="100"/>
      <c r="C2506" s="100" t="s">
        <v>1777</v>
      </c>
      <c r="D2506" s="73"/>
      <c r="E2506" s="73"/>
      <c r="F2506" s="73"/>
      <c r="G2506" s="74" t="s">
        <v>3</v>
      </c>
      <c r="H2506" s="153">
        <f>0.15*1.12</f>
        <v>0.16800000000000001</v>
      </c>
      <c r="I2506" s="72"/>
      <c r="J2506" t="s">
        <v>8415</v>
      </c>
      <c r="K2506" s="671"/>
      <c r="L2506" s="73"/>
      <c r="M2506" s="73"/>
      <c r="N2506" s="74"/>
      <c r="O2506" s="153"/>
    </row>
    <row r="2507" spans="1:15" customFormat="1" x14ac:dyDescent="0.25">
      <c r="A2507" s="661"/>
      <c r="B2507" s="100"/>
      <c r="C2507" s="75" t="s">
        <v>8444</v>
      </c>
      <c r="D2507" s="73"/>
      <c r="E2507" s="73"/>
      <c r="F2507" s="73"/>
      <c r="G2507" s="74"/>
      <c r="H2507" s="153"/>
      <c r="I2507" s="72"/>
      <c r="J2507" s="73"/>
      <c r="K2507" s="671"/>
      <c r="L2507" s="73"/>
      <c r="M2507" s="73"/>
      <c r="N2507" s="74"/>
      <c r="O2507" s="153"/>
    </row>
    <row r="2508" spans="1:15" customFormat="1" x14ac:dyDescent="0.25">
      <c r="A2508" s="661"/>
      <c r="B2508" s="100"/>
      <c r="C2508" s="100" t="s">
        <v>1777</v>
      </c>
      <c r="D2508" s="73"/>
      <c r="E2508" s="73"/>
      <c r="F2508" s="73"/>
      <c r="G2508" s="74" t="s">
        <v>3</v>
      </c>
      <c r="H2508" s="153">
        <f>0.08*1.12</f>
        <v>8.9600000000000013E-2</v>
      </c>
      <c r="I2508" s="72"/>
      <c r="J2508" t="s">
        <v>8415</v>
      </c>
      <c r="K2508" s="671"/>
      <c r="L2508" s="73"/>
      <c r="M2508" s="73"/>
      <c r="N2508" s="74"/>
      <c r="O2508" s="153"/>
    </row>
    <row r="2509" spans="1:15" customFormat="1" x14ac:dyDescent="0.25">
      <c r="A2509" s="661"/>
      <c r="B2509" s="100"/>
      <c r="C2509" s="75" t="s">
        <v>8443</v>
      </c>
      <c r="D2509" s="73"/>
      <c r="E2509" s="73"/>
      <c r="F2509" s="73"/>
      <c r="G2509" s="74"/>
      <c r="H2509" s="153"/>
      <c r="I2509" s="72"/>
      <c r="J2509" s="73"/>
      <c r="K2509" s="671"/>
      <c r="L2509" s="73"/>
      <c r="M2509" s="73"/>
      <c r="N2509" s="74"/>
      <c r="O2509" s="153"/>
    </row>
    <row r="2510" spans="1:15" customFormat="1" x14ac:dyDescent="0.25">
      <c r="A2510" s="661"/>
      <c r="B2510" s="100"/>
      <c r="C2510" s="100" t="s">
        <v>1777</v>
      </c>
      <c r="D2510" s="73"/>
      <c r="E2510" s="73"/>
      <c r="F2510" s="73"/>
      <c r="G2510" s="74" t="s">
        <v>3</v>
      </c>
      <c r="H2510" s="153">
        <f>0.06*1.159</f>
        <v>6.9540000000000005E-2</v>
      </c>
      <c r="I2510" s="72"/>
      <c r="J2510" t="s">
        <v>8415</v>
      </c>
      <c r="K2510" s="671"/>
      <c r="L2510" s="73"/>
      <c r="M2510" s="73"/>
      <c r="N2510" s="74"/>
      <c r="O2510" s="153"/>
    </row>
    <row r="2511" spans="1:15" customFormat="1" x14ac:dyDescent="0.25">
      <c r="A2511" s="661"/>
      <c r="B2511" s="75"/>
      <c r="C2511" s="73"/>
      <c r="D2511" s="73"/>
      <c r="E2511" s="73"/>
      <c r="F2511" s="73"/>
      <c r="G2511" s="74"/>
      <c r="H2511" s="153"/>
      <c r="I2511" s="72"/>
      <c r="J2511" s="73"/>
      <c r="K2511" s="671"/>
      <c r="L2511" s="73"/>
      <c r="M2511" s="73"/>
      <c r="N2511" s="74"/>
      <c r="O2511" s="153"/>
    </row>
    <row r="2512" spans="1:15" customFormat="1" x14ac:dyDescent="0.25">
      <c r="A2512" s="678"/>
      <c r="B2512" s="75" t="s">
        <v>8442</v>
      </c>
      <c r="C2512" s="73"/>
      <c r="D2512" s="73"/>
      <c r="E2512" s="73"/>
      <c r="F2512" s="73"/>
      <c r="G2512" s="74"/>
      <c r="H2512" s="153"/>
      <c r="I2512" s="72"/>
      <c r="J2512" s="73"/>
      <c r="K2512" s="671"/>
      <c r="L2512" s="73"/>
      <c r="M2512" s="73"/>
      <c r="N2512" s="74"/>
      <c r="O2512" s="153"/>
    </row>
    <row r="2513" spans="1:15" customFormat="1" x14ac:dyDescent="0.25">
      <c r="A2513" s="661"/>
      <c r="B2513" s="73" t="s">
        <v>140</v>
      </c>
      <c r="C2513" s="73"/>
      <c r="D2513" s="73"/>
      <c r="E2513" s="73"/>
      <c r="F2513" s="73"/>
      <c r="G2513" s="74" t="s">
        <v>3</v>
      </c>
      <c r="H2513" s="153">
        <f>0.032*7*0.08*1.2</f>
        <v>2.1504000000000002E-2</v>
      </c>
      <c r="I2513" s="72"/>
      <c r="J2513" s="73"/>
      <c r="K2513" s="671"/>
      <c r="L2513" s="73"/>
      <c r="M2513" s="73"/>
      <c r="N2513" s="74"/>
      <c r="O2513" s="153"/>
    </row>
    <row r="2514" spans="1:15" customFormat="1" ht="17.25" x14ac:dyDescent="0.25">
      <c r="A2514" s="661"/>
      <c r="B2514" s="73" t="s">
        <v>23</v>
      </c>
      <c r="C2514" s="73"/>
      <c r="D2514" s="73"/>
      <c r="E2514" s="73"/>
      <c r="F2514" s="73"/>
      <c r="G2514" s="74" t="s">
        <v>596</v>
      </c>
      <c r="H2514" s="153">
        <f>H2513*2</f>
        <v>4.3008000000000005E-2</v>
      </c>
      <c r="I2514" s="72"/>
      <c r="J2514" s="73"/>
      <c r="K2514" s="671"/>
      <c r="L2514" s="73"/>
      <c r="M2514" s="73"/>
      <c r="N2514" s="74"/>
      <c r="O2514" s="153"/>
    </row>
    <row r="2515" spans="1:15" customFormat="1" x14ac:dyDescent="0.25">
      <c r="A2515" s="661"/>
      <c r="B2515" s="73" t="s">
        <v>142</v>
      </c>
      <c r="C2515" s="73"/>
      <c r="D2515" s="73"/>
      <c r="E2515" s="73"/>
      <c r="F2515" s="73"/>
      <c r="G2515" s="74" t="s">
        <v>3</v>
      </c>
      <c r="H2515" s="153">
        <f>H2513/4</f>
        <v>5.3760000000000006E-3</v>
      </c>
      <c r="I2515" s="72"/>
      <c r="J2515" s="73"/>
      <c r="K2515" s="671"/>
      <c r="L2515" s="73"/>
      <c r="M2515" s="73"/>
      <c r="N2515" s="74"/>
      <c r="O2515" s="153"/>
    </row>
    <row r="2516" spans="1:15" customFormat="1" x14ac:dyDescent="0.25">
      <c r="A2516" s="661"/>
      <c r="B2516" s="100" t="s">
        <v>8</v>
      </c>
      <c r="C2516" s="73"/>
      <c r="D2516" s="73"/>
      <c r="E2516" s="73"/>
      <c r="F2516" s="73"/>
      <c r="G2516" s="74" t="s">
        <v>3</v>
      </c>
      <c r="H2516" s="153">
        <f>H2517*0.85</f>
        <v>4.2215250000000003E-2</v>
      </c>
      <c r="I2516" s="72"/>
      <c r="J2516" s="73"/>
      <c r="K2516" s="671"/>
      <c r="L2516" s="73"/>
      <c r="M2516" s="73"/>
      <c r="N2516" s="74"/>
      <c r="O2516" s="153"/>
    </row>
    <row r="2517" spans="1:15" customFormat="1" x14ac:dyDescent="0.25">
      <c r="A2517" s="661"/>
      <c r="B2517" s="100" t="s">
        <v>649</v>
      </c>
      <c r="C2517" s="73"/>
      <c r="D2517" s="73"/>
      <c r="E2517" s="73"/>
      <c r="F2517" s="73"/>
      <c r="G2517" s="74" t="s">
        <v>3</v>
      </c>
      <c r="H2517" s="153">
        <f>1.75*0.011*2*1.29</f>
        <v>4.9665000000000001E-2</v>
      </c>
      <c r="I2517" s="72"/>
      <c r="J2517" s="73"/>
      <c r="K2517" s="671"/>
      <c r="L2517" s="73"/>
      <c r="M2517" s="73"/>
      <c r="N2517" s="74"/>
      <c r="O2517" s="153"/>
    </row>
    <row r="2518" spans="1:15" customFormat="1" x14ac:dyDescent="0.25">
      <c r="A2518" s="661"/>
      <c r="B2518" s="100" t="s">
        <v>12</v>
      </c>
      <c r="C2518" s="73"/>
      <c r="D2518" s="73"/>
      <c r="E2518" s="73"/>
      <c r="F2518" s="73"/>
      <c r="G2518" s="74" t="s">
        <v>3</v>
      </c>
      <c r="H2518" s="153">
        <f>0.3*(H2517+H2516)</f>
        <v>2.7564074999999997E-2</v>
      </c>
      <c r="I2518" s="72"/>
      <c r="J2518" s="73"/>
      <c r="K2518" s="671"/>
      <c r="L2518" s="73"/>
      <c r="M2518" s="73"/>
      <c r="N2518" s="74"/>
      <c r="O2518" s="153"/>
    </row>
    <row r="2519" spans="1:15" customFormat="1" x14ac:dyDescent="0.25">
      <c r="A2519" s="661"/>
      <c r="B2519" s="100"/>
      <c r="C2519" s="75" t="s">
        <v>8441</v>
      </c>
      <c r="D2519" s="73"/>
      <c r="E2519" s="73"/>
      <c r="F2519" s="73"/>
      <c r="G2519" s="74"/>
      <c r="H2519" s="153"/>
      <c r="I2519" s="72"/>
      <c r="J2519" s="73"/>
      <c r="K2519" s="671"/>
      <c r="L2519" s="73"/>
      <c r="M2519" s="73"/>
      <c r="N2519" s="74"/>
      <c r="O2519" s="153"/>
    </row>
    <row r="2520" spans="1:15" customFormat="1" x14ac:dyDescent="0.25">
      <c r="A2520" s="661"/>
      <c r="B2520" s="100"/>
      <c r="C2520" s="100" t="s">
        <v>1777</v>
      </c>
      <c r="D2520" s="73"/>
      <c r="E2520" s="73"/>
      <c r="F2520" s="73"/>
      <c r="G2520" s="74" t="s">
        <v>3</v>
      </c>
      <c r="H2520" s="153">
        <f>0.06*1.12</f>
        <v>6.720000000000001E-2</v>
      </c>
      <c r="I2520" s="72"/>
      <c r="J2520" t="s">
        <v>8415</v>
      </c>
      <c r="K2520" s="671"/>
      <c r="L2520" s="73"/>
      <c r="M2520" s="73"/>
      <c r="N2520" s="74"/>
      <c r="O2520" s="153"/>
    </row>
    <row r="2521" spans="1:15" customFormat="1" x14ac:dyDescent="0.25">
      <c r="A2521" s="661"/>
      <c r="B2521" s="100"/>
      <c r="C2521" s="75" t="s">
        <v>8440</v>
      </c>
      <c r="D2521" s="73"/>
      <c r="E2521" s="73"/>
      <c r="F2521" s="73"/>
      <c r="G2521" s="74"/>
      <c r="H2521" s="153"/>
      <c r="I2521" s="72"/>
      <c r="J2521" s="73"/>
      <c r="K2521" s="671"/>
      <c r="L2521" s="73"/>
      <c r="M2521" s="73"/>
      <c r="N2521" s="74"/>
      <c r="O2521" s="153"/>
    </row>
    <row r="2522" spans="1:15" customFormat="1" x14ac:dyDescent="0.25">
      <c r="A2522" s="661"/>
      <c r="B2522" s="100"/>
      <c r="C2522" s="100" t="s">
        <v>1777</v>
      </c>
      <c r="D2522" s="73"/>
      <c r="E2522" s="73"/>
      <c r="F2522" s="73"/>
      <c r="G2522" s="74" t="s">
        <v>3</v>
      </c>
      <c r="H2522" s="153">
        <f>0.11*1.12</f>
        <v>0.12320000000000002</v>
      </c>
      <c r="I2522" s="72"/>
      <c r="J2522" t="s">
        <v>8415</v>
      </c>
      <c r="K2522" s="671"/>
      <c r="L2522" s="73"/>
      <c r="M2522" s="73"/>
      <c r="N2522" s="74"/>
      <c r="O2522" s="153"/>
    </row>
    <row r="2523" spans="1:15" customFormat="1" x14ac:dyDescent="0.25">
      <c r="A2523" s="661"/>
      <c r="B2523" s="100"/>
      <c r="C2523" s="75" t="s">
        <v>8439</v>
      </c>
      <c r="D2523" s="73"/>
      <c r="E2523" s="73"/>
      <c r="F2523" s="73"/>
      <c r="G2523" s="74"/>
      <c r="H2523" s="153"/>
      <c r="I2523" s="72"/>
      <c r="J2523" s="73"/>
      <c r="K2523" s="671"/>
      <c r="L2523" s="73"/>
      <c r="M2523" s="73"/>
      <c r="N2523" s="74"/>
      <c r="O2523" s="153"/>
    </row>
    <row r="2524" spans="1:15" customFormat="1" x14ac:dyDescent="0.25">
      <c r="A2524" s="661"/>
      <c r="B2524" s="100"/>
      <c r="C2524" s="100" t="s">
        <v>1777</v>
      </c>
      <c r="D2524" s="73"/>
      <c r="E2524" s="73"/>
      <c r="F2524" s="73"/>
      <c r="G2524" s="74" t="s">
        <v>3</v>
      </c>
      <c r="H2524" s="153">
        <f>0.15*1.12</f>
        <v>0.16800000000000001</v>
      </c>
      <c r="I2524" s="72"/>
      <c r="J2524" t="s">
        <v>8415</v>
      </c>
      <c r="K2524" s="671"/>
      <c r="L2524" s="73"/>
      <c r="M2524" s="73"/>
      <c r="N2524" s="74"/>
      <c r="O2524" s="153"/>
    </row>
    <row r="2525" spans="1:15" customFormat="1" x14ac:dyDescent="0.25">
      <c r="A2525" s="661"/>
      <c r="B2525" s="100"/>
      <c r="C2525" s="75" t="s">
        <v>8438</v>
      </c>
      <c r="D2525" s="73"/>
      <c r="E2525" s="73"/>
      <c r="F2525" s="73"/>
      <c r="G2525" s="74"/>
      <c r="H2525" s="153"/>
      <c r="I2525" s="72"/>
      <c r="J2525" s="73"/>
      <c r="K2525" s="671"/>
      <c r="L2525" s="73"/>
      <c r="M2525" s="73"/>
      <c r="N2525" s="74"/>
      <c r="O2525" s="153"/>
    </row>
    <row r="2526" spans="1:15" customFormat="1" x14ac:dyDescent="0.25">
      <c r="A2526" s="661"/>
      <c r="B2526" s="100"/>
      <c r="C2526" s="100" t="s">
        <v>1777</v>
      </c>
      <c r="D2526" s="73"/>
      <c r="E2526" s="73"/>
      <c r="F2526" s="73"/>
      <c r="G2526" s="74" t="s">
        <v>3</v>
      </c>
      <c r="H2526" s="153">
        <f>0.15*1.12</f>
        <v>0.16800000000000001</v>
      </c>
      <c r="I2526" s="72"/>
      <c r="J2526" t="s">
        <v>8415</v>
      </c>
      <c r="K2526" s="671"/>
      <c r="L2526" s="73"/>
      <c r="M2526" s="73"/>
      <c r="N2526" s="74"/>
      <c r="O2526" s="153"/>
    </row>
    <row r="2527" spans="1:15" customFormat="1" x14ac:dyDescent="0.25">
      <c r="A2527" s="661"/>
      <c r="B2527" s="100"/>
      <c r="C2527" s="75" t="s">
        <v>8437</v>
      </c>
      <c r="D2527" s="73"/>
      <c r="E2527" s="73"/>
      <c r="F2527" s="73"/>
      <c r="G2527" s="74"/>
      <c r="H2527" s="153"/>
      <c r="I2527" s="72"/>
      <c r="J2527" s="73"/>
      <c r="K2527" s="671"/>
      <c r="L2527" s="73"/>
      <c r="M2527" s="73"/>
      <c r="N2527" s="74"/>
      <c r="O2527" s="153"/>
    </row>
    <row r="2528" spans="1:15" customFormat="1" x14ac:dyDescent="0.25">
      <c r="A2528" s="661"/>
      <c r="B2528" s="100"/>
      <c r="C2528" s="100" t="s">
        <v>1777</v>
      </c>
      <c r="D2528" s="73"/>
      <c r="E2528" s="73"/>
      <c r="F2528" s="73"/>
      <c r="G2528" s="74" t="s">
        <v>3</v>
      </c>
      <c r="H2528" s="153">
        <f>0.08*1.12</f>
        <v>8.9600000000000013E-2</v>
      </c>
      <c r="I2528" s="72"/>
      <c r="J2528" t="s">
        <v>8415</v>
      </c>
      <c r="K2528" s="671"/>
      <c r="L2528" s="73"/>
      <c r="M2528" s="73"/>
      <c r="N2528" s="74"/>
      <c r="O2528" s="153"/>
    </row>
    <row r="2529" spans="1:15" customFormat="1" x14ac:dyDescent="0.25">
      <c r="A2529" s="661"/>
      <c r="B2529" s="75"/>
      <c r="C2529" s="73"/>
      <c r="D2529" s="73"/>
      <c r="E2529" s="73"/>
      <c r="F2529" s="73"/>
      <c r="G2529" s="74"/>
      <c r="H2529" s="153"/>
      <c r="I2529" s="72"/>
      <c r="J2529" s="73"/>
      <c r="K2529" s="671"/>
      <c r="L2529" s="73"/>
      <c r="M2529" s="73"/>
      <c r="N2529" s="74"/>
      <c r="O2529" s="153"/>
    </row>
    <row r="2530" spans="1:15" customFormat="1" x14ac:dyDescent="0.25">
      <c r="A2530" s="678"/>
      <c r="B2530" s="75" t="s">
        <v>8436</v>
      </c>
      <c r="C2530" s="73"/>
      <c r="D2530" s="73"/>
      <c r="E2530" s="73"/>
      <c r="F2530" s="73"/>
      <c r="G2530" s="74"/>
      <c r="H2530" s="153"/>
      <c r="I2530" s="72"/>
      <c r="J2530" s="73"/>
      <c r="K2530" s="671"/>
      <c r="L2530" s="73"/>
      <c r="M2530" s="73"/>
      <c r="N2530" s="74"/>
      <c r="O2530" s="153"/>
    </row>
    <row r="2531" spans="1:15" customFormat="1" x14ac:dyDescent="0.25">
      <c r="A2531" s="661"/>
      <c r="B2531" s="73" t="s">
        <v>140</v>
      </c>
      <c r="C2531" s="73"/>
      <c r="D2531" s="73"/>
      <c r="E2531" s="73"/>
      <c r="F2531" s="73"/>
      <c r="G2531" s="74" t="s">
        <v>3</v>
      </c>
      <c r="H2531" s="153">
        <f>0.032*9*0.08*1.2</f>
        <v>2.7648000000000002E-2</v>
      </c>
      <c r="I2531" s="72"/>
      <c r="J2531" s="73"/>
      <c r="K2531" s="671"/>
      <c r="L2531" s="73"/>
      <c r="M2531" s="73"/>
      <c r="N2531" s="74"/>
      <c r="O2531" s="153"/>
    </row>
    <row r="2532" spans="1:15" customFormat="1" ht="17.25" x14ac:dyDescent="0.25">
      <c r="A2532" s="661"/>
      <c r="B2532" s="73" t="s">
        <v>23</v>
      </c>
      <c r="C2532" s="73"/>
      <c r="D2532" s="73"/>
      <c r="E2532" s="73"/>
      <c r="F2532" s="73"/>
      <c r="G2532" s="74" t="s">
        <v>596</v>
      </c>
      <c r="H2532" s="153">
        <f>H2531*2</f>
        <v>5.5296000000000005E-2</v>
      </c>
      <c r="I2532" s="72"/>
      <c r="J2532" s="73"/>
      <c r="K2532" s="671"/>
      <c r="L2532" s="73"/>
      <c r="M2532" s="73"/>
      <c r="N2532" s="74"/>
      <c r="O2532" s="153"/>
    </row>
    <row r="2533" spans="1:15" customFormat="1" x14ac:dyDescent="0.25">
      <c r="A2533" s="661"/>
      <c r="B2533" s="73" t="s">
        <v>142</v>
      </c>
      <c r="C2533" s="73"/>
      <c r="D2533" s="73"/>
      <c r="E2533" s="73"/>
      <c r="F2533" s="73"/>
      <c r="G2533" s="74" t="s">
        <v>3</v>
      </c>
      <c r="H2533" s="153">
        <f>H2531/4</f>
        <v>6.9120000000000006E-3</v>
      </c>
      <c r="I2533" s="72"/>
      <c r="J2533" s="73"/>
      <c r="K2533" s="671"/>
      <c r="L2533" s="73"/>
      <c r="M2533" s="73"/>
      <c r="N2533" s="74"/>
      <c r="O2533" s="153"/>
    </row>
    <row r="2534" spans="1:15" customFormat="1" x14ac:dyDescent="0.25">
      <c r="A2534" s="661"/>
      <c r="B2534" s="100" t="s">
        <v>8</v>
      </c>
      <c r="C2534" s="73"/>
      <c r="D2534" s="73"/>
      <c r="E2534" s="73"/>
      <c r="F2534" s="73"/>
      <c r="G2534" s="74" t="s">
        <v>3</v>
      </c>
      <c r="H2534" s="153">
        <f>H2535*0.85</f>
        <v>5.1050999999999999E-2</v>
      </c>
      <c r="I2534" s="72"/>
      <c r="J2534" s="73"/>
      <c r="K2534" s="671"/>
      <c r="L2534" s="73"/>
      <c r="M2534" s="73"/>
      <c r="N2534" s="74"/>
      <c r="O2534" s="153"/>
    </row>
    <row r="2535" spans="1:15" customFormat="1" x14ac:dyDescent="0.25">
      <c r="A2535" s="661"/>
      <c r="B2535" s="100" t="s">
        <v>649</v>
      </c>
      <c r="C2535" s="73"/>
      <c r="D2535" s="73"/>
      <c r="E2535" s="73"/>
      <c r="F2535" s="73"/>
      <c r="G2535" s="74" t="s">
        <v>3</v>
      </c>
      <c r="H2535" s="153">
        <f>2.1*0.011*2*1.3</f>
        <v>6.0060000000000002E-2</v>
      </c>
      <c r="I2535" s="72"/>
      <c r="J2535" s="73"/>
      <c r="K2535" s="671"/>
      <c r="L2535" s="73"/>
      <c r="M2535" s="73"/>
      <c r="N2535" s="74"/>
      <c r="O2535" s="153"/>
    </row>
    <row r="2536" spans="1:15" customFormat="1" x14ac:dyDescent="0.25">
      <c r="A2536" s="661"/>
      <c r="B2536" s="100" t="s">
        <v>12</v>
      </c>
      <c r="C2536" s="73"/>
      <c r="D2536" s="73"/>
      <c r="E2536" s="73"/>
      <c r="F2536" s="73"/>
      <c r="G2536" s="74" t="s">
        <v>3</v>
      </c>
      <c r="H2536" s="153">
        <f>0.3*(H2535+H2534)</f>
        <v>3.3333299999999996E-2</v>
      </c>
      <c r="I2536" s="72"/>
      <c r="J2536" s="73"/>
      <c r="K2536" s="671"/>
      <c r="L2536" s="73"/>
      <c r="M2536" s="73"/>
      <c r="N2536" s="74"/>
      <c r="O2536" s="153"/>
    </row>
    <row r="2537" spans="1:15" customFormat="1" x14ac:dyDescent="0.25">
      <c r="A2537" s="661"/>
      <c r="B2537" s="100"/>
      <c r="C2537" s="75" t="s">
        <v>8435</v>
      </c>
      <c r="D2537" s="73"/>
      <c r="E2537" s="73"/>
      <c r="F2537" s="73"/>
      <c r="G2537" s="74"/>
      <c r="H2537" s="153"/>
      <c r="I2537" s="72"/>
      <c r="J2537" s="73"/>
      <c r="K2537" s="671"/>
      <c r="L2537" s="73"/>
      <c r="M2537" s="73"/>
      <c r="N2537" s="74"/>
      <c r="O2537" s="153"/>
    </row>
    <row r="2538" spans="1:15" customFormat="1" x14ac:dyDescent="0.25">
      <c r="A2538" s="661"/>
      <c r="B2538" s="100"/>
      <c r="C2538" s="100" t="s">
        <v>1777</v>
      </c>
      <c r="D2538" s="73"/>
      <c r="E2538" s="73"/>
      <c r="F2538" s="73"/>
      <c r="G2538" s="74" t="s">
        <v>3</v>
      </c>
      <c r="H2538" s="153">
        <f>0.22*1.12</f>
        <v>0.24640000000000004</v>
      </c>
      <c r="I2538" s="72"/>
      <c r="J2538" t="s">
        <v>8415</v>
      </c>
      <c r="K2538" s="671"/>
      <c r="L2538" s="73"/>
      <c r="M2538" s="73"/>
      <c r="N2538" s="74"/>
      <c r="O2538" s="153"/>
    </row>
    <row r="2539" spans="1:15" customFormat="1" x14ac:dyDescent="0.25">
      <c r="A2539" s="661"/>
      <c r="B2539" s="100"/>
      <c r="C2539" s="75" t="s">
        <v>8434</v>
      </c>
      <c r="D2539" s="73"/>
      <c r="E2539" s="73"/>
      <c r="F2539" s="73"/>
      <c r="G2539" s="74"/>
      <c r="H2539" s="153"/>
      <c r="I2539" s="72"/>
      <c r="J2539" s="73"/>
      <c r="K2539" s="671"/>
      <c r="L2539" s="73"/>
      <c r="M2539" s="73"/>
      <c r="N2539" s="74"/>
      <c r="O2539" s="153"/>
    </row>
    <row r="2540" spans="1:15" customFormat="1" x14ac:dyDescent="0.25">
      <c r="A2540" s="661"/>
      <c r="B2540" s="100"/>
      <c r="C2540" s="100" t="s">
        <v>1777</v>
      </c>
      <c r="D2540" s="73"/>
      <c r="E2540" s="73"/>
      <c r="F2540" s="73"/>
      <c r="G2540" s="74" t="s">
        <v>3</v>
      </c>
      <c r="H2540" s="153">
        <f>0.25*1.12</f>
        <v>0.28000000000000003</v>
      </c>
      <c r="I2540" s="72"/>
      <c r="J2540" t="s">
        <v>8415</v>
      </c>
      <c r="K2540" s="671"/>
      <c r="L2540" s="73"/>
      <c r="M2540" s="73"/>
      <c r="N2540" s="74"/>
      <c r="O2540" s="153"/>
    </row>
    <row r="2541" spans="1:15" customFormat="1" x14ac:dyDescent="0.25">
      <c r="A2541" s="661"/>
      <c r="B2541" s="100"/>
      <c r="C2541" s="75" t="s">
        <v>8433</v>
      </c>
      <c r="D2541" s="73"/>
      <c r="E2541" s="73"/>
      <c r="F2541" s="73"/>
      <c r="G2541" s="74"/>
      <c r="H2541" s="153"/>
      <c r="I2541" s="72"/>
      <c r="J2541" s="73"/>
      <c r="K2541" s="671"/>
      <c r="L2541" s="73"/>
      <c r="M2541" s="73"/>
      <c r="N2541" s="74"/>
      <c r="O2541" s="153"/>
    </row>
    <row r="2542" spans="1:15" customFormat="1" x14ac:dyDescent="0.25">
      <c r="A2542" s="661"/>
      <c r="B2542" s="100"/>
      <c r="C2542" s="100" t="s">
        <v>1777</v>
      </c>
      <c r="D2542" s="73"/>
      <c r="E2542" s="73"/>
      <c r="F2542" s="73"/>
      <c r="G2542" s="74" t="s">
        <v>3</v>
      </c>
      <c r="H2542" s="153">
        <f>0.17*1.12</f>
        <v>0.19040000000000004</v>
      </c>
      <c r="I2542" s="72"/>
      <c r="J2542" t="s">
        <v>8415</v>
      </c>
      <c r="K2542" s="671"/>
      <c r="L2542" s="73"/>
      <c r="M2542" s="73"/>
      <c r="N2542" s="74"/>
      <c r="O2542" s="153"/>
    </row>
    <row r="2543" spans="1:15" customFormat="1" x14ac:dyDescent="0.25">
      <c r="A2543" s="661"/>
      <c r="B2543" s="100"/>
      <c r="C2543" s="75" t="s">
        <v>8432</v>
      </c>
      <c r="D2543" s="73"/>
      <c r="E2543" s="73"/>
      <c r="F2543" s="73"/>
      <c r="G2543" s="74"/>
      <c r="H2543" s="153"/>
      <c r="I2543" s="72"/>
      <c r="J2543" s="73"/>
      <c r="K2543" s="671"/>
      <c r="L2543" s="73"/>
      <c r="M2543" s="73"/>
      <c r="N2543" s="74"/>
      <c r="O2543" s="153"/>
    </row>
    <row r="2544" spans="1:15" customFormat="1" x14ac:dyDescent="0.25">
      <c r="A2544" s="661"/>
      <c r="B2544" s="100"/>
      <c r="C2544" s="100" t="s">
        <v>1777</v>
      </c>
      <c r="D2544" s="73"/>
      <c r="E2544" s="73"/>
      <c r="F2544" s="73"/>
      <c r="G2544" s="74" t="s">
        <v>3</v>
      </c>
      <c r="H2544" s="153">
        <f>0.14*1.12</f>
        <v>0.15680000000000002</v>
      </c>
      <c r="I2544" s="72"/>
      <c r="J2544" t="s">
        <v>8415</v>
      </c>
      <c r="K2544" s="671"/>
      <c r="L2544" s="73"/>
      <c r="M2544" s="73"/>
      <c r="N2544" s="74"/>
      <c r="O2544" s="153"/>
    </row>
    <row r="2545" spans="1:15" customFormat="1" x14ac:dyDescent="0.25">
      <c r="A2545" s="661"/>
      <c r="B2545" s="100"/>
      <c r="C2545" s="75" t="s">
        <v>8431</v>
      </c>
      <c r="D2545" s="73"/>
      <c r="E2545" s="73"/>
      <c r="F2545" s="73"/>
      <c r="G2545" s="74"/>
      <c r="H2545" s="153"/>
      <c r="I2545" s="72"/>
      <c r="J2545" s="73"/>
      <c r="K2545" s="671"/>
      <c r="L2545" s="73"/>
      <c r="M2545" s="73"/>
      <c r="N2545" s="74"/>
      <c r="O2545" s="153"/>
    </row>
    <row r="2546" spans="1:15" customFormat="1" x14ac:dyDescent="0.25">
      <c r="A2546" s="661"/>
      <c r="B2546" s="100"/>
      <c r="C2546" s="100" t="s">
        <v>1777</v>
      </c>
      <c r="D2546" s="73"/>
      <c r="E2546" s="73"/>
      <c r="F2546" s="73"/>
      <c r="G2546" s="74" t="s">
        <v>3</v>
      </c>
      <c r="H2546" s="153">
        <f>0.01*1.12</f>
        <v>1.1200000000000002E-2</v>
      </c>
      <c r="I2546" s="72"/>
      <c r="J2546" t="s">
        <v>8415</v>
      </c>
      <c r="K2546" s="671"/>
      <c r="L2546" s="73"/>
      <c r="M2546" s="73"/>
      <c r="N2546" s="74"/>
      <c r="O2546" s="153"/>
    </row>
    <row r="2547" spans="1:15" customFormat="1" x14ac:dyDescent="0.25">
      <c r="A2547" s="661"/>
      <c r="B2547" s="75"/>
      <c r="C2547" s="73"/>
      <c r="D2547" s="73"/>
      <c r="E2547" s="73"/>
      <c r="F2547" s="73"/>
      <c r="G2547" s="74"/>
      <c r="H2547" s="153"/>
      <c r="I2547" s="72"/>
      <c r="J2547" s="73"/>
      <c r="K2547" s="671"/>
      <c r="L2547" s="73"/>
      <c r="M2547" s="73"/>
      <c r="N2547" s="74"/>
      <c r="O2547" s="153"/>
    </row>
    <row r="2548" spans="1:15" customFormat="1" x14ac:dyDescent="0.25">
      <c r="A2548" s="678"/>
      <c r="B2548" s="75" t="s">
        <v>8430</v>
      </c>
      <c r="C2548" s="73"/>
      <c r="D2548" s="73"/>
      <c r="E2548" s="73"/>
      <c r="F2548" s="73"/>
      <c r="G2548" s="74"/>
      <c r="H2548" s="153"/>
      <c r="I2548" s="72"/>
      <c r="J2548" s="73"/>
      <c r="K2548" s="671"/>
      <c r="L2548" s="73"/>
      <c r="M2548" s="73"/>
      <c r="N2548" s="74"/>
      <c r="O2548" s="153"/>
    </row>
    <row r="2549" spans="1:15" customFormat="1" x14ac:dyDescent="0.25">
      <c r="A2549" s="661"/>
      <c r="B2549" s="73" t="s">
        <v>140</v>
      </c>
      <c r="C2549" s="73"/>
      <c r="D2549" s="73"/>
      <c r="E2549" s="73"/>
      <c r="F2549" s="73"/>
      <c r="G2549" s="74" t="s">
        <v>3</v>
      </c>
      <c r="H2549" s="153">
        <f>0.032*3*0.08*1.2</f>
        <v>9.2160000000000002E-3</v>
      </c>
      <c r="I2549" s="72"/>
      <c r="J2549" s="73"/>
      <c r="K2549" s="671"/>
      <c r="L2549" s="73"/>
      <c r="M2549" s="73"/>
      <c r="N2549" s="74"/>
      <c r="O2549" s="153"/>
    </row>
    <row r="2550" spans="1:15" customFormat="1" ht="17.25" x14ac:dyDescent="0.25">
      <c r="A2550" s="661"/>
      <c r="B2550" s="73" t="s">
        <v>23</v>
      </c>
      <c r="C2550" s="73"/>
      <c r="D2550" s="73"/>
      <c r="E2550" s="73"/>
      <c r="F2550" s="73"/>
      <c r="G2550" s="74" t="s">
        <v>596</v>
      </c>
      <c r="H2550" s="153">
        <f>H2549*2</f>
        <v>1.8432E-2</v>
      </c>
      <c r="I2550" s="72"/>
      <c r="J2550" s="73"/>
      <c r="K2550" s="671"/>
      <c r="L2550" s="73"/>
      <c r="M2550" s="73"/>
      <c r="N2550" s="74"/>
      <c r="O2550" s="153"/>
    </row>
    <row r="2551" spans="1:15" customFormat="1" x14ac:dyDescent="0.25">
      <c r="A2551" s="661"/>
      <c r="B2551" s="73" t="s">
        <v>142</v>
      </c>
      <c r="C2551" s="73"/>
      <c r="D2551" s="73"/>
      <c r="E2551" s="73"/>
      <c r="F2551" s="73"/>
      <c r="G2551" s="74" t="s">
        <v>3</v>
      </c>
      <c r="H2551" s="153">
        <f>H2549/4</f>
        <v>2.3040000000000001E-3</v>
      </c>
      <c r="I2551" s="72"/>
      <c r="J2551" s="73"/>
      <c r="K2551" s="671"/>
      <c r="L2551" s="73"/>
      <c r="M2551" s="73"/>
      <c r="N2551" s="74"/>
      <c r="O2551" s="153"/>
    </row>
    <row r="2552" spans="1:15" customFormat="1" x14ac:dyDescent="0.25">
      <c r="A2552" s="661"/>
      <c r="B2552" s="100" t="s">
        <v>8</v>
      </c>
      <c r="C2552" s="73"/>
      <c r="D2552" s="73"/>
      <c r="E2552" s="73"/>
      <c r="F2552" s="73"/>
      <c r="G2552" s="74" t="s">
        <v>3</v>
      </c>
      <c r="H2552" s="153">
        <f>H2553*0.85</f>
        <v>7.0125000000000005E-3</v>
      </c>
      <c r="I2552" s="72"/>
      <c r="J2552" s="73"/>
      <c r="K2552" s="671"/>
      <c r="L2552" s="73"/>
      <c r="M2552" s="73"/>
      <c r="N2552" s="74"/>
      <c r="O2552" s="153"/>
    </row>
    <row r="2553" spans="1:15" customFormat="1" x14ac:dyDescent="0.25">
      <c r="A2553" s="661"/>
      <c r="B2553" s="100" t="s">
        <v>649</v>
      </c>
      <c r="C2553" s="73"/>
      <c r="D2553" s="73"/>
      <c r="E2553" s="73"/>
      <c r="F2553" s="73"/>
      <c r="G2553" s="74" t="s">
        <v>3</v>
      </c>
      <c r="H2553" s="153">
        <f>0.25*0.011*2*1.5</f>
        <v>8.2500000000000004E-3</v>
      </c>
      <c r="I2553" s="72"/>
      <c r="J2553" s="73"/>
      <c r="K2553" s="671"/>
      <c r="L2553" s="73"/>
      <c r="M2553" s="73"/>
      <c r="N2553" s="74"/>
      <c r="O2553" s="153"/>
    </row>
    <row r="2554" spans="1:15" customFormat="1" x14ac:dyDescent="0.25">
      <c r="A2554" s="661"/>
      <c r="B2554" s="73" t="s">
        <v>325</v>
      </c>
      <c r="C2554" s="73"/>
      <c r="D2554" s="73"/>
      <c r="E2554" s="73"/>
      <c r="F2554" s="73"/>
      <c r="G2554" s="74" t="s">
        <v>3</v>
      </c>
      <c r="H2554" s="153">
        <f>0.2*0.011*2*1.5</f>
        <v>6.6E-3</v>
      </c>
      <c r="I2554" s="72"/>
      <c r="J2554" s="73"/>
      <c r="K2554" s="671"/>
      <c r="L2554" s="73"/>
      <c r="M2554" s="73"/>
      <c r="N2554" s="74"/>
      <c r="O2554" s="153"/>
    </row>
    <row r="2555" spans="1:15" customFormat="1" x14ac:dyDescent="0.25">
      <c r="A2555" s="661"/>
      <c r="B2555" s="100" t="s">
        <v>12</v>
      </c>
      <c r="C2555" s="73"/>
      <c r="D2555" s="73"/>
      <c r="E2555" s="73"/>
      <c r="F2555" s="73"/>
      <c r="G2555" s="74" t="s">
        <v>3</v>
      </c>
      <c r="H2555" s="153">
        <f>0.3*(H2553+H2552+H2554)</f>
        <v>6.5587499999999995E-3</v>
      </c>
      <c r="I2555" s="72"/>
      <c r="J2555" s="73"/>
      <c r="K2555" s="671"/>
      <c r="L2555" s="73"/>
      <c r="M2555" s="73"/>
      <c r="N2555" s="74"/>
      <c r="O2555" s="153"/>
    </row>
    <row r="2556" spans="1:15" customFormat="1" x14ac:dyDescent="0.25">
      <c r="A2556" s="661"/>
      <c r="B2556" s="75"/>
      <c r="C2556" s="75" t="s">
        <v>8429</v>
      </c>
      <c r="D2556" s="73"/>
      <c r="E2556" s="73"/>
      <c r="F2556" s="73"/>
      <c r="G2556" s="74"/>
      <c r="H2556" s="153"/>
      <c r="I2556" s="72"/>
      <c r="J2556" s="73"/>
      <c r="K2556" s="671"/>
      <c r="L2556" s="73"/>
      <c r="M2556" s="73"/>
      <c r="N2556" s="74"/>
      <c r="O2556" s="153"/>
    </row>
    <row r="2557" spans="1:15" customFormat="1" x14ac:dyDescent="0.25">
      <c r="A2557" s="661"/>
      <c r="B2557" s="75"/>
      <c r="C2557" s="100" t="s">
        <v>1777</v>
      </c>
      <c r="D2557" s="73"/>
      <c r="E2557" s="73"/>
      <c r="F2557" s="73"/>
      <c r="G2557" s="74" t="s">
        <v>3</v>
      </c>
      <c r="H2557" s="153">
        <v>0.08</v>
      </c>
      <c r="I2557" s="72"/>
      <c r="J2557" t="s">
        <v>5072</v>
      </c>
      <c r="K2557" s="671"/>
      <c r="L2557" s="73"/>
      <c r="M2557" s="73"/>
      <c r="N2557" s="74"/>
      <c r="O2557" s="153"/>
    </row>
    <row r="2558" spans="1:15" customFormat="1" x14ac:dyDescent="0.25">
      <c r="A2558" s="661"/>
      <c r="B2558" s="75"/>
      <c r="C2558" s="75" t="s">
        <v>8428</v>
      </c>
      <c r="D2558" s="73"/>
      <c r="E2558" s="73"/>
      <c r="F2558" s="73"/>
      <c r="G2558" s="74"/>
      <c r="H2558" s="153"/>
      <c r="I2558" s="72"/>
      <c r="J2558" s="73"/>
      <c r="K2558" s="671"/>
      <c r="L2558" s="73"/>
      <c r="M2558" s="73"/>
      <c r="N2558" s="74"/>
      <c r="O2558" s="153"/>
    </row>
    <row r="2559" spans="1:15" customFormat="1" x14ac:dyDescent="0.25">
      <c r="A2559" s="661"/>
      <c r="B2559" s="75"/>
      <c r="C2559" s="100" t="s">
        <v>1777</v>
      </c>
      <c r="D2559" s="73"/>
      <c r="E2559" s="73"/>
      <c r="F2559" s="73"/>
      <c r="G2559" s="74" t="s">
        <v>3</v>
      </c>
      <c r="H2559" s="153">
        <v>0.06</v>
      </c>
      <c r="I2559" s="72"/>
      <c r="J2559" t="s">
        <v>8427</v>
      </c>
      <c r="K2559" s="671"/>
      <c r="L2559" s="73"/>
      <c r="M2559" s="73"/>
      <c r="N2559" s="74"/>
      <c r="O2559" s="153"/>
    </row>
    <row r="2560" spans="1:15" customFormat="1" x14ac:dyDescent="0.25">
      <c r="A2560" s="661"/>
      <c r="B2560" s="75"/>
      <c r="C2560" s="73"/>
      <c r="D2560" s="73"/>
      <c r="E2560" s="73"/>
      <c r="F2560" s="73"/>
      <c r="G2560" s="74"/>
      <c r="H2560" s="153"/>
      <c r="I2560" s="72"/>
      <c r="J2560" s="73"/>
      <c r="K2560" s="671"/>
      <c r="L2560" s="73"/>
      <c r="M2560" s="73"/>
      <c r="N2560" s="74"/>
      <c r="O2560" s="153"/>
    </row>
    <row r="2561" spans="1:15" customFormat="1" x14ac:dyDescent="0.25">
      <c r="A2561" s="678"/>
      <c r="B2561" s="75" t="s">
        <v>8426</v>
      </c>
      <c r="C2561" s="73"/>
      <c r="D2561" s="73"/>
      <c r="E2561" s="73"/>
      <c r="F2561" s="73"/>
      <c r="G2561" s="74"/>
      <c r="H2561" s="153"/>
      <c r="I2561" s="72"/>
      <c r="J2561" s="73"/>
      <c r="K2561" s="671"/>
      <c r="L2561" s="73"/>
      <c r="M2561" s="73"/>
      <c r="N2561" s="74"/>
      <c r="O2561" s="153"/>
    </row>
    <row r="2562" spans="1:15" customFormat="1" x14ac:dyDescent="0.25">
      <c r="A2562" s="661"/>
      <c r="B2562" s="73" t="s">
        <v>140</v>
      </c>
      <c r="C2562" s="73"/>
      <c r="D2562" s="73"/>
      <c r="E2562" s="73"/>
      <c r="F2562" s="73"/>
      <c r="G2562" s="74" t="s">
        <v>3</v>
      </c>
      <c r="H2562" s="153">
        <f>0.032*9*0.08*1.2</f>
        <v>2.7648000000000002E-2</v>
      </c>
      <c r="I2562" s="72"/>
      <c r="J2562" s="73"/>
      <c r="K2562" s="671"/>
      <c r="L2562" s="73"/>
      <c r="M2562" s="73"/>
      <c r="N2562" s="74"/>
      <c r="O2562" s="153"/>
    </row>
    <row r="2563" spans="1:15" customFormat="1" ht="17.25" x14ac:dyDescent="0.25">
      <c r="A2563" s="661"/>
      <c r="B2563" s="73" t="s">
        <v>23</v>
      </c>
      <c r="C2563" s="73"/>
      <c r="D2563" s="73"/>
      <c r="E2563" s="73"/>
      <c r="F2563" s="73"/>
      <c r="G2563" s="74" t="s">
        <v>596</v>
      </c>
      <c r="H2563" s="153">
        <f>H2562*2</f>
        <v>5.5296000000000005E-2</v>
      </c>
      <c r="I2563" s="72"/>
      <c r="J2563" s="73"/>
      <c r="K2563" s="671"/>
      <c r="L2563" s="73"/>
      <c r="M2563" s="73"/>
      <c r="N2563" s="74"/>
      <c r="O2563" s="153"/>
    </row>
    <row r="2564" spans="1:15" customFormat="1" x14ac:dyDescent="0.25">
      <c r="A2564" s="661"/>
      <c r="B2564" s="73" t="s">
        <v>142</v>
      </c>
      <c r="C2564" s="73"/>
      <c r="D2564" s="73"/>
      <c r="E2564" s="73"/>
      <c r="F2564" s="73"/>
      <c r="G2564" s="74" t="s">
        <v>3</v>
      </c>
      <c r="H2564" s="153">
        <f>H2562/4</f>
        <v>6.9120000000000006E-3</v>
      </c>
      <c r="I2564" s="72"/>
      <c r="J2564" s="73"/>
      <c r="K2564" s="671"/>
      <c r="L2564" s="73"/>
      <c r="M2564" s="73"/>
      <c r="N2564" s="74"/>
      <c r="O2564" s="153"/>
    </row>
    <row r="2565" spans="1:15" customFormat="1" x14ac:dyDescent="0.25">
      <c r="A2565" s="661"/>
      <c r="B2565" s="100" t="s">
        <v>8</v>
      </c>
      <c r="C2565" s="73"/>
      <c r="D2565" s="73"/>
      <c r="E2565" s="73"/>
      <c r="F2565" s="73"/>
      <c r="G2565" s="74" t="s">
        <v>3</v>
      </c>
      <c r="H2565" s="153">
        <f>H2566*0.85</f>
        <v>4.039199999999999E-2</v>
      </c>
      <c r="I2565" s="72"/>
      <c r="J2565" s="73"/>
      <c r="K2565" s="671"/>
      <c r="L2565" s="73"/>
      <c r="M2565" s="73"/>
      <c r="N2565" s="74"/>
      <c r="O2565" s="153"/>
    </row>
    <row r="2566" spans="1:15" customFormat="1" x14ac:dyDescent="0.25">
      <c r="A2566" s="661"/>
      <c r="B2566" s="100" t="s">
        <v>649</v>
      </c>
      <c r="C2566" s="73"/>
      <c r="D2566" s="73"/>
      <c r="E2566" s="73"/>
      <c r="F2566" s="73"/>
      <c r="G2566" s="74" t="s">
        <v>3</v>
      </c>
      <c r="H2566" s="153">
        <f>1.8*0.011*2*1.2</f>
        <v>4.7519999999999993E-2</v>
      </c>
      <c r="I2566" s="72"/>
      <c r="J2566" s="73"/>
      <c r="K2566" s="671"/>
      <c r="L2566" s="73"/>
      <c r="M2566" s="73"/>
      <c r="N2566" s="74"/>
      <c r="O2566" s="153"/>
    </row>
    <row r="2567" spans="1:15" customFormat="1" x14ac:dyDescent="0.25">
      <c r="A2567" s="661"/>
      <c r="B2567" s="100" t="s">
        <v>12</v>
      </c>
      <c r="C2567" s="73"/>
      <c r="D2567" s="73"/>
      <c r="E2567" s="73"/>
      <c r="F2567" s="73"/>
      <c r="G2567" s="74" t="s">
        <v>3</v>
      </c>
      <c r="H2567" s="153">
        <f>0.3*(H2566+H2565)</f>
        <v>2.6373599999999997E-2</v>
      </c>
      <c r="I2567" s="72"/>
      <c r="J2567" s="73"/>
      <c r="K2567" s="671"/>
      <c r="L2567" s="73"/>
      <c r="M2567" s="73"/>
      <c r="N2567" s="74"/>
      <c r="O2567" s="153"/>
    </row>
    <row r="2568" spans="1:15" customFormat="1" x14ac:dyDescent="0.25">
      <c r="A2568" s="661"/>
      <c r="B2568" s="75"/>
      <c r="C2568" s="75" t="s">
        <v>8425</v>
      </c>
      <c r="D2568" s="73"/>
      <c r="E2568" s="73"/>
      <c r="F2568" s="73"/>
      <c r="G2568" s="74"/>
      <c r="H2568" s="153"/>
      <c r="I2568" s="72"/>
      <c r="J2568" s="73"/>
      <c r="K2568" s="671"/>
      <c r="L2568" s="73"/>
      <c r="M2568" s="73"/>
      <c r="N2568" s="74"/>
      <c r="O2568" s="153"/>
    </row>
    <row r="2569" spans="1:15" customFormat="1" x14ac:dyDescent="0.25">
      <c r="A2569" s="661"/>
      <c r="B2569" s="75"/>
      <c r="C2569" s="100" t="s">
        <v>1777</v>
      </c>
      <c r="D2569" s="73"/>
      <c r="E2569" s="73"/>
      <c r="F2569" s="73"/>
      <c r="G2569" s="74" t="s">
        <v>3</v>
      </c>
      <c r="H2569" s="153">
        <f>0.06*1.2</f>
        <v>7.1999999999999995E-2</v>
      </c>
      <c r="I2569" s="72"/>
      <c r="J2569" t="s">
        <v>8415</v>
      </c>
      <c r="K2569" s="671"/>
      <c r="L2569" s="73"/>
      <c r="M2569" s="73"/>
      <c r="N2569" s="74"/>
      <c r="O2569" s="153"/>
    </row>
    <row r="2570" spans="1:15" customFormat="1" x14ac:dyDescent="0.25">
      <c r="A2570" s="661"/>
      <c r="B2570" s="75"/>
      <c r="C2570" s="75" t="s">
        <v>8424</v>
      </c>
      <c r="D2570" s="73"/>
      <c r="E2570" s="73"/>
      <c r="F2570" s="73"/>
      <c r="G2570" s="74"/>
      <c r="H2570" s="153"/>
      <c r="I2570" s="72"/>
      <c r="J2570" s="73"/>
      <c r="K2570" s="671"/>
      <c r="L2570" s="73"/>
      <c r="M2570" s="73"/>
      <c r="N2570" s="74"/>
      <c r="O2570" s="153"/>
    </row>
    <row r="2571" spans="1:15" customFormat="1" x14ac:dyDescent="0.25">
      <c r="A2571" s="661"/>
      <c r="B2571" s="75"/>
      <c r="C2571" s="100" t="s">
        <v>1777</v>
      </c>
      <c r="D2571" s="73"/>
      <c r="E2571" s="73"/>
      <c r="F2571" s="73"/>
      <c r="G2571" s="74" t="s">
        <v>3</v>
      </c>
      <c r="H2571" s="153">
        <f>0.03*1.2</f>
        <v>3.5999999999999997E-2</v>
      </c>
      <c r="I2571" s="72"/>
      <c r="J2571" t="s">
        <v>8415</v>
      </c>
      <c r="K2571" s="671"/>
      <c r="L2571" s="73"/>
      <c r="M2571" s="73"/>
      <c r="N2571" s="74"/>
      <c r="O2571" s="153"/>
    </row>
    <row r="2572" spans="1:15" customFormat="1" x14ac:dyDescent="0.25">
      <c r="A2572" s="661"/>
      <c r="B2572" s="75"/>
      <c r="C2572" s="75" t="s">
        <v>8423</v>
      </c>
      <c r="D2572" s="73"/>
      <c r="E2572" s="73"/>
      <c r="F2572" s="73"/>
      <c r="G2572" s="74"/>
      <c r="H2572" s="153"/>
      <c r="I2572" s="72"/>
      <c r="J2572" s="73"/>
      <c r="K2572" s="671"/>
      <c r="L2572" s="73"/>
      <c r="M2572" s="73"/>
      <c r="N2572" s="74"/>
      <c r="O2572" s="153"/>
    </row>
    <row r="2573" spans="1:15" customFormat="1" x14ac:dyDescent="0.25">
      <c r="A2573" s="661"/>
      <c r="B2573" s="75"/>
      <c r="C2573" s="100" t="s">
        <v>1777</v>
      </c>
      <c r="D2573" s="73"/>
      <c r="E2573" s="73"/>
      <c r="F2573" s="73"/>
      <c r="G2573" s="74" t="s">
        <v>3</v>
      </c>
      <c r="H2573" s="153">
        <f>0.08*1.2</f>
        <v>9.6000000000000002E-2</v>
      </c>
      <c r="I2573" s="72"/>
      <c r="J2573" t="s">
        <v>8415</v>
      </c>
      <c r="K2573" s="671"/>
      <c r="L2573" s="73"/>
      <c r="M2573" s="73"/>
      <c r="N2573" s="74"/>
      <c r="O2573" s="153"/>
    </row>
    <row r="2574" spans="1:15" customFormat="1" x14ac:dyDescent="0.25">
      <c r="A2574" s="661"/>
      <c r="B2574" s="75"/>
      <c r="C2574" s="75" t="s">
        <v>8422</v>
      </c>
      <c r="D2574" s="73"/>
      <c r="E2574" s="73"/>
      <c r="F2574" s="73"/>
      <c r="G2574" s="74"/>
      <c r="H2574" s="153"/>
      <c r="I2574" s="72"/>
      <c r="J2574" s="73"/>
      <c r="K2574" s="671"/>
      <c r="L2574" s="73"/>
      <c r="M2574" s="73"/>
      <c r="N2574" s="74"/>
      <c r="O2574" s="153"/>
    </row>
    <row r="2575" spans="1:15" customFormat="1" x14ac:dyDescent="0.25">
      <c r="A2575" s="661"/>
      <c r="B2575" s="75"/>
      <c r="C2575" s="100" t="s">
        <v>1777</v>
      </c>
      <c r="D2575" s="73"/>
      <c r="E2575" s="73"/>
      <c r="F2575" s="73"/>
      <c r="G2575" s="74" t="s">
        <v>3</v>
      </c>
      <c r="H2575" s="153">
        <f>0.05*1.2</f>
        <v>0.06</v>
      </c>
      <c r="I2575" s="72"/>
      <c r="J2575" t="s">
        <v>8415</v>
      </c>
      <c r="K2575" s="671"/>
      <c r="L2575" s="73"/>
      <c r="M2575" s="73"/>
      <c r="N2575" s="74"/>
      <c r="O2575" s="153"/>
    </row>
    <row r="2576" spans="1:15" customFormat="1" x14ac:dyDescent="0.25">
      <c r="A2576" s="661"/>
      <c r="B2576" s="75"/>
      <c r="C2576" s="75" t="s">
        <v>8421</v>
      </c>
      <c r="D2576" s="73"/>
      <c r="E2576" s="73"/>
      <c r="F2576" s="73"/>
      <c r="G2576" s="74"/>
      <c r="H2576" s="153"/>
      <c r="I2576" s="72"/>
      <c r="J2576" s="73"/>
      <c r="K2576" s="671"/>
      <c r="L2576" s="73"/>
      <c r="M2576" s="73"/>
      <c r="N2576" s="74"/>
      <c r="O2576" s="153"/>
    </row>
    <row r="2577" spans="1:15" customFormat="1" x14ac:dyDescent="0.25">
      <c r="A2577" s="661"/>
      <c r="B2577" s="75"/>
      <c r="C2577" s="100" t="s">
        <v>1777</v>
      </c>
      <c r="D2577" s="73"/>
      <c r="E2577" s="73"/>
      <c r="F2577" s="73"/>
      <c r="G2577" s="74" t="s">
        <v>3</v>
      </c>
      <c r="H2577" s="153">
        <v>0.02</v>
      </c>
      <c r="I2577" s="72"/>
      <c r="J2577" t="s">
        <v>4121</v>
      </c>
      <c r="K2577" s="671"/>
      <c r="L2577" s="73"/>
      <c r="M2577" s="73"/>
      <c r="N2577" s="74"/>
      <c r="O2577" s="153"/>
    </row>
    <row r="2578" spans="1:15" customFormat="1" x14ac:dyDescent="0.25">
      <c r="A2578" s="661"/>
      <c r="B2578" s="75"/>
      <c r="C2578" s="75" t="s">
        <v>8420</v>
      </c>
      <c r="D2578" s="73"/>
      <c r="E2578" s="73"/>
      <c r="F2578" s="73"/>
      <c r="G2578" s="74"/>
      <c r="H2578" s="153"/>
      <c r="I2578" s="72"/>
      <c r="J2578" s="73"/>
      <c r="K2578" s="671"/>
      <c r="L2578" s="73"/>
      <c r="M2578" s="73"/>
      <c r="N2578" s="74"/>
      <c r="O2578" s="153"/>
    </row>
    <row r="2579" spans="1:15" customFormat="1" x14ac:dyDescent="0.25">
      <c r="A2579" s="661"/>
      <c r="B2579" s="75"/>
      <c r="C2579" s="100" t="s">
        <v>1777</v>
      </c>
      <c r="D2579" s="73"/>
      <c r="E2579" s="73"/>
      <c r="F2579" s="73"/>
      <c r="G2579" s="74" t="s">
        <v>3</v>
      </c>
      <c r="H2579" s="153">
        <v>0.02</v>
      </c>
      <c r="I2579" s="72"/>
      <c r="J2579" t="s">
        <v>2914</v>
      </c>
      <c r="K2579" s="671"/>
      <c r="L2579" s="73"/>
      <c r="M2579" s="73"/>
      <c r="N2579" s="74"/>
      <c r="O2579" s="153"/>
    </row>
    <row r="2580" spans="1:15" customFormat="1" x14ac:dyDescent="0.25">
      <c r="A2580" s="661"/>
      <c r="B2580" s="75"/>
      <c r="C2580" s="75" t="s">
        <v>8419</v>
      </c>
      <c r="D2580" s="73"/>
      <c r="E2580" s="73"/>
      <c r="F2580" s="73"/>
      <c r="G2580" s="74"/>
      <c r="H2580" s="153"/>
      <c r="I2580" s="72"/>
      <c r="J2580" s="73"/>
      <c r="K2580" s="671"/>
      <c r="L2580" s="73"/>
      <c r="M2580" s="73"/>
      <c r="N2580" s="74"/>
      <c r="O2580" s="153"/>
    </row>
    <row r="2581" spans="1:15" customFormat="1" x14ac:dyDescent="0.25">
      <c r="A2581" s="661"/>
      <c r="B2581" s="75"/>
      <c r="C2581" s="100" t="s">
        <v>1777</v>
      </c>
      <c r="D2581" s="73"/>
      <c r="E2581" s="73"/>
      <c r="F2581" s="73"/>
      <c r="G2581" s="74" t="s">
        <v>3</v>
      </c>
      <c r="H2581" s="153">
        <f>0.01*1.15</f>
        <v>1.15E-2</v>
      </c>
      <c r="I2581" s="72"/>
      <c r="J2581" t="s">
        <v>8415</v>
      </c>
      <c r="K2581" s="671"/>
      <c r="L2581" s="73"/>
      <c r="M2581" s="73"/>
      <c r="N2581" s="74"/>
      <c r="O2581" s="153"/>
    </row>
    <row r="2582" spans="1:15" customFormat="1" x14ac:dyDescent="0.25">
      <c r="A2582" s="661"/>
      <c r="B2582" s="75"/>
      <c r="C2582" s="75" t="s">
        <v>8418</v>
      </c>
      <c r="D2582" s="73"/>
      <c r="E2582" s="73"/>
      <c r="F2582" s="73"/>
      <c r="G2582" s="74"/>
      <c r="H2582" s="153"/>
      <c r="I2582" s="72"/>
      <c r="J2582" s="73"/>
      <c r="K2582" s="671"/>
      <c r="L2582" s="73"/>
      <c r="M2582" s="73"/>
      <c r="N2582" s="74"/>
      <c r="O2582" s="153"/>
    </row>
    <row r="2583" spans="1:15" customFormat="1" x14ac:dyDescent="0.25">
      <c r="A2583" s="661"/>
      <c r="B2583" s="75"/>
      <c r="C2583" s="100" t="s">
        <v>1777</v>
      </c>
      <c r="D2583" s="73"/>
      <c r="E2583" s="73"/>
      <c r="F2583" s="73"/>
      <c r="G2583" s="74" t="s">
        <v>3</v>
      </c>
      <c r="H2583" s="153">
        <f>0.06*1.2</f>
        <v>7.1999999999999995E-2</v>
      </c>
      <c r="I2583" s="72"/>
      <c r="J2583" t="s">
        <v>8415</v>
      </c>
      <c r="K2583" s="671"/>
      <c r="L2583" s="73"/>
      <c r="M2583" s="73"/>
      <c r="N2583" s="74"/>
      <c r="O2583" s="153"/>
    </row>
    <row r="2584" spans="1:15" customFormat="1" x14ac:dyDescent="0.25">
      <c r="A2584" s="661"/>
      <c r="B2584" s="75"/>
      <c r="C2584" s="75" t="s">
        <v>8417</v>
      </c>
      <c r="D2584" s="73"/>
      <c r="E2584" s="73"/>
      <c r="F2584" s="73"/>
      <c r="G2584" s="74"/>
      <c r="H2584" s="153"/>
      <c r="I2584" s="72"/>
      <c r="J2584" s="73"/>
      <c r="K2584" s="671"/>
      <c r="L2584" s="73"/>
      <c r="M2584" s="73"/>
      <c r="N2584" s="74"/>
      <c r="O2584" s="153"/>
    </row>
    <row r="2585" spans="1:15" customFormat="1" x14ac:dyDescent="0.25">
      <c r="A2585" s="661"/>
      <c r="B2585" s="75"/>
      <c r="C2585" s="100" t="s">
        <v>1777</v>
      </c>
      <c r="D2585" s="73"/>
      <c r="E2585" s="73"/>
      <c r="F2585" s="73"/>
      <c r="G2585" s="74" t="s">
        <v>3</v>
      </c>
      <c r="H2585" s="153">
        <f>0.03*1.2</f>
        <v>3.5999999999999997E-2</v>
      </c>
      <c r="I2585" s="72"/>
      <c r="J2585" t="s">
        <v>8415</v>
      </c>
      <c r="K2585" s="671"/>
      <c r="L2585" s="73"/>
      <c r="M2585" s="73"/>
      <c r="N2585" s="74"/>
      <c r="O2585" s="153"/>
    </row>
    <row r="2586" spans="1:15" customFormat="1" x14ac:dyDescent="0.25">
      <c r="A2586" s="661"/>
      <c r="B2586" s="75"/>
      <c r="C2586" s="75" t="s">
        <v>8416</v>
      </c>
      <c r="D2586" s="73"/>
      <c r="E2586" s="73"/>
      <c r="F2586" s="73"/>
      <c r="G2586" s="74"/>
      <c r="H2586" s="153"/>
      <c r="I2586" s="72"/>
      <c r="J2586" s="73"/>
      <c r="K2586" s="671"/>
      <c r="L2586" s="73"/>
      <c r="M2586" s="73"/>
      <c r="N2586" s="74"/>
      <c r="O2586" s="153"/>
    </row>
    <row r="2587" spans="1:15" customFormat="1" x14ac:dyDescent="0.25">
      <c r="A2587" s="661"/>
      <c r="B2587" s="75"/>
      <c r="C2587" s="100" t="s">
        <v>1777</v>
      </c>
      <c r="D2587" s="73"/>
      <c r="E2587" s="73"/>
      <c r="F2587" s="73"/>
      <c r="G2587" s="74" t="s">
        <v>3</v>
      </c>
      <c r="H2587" s="153">
        <f>0.05*1.2</f>
        <v>0.06</v>
      </c>
      <c r="I2587" s="72"/>
      <c r="J2587" t="s">
        <v>8415</v>
      </c>
      <c r="K2587" s="671"/>
      <c r="L2587" s="73"/>
      <c r="M2587" s="73"/>
      <c r="N2587" s="74"/>
      <c r="O2587" s="153"/>
    </row>
    <row r="2588" spans="1:15" customFormat="1" x14ac:dyDescent="0.25">
      <c r="A2588" s="661"/>
      <c r="B2588" s="75"/>
      <c r="C2588" s="73"/>
      <c r="D2588" s="73"/>
      <c r="E2588" s="73"/>
      <c r="F2588" s="73"/>
      <c r="G2588" s="74"/>
      <c r="H2588" s="153"/>
      <c r="I2588" s="72"/>
      <c r="J2588" s="73"/>
      <c r="K2588" s="671"/>
      <c r="L2588" s="73"/>
      <c r="M2588" s="73"/>
      <c r="N2588" s="74"/>
      <c r="O2588" s="153"/>
    </row>
    <row r="2589" spans="1:15" customFormat="1" x14ac:dyDescent="0.25">
      <c r="A2589" s="678"/>
      <c r="B2589" s="75" t="s">
        <v>8414</v>
      </c>
      <c r="C2589" s="73"/>
      <c r="D2589" s="73"/>
      <c r="E2589" s="73"/>
      <c r="F2589" s="73"/>
      <c r="G2589" s="74"/>
      <c r="H2589" s="153"/>
      <c r="I2589" s="72"/>
      <c r="J2589" s="73"/>
      <c r="K2589" s="671"/>
      <c r="L2589" s="73"/>
      <c r="M2589" s="73"/>
      <c r="N2589" s="74"/>
      <c r="O2589" s="153"/>
    </row>
    <row r="2590" spans="1:15" customFormat="1" x14ac:dyDescent="0.25">
      <c r="A2590" s="661"/>
      <c r="B2590" s="73" t="s">
        <v>140</v>
      </c>
      <c r="C2590" s="73"/>
      <c r="D2590" s="73"/>
      <c r="E2590" s="73"/>
      <c r="F2590" s="73"/>
      <c r="G2590" s="74" t="s">
        <v>3</v>
      </c>
      <c r="H2590" s="153">
        <f>0.032*3*0.08*1.2</f>
        <v>9.2160000000000002E-3</v>
      </c>
      <c r="I2590" s="72"/>
      <c r="J2590" s="73"/>
      <c r="K2590" s="671"/>
      <c r="L2590" s="73"/>
      <c r="M2590" s="73"/>
      <c r="N2590" s="74"/>
      <c r="O2590" s="153"/>
    </row>
    <row r="2591" spans="1:15" customFormat="1" ht="17.25" x14ac:dyDescent="0.25">
      <c r="A2591" s="661"/>
      <c r="B2591" s="73" t="s">
        <v>23</v>
      </c>
      <c r="C2591" s="73"/>
      <c r="D2591" s="73"/>
      <c r="E2591" s="73"/>
      <c r="F2591" s="73"/>
      <c r="G2591" s="74" t="s">
        <v>596</v>
      </c>
      <c r="H2591" s="153">
        <f>H2590*2</f>
        <v>1.8432E-2</v>
      </c>
      <c r="I2591" s="72"/>
      <c r="J2591" s="73"/>
      <c r="K2591" s="671"/>
      <c r="L2591" s="73"/>
      <c r="M2591" s="73"/>
      <c r="N2591" s="74"/>
      <c r="O2591" s="153"/>
    </row>
    <row r="2592" spans="1:15" customFormat="1" x14ac:dyDescent="0.25">
      <c r="A2592" s="661"/>
      <c r="B2592" s="73" t="s">
        <v>142</v>
      </c>
      <c r="C2592" s="73"/>
      <c r="D2592" s="73"/>
      <c r="E2592" s="73"/>
      <c r="F2592" s="73"/>
      <c r="G2592" s="74" t="s">
        <v>3</v>
      </c>
      <c r="H2592" s="153">
        <f>H2590/4</f>
        <v>2.3040000000000001E-3</v>
      </c>
      <c r="I2592" s="72"/>
      <c r="J2592" s="73"/>
      <c r="K2592" s="671"/>
      <c r="L2592" s="73"/>
      <c r="M2592" s="73"/>
      <c r="N2592" s="74"/>
      <c r="O2592" s="153"/>
    </row>
    <row r="2593" spans="1:15" customFormat="1" x14ac:dyDescent="0.25">
      <c r="A2593" s="661"/>
      <c r="B2593" s="100" t="s">
        <v>8</v>
      </c>
      <c r="C2593" s="73"/>
      <c r="D2593" s="73"/>
      <c r="E2593" s="73"/>
      <c r="F2593" s="73"/>
      <c r="G2593" s="74" t="s">
        <v>3</v>
      </c>
      <c r="H2593" s="153">
        <f>H2594*0.85</f>
        <v>2.2439999999999995E-2</v>
      </c>
      <c r="I2593" s="72"/>
      <c r="J2593" s="73"/>
      <c r="K2593" s="671"/>
      <c r="L2593" s="73"/>
      <c r="M2593" s="73"/>
      <c r="N2593" s="74"/>
      <c r="O2593" s="153"/>
    </row>
    <row r="2594" spans="1:15" customFormat="1" x14ac:dyDescent="0.25">
      <c r="A2594" s="661"/>
      <c r="B2594" s="100" t="s">
        <v>649</v>
      </c>
      <c r="C2594" s="73"/>
      <c r="D2594" s="73"/>
      <c r="E2594" s="73"/>
      <c r="F2594" s="73"/>
      <c r="G2594" s="74" t="s">
        <v>3</v>
      </c>
      <c r="H2594" s="153">
        <f>1*0.011*2*1.2</f>
        <v>2.6399999999999996E-2</v>
      </c>
      <c r="I2594" s="72"/>
      <c r="J2594" s="73"/>
      <c r="K2594" s="671"/>
      <c r="L2594" s="73"/>
      <c r="M2594" s="73"/>
      <c r="N2594" s="74"/>
      <c r="O2594" s="153"/>
    </row>
    <row r="2595" spans="1:15" customFormat="1" x14ac:dyDescent="0.25">
      <c r="A2595" s="661"/>
      <c r="B2595" s="100" t="s">
        <v>12</v>
      </c>
      <c r="C2595" s="73"/>
      <c r="D2595" s="73"/>
      <c r="E2595" s="73"/>
      <c r="F2595" s="73"/>
      <c r="G2595" s="74" t="s">
        <v>3</v>
      </c>
      <c r="H2595" s="153">
        <f>0.3*(H2594+H2593)</f>
        <v>1.4651999999999998E-2</v>
      </c>
      <c r="I2595" s="72"/>
      <c r="J2595" s="73"/>
      <c r="K2595" s="671"/>
      <c r="L2595" s="73"/>
      <c r="M2595" s="73"/>
      <c r="N2595" s="74"/>
      <c r="O2595" s="153"/>
    </row>
    <row r="2596" spans="1:15" customFormat="1" x14ac:dyDescent="0.25">
      <c r="A2596" s="661"/>
      <c r="B2596" s="73"/>
      <c r="C2596" s="75" t="s">
        <v>8413</v>
      </c>
      <c r="D2596" s="73"/>
      <c r="E2596" s="73"/>
      <c r="F2596" s="73"/>
      <c r="G2596" s="74"/>
      <c r="H2596" s="153"/>
      <c r="I2596" s="72"/>
      <c r="J2596" s="73"/>
      <c r="K2596" s="671"/>
      <c r="L2596" s="73"/>
      <c r="M2596" s="73"/>
      <c r="N2596" s="74"/>
      <c r="O2596" s="153"/>
    </row>
    <row r="2597" spans="1:15" customFormat="1" x14ac:dyDescent="0.25">
      <c r="A2597" s="661"/>
      <c r="B2597" s="73"/>
      <c r="C2597" s="100" t="s">
        <v>1777</v>
      </c>
      <c r="D2597" s="73"/>
      <c r="E2597" s="73"/>
      <c r="F2597" s="73"/>
      <c r="G2597" s="74" t="s">
        <v>3</v>
      </c>
      <c r="H2597" s="153">
        <v>0.115</v>
      </c>
      <c r="I2597" s="72"/>
      <c r="J2597" t="s">
        <v>1153</v>
      </c>
      <c r="K2597" s="671"/>
      <c r="L2597" s="73"/>
      <c r="M2597" s="73"/>
      <c r="N2597" s="74"/>
      <c r="O2597" s="153"/>
    </row>
    <row r="2598" spans="1:15" customFormat="1" x14ac:dyDescent="0.25">
      <c r="A2598" s="661"/>
      <c r="B2598" s="73"/>
      <c r="C2598" s="75" t="s">
        <v>8412</v>
      </c>
      <c r="D2598" s="73"/>
      <c r="E2598" s="73"/>
      <c r="F2598" s="73"/>
      <c r="G2598" s="74"/>
      <c r="H2598" s="153"/>
      <c r="I2598" s="72"/>
      <c r="J2598" s="73"/>
      <c r="K2598" s="671"/>
      <c r="L2598" s="73"/>
      <c r="M2598" s="73"/>
      <c r="N2598" s="74"/>
      <c r="O2598" s="153"/>
    </row>
    <row r="2599" spans="1:15" customFormat="1" x14ac:dyDescent="0.25">
      <c r="A2599" s="661"/>
      <c r="B2599" s="73"/>
      <c r="C2599" s="100" t="s">
        <v>1777</v>
      </c>
      <c r="D2599" s="73"/>
      <c r="E2599" s="73"/>
      <c r="F2599" s="73"/>
      <c r="G2599" s="74" t="s">
        <v>3</v>
      </c>
      <c r="H2599" s="153">
        <v>0.16</v>
      </c>
      <c r="I2599" s="72"/>
      <c r="J2599" t="s">
        <v>8411</v>
      </c>
      <c r="K2599" s="671"/>
      <c r="L2599" s="73"/>
      <c r="M2599" s="73"/>
      <c r="N2599" s="74"/>
      <c r="O2599" s="153"/>
    </row>
    <row r="2600" spans="1:15" customFormat="1" x14ac:dyDescent="0.25">
      <c r="A2600" s="661"/>
      <c r="B2600" s="73"/>
      <c r="C2600" s="73"/>
      <c r="D2600" s="73"/>
      <c r="E2600" s="73"/>
      <c r="F2600" s="73"/>
      <c r="G2600" s="74"/>
      <c r="H2600" s="153"/>
      <c r="I2600" s="72"/>
      <c r="J2600" s="73"/>
      <c r="K2600" s="671"/>
      <c r="L2600" s="73"/>
      <c r="M2600" s="73"/>
      <c r="N2600" s="74"/>
      <c r="O2600" s="153"/>
    </row>
    <row r="2601" spans="1:15" customFormat="1" x14ac:dyDescent="0.25">
      <c r="A2601" s="678"/>
      <c r="B2601" s="75" t="s">
        <v>8410</v>
      </c>
      <c r="C2601" s="73"/>
      <c r="D2601" s="73"/>
      <c r="E2601" s="73"/>
      <c r="F2601" s="73"/>
      <c r="G2601" s="74"/>
      <c r="H2601" s="153"/>
      <c r="I2601" s="72"/>
      <c r="J2601" s="73"/>
      <c r="K2601" s="671"/>
      <c r="L2601" s="73"/>
      <c r="M2601" s="73"/>
      <c r="N2601" s="74"/>
      <c r="O2601" s="153"/>
    </row>
    <row r="2602" spans="1:15" customFormat="1" x14ac:dyDescent="0.25">
      <c r="A2602" s="661"/>
      <c r="B2602" s="75"/>
      <c r="C2602" s="75" t="s">
        <v>8409</v>
      </c>
      <c r="D2602" s="73"/>
      <c r="E2602" s="73"/>
      <c r="F2602" s="73"/>
      <c r="G2602" s="74"/>
      <c r="H2602" s="153"/>
      <c r="I2602" s="72"/>
      <c r="J2602" s="73"/>
      <c r="K2602" s="671"/>
      <c r="L2602" s="73"/>
      <c r="M2602" s="73"/>
      <c r="N2602" s="74"/>
      <c r="O2602" s="153"/>
    </row>
    <row r="2603" spans="1:15" customFormat="1" x14ac:dyDescent="0.25">
      <c r="A2603" s="661"/>
      <c r="B2603" s="75"/>
      <c r="C2603" s="580" t="s">
        <v>6724</v>
      </c>
      <c r="D2603" s="75"/>
      <c r="E2603" s="75"/>
      <c r="F2603" s="73"/>
      <c r="G2603" s="74" t="s">
        <v>3</v>
      </c>
      <c r="H2603" s="427">
        <f>0.04*0.05*1.3</f>
        <v>2.6000000000000003E-3</v>
      </c>
      <c r="I2603" s="72"/>
      <c r="J2603" s="73"/>
      <c r="K2603" s="671"/>
      <c r="L2603" s="73"/>
      <c r="M2603" s="73"/>
      <c r="N2603" s="74"/>
      <c r="O2603" s="153"/>
    </row>
    <row r="2604" spans="1:15" customFormat="1" ht="17.25" x14ac:dyDescent="0.25">
      <c r="A2604" s="661"/>
      <c r="B2604" s="75"/>
      <c r="C2604" s="204" t="s">
        <v>6723</v>
      </c>
      <c r="D2604" s="75"/>
      <c r="E2604" s="75"/>
      <c r="F2604" s="73"/>
      <c r="G2604" s="74" t="s">
        <v>596</v>
      </c>
      <c r="H2604" s="153">
        <f>1.09*H2603</f>
        <v>2.8340000000000006E-3</v>
      </c>
      <c r="I2604" s="72"/>
      <c r="J2604" s="73"/>
      <c r="K2604" s="671"/>
      <c r="L2604" s="73"/>
      <c r="M2604" s="73"/>
      <c r="N2604" s="74"/>
      <c r="O2604" s="153"/>
    </row>
    <row r="2605" spans="1:15" customFormat="1" x14ac:dyDescent="0.25">
      <c r="A2605" s="661"/>
      <c r="B2605" s="75"/>
      <c r="C2605" s="204" t="s">
        <v>294</v>
      </c>
      <c r="D2605" s="75"/>
      <c r="E2605" s="75"/>
      <c r="F2605" s="73"/>
      <c r="G2605" s="74" t="s">
        <v>195</v>
      </c>
      <c r="H2605" s="153">
        <v>1.4</v>
      </c>
      <c r="I2605" s="72"/>
      <c r="J2605" s="73"/>
      <c r="K2605" s="671"/>
      <c r="L2605" s="73"/>
      <c r="M2605" s="73"/>
      <c r="N2605" s="74"/>
      <c r="O2605" s="153"/>
    </row>
    <row r="2606" spans="1:15" customFormat="1" x14ac:dyDescent="0.25">
      <c r="A2606" s="661"/>
      <c r="B2606" s="75"/>
      <c r="C2606" s="204" t="s">
        <v>8408</v>
      </c>
      <c r="D2606" s="75"/>
      <c r="E2606" s="75"/>
      <c r="F2606" s="73"/>
      <c r="G2606" s="74" t="s">
        <v>3</v>
      </c>
      <c r="H2606" s="153">
        <v>2E-3</v>
      </c>
      <c r="I2606" s="72"/>
      <c r="J2606" s="73"/>
      <c r="K2606" s="671"/>
      <c r="L2606" s="73"/>
      <c r="M2606" s="73"/>
      <c r="N2606" s="74"/>
      <c r="O2606" s="153"/>
    </row>
    <row r="2607" spans="1:15" customFormat="1" x14ac:dyDescent="0.25">
      <c r="A2607" s="661"/>
      <c r="B2607" s="75"/>
      <c r="C2607" s="204" t="s">
        <v>671</v>
      </c>
      <c r="D2607" s="75"/>
      <c r="E2607" s="75"/>
      <c r="F2607" s="73"/>
      <c r="G2607" s="74" t="s">
        <v>3</v>
      </c>
      <c r="H2607" s="153">
        <f>0.005</f>
        <v>5.0000000000000001E-3</v>
      </c>
      <c r="I2607" s="72"/>
      <c r="J2607" s="73"/>
      <c r="K2607" s="671"/>
      <c r="L2607" s="73"/>
      <c r="M2607" s="73"/>
      <c r="N2607" s="74"/>
      <c r="O2607" s="153"/>
    </row>
    <row r="2608" spans="1:15" customFormat="1" x14ac:dyDescent="0.25">
      <c r="A2608" s="661"/>
      <c r="B2608" s="75"/>
      <c r="C2608" s="204" t="s">
        <v>672</v>
      </c>
      <c r="D2608" s="75"/>
      <c r="E2608" s="75"/>
      <c r="F2608" s="73"/>
      <c r="G2608" s="74" t="s">
        <v>3</v>
      </c>
      <c r="H2608" s="153">
        <f>H2607*2</f>
        <v>0.01</v>
      </c>
      <c r="I2608" s="72"/>
      <c r="J2608" s="73"/>
      <c r="K2608" s="671"/>
      <c r="L2608" s="73"/>
      <c r="M2608" s="73"/>
      <c r="N2608" s="74"/>
      <c r="O2608" s="153"/>
    </row>
    <row r="2609" spans="1:15" customFormat="1" x14ac:dyDescent="0.25">
      <c r="A2609" s="661"/>
      <c r="B2609" s="75"/>
      <c r="C2609" s="75"/>
      <c r="D2609" s="75" t="s">
        <v>8407</v>
      </c>
      <c r="E2609" s="73"/>
      <c r="F2609" s="73"/>
      <c r="G2609" s="74"/>
      <c r="H2609" s="153"/>
      <c r="I2609" s="72"/>
      <c r="J2609" s="73"/>
      <c r="K2609" s="671"/>
      <c r="L2609" s="73"/>
      <c r="M2609" s="73"/>
      <c r="N2609" s="74"/>
      <c r="O2609" s="153"/>
    </row>
    <row r="2610" spans="1:15" customFormat="1" x14ac:dyDescent="0.25">
      <c r="A2610" s="661"/>
      <c r="B2610" s="75"/>
      <c r="C2610" s="73"/>
      <c r="D2610" s="73" t="s">
        <v>1997</v>
      </c>
      <c r="E2610" s="73"/>
      <c r="F2610" s="73"/>
      <c r="G2610" s="74" t="s">
        <v>3</v>
      </c>
      <c r="H2610" s="153">
        <v>3.0000000000000001E-3</v>
      </c>
      <c r="I2610" s="72"/>
      <c r="J2610" s="73"/>
      <c r="K2610" s="671"/>
      <c r="L2610" s="73"/>
      <c r="M2610" s="73"/>
      <c r="N2610" s="74"/>
      <c r="O2610" s="153"/>
    </row>
    <row r="2611" spans="1:15" customFormat="1" x14ac:dyDescent="0.25">
      <c r="A2611" s="661"/>
      <c r="B2611" s="75"/>
      <c r="C2611" s="75" t="s">
        <v>8406</v>
      </c>
      <c r="D2611" s="73"/>
      <c r="E2611" s="73"/>
      <c r="F2611" s="73"/>
      <c r="G2611" s="74"/>
      <c r="H2611" s="153"/>
      <c r="I2611" s="72"/>
      <c r="J2611" s="73"/>
      <c r="K2611" s="671"/>
      <c r="L2611" s="73"/>
      <c r="M2611" s="73"/>
      <c r="N2611" s="74"/>
      <c r="O2611" s="153"/>
    </row>
    <row r="2612" spans="1:15" customFormat="1" x14ac:dyDescent="0.25">
      <c r="A2612" s="661"/>
      <c r="B2612" s="75"/>
      <c r="C2612" s="75"/>
      <c r="D2612" s="75" t="s">
        <v>8405</v>
      </c>
      <c r="E2612" s="73"/>
      <c r="F2612" s="73"/>
      <c r="G2612" s="74"/>
      <c r="H2612" s="153"/>
      <c r="I2612" s="72"/>
      <c r="J2612" s="73"/>
      <c r="K2612" s="671"/>
      <c r="L2612" s="73"/>
      <c r="M2612" s="73"/>
      <c r="N2612" s="74"/>
      <c r="O2612" s="153"/>
    </row>
    <row r="2613" spans="1:15" customFormat="1" x14ac:dyDescent="0.25">
      <c r="A2613" s="661"/>
      <c r="B2613" s="75"/>
      <c r="C2613" s="75"/>
      <c r="D2613" s="580" t="s">
        <v>6724</v>
      </c>
      <c r="E2613" s="75"/>
      <c r="F2613" s="75"/>
      <c r="G2613" s="74" t="s">
        <v>3</v>
      </c>
      <c r="H2613" s="427">
        <f>0.12*0.05*1.2</f>
        <v>7.1999999999999998E-3</v>
      </c>
      <c r="I2613" s="72"/>
      <c r="K2613" s="671"/>
      <c r="L2613" s="73"/>
      <c r="M2613" s="73"/>
      <c r="N2613" s="74"/>
      <c r="O2613" s="153"/>
    </row>
    <row r="2614" spans="1:15" customFormat="1" ht="17.25" x14ac:dyDescent="0.25">
      <c r="A2614" s="661"/>
      <c r="B2614" s="75"/>
      <c r="C2614" s="75"/>
      <c r="D2614" s="204" t="s">
        <v>6723</v>
      </c>
      <c r="E2614" s="75"/>
      <c r="F2614" s="75"/>
      <c r="G2614" s="74" t="s">
        <v>596</v>
      </c>
      <c r="H2614" s="153">
        <f>1.09*H2613</f>
        <v>7.8480000000000008E-3</v>
      </c>
      <c r="I2614" s="72"/>
      <c r="K2614" s="671"/>
      <c r="L2614" s="73"/>
      <c r="M2614" s="73"/>
      <c r="N2614" s="74"/>
      <c r="O2614" s="153"/>
    </row>
    <row r="2615" spans="1:15" customFormat="1" x14ac:dyDescent="0.25">
      <c r="A2615" s="661"/>
      <c r="B2615" s="75"/>
      <c r="C2615" s="75"/>
      <c r="D2615" s="75"/>
      <c r="E2615" s="75" t="s">
        <v>8404</v>
      </c>
      <c r="F2615" s="73"/>
      <c r="G2615" s="74"/>
      <c r="H2615" s="153"/>
      <c r="I2615" s="72"/>
      <c r="J2615" s="73"/>
      <c r="K2615" s="671"/>
      <c r="L2615" s="73"/>
      <c r="M2615" s="73"/>
      <c r="N2615" s="74"/>
      <c r="O2615" s="153"/>
    </row>
    <row r="2616" spans="1:15" customFormat="1" x14ac:dyDescent="0.25">
      <c r="A2616" s="661"/>
      <c r="B2616" s="75"/>
      <c r="C2616" s="75"/>
      <c r="D2616" s="75"/>
      <c r="E2616" s="73" t="s">
        <v>213</v>
      </c>
      <c r="F2616" s="73"/>
      <c r="G2616" s="74" t="s">
        <v>3</v>
      </c>
      <c r="H2616" s="153">
        <f>0.06*0.03*3*2.7*1.2</f>
        <v>1.7496000000000001E-2</v>
      </c>
      <c r="I2616" s="72"/>
      <c r="J2616" s="73"/>
      <c r="K2616" s="671"/>
      <c r="L2616" s="73"/>
      <c r="M2616" s="73"/>
      <c r="N2616" s="74"/>
      <c r="O2616" s="153"/>
    </row>
    <row r="2617" spans="1:15" customFormat="1" x14ac:dyDescent="0.25">
      <c r="A2617" s="661"/>
      <c r="B2617" s="75"/>
      <c r="C2617" s="75" t="s">
        <v>8403</v>
      </c>
      <c r="D2617" s="73"/>
      <c r="E2617" s="73"/>
      <c r="F2617" s="73"/>
      <c r="G2617" s="74"/>
      <c r="H2617" s="153"/>
      <c r="I2617" s="72"/>
      <c r="J2617" s="73"/>
      <c r="K2617" s="671"/>
      <c r="L2617" s="73"/>
      <c r="M2617" s="73"/>
      <c r="N2617" s="74"/>
      <c r="O2617" s="153"/>
    </row>
    <row r="2618" spans="1:15" customFormat="1" x14ac:dyDescent="0.25">
      <c r="A2618" s="661"/>
      <c r="B2618" s="75"/>
      <c r="C2618" s="73" t="s">
        <v>1143</v>
      </c>
      <c r="D2618" s="73"/>
      <c r="E2618" s="73"/>
      <c r="F2618" s="73"/>
      <c r="G2618" s="74" t="s">
        <v>3</v>
      </c>
      <c r="H2618" s="153">
        <f>0.045*0.02*3*8*1.1</f>
        <v>2.3760000000000003E-2</v>
      </c>
      <c r="I2618" s="72"/>
      <c r="J2618" s="73"/>
      <c r="K2618" s="671"/>
      <c r="L2618" s="73"/>
      <c r="M2618" s="73"/>
      <c r="N2618" s="74"/>
      <c r="O2618" s="153"/>
    </row>
    <row r="2619" spans="1:15" customFormat="1" x14ac:dyDescent="0.25">
      <c r="A2619" s="661"/>
      <c r="B2619" s="75"/>
      <c r="C2619" s="73"/>
      <c r="D2619" s="73"/>
      <c r="E2619" s="73"/>
      <c r="F2619" s="73"/>
      <c r="G2619" s="74"/>
      <c r="H2619" s="153"/>
      <c r="I2619" s="72"/>
      <c r="J2619" s="73"/>
      <c r="K2619" s="671"/>
      <c r="L2619" s="73"/>
      <c r="M2619" s="73"/>
      <c r="N2619" s="74"/>
      <c r="O2619" s="153"/>
    </row>
    <row r="2620" spans="1:15" customFormat="1" x14ac:dyDescent="0.25">
      <c r="A2620" s="678"/>
      <c r="B2620" s="75" t="s">
        <v>8402</v>
      </c>
      <c r="C2620" s="73"/>
      <c r="D2620" s="73"/>
      <c r="E2620" s="73"/>
      <c r="F2620" s="73"/>
      <c r="G2620" s="74"/>
      <c r="H2620" s="153"/>
      <c r="I2620" s="72"/>
      <c r="J2620" s="73"/>
      <c r="K2620" s="671"/>
      <c r="L2620" s="73"/>
      <c r="M2620" s="73"/>
      <c r="N2620" s="74"/>
      <c r="O2620" s="153"/>
    </row>
    <row r="2621" spans="1:15" customFormat="1" x14ac:dyDescent="0.25">
      <c r="A2621" s="661"/>
      <c r="B2621" s="100" t="s">
        <v>114</v>
      </c>
      <c r="C2621" s="73"/>
      <c r="D2621" s="73"/>
      <c r="E2621" s="73"/>
      <c r="F2621" s="73"/>
      <c r="G2621" s="74" t="s">
        <v>3</v>
      </c>
      <c r="H2621" s="153">
        <f>H2623*0.9</f>
        <v>2.6135999999999996E-2</v>
      </c>
      <c r="I2621" s="72"/>
      <c r="J2621" s="73"/>
      <c r="K2621" s="671"/>
      <c r="L2621" s="73"/>
      <c r="M2621" s="73"/>
      <c r="N2621" s="74"/>
      <c r="O2621" s="153"/>
    </row>
    <row r="2622" spans="1:15" customFormat="1" x14ac:dyDescent="0.25">
      <c r="A2622" s="661"/>
      <c r="B2622" s="100" t="s">
        <v>164</v>
      </c>
      <c r="C2622" s="73"/>
      <c r="D2622" s="73"/>
      <c r="E2622" s="73"/>
      <c r="F2622" s="73"/>
      <c r="G2622" s="74" t="s">
        <v>3</v>
      </c>
      <c r="H2622" s="153">
        <f>0.3*H2621</f>
        <v>7.8407999999999985E-3</v>
      </c>
      <c r="I2622" s="72"/>
      <c r="J2622" s="73"/>
      <c r="K2622" s="671"/>
      <c r="L2622" s="73"/>
      <c r="M2622" s="73"/>
      <c r="N2622" s="74"/>
      <c r="O2622" s="153"/>
    </row>
    <row r="2623" spans="1:15" customFormat="1" x14ac:dyDescent="0.25">
      <c r="A2623" s="661"/>
      <c r="B2623" s="100" t="s">
        <v>72</v>
      </c>
      <c r="C2623" s="73"/>
      <c r="D2623" s="73"/>
      <c r="E2623" s="73"/>
      <c r="F2623" s="73"/>
      <c r="G2623" s="74" t="s">
        <v>3</v>
      </c>
      <c r="H2623" s="153">
        <f>1.1*0.011*2*1.2</f>
        <v>2.9039999999999996E-2</v>
      </c>
      <c r="I2623" s="72"/>
      <c r="J2623" s="73"/>
      <c r="K2623" s="671"/>
      <c r="L2623" s="73"/>
      <c r="M2623" s="73"/>
      <c r="N2623" s="74"/>
      <c r="O2623" s="153"/>
    </row>
    <row r="2624" spans="1:15" customFormat="1" x14ac:dyDescent="0.25">
      <c r="A2624" s="661"/>
      <c r="B2624" s="100" t="s">
        <v>11</v>
      </c>
      <c r="C2624" s="73"/>
      <c r="D2624" s="73"/>
      <c r="E2624" s="73"/>
      <c r="F2624" s="73"/>
      <c r="G2624" s="74" t="s">
        <v>3</v>
      </c>
      <c r="H2624" s="153">
        <f>0.3*H2623</f>
        <v>8.7119999999999993E-3</v>
      </c>
      <c r="I2624" s="72"/>
      <c r="J2624" s="73"/>
      <c r="K2624" s="671"/>
      <c r="L2624" s="73"/>
      <c r="M2624" s="73"/>
      <c r="N2624" s="74"/>
      <c r="O2624" s="153"/>
    </row>
    <row r="2625" spans="1:15" customFormat="1" x14ac:dyDescent="0.25">
      <c r="A2625" s="661"/>
      <c r="B2625" s="77" t="s">
        <v>124</v>
      </c>
      <c r="C2625" s="73"/>
      <c r="D2625" s="73"/>
      <c r="E2625" s="73"/>
      <c r="F2625" s="73"/>
      <c r="G2625" s="74" t="s">
        <v>3</v>
      </c>
      <c r="H2625" s="153">
        <f>0.032*0.08*1.2</f>
        <v>3.0720000000000001E-3</v>
      </c>
      <c r="I2625" s="72"/>
      <c r="J2625" s="73"/>
      <c r="K2625" s="671"/>
      <c r="L2625" s="73"/>
      <c r="M2625" s="73"/>
      <c r="N2625" s="74"/>
      <c r="O2625" s="153"/>
    </row>
    <row r="2626" spans="1:15" customFormat="1" ht="17.25" x14ac:dyDescent="0.25">
      <c r="A2626" s="661"/>
      <c r="B2626" s="77" t="s">
        <v>168</v>
      </c>
      <c r="C2626" s="73"/>
      <c r="D2626" s="73"/>
      <c r="E2626" s="73"/>
      <c r="F2626" s="73"/>
      <c r="G2626" s="74" t="s">
        <v>596</v>
      </c>
      <c r="H2626" s="153">
        <f>H2625*1.09</f>
        <v>3.3484800000000005E-3</v>
      </c>
      <c r="I2626" s="72"/>
      <c r="J2626" s="73"/>
      <c r="K2626" s="671"/>
      <c r="L2626" s="73"/>
      <c r="M2626" s="73"/>
      <c r="N2626" s="74"/>
      <c r="O2626" s="153"/>
    </row>
    <row r="2627" spans="1:15" customFormat="1" x14ac:dyDescent="0.25">
      <c r="A2627" s="661"/>
      <c r="B2627" s="77"/>
      <c r="C2627" s="75" t="s">
        <v>8401</v>
      </c>
      <c r="D2627" s="73"/>
      <c r="E2627" s="73"/>
      <c r="F2627" s="73"/>
      <c r="G2627" s="74"/>
      <c r="H2627" s="153"/>
      <c r="I2627" s="72"/>
      <c r="J2627" s="73"/>
      <c r="K2627" s="671"/>
      <c r="L2627" s="73"/>
      <c r="M2627" s="73"/>
      <c r="N2627" s="74"/>
      <c r="O2627" s="153"/>
    </row>
    <row r="2628" spans="1:15" customFormat="1" x14ac:dyDescent="0.25">
      <c r="A2628" s="661"/>
      <c r="B2628" s="77"/>
      <c r="C2628" s="73" t="s">
        <v>2405</v>
      </c>
      <c r="D2628" s="73"/>
      <c r="E2628" s="73"/>
      <c r="F2628" s="73"/>
      <c r="G2628" s="74" t="s">
        <v>3</v>
      </c>
      <c r="H2628" s="153">
        <v>0.22</v>
      </c>
      <c r="I2628" s="72"/>
      <c r="J2628" t="s">
        <v>8400</v>
      </c>
      <c r="K2628" s="671"/>
      <c r="L2628" s="73"/>
      <c r="M2628" s="73"/>
      <c r="N2628" s="74"/>
      <c r="O2628" s="153"/>
    </row>
    <row r="2629" spans="1:15" customFormat="1" x14ac:dyDescent="0.25">
      <c r="A2629" s="661"/>
      <c r="B2629" s="77"/>
      <c r="C2629" s="73"/>
      <c r="D2629" s="73"/>
      <c r="E2629" s="73"/>
      <c r="F2629" s="73"/>
      <c r="G2629" s="74"/>
      <c r="H2629" s="153"/>
      <c r="I2629" s="72"/>
      <c r="J2629" s="73"/>
      <c r="K2629" s="671"/>
      <c r="L2629" s="73"/>
      <c r="M2629" s="73"/>
      <c r="N2629" s="74"/>
      <c r="O2629" s="153"/>
    </row>
    <row r="2630" spans="1:15" customFormat="1" x14ac:dyDescent="0.25">
      <c r="A2630" s="678"/>
      <c r="B2630" s="75" t="s">
        <v>8399</v>
      </c>
      <c r="C2630" s="73"/>
      <c r="D2630" s="73"/>
      <c r="E2630" s="73"/>
      <c r="F2630" s="73"/>
      <c r="G2630" s="74"/>
      <c r="H2630" s="153"/>
      <c r="I2630" s="72"/>
      <c r="J2630" s="73"/>
      <c r="K2630" s="671"/>
      <c r="L2630" s="73"/>
      <c r="M2630" s="73"/>
      <c r="N2630" s="74"/>
      <c r="O2630" s="153"/>
    </row>
    <row r="2631" spans="1:15" customFormat="1" x14ac:dyDescent="0.25">
      <c r="A2631" s="661"/>
      <c r="B2631" s="73" t="s">
        <v>140</v>
      </c>
      <c r="C2631" s="73"/>
      <c r="D2631" s="73"/>
      <c r="E2631" s="73"/>
      <c r="F2631" s="73"/>
      <c r="G2631" s="74" t="s">
        <v>3</v>
      </c>
      <c r="H2631" s="153">
        <f>0.008*3.14*8*0.08*1.2</f>
        <v>1.9292159999999999E-2</v>
      </c>
      <c r="I2631" s="72"/>
      <c r="J2631" s="73"/>
      <c r="K2631" s="671"/>
      <c r="L2631" s="73"/>
      <c r="M2631" s="73"/>
      <c r="N2631" s="74"/>
      <c r="O2631" s="153"/>
    </row>
    <row r="2632" spans="1:15" customFormat="1" ht="17.25" x14ac:dyDescent="0.25">
      <c r="A2632" s="661"/>
      <c r="B2632" s="73" t="s">
        <v>23</v>
      </c>
      <c r="C2632" s="73"/>
      <c r="D2632" s="73"/>
      <c r="E2632" s="73"/>
      <c r="F2632" s="73"/>
      <c r="G2632" s="74" t="s">
        <v>596</v>
      </c>
      <c r="H2632" s="153">
        <f>H2631*2</f>
        <v>3.8584319999999998E-2</v>
      </c>
      <c r="I2632" s="72"/>
      <c r="J2632" s="73"/>
      <c r="K2632" s="671"/>
      <c r="L2632" s="73"/>
      <c r="M2632" s="73"/>
      <c r="N2632" s="74"/>
      <c r="O2632" s="153"/>
    </row>
    <row r="2633" spans="1:15" customFormat="1" x14ac:dyDescent="0.25">
      <c r="A2633" s="661"/>
      <c r="B2633" s="73" t="s">
        <v>142</v>
      </c>
      <c r="C2633" s="73"/>
      <c r="D2633" s="73"/>
      <c r="E2633" s="73"/>
      <c r="F2633" s="73"/>
      <c r="G2633" s="74" t="s">
        <v>3</v>
      </c>
      <c r="H2633" s="153">
        <f>H2631/4</f>
        <v>4.8230399999999998E-3</v>
      </c>
      <c r="I2633" s="72"/>
      <c r="J2633" s="73"/>
      <c r="K2633" s="671"/>
      <c r="L2633" s="73"/>
      <c r="M2633" s="73"/>
      <c r="N2633" s="74"/>
      <c r="O2633" s="153"/>
    </row>
    <row r="2634" spans="1:15" customFormat="1" x14ac:dyDescent="0.25">
      <c r="A2634" s="661"/>
      <c r="B2634" s="100" t="s">
        <v>8</v>
      </c>
      <c r="C2634" s="73"/>
      <c r="D2634" s="73"/>
      <c r="E2634" s="73"/>
      <c r="F2634" s="73"/>
      <c r="G2634" s="74" t="s">
        <v>3</v>
      </c>
      <c r="H2634" s="153">
        <f>H2635*0.85</f>
        <v>8.9759999999999996E-3</v>
      </c>
      <c r="I2634" s="72"/>
      <c r="J2634" s="73"/>
      <c r="K2634" s="671"/>
      <c r="L2634" s="73"/>
      <c r="M2634" s="73"/>
      <c r="N2634" s="74"/>
      <c r="O2634" s="153"/>
    </row>
    <row r="2635" spans="1:15" customFormat="1" x14ac:dyDescent="0.25">
      <c r="A2635" s="661"/>
      <c r="B2635" s="73" t="s">
        <v>500</v>
      </c>
      <c r="C2635" s="73"/>
      <c r="D2635" s="73"/>
      <c r="E2635" s="73"/>
      <c r="F2635" s="73"/>
      <c r="G2635" s="74" t="s">
        <v>3</v>
      </c>
      <c r="H2635" s="153">
        <f>0.4*0.011*2*1.2</f>
        <v>1.056E-2</v>
      </c>
      <c r="I2635" s="72"/>
      <c r="J2635" s="73"/>
      <c r="K2635" s="671"/>
      <c r="L2635" s="73"/>
      <c r="M2635" s="73"/>
      <c r="N2635" s="74"/>
      <c r="O2635" s="153"/>
    </row>
    <row r="2636" spans="1:15" customFormat="1" x14ac:dyDescent="0.25">
      <c r="A2636" s="661"/>
      <c r="B2636" s="100" t="s">
        <v>12</v>
      </c>
      <c r="C2636" s="73"/>
      <c r="D2636" s="73"/>
      <c r="E2636" s="73"/>
      <c r="F2636" s="73"/>
      <c r="G2636" s="74" t="s">
        <v>3</v>
      </c>
      <c r="H2636" s="153">
        <f>0.3*(H2635+H2634)</f>
        <v>5.8607999999999993E-3</v>
      </c>
      <c r="I2636" s="72"/>
      <c r="J2636" s="73"/>
      <c r="K2636" s="671"/>
      <c r="L2636" s="73"/>
      <c r="M2636" s="73"/>
      <c r="N2636" s="74"/>
      <c r="O2636" s="153"/>
    </row>
    <row r="2637" spans="1:15" customFormat="1" x14ac:dyDescent="0.25">
      <c r="A2637" s="661"/>
      <c r="B2637" s="73"/>
      <c r="C2637" s="75" t="s">
        <v>8398</v>
      </c>
      <c r="D2637" s="73"/>
      <c r="E2637" s="73"/>
      <c r="F2637" s="73"/>
      <c r="G2637" s="74"/>
      <c r="H2637" s="153"/>
      <c r="I2637" s="72"/>
      <c r="J2637" s="73"/>
      <c r="K2637" s="671"/>
      <c r="L2637" s="73"/>
      <c r="M2637" s="73"/>
      <c r="N2637" s="74"/>
      <c r="O2637" s="153"/>
    </row>
    <row r="2638" spans="1:15" customFormat="1" x14ac:dyDescent="0.25">
      <c r="A2638" s="661"/>
      <c r="B2638" s="73"/>
      <c r="C2638" s="73" t="s">
        <v>172</v>
      </c>
      <c r="D2638" s="73"/>
      <c r="E2638" s="73"/>
      <c r="F2638" s="73"/>
      <c r="G2638" s="74" t="s">
        <v>3</v>
      </c>
      <c r="H2638" s="153">
        <v>0.01</v>
      </c>
      <c r="I2638" s="72"/>
      <c r="J2638" t="s">
        <v>8397</v>
      </c>
      <c r="K2638" s="671"/>
      <c r="L2638" s="73"/>
      <c r="M2638" s="73"/>
      <c r="N2638" s="74"/>
      <c r="O2638" s="153"/>
    </row>
    <row r="2639" spans="1:15" customFormat="1" x14ac:dyDescent="0.25">
      <c r="A2639" s="661"/>
      <c r="B2639" s="73"/>
      <c r="C2639" s="75" t="s">
        <v>8396</v>
      </c>
      <c r="D2639" s="73"/>
      <c r="E2639" s="73"/>
      <c r="F2639" s="73"/>
      <c r="G2639" s="74"/>
      <c r="H2639" s="153"/>
      <c r="I2639" s="72"/>
      <c r="J2639" s="73"/>
      <c r="K2639" s="671"/>
      <c r="L2639" s="73"/>
      <c r="M2639" s="73"/>
      <c r="N2639" s="74"/>
      <c r="O2639" s="153"/>
    </row>
    <row r="2640" spans="1:15" customFormat="1" x14ac:dyDescent="0.25">
      <c r="A2640" s="661"/>
      <c r="B2640" s="73"/>
      <c r="C2640" s="73" t="s">
        <v>172</v>
      </c>
      <c r="D2640" s="73"/>
      <c r="E2640" s="73"/>
      <c r="F2640" s="73"/>
      <c r="G2640" s="74" t="s">
        <v>3</v>
      </c>
      <c r="H2640" s="153">
        <v>7.0000000000000007E-2</v>
      </c>
      <c r="I2640" s="72"/>
      <c r="J2640" t="s">
        <v>3624</v>
      </c>
      <c r="K2640" s="671"/>
      <c r="L2640" s="73"/>
      <c r="M2640" s="73"/>
      <c r="N2640" s="74"/>
      <c r="O2640" s="153"/>
    </row>
    <row r="2641" spans="1:15" customFormat="1" x14ac:dyDescent="0.25">
      <c r="A2641" s="661"/>
      <c r="B2641" s="73"/>
      <c r="C2641" s="75" t="s">
        <v>8395</v>
      </c>
      <c r="D2641" s="73"/>
      <c r="E2641" s="73"/>
      <c r="F2641" s="73"/>
      <c r="G2641" s="74"/>
      <c r="H2641" s="153"/>
      <c r="I2641" s="72"/>
      <c r="J2641" s="73"/>
      <c r="K2641" s="671"/>
      <c r="L2641" s="73"/>
      <c r="M2641" s="73"/>
      <c r="N2641" s="74"/>
      <c r="O2641" s="153"/>
    </row>
    <row r="2642" spans="1:15" customFormat="1" x14ac:dyDescent="0.25">
      <c r="A2642" s="661"/>
      <c r="B2642" s="73"/>
      <c r="C2642" s="73" t="s">
        <v>172</v>
      </c>
      <c r="D2642" s="73"/>
      <c r="E2642" s="73"/>
      <c r="F2642" s="73"/>
      <c r="G2642" s="74" t="s">
        <v>3</v>
      </c>
      <c r="H2642" s="153">
        <v>0.02</v>
      </c>
      <c r="I2642" s="72"/>
      <c r="J2642" t="s">
        <v>2463</v>
      </c>
      <c r="K2642" s="671"/>
      <c r="L2642" s="73"/>
      <c r="M2642" s="73"/>
      <c r="N2642" s="74"/>
      <c r="O2642" s="153"/>
    </row>
    <row r="2643" spans="1:15" customFormat="1" x14ac:dyDescent="0.25">
      <c r="A2643" s="661"/>
      <c r="B2643" s="75"/>
      <c r="C2643" s="73"/>
      <c r="D2643" s="73"/>
      <c r="E2643" s="73"/>
      <c r="F2643" s="73"/>
      <c r="G2643" s="74"/>
      <c r="H2643" s="153"/>
      <c r="I2643" s="72"/>
      <c r="J2643" s="73"/>
      <c r="K2643" s="671"/>
      <c r="L2643" s="73"/>
      <c r="M2643" s="73"/>
      <c r="N2643" s="74"/>
      <c r="O2643" s="153"/>
    </row>
    <row r="2644" spans="1:15" customFormat="1" x14ac:dyDescent="0.25">
      <c r="A2644" s="678"/>
      <c r="B2644" s="75" t="s">
        <v>8394</v>
      </c>
      <c r="C2644" s="73"/>
      <c r="D2644" s="73"/>
      <c r="E2644" s="73"/>
      <c r="F2644" s="73"/>
      <c r="G2644" s="74"/>
      <c r="H2644" s="153"/>
      <c r="I2644" s="72"/>
      <c r="J2644" s="73"/>
      <c r="K2644" s="671"/>
      <c r="L2644" s="73"/>
      <c r="M2644" s="73"/>
      <c r="N2644" s="74"/>
      <c r="O2644" s="153"/>
    </row>
    <row r="2645" spans="1:15" customFormat="1" x14ac:dyDescent="0.25">
      <c r="A2645" s="661"/>
      <c r="B2645" s="77" t="s">
        <v>124</v>
      </c>
      <c r="C2645" s="73"/>
      <c r="D2645" s="73"/>
      <c r="E2645" s="73"/>
      <c r="F2645" s="73"/>
      <c r="G2645" s="74" t="s">
        <v>3</v>
      </c>
      <c r="H2645" s="153">
        <f>0.014*3.14*0.08*1.2</f>
        <v>4.2201600000000006E-3</v>
      </c>
      <c r="I2645" s="72"/>
      <c r="J2645" s="73"/>
      <c r="K2645" s="671"/>
      <c r="L2645" s="73"/>
      <c r="M2645" s="73"/>
      <c r="N2645" s="74"/>
      <c r="O2645" s="153"/>
    </row>
    <row r="2646" spans="1:15" customFormat="1" ht="17.25" x14ac:dyDescent="0.25">
      <c r="A2646" s="661"/>
      <c r="B2646" s="77" t="s">
        <v>168</v>
      </c>
      <c r="C2646" s="73"/>
      <c r="D2646" s="73"/>
      <c r="E2646" s="73"/>
      <c r="F2646" s="73"/>
      <c r="G2646" s="74" t="s">
        <v>596</v>
      </c>
      <c r="H2646" s="153">
        <f>H2645*1.09</f>
        <v>4.5999744000000007E-3</v>
      </c>
      <c r="I2646" s="72"/>
      <c r="J2646" s="73"/>
      <c r="K2646" s="671"/>
      <c r="L2646" s="73"/>
      <c r="M2646" s="73"/>
      <c r="N2646" s="74"/>
      <c r="O2646" s="153"/>
    </row>
    <row r="2647" spans="1:15" customFormat="1" x14ac:dyDescent="0.25">
      <c r="A2647" s="661"/>
      <c r="B2647" s="100" t="s">
        <v>114</v>
      </c>
      <c r="C2647" s="73"/>
      <c r="D2647" s="73"/>
      <c r="E2647" s="73"/>
      <c r="F2647" s="73"/>
      <c r="G2647" s="74" t="s">
        <v>3</v>
      </c>
      <c r="H2647" s="153">
        <f>H2649</f>
        <v>9.724E-3</v>
      </c>
      <c r="I2647" s="72"/>
      <c r="J2647" s="73"/>
      <c r="K2647" s="671"/>
      <c r="L2647" s="73"/>
      <c r="M2647" s="73"/>
      <c r="N2647" s="74"/>
      <c r="O2647" s="153"/>
    </row>
    <row r="2648" spans="1:15" customFormat="1" x14ac:dyDescent="0.25">
      <c r="A2648" s="661"/>
      <c r="B2648" s="100" t="s">
        <v>164</v>
      </c>
      <c r="C2648" s="73"/>
      <c r="D2648" s="73"/>
      <c r="E2648" s="73"/>
      <c r="F2648" s="73"/>
      <c r="G2648" s="74" t="s">
        <v>3</v>
      </c>
      <c r="H2648" s="153">
        <f>0.3*H2647</f>
        <v>2.9172E-3</v>
      </c>
      <c r="I2648" s="72"/>
      <c r="J2648" s="73"/>
      <c r="K2648" s="671"/>
      <c r="L2648" s="73"/>
      <c r="M2648" s="73"/>
      <c r="N2648" s="74"/>
      <c r="O2648" s="153"/>
    </row>
    <row r="2649" spans="1:15" customFormat="1" x14ac:dyDescent="0.25">
      <c r="A2649" s="661"/>
      <c r="B2649" s="100" t="s">
        <v>72</v>
      </c>
      <c r="C2649" s="73"/>
      <c r="D2649" s="73"/>
      <c r="E2649" s="73"/>
      <c r="F2649" s="73"/>
      <c r="G2649" s="74" t="s">
        <v>3</v>
      </c>
      <c r="H2649" s="153">
        <f>0.26*0.011*2*1.7</f>
        <v>9.724E-3</v>
      </c>
      <c r="I2649" s="72"/>
      <c r="J2649" s="73"/>
      <c r="K2649" s="671"/>
      <c r="L2649" s="73"/>
      <c r="M2649" s="73"/>
      <c r="N2649" s="74"/>
      <c r="O2649" s="153"/>
    </row>
    <row r="2650" spans="1:15" customFormat="1" x14ac:dyDescent="0.25">
      <c r="A2650" s="661"/>
      <c r="B2650" s="100" t="s">
        <v>11</v>
      </c>
      <c r="C2650" s="73"/>
      <c r="D2650" s="73"/>
      <c r="E2650" s="73"/>
      <c r="F2650" s="73"/>
      <c r="G2650" s="74" t="s">
        <v>3</v>
      </c>
      <c r="H2650" s="153">
        <f>0.3*H2649</f>
        <v>2.9172E-3</v>
      </c>
      <c r="I2650" s="72"/>
      <c r="J2650" s="73"/>
      <c r="K2650" s="671"/>
      <c r="L2650" s="73"/>
      <c r="M2650" s="73"/>
      <c r="N2650" s="74"/>
      <c r="O2650" s="153"/>
    </row>
    <row r="2651" spans="1:15" customFormat="1" x14ac:dyDescent="0.25">
      <c r="A2651" s="661"/>
      <c r="B2651" s="75"/>
      <c r="C2651" s="75" t="s">
        <v>8393</v>
      </c>
      <c r="D2651" s="73"/>
      <c r="E2651" s="73"/>
      <c r="F2651" s="73"/>
      <c r="G2651" s="74"/>
      <c r="H2651" s="153"/>
      <c r="I2651" s="72"/>
      <c r="J2651" s="73"/>
      <c r="K2651" s="671"/>
      <c r="L2651" s="73"/>
      <c r="M2651" s="73"/>
      <c r="N2651" s="74"/>
      <c r="O2651" s="153"/>
    </row>
    <row r="2652" spans="1:15" customFormat="1" x14ac:dyDescent="0.25">
      <c r="A2652" s="661"/>
      <c r="B2652" s="75"/>
      <c r="C2652" s="73" t="s">
        <v>1481</v>
      </c>
      <c r="D2652" s="73"/>
      <c r="E2652" s="73"/>
      <c r="F2652" s="73"/>
      <c r="G2652" s="74" t="s">
        <v>3</v>
      </c>
      <c r="H2652" s="153">
        <v>0.1</v>
      </c>
      <c r="I2652" s="72"/>
      <c r="J2652" t="s">
        <v>6518</v>
      </c>
      <c r="K2652" s="671"/>
      <c r="L2652" s="73"/>
      <c r="M2652" s="73"/>
      <c r="N2652" s="74"/>
      <c r="O2652" s="153"/>
    </row>
    <row r="2653" spans="1:15" customFormat="1" x14ac:dyDescent="0.25">
      <c r="A2653" s="661"/>
      <c r="B2653" s="75"/>
      <c r="C2653" s="73"/>
      <c r="D2653" s="73"/>
      <c r="E2653" s="73"/>
      <c r="F2653" s="73"/>
      <c r="G2653" s="74"/>
      <c r="H2653" s="153"/>
      <c r="I2653" s="72"/>
      <c r="J2653" s="73"/>
      <c r="K2653" s="671"/>
      <c r="L2653" s="73"/>
      <c r="M2653" s="73"/>
      <c r="N2653" s="74"/>
      <c r="O2653" s="153"/>
    </row>
    <row r="2654" spans="1:15" customFormat="1" x14ac:dyDescent="0.25">
      <c r="A2654" s="678"/>
      <c r="B2654" s="75" t="s">
        <v>8392</v>
      </c>
      <c r="C2654" s="73"/>
      <c r="D2654" s="73"/>
      <c r="E2654" s="73"/>
      <c r="F2654" s="73"/>
      <c r="G2654" s="74"/>
      <c r="H2654" s="153"/>
      <c r="I2654" s="72"/>
      <c r="J2654" s="73"/>
      <c r="K2654" s="671"/>
      <c r="L2654" s="73"/>
      <c r="M2654" s="73"/>
      <c r="N2654" s="74"/>
      <c r="O2654" s="153"/>
    </row>
    <row r="2655" spans="1:15" customFormat="1" x14ac:dyDescent="0.25">
      <c r="A2655" s="661"/>
      <c r="B2655" s="100" t="s">
        <v>114</v>
      </c>
      <c r="C2655" s="73"/>
      <c r="D2655" s="73"/>
      <c r="E2655" s="73"/>
      <c r="F2655" s="73"/>
      <c r="G2655" s="74" t="s">
        <v>3</v>
      </c>
      <c r="H2655" s="153">
        <f>H2657*0.915</f>
        <v>0.16480884840000001</v>
      </c>
      <c r="I2655" s="72"/>
      <c r="J2655" s="73"/>
      <c r="K2655" s="671"/>
      <c r="L2655" s="73"/>
      <c r="M2655" s="73"/>
      <c r="N2655" s="74"/>
      <c r="O2655" s="153"/>
    </row>
    <row r="2656" spans="1:15" customFormat="1" x14ac:dyDescent="0.25">
      <c r="A2656" s="661"/>
      <c r="B2656" s="100" t="s">
        <v>164</v>
      </c>
      <c r="C2656" s="73"/>
      <c r="D2656" s="73"/>
      <c r="E2656" s="73"/>
      <c r="F2656" s="73"/>
      <c r="G2656" s="74" t="s">
        <v>3</v>
      </c>
      <c r="H2656" s="153">
        <f>0.3*H2655+0.001</f>
        <v>5.0442654520000005E-2</v>
      </c>
      <c r="I2656" s="72"/>
      <c r="J2656" s="73"/>
      <c r="K2656" s="671"/>
      <c r="L2656" s="73"/>
      <c r="M2656" s="73"/>
      <c r="N2656" s="74"/>
      <c r="O2656" s="153"/>
    </row>
    <row r="2657" spans="1:15" customFormat="1" x14ac:dyDescent="0.25">
      <c r="A2657" s="661"/>
      <c r="B2657" s="100" t="s">
        <v>72</v>
      </c>
      <c r="C2657" s="73"/>
      <c r="D2657" s="73"/>
      <c r="E2657" s="73"/>
      <c r="F2657" s="73"/>
      <c r="G2657" s="74" t="s">
        <v>3</v>
      </c>
      <c r="H2657" s="153">
        <f>(0.3*0.55*2+0.06*0.58+0.55*0.082+0.55*0.045)*0.16*2*1.295</f>
        <v>0.18011896000000002</v>
      </c>
      <c r="I2657" s="72"/>
      <c r="J2657" s="73"/>
      <c r="K2657" s="671"/>
      <c r="L2657" s="73"/>
      <c r="M2657" s="73"/>
      <c r="N2657" s="74"/>
      <c r="O2657" s="153"/>
    </row>
    <row r="2658" spans="1:15" customFormat="1" x14ac:dyDescent="0.25">
      <c r="A2658" s="661"/>
      <c r="B2658" s="100" t="s">
        <v>11</v>
      </c>
      <c r="C2658" s="73"/>
      <c r="D2658" s="73"/>
      <c r="E2658" s="73"/>
      <c r="F2658" s="73"/>
      <c r="G2658" s="74" t="s">
        <v>3</v>
      </c>
      <c r="H2658" s="153">
        <f>0.3*H2657+0.001</f>
        <v>5.5035688000000006E-2</v>
      </c>
      <c r="I2658" s="72"/>
      <c r="J2658" s="73"/>
      <c r="K2658" s="671"/>
      <c r="L2658" s="73"/>
      <c r="M2658" s="73"/>
      <c r="N2658" s="74"/>
      <c r="O2658" s="153"/>
    </row>
    <row r="2659" spans="1:15" customFormat="1" x14ac:dyDescent="0.25">
      <c r="A2659" s="661"/>
      <c r="B2659" s="100" t="s">
        <v>4815</v>
      </c>
      <c r="C2659" s="73"/>
      <c r="D2659" s="73"/>
      <c r="E2659" s="73"/>
      <c r="F2659" s="73"/>
      <c r="G2659" s="74" t="s">
        <v>3</v>
      </c>
      <c r="H2659" s="153">
        <v>0.01</v>
      </c>
      <c r="I2659" s="72"/>
      <c r="J2659" s="73"/>
      <c r="K2659" s="671"/>
      <c r="L2659" s="73"/>
      <c r="M2659" s="73"/>
      <c r="N2659" s="74"/>
      <c r="O2659" s="153"/>
    </row>
    <row r="2660" spans="1:15" customFormat="1" x14ac:dyDescent="0.25">
      <c r="A2660" s="661"/>
      <c r="B2660" s="100" t="s">
        <v>671</v>
      </c>
      <c r="C2660" s="73"/>
      <c r="D2660" s="73"/>
      <c r="E2660" s="73"/>
      <c r="F2660" s="73"/>
      <c r="G2660" s="74" t="s">
        <v>3</v>
      </c>
      <c r="H2660" s="153">
        <f>0.06*0.08*1.1</f>
        <v>5.28E-3</v>
      </c>
      <c r="I2660" s="72"/>
      <c r="J2660" s="73"/>
      <c r="K2660" s="671"/>
      <c r="L2660" s="73"/>
      <c r="M2660" s="73"/>
      <c r="N2660" s="74"/>
      <c r="O2660" s="153"/>
    </row>
    <row r="2661" spans="1:15" customFormat="1" x14ac:dyDescent="0.25">
      <c r="A2661" s="661"/>
      <c r="B2661" s="100" t="s">
        <v>672</v>
      </c>
      <c r="C2661" s="73"/>
      <c r="D2661" s="73"/>
      <c r="E2661" s="73"/>
      <c r="F2661" s="73"/>
      <c r="G2661" s="74" t="s">
        <v>3</v>
      </c>
      <c r="H2661" s="153">
        <f>H2660*2</f>
        <v>1.056E-2</v>
      </c>
      <c r="I2661" s="72"/>
      <c r="J2661" s="73"/>
      <c r="K2661" s="671"/>
      <c r="L2661" s="73"/>
      <c r="M2661" s="73"/>
      <c r="N2661" s="74"/>
      <c r="O2661" s="153"/>
    </row>
    <row r="2662" spans="1:15" customFormat="1" x14ac:dyDescent="0.25">
      <c r="A2662" s="661"/>
      <c r="B2662" s="77" t="s">
        <v>124</v>
      </c>
      <c r="C2662" s="73"/>
      <c r="D2662" s="73"/>
      <c r="E2662" s="73"/>
      <c r="F2662" s="73"/>
      <c r="G2662" s="74" t="s">
        <v>3</v>
      </c>
      <c r="H2662" s="153">
        <f>(0.79+0.62+1.1+0.24+0.06*3.14+0.018*3.14*2+0.2)*0.08*1.155</f>
        <v>0.30043305599999998</v>
      </c>
      <c r="I2662" s="72"/>
      <c r="J2662" s="73"/>
      <c r="K2662" s="671"/>
      <c r="L2662" s="73"/>
      <c r="M2662" s="73"/>
      <c r="N2662" s="74"/>
      <c r="O2662" s="153"/>
    </row>
    <row r="2663" spans="1:15" customFormat="1" ht="17.25" x14ac:dyDescent="0.25">
      <c r="A2663" s="661"/>
      <c r="B2663" s="77" t="s">
        <v>168</v>
      </c>
      <c r="C2663" s="73"/>
      <c r="D2663" s="73"/>
      <c r="E2663" s="73"/>
      <c r="F2663" s="73"/>
      <c r="G2663" s="74" t="s">
        <v>596</v>
      </c>
      <c r="H2663" s="153">
        <f>H2662*1.09</f>
        <v>0.32747203104</v>
      </c>
      <c r="I2663" s="72"/>
      <c r="J2663" s="73"/>
      <c r="K2663" s="671"/>
      <c r="L2663" s="73"/>
      <c r="M2663" s="73"/>
      <c r="N2663" s="74"/>
      <c r="O2663" s="153"/>
    </row>
    <row r="2664" spans="1:15" customFormat="1" x14ac:dyDescent="0.25">
      <c r="A2664" s="661"/>
      <c r="B2664" s="77"/>
      <c r="C2664" s="75" t="s">
        <v>8391</v>
      </c>
      <c r="D2664" s="73"/>
      <c r="E2664" s="73"/>
      <c r="F2664" s="73"/>
      <c r="G2664" s="74"/>
      <c r="H2664" s="153"/>
      <c r="I2664" s="72"/>
      <c r="J2664" s="73"/>
      <c r="K2664" s="671"/>
      <c r="L2664" s="73"/>
      <c r="M2664" s="73"/>
      <c r="N2664" s="74"/>
      <c r="O2664" s="153"/>
    </row>
    <row r="2665" spans="1:15" customFormat="1" x14ac:dyDescent="0.25">
      <c r="A2665" s="661"/>
      <c r="B2665" s="77"/>
      <c r="C2665" s="73" t="s">
        <v>8390</v>
      </c>
      <c r="D2665" s="73"/>
      <c r="E2665" s="73"/>
      <c r="F2665" s="73"/>
      <c r="G2665" s="74" t="s">
        <v>3</v>
      </c>
      <c r="H2665" s="153">
        <v>1E-3</v>
      </c>
      <c r="I2665" s="72"/>
      <c r="J2665" s="73"/>
      <c r="K2665" s="671"/>
      <c r="L2665" s="73"/>
      <c r="M2665" s="73"/>
      <c r="N2665" s="74"/>
      <c r="O2665" s="153"/>
    </row>
    <row r="2666" spans="1:15" customFormat="1" x14ac:dyDescent="0.25">
      <c r="A2666" s="661"/>
      <c r="B2666" s="77"/>
      <c r="C2666" s="73"/>
      <c r="D2666" s="75" t="s">
        <v>8389</v>
      </c>
      <c r="E2666" s="73"/>
      <c r="F2666" s="73"/>
      <c r="G2666" s="74"/>
      <c r="H2666" s="153"/>
      <c r="I2666" s="72"/>
      <c r="J2666" s="73"/>
      <c r="K2666" s="671"/>
      <c r="L2666" s="73"/>
      <c r="M2666" s="73"/>
      <c r="N2666" s="74"/>
      <c r="O2666" s="153"/>
    </row>
    <row r="2667" spans="1:15" customFormat="1" x14ac:dyDescent="0.25">
      <c r="A2667" s="661"/>
      <c r="B2667" s="77"/>
      <c r="C2667" s="73"/>
      <c r="D2667" s="100" t="s">
        <v>671</v>
      </c>
      <c r="E2667" s="73"/>
      <c r="F2667" s="73"/>
      <c r="G2667" s="74" t="s">
        <v>3</v>
      </c>
      <c r="H2667" s="153">
        <f>0.038*3.14*0.08*1.2</f>
        <v>1.145472E-2</v>
      </c>
      <c r="I2667" s="72"/>
      <c r="J2667" s="73"/>
      <c r="K2667" s="671"/>
      <c r="L2667" s="73"/>
      <c r="M2667" s="73"/>
      <c r="N2667" s="74"/>
      <c r="O2667" s="153"/>
    </row>
    <row r="2668" spans="1:15" customFormat="1" x14ac:dyDescent="0.25">
      <c r="A2668" s="661"/>
      <c r="B2668" s="77"/>
      <c r="C2668" s="73"/>
      <c r="D2668" s="100" t="s">
        <v>672</v>
      </c>
      <c r="E2668" s="73"/>
      <c r="F2668" s="73"/>
      <c r="G2668" s="74" t="s">
        <v>3</v>
      </c>
      <c r="H2668" s="153">
        <f>2*H2667</f>
        <v>2.290944E-2</v>
      </c>
      <c r="I2668" s="72"/>
      <c r="J2668" s="73"/>
      <c r="K2668" s="671"/>
      <c r="L2668" s="73"/>
      <c r="M2668" s="73"/>
      <c r="N2668" s="74"/>
      <c r="O2668" s="153"/>
    </row>
    <row r="2669" spans="1:15" customFormat="1" x14ac:dyDescent="0.25">
      <c r="A2669" s="661"/>
      <c r="B2669" s="77"/>
      <c r="C2669" s="73"/>
      <c r="D2669" s="75"/>
      <c r="E2669" s="75" t="s">
        <v>8388</v>
      </c>
      <c r="F2669" s="73"/>
      <c r="G2669" s="74"/>
      <c r="H2669" s="153"/>
      <c r="I2669" s="72"/>
      <c r="J2669" s="73"/>
      <c r="K2669" s="671"/>
      <c r="L2669" s="73"/>
      <c r="M2669" s="73"/>
      <c r="N2669" s="74"/>
      <c r="O2669" s="153"/>
    </row>
    <row r="2670" spans="1:15" customFormat="1" x14ac:dyDescent="0.25">
      <c r="A2670" s="661"/>
      <c r="B2670" s="77"/>
      <c r="C2670" s="73"/>
      <c r="D2670" s="75"/>
      <c r="E2670" s="73" t="s">
        <v>8387</v>
      </c>
      <c r="F2670" s="73"/>
      <c r="G2670" s="74" t="s">
        <v>3</v>
      </c>
      <c r="H2670" s="153">
        <v>8.7999999999999995E-2</v>
      </c>
      <c r="I2670" s="72"/>
      <c r="J2670" s="73"/>
      <c r="K2670" s="671"/>
      <c r="L2670" s="73"/>
      <c r="M2670" s="73"/>
      <c r="N2670" s="74"/>
      <c r="O2670" s="153"/>
    </row>
    <row r="2671" spans="1:15" customFormat="1" x14ac:dyDescent="0.25">
      <c r="A2671" s="681"/>
      <c r="B2671" s="77"/>
      <c r="C2671" s="73"/>
      <c r="D2671" s="75" t="s">
        <v>8386</v>
      </c>
      <c r="E2671" s="73"/>
      <c r="F2671" s="73"/>
      <c r="G2671" s="74"/>
      <c r="H2671" s="153"/>
      <c r="I2671" s="72"/>
      <c r="J2671" s="73"/>
      <c r="K2671" s="671"/>
      <c r="L2671" s="73"/>
      <c r="M2671" s="73"/>
      <c r="N2671" s="74"/>
      <c r="O2671" s="153"/>
    </row>
    <row r="2672" spans="1:15" customFormat="1" x14ac:dyDescent="0.25">
      <c r="A2672" s="681"/>
      <c r="B2672" s="77"/>
      <c r="C2672" s="73"/>
      <c r="D2672" s="100" t="s">
        <v>671</v>
      </c>
      <c r="E2672" s="73"/>
      <c r="F2672" s="73"/>
      <c r="G2672" s="74" t="s">
        <v>3</v>
      </c>
      <c r="H2672" s="153">
        <f>0.033*3.14*2*0.08*1.2</f>
        <v>1.9895040000000003E-2</v>
      </c>
      <c r="I2672" s="72"/>
      <c r="J2672" s="73"/>
      <c r="K2672" s="671"/>
      <c r="L2672" s="73"/>
      <c r="M2672" s="73"/>
      <c r="N2672" s="74"/>
      <c r="O2672" s="153"/>
    </row>
    <row r="2673" spans="1:15" customFormat="1" x14ac:dyDescent="0.25">
      <c r="A2673" s="681"/>
      <c r="B2673" s="77"/>
      <c r="C2673" s="73"/>
      <c r="D2673" s="100" t="s">
        <v>672</v>
      </c>
      <c r="E2673" s="73"/>
      <c r="F2673" s="73"/>
      <c r="G2673" s="74" t="s">
        <v>3</v>
      </c>
      <c r="H2673" s="153">
        <f>2.5*H2672</f>
        <v>4.9737600000000007E-2</v>
      </c>
      <c r="I2673" s="72"/>
      <c r="J2673" s="73"/>
      <c r="K2673" s="671"/>
      <c r="L2673" s="73"/>
      <c r="M2673" s="73"/>
      <c r="N2673" s="74"/>
      <c r="O2673" s="153"/>
    </row>
    <row r="2674" spans="1:15" customFormat="1" x14ac:dyDescent="0.25">
      <c r="A2674" s="681"/>
      <c r="B2674" s="77"/>
      <c r="C2674" s="73"/>
      <c r="D2674" s="100"/>
      <c r="E2674" s="75" t="s">
        <v>8385</v>
      </c>
      <c r="F2674" s="73"/>
      <c r="G2674" s="74"/>
      <c r="H2674" s="153"/>
      <c r="I2674" s="72"/>
      <c r="J2674" s="73"/>
      <c r="K2674" s="671"/>
      <c r="L2674" s="73"/>
      <c r="M2674" s="73"/>
      <c r="N2674" s="74"/>
      <c r="O2674" s="153"/>
    </row>
    <row r="2675" spans="1:15" customFormat="1" x14ac:dyDescent="0.25">
      <c r="A2675" s="681"/>
      <c r="B2675" s="77"/>
      <c r="C2675" s="73"/>
      <c r="D2675" s="100"/>
      <c r="E2675" s="73" t="s">
        <v>8382</v>
      </c>
      <c r="F2675" s="73"/>
      <c r="G2675" s="74" t="s">
        <v>3</v>
      </c>
      <c r="H2675" s="153">
        <f>0.033*3.14*0.03*0.18*8.5*1.2</f>
        <v>5.7073895999999995E-3</v>
      </c>
      <c r="I2675" s="72"/>
      <c r="J2675" s="73"/>
      <c r="K2675" s="671"/>
      <c r="L2675" s="73"/>
      <c r="M2675" s="73"/>
      <c r="N2675" s="74"/>
      <c r="O2675" s="153"/>
    </row>
    <row r="2676" spans="1:15" customFormat="1" x14ac:dyDescent="0.25">
      <c r="A2676" s="681"/>
      <c r="B2676" s="77"/>
      <c r="C2676" s="73"/>
      <c r="D2676" s="100"/>
      <c r="E2676" s="100" t="s">
        <v>671</v>
      </c>
      <c r="F2676" s="73"/>
      <c r="G2676" s="74" t="s">
        <v>3</v>
      </c>
      <c r="H2676" s="153">
        <f>0.03*0.08*1.2</f>
        <v>2.8799999999999997E-3</v>
      </c>
      <c r="I2676" s="72"/>
      <c r="J2676" s="73"/>
      <c r="K2676" s="671"/>
      <c r="L2676" s="73"/>
      <c r="M2676" s="73"/>
      <c r="N2676" s="74"/>
      <c r="O2676" s="153"/>
    </row>
    <row r="2677" spans="1:15" customFormat="1" x14ac:dyDescent="0.25">
      <c r="A2677" s="681"/>
      <c r="B2677" s="77"/>
      <c r="C2677" s="73"/>
      <c r="D2677" s="100"/>
      <c r="E2677" s="100" t="s">
        <v>672</v>
      </c>
      <c r="F2677" s="73"/>
      <c r="G2677" s="74" t="s">
        <v>3</v>
      </c>
      <c r="H2677" s="153">
        <f>2.5*H2676</f>
        <v>7.1999999999999998E-3</v>
      </c>
      <c r="I2677" s="72"/>
      <c r="J2677" s="73"/>
      <c r="K2677" s="671"/>
      <c r="L2677" s="73"/>
      <c r="M2677" s="73"/>
      <c r="N2677" s="74"/>
      <c r="O2677" s="153"/>
    </row>
    <row r="2678" spans="1:15" customFormat="1" x14ac:dyDescent="0.25">
      <c r="A2678" s="681"/>
      <c r="B2678" s="77"/>
      <c r="C2678" s="73"/>
      <c r="D2678" s="100"/>
      <c r="E2678" s="75" t="s">
        <v>8384</v>
      </c>
      <c r="F2678" s="73"/>
      <c r="G2678" s="74"/>
      <c r="H2678" s="153"/>
      <c r="I2678" s="72"/>
      <c r="J2678" s="73"/>
      <c r="K2678" s="671"/>
      <c r="L2678" s="73"/>
      <c r="M2678" s="73"/>
      <c r="N2678" s="74"/>
      <c r="O2678" s="153"/>
    </row>
    <row r="2679" spans="1:15" customFormat="1" x14ac:dyDescent="0.25">
      <c r="A2679" s="681"/>
      <c r="B2679" s="77"/>
      <c r="C2679" s="73"/>
      <c r="D2679" s="100"/>
      <c r="E2679" s="73" t="s">
        <v>8382</v>
      </c>
      <c r="F2679" s="73"/>
      <c r="G2679" s="74" t="s">
        <v>3</v>
      </c>
      <c r="H2679" s="153">
        <f>0.05*0.05*0.18*8.5*1.05</f>
        <v>4.0162500000000007E-3</v>
      </c>
      <c r="I2679" s="72"/>
      <c r="J2679" s="73"/>
      <c r="K2679" s="671"/>
      <c r="L2679" s="73"/>
      <c r="M2679" s="73"/>
      <c r="N2679" s="74"/>
      <c r="O2679" s="153"/>
    </row>
    <row r="2680" spans="1:15" customFormat="1" x14ac:dyDescent="0.25">
      <c r="A2680" s="681"/>
      <c r="B2680" s="77"/>
      <c r="C2680" s="73"/>
      <c r="D2680" s="100"/>
      <c r="E2680" s="75" t="s">
        <v>8383</v>
      </c>
      <c r="F2680" s="73"/>
      <c r="G2680" s="74"/>
      <c r="H2680" s="153"/>
      <c r="I2680" s="72"/>
      <c r="J2680" s="73"/>
      <c r="K2680" s="671"/>
      <c r="L2680" s="73"/>
      <c r="M2680" s="73"/>
      <c r="N2680" s="74"/>
      <c r="O2680" s="153"/>
    </row>
    <row r="2681" spans="1:15" customFormat="1" x14ac:dyDescent="0.25">
      <c r="A2681" s="681"/>
      <c r="B2681" s="77"/>
      <c r="C2681" s="73"/>
      <c r="D2681" s="100"/>
      <c r="E2681" s="73" t="s">
        <v>8382</v>
      </c>
      <c r="F2681" s="73"/>
      <c r="G2681" s="74" t="s">
        <v>3</v>
      </c>
      <c r="H2681" s="153">
        <f>0.05*0.05*0.18*8.5*1.05</f>
        <v>4.0162500000000007E-3</v>
      </c>
      <c r="I2681" s="72"/>
      <c r="J2681" s="73"/>
      <c r="K2681" s="671"/>
      <c r="L2681" s="73"/>
      <c r="M2681" s="73"/>
      <c r="N2681" s="74"/>
      <c r="O2681" s="153"/>
    </row>
    <row r="2682" spans="1:15" customFormat="1" x14ac:dyDescent="0.25">
      <c r="A2682" s="661"/>
      <c r="B2682" s="77"/>
      <c r="C2682" s="75" t="s">
        <v>8381</v>
      </c>
      <c r="D2682" s="73"/>
      <c r="E2682" s="73"/>
      <c r="F2682" s="73"/>
      <c r="G2682" s="74"/>
      <c r="H2682" s="153"/>
      <c r="I2682" s="72"/>
      <c r="J2682" s="73"/>
      <c r="K2682" s="671"/>
      <c r="L2682" s="73"/>
      <c r="M2682" s="73"/>
      <c r="N2682" s="74"/>
      <c r="O2682" s="153"/>
    </row>
    <row r="2683" spans="1:15" customFormat="1" x14ac:dyDescent="0.25">
      <c r="A2683" s="661"/>
      <c r="B2683" s="77"/>
      <c r="C2683" s="100" t="s">
        <v>122</v>
      </c>
      <c r="D2683" s="73"/>
      <c r="E2683" s="73"/>
      <c r="F2683" s="73"/>
      <c r="G2683" s="74" t="s">
        <v>3</v>
      </c>
      <c r="H2683" s="153">
        <f>0.36*0.11*1.5*8*1.15</f>
        <v>0.54647999999999985</v>
      </c>
      <c r="I2683" s="72"/>
      <c r="J2683" s="73"/>
      <c r="K2683" s="671"/>
      <c r="L2683" s="73"/>
      <c r="M2683" s="73"/>
      <c r="N2683" s="74"/>
      <c r="O2683" s="153"/>
    </row>
    <row r="2684" spans="1:15" customFormat="1" x14ac:dyDescent="0.25">
      <c r="A2684" s="661"/>
      <c r="B2684" s="77"/>
      <c r="C2684" s="75" t="s">
        <v>8380</v>
      </c>
      <c r="D2684" s="73"/>
      <c r="E2684" s="73"/>
      <c r="F2684" s="73"/>
      <c r="G2684" s="74"/>
      <c r="H2684" s="153"/>
      <c r="I2684" s="72"/>
      <c r="J2684" s="73"/>
      <c r="K2684" s="671"/>
      <c r="L2684" s="73"/>
      <c r="M2684" s="73"/>
      <c r="N2684" s="74"/>
      <c r="O2684" s="153"/>
    </row>
    <row r="2685" spans="1:15" customFormat="1" x14ac:dyDescent="0.25">
      <c r="A2685" s="661"/>
      <c r="B2685" s="77"/>
      <c r="C2685" s="100" t="s">
        <v>122</v>
      </c>
      <c r="D2685" s="73"/>
      <c r="E2685" s="73"/>
      <c r="F2685" s="73"/>
      <c r="G2685" s="74" t="s">
        <v>3</v>
      </c>
      <c r="H2685" s="153">
        <f>0.28*0.11*1.5*8*1.15</f>
        <v>0.42504000000000003</v>
      </c>
      <c r="I2685" s="72"/>
      <c r="J2685" s="73"/>
      <c r="K2685" s="671"/>
      <c r="L2685" s="73"/>
      <c r="M2685" s="73"/>
      <c r="N2685" s="74"/>
      <c r="O2685" s="153"/>
    </row>
    <row r="2686" spans="1:15" customFormat="1" x14ac:dyDescent="0.25">
      <c r="A2686" s="661"/>
      <c r="B2686" s="77"/>
      <c r="C2686" s="75" t="s">
        <v>8379</v>
      </c>
      <c r="D2686" s="73"/>
      <c r="E2686" s="73"/>
      <c r="F2686" s="73"/>
      <c r="G2686" s="74"/>
      <c r="H2686" s="153"/>
      <c r="I2686" s="72"/>
      <c r="J2686" s="73"/>
      <c r="K2686" s="671"/>
      <c r="L2686" s="73"/>
      <c r="M2686" s="73"/>
      <c r="N2686" s="74"/>
      <c r="O2686" s="153"/>
    </row>
    <row r="2687" spans="1:15" customFormat="1" x14ac:dyDescent="0.25">
      <c r="A2687" s="661"/>
      <c r="B2687" s="77"/>
      <c r="C2687" s="100" t="s">
        <v>122</v>
      </c>
      <c r="D2687" s="73"/>
      <c r="E2687" s="73"/>
      <c r="F2687" s="73"/>
      <c r="G2687" s="74" t="s">
        <v>3</v>
      </c>
      <c r="H2687" s="153">
        <f>0.45*0.535*1.5*8*1.15</f>
        <v>3.3223500000000001</v>
      </c>
      <c r="I2687" s="72"/>
      <c r="J2687" s="73"/>
      <c r="K2687" s="671"/>
      <c r="L2687" s="73"/>
      <c r="M2687" s="73"/>
      <c r="N2687" s="74"/>
      <c r="O2687" s="153"/>
    </row>
    <row r="2688" spans="1:15" customFormat="1" x14ac:dyDescent="0.25">
      <c r="A2688" s="661"/>
      <c r="B2688" s="77"/>
      <c r="C2688" s="75" t="s">
        <v>8378</v>
      </c>
      <c r="D2688" s="73"/>
      <c r="E2688" s="73"/>
      <c r="F2688" s="73"/>
      <c r="G2688" s="74"/>
      <c r="H2688" s="153"/>
      <c r="I2688" s="72"/>
      <c r="J2688" s="73"/>
      <c r="K2688" s="671"/>
      <c r="L2688" s="73"/>
      <c r="M2688" s="73"/>
      <c r="N2688" s="74"/>
      <c r="O2688" s="153"/>
    </row>
    <row r="2689" spans="1:15" customFormat="1" x14ac:dyDescent="0.25">
      <c r="A2689" s="661"/>
      <c r="B2689" s="77"/>
      <c r="C2689" s="100" t="s">
        <v>122</v>
      </c>
      <c r="D2689" s="73"/>
      <c r="E2689" s="73"/>
      <c r="F2689" s="73"/>
      <c r="G2689" s="74" t="s">
        <v>3</v>
      </c>
      <c r="H2689" s="153">
        <f>0.535*0.41*1.5*8*1.15</f>
        <v>3.0270299999999999</v>
      </c>
      <c r="I2689" s="72"/>
      <c r="J2689" s="73"/>
      <c r="K2689" s="671"/>
      <c r="L2689" s="73"/>
      <c r="M2689" s="73"/>
      <c r="N2689" s="74"/>
      <c r="O2689" s="153"/>
    </row>
    <row r="2690" spans="1:15" customFormat="1" x14ac:dyDescent="0.25">
      <c r="A2690" s="661"/>
      <c r="B2690" s="77"/>
      <c r="C2690" s="75" t="s">
        <v>8377</v>
      </c>
      <c r="D2690" s="73"/>
      <c r="E2690" s="73"/>
      <c r="F2690" s="73"/>
      <c r="G2690" s="74"/>
      <c r="H2690" s="153"/>
      <c r="I2690" s="72"/>
      <c r="J2690" s="73"/>
      <c r="K2690" s="671"/>
      <c r="L2690" s="73"/>
      <c r="M2690" s="73"/>
      <c r="N2690" s="74"/>
      <c r="O2690" s="153"/>
    </row>
    <row r="2691" spans="1:15" customFormat="1" x14ac:dyDescent="0.25">
      <c r="A2691" s="661"/>
      <c r="B2691" s="77"/>
      <c r="C2691" s="100" t="s">
        <v>300</v>
      </c>
      <c r="D2691" s="73"/>
      <c r="E2691" s="73"/>
      <c r="F2691" s="73"/>
      <c r="G2691" s="74" t="s">
        <v>3</v>
      </c>
      <c r="H2691" s="153">
        <f>0.085*0.038*3*8*1.16</f>
        <v>8.9923199999999995E-2</v>
      </c>
      <c r="I2691" s="72"/>
      <c r="J2691" s="73"/>
      <c r="K2691" s="671"/>
      <c r="L2691" s="73"/>
      <c r="M2691" s="73"/>
      <c r="N2691" s="74"/>
      <c r="O2691" s="153"/>
    </row>
    <row r="2692" spans="1:15" customFormat="1" x14ac:dyDescent="0.25">
      <c r="A2692" s="661"/>
      <c r="B2692" s="77"/>
      <c r="C2692" s="75" t="s">
        <v>8376</v>
      </c>
      <c r="D2692" s="73"/>
      <c r="E2692" s="73"/>
      <c r="F2692" s="73"/>
      <c r="G2692" s="74"/>
      <c r="H2692" s="153"/>
      <c r="I2692" s="72"/>
      <c r="J2692" s="73"/>
      <c r="K2692" s="671"/>
      <c r="L2692" s="73"/>
      <c r="M2692" s="73"/>
      <c r="N2692" s="74"/>
      <c r="O2692" s="153"/>
    </row>
    <row r="2693" spans="1:15" customFormat="1" x14ac:dyDescent="0.25">
      <c r="A2693" s="661"/>
      <c r="B2693" s="77"/>
      <c r="C2693" s="100" t="s">
        <v>1481</v>
      </c>
      <c r="D2693" s="73"/>
      <c r="E2693" s="73"/>
      <c r="F2693" s="73"/>
      <c r="G2693" s="74" t="s">
        <v>3</v>
      </c>
      <c r="H2693" s="153">
        <v>0.03</v>
      </c>
      <c r="I2693" s="72"/>
      <c r="J2693" s="73"/>
      <c r="K2693" s="671"/>
      <c r="L2693" s="73"/>
      <c r="M2693" s="73"/>
      <c r="N2693" s="74"/>
      <c r="O2693" s="153"/>
    </row>
    <row r="2694" spans="1:15" customFormat="1" x14ac:dyDescent="0.25">
      <c r="A2694" s="661"/>
      <c r="B2694" s="75"/>
      <c r="C2694" s="75" t="s">
        <v>8375</v>
      </c>
      <c r="D2694" s="73"/>
      <c r="E2694" s="73"/>
      <c r="F2694" s="73"/>
      <c r="G2694" s="74"/>
      <c r="H2694" s="153"/>
      <c r="I2694" s="72"/>
      <c r="J2694" s="73"/>
      <c r="K2694" s="671"/>
      <c r="L2694" s="73"/>
      <c r="M2694" s="73"/>
      <c r="N2694" s="74"/>
      <c r="O2694" s="153"/>
    </row>
    <row r="2695" spans="1:15" customFormat="1" x14ac:dyDescent="0.25">
      <c r="A2695" s="661"/>
      <c r="B2695" s="75"/>
      <c r="C2695" s="100" t="s">
        <v>8374</v>
      </c>
      <c r="D2695" s="73"/>
      <c r="E2695" s="73"/>
      <c r="F2695" s="73"/>
      <c r="G2695" s="74" t="s">
        <v>3</v>
      </c>
      <c r="H2695" s="153">
        <f>0.03*0.05*1*8.5*1.15</f>
        <v>1.46625E-2</v>
      </c>
      <c r="I2695" s="72"/>
      <c r="J2695" s="73"/>
      <c r="K2695" s="671"/>
      <c r="L2695" s="73"/>
      <c r="M2695" s="73"/>
      <c r="N2695" s="74"/>
      <c r="O2695" s="153"/>
    </row>
    <row r="2696" spans="1:15" customFormat="1" x14ac:dyDescent="0.25">
      <c r="A2696" s="661"/>
      <c r="B2696" s="75"/>
      <c r="C2696" s="73"/>
      <c r="D2696" s="73"/>
      <c r="E2696" s="73"/>
      <c r="F2696" s="73"/>
      <c r="G2696" s="74"/>
      <c r="H2696" s="153"/>
      <c r="I2696" s="72"/>
      <c r="J2696" s="73"/>
      <c r="K2696" s="671"/>
      <c r="L2696" s="73"/>
      <c r="M2696" s="73"/>
      <c r="N2696" s="74"/>
      <c r="O2696" s="153"/>
    </row>
    <row r="2697" spans="1:15" customFormat="1" x14ac:dyDescent="0.25">
      <c r="A2697" s="678"/>
      <c r="B2697" s="75" t="s">
        <v>8373</v>
      </c>
      <c r="C2697" s="73"/>
      <c r="D2697" s="73"/>
      <c r="E2697" s="73"/>
      <c r="F2697" s="73"/>
      <c r="G2697" s="74"/>
      <c r="H2697" s="153"/>
      <c r="I2697" s="72"/>
      <c r="J2697" s="73"/>
      <c r="K2697" s="671"/>
      <c r="L2697" s="73"/>
      <c r="M2697" s="73"/>
      <c r="N2697" s="74"/>
      <c r="O2697" s="153"/>
    </row>
    <row r="2698" spans="1:15" customFormat="1" x14ac:dyDescent="0.25">
      <c r="A2698" s="661"/>
      <c r="B2698" s="73" t="s">
        <v>140</v>
      </c>
      <c r="C2698" s="73"/>
      <c r="D2698" s="73"/>
      <c r="E2698" s="73"/>
      <c r="F2698" s="73"/>
      <c r="G2698" s="74" t="s">
        <v>3</v>
      </c>
      <c r="H2698" s="153">
        <f>0.07*0.08*1.2</f>
        <v>6.7200000000000011E-3</v>
      </c>
      <c r="I2698" s="72"/>
      <c r="J2698" s="73"/>
      <c r="K2698" s="671"/>
      <c r="L2698" s="73"/>
      <c r="M2698" s="73"/>
      <c r="N2698" s="74"/>
      <c r="O2698" s="153"/>
    </row>
    <row r="2699" spans="1:15" customFormat="1" ht="17.25" x14ac:dyDescent="0.25">
      <c r="A2699" s="661"/>
      <c r="B2699" s="73" t="s">
        <v>23</v>
      </c>
      <c r="C2699" s="73"/>
      <c r="D2699" s="73"/>
      <c r="E2699" s="73"/>
      <c r="F2699" s="73"/>
      <c r="G2699" s="74" t="s">
        <v>596</v>
      </c>
      <c r="H2699" s="153">
        <f>H2698*2</f>
        <v>1.3440000000000002E-2</v>
      </c>
      <c r="I2699" s="72"/>
      <c r="J2699" s="73"/>
      <c r="K2699" s="671"/>
      <c r="L2699" s="73"/>
      <c r="M2699" s="73"/>
      <c r="N2699" s="74"/>
      <c r="O2699" s="153"/>
    </row>
    <row r="2700" spans="1:15" customFormat="1" x14ac:dyDescent="0.25">
      <c r="A2700" s="661"/>
      <c r="B2700" s="73" t="s">
        <v>142</v>
      </c>
      <c r="C2700" s="73"/>
      <c r="D2700" s="73"/>
      <c r="E2700" s="73"/>
      <c r="F2700" s="73"/>
      <c r="G2700" s="74" t="s">
        <v>3</v>
      </c>
      <c r="H2700" s="153">
        <f>H2698/4</f>
        <v>1.6800000000000003E-3</v>
      </c>
      <c r="I2700" s="72"/>
      <c r="J2700" s="73"/>
      <c r="K2700" s="671"/>
      <c r="L2700" s="73"/>
      <c r="M2700" s="73"/>
      <c r="N2700" s="74"/>
      <c r="O2700" s="153"/>
    </row>
    <row r="2701" spans="1:15" customFormat="1" x14ac:dyDescent="0.25">
      <c r="A2701" s="661"/>
      <c r="B2701" s="100" t="s">
        <v>8</v>
      </c>
      <c r="C2701" s="73"/>
      <c r="D2701" s="73"/>
      <c r="E2701" s="73"/>
      <c r="F2701" s="73"/>
      <c r="G2701" s="74" t="s">
        <v>3</v>
      </c>
      <c r="H2701" s="153">
        <f>H2702</f>
        <v>6.9300000000000004E-3</v>
      </c>
      <c r="I2701" s="72"/>
      <c r="J2701" s="73"/>
      <c r="K2701" s="671"/>
      <c r="L2701" s="73"/>
      <c r="M2701" s="73"/>
      <c r="N2701" s="74"/>
      <c r="O2701" s="153"/>
    </row>
    <row r="2702" spans="1:15" customFormat="1" x14ac:dyDescent="0.25">
      <c r="A2702" s="661"/>
      <c r="B2702" s="100" t="s">
        <v>5794</v>
      </c>
      <c r="C2702" s="73"/>
      <c r="D2702" s="73"/>
      <c r="E2702" s="73"/>
      <c r="F2702" s="73"/>
      <c r="G2702" s="74" t="s">
        <v>3</v>
      </c>
      <c r="H2702" s="153">
        <f>0.21*0.011*2*1.5</f>
        <v>6.9300000000000004E-3</v>
      </c>
      <c r="I2702" s="72"/>
      <c r="J2702" s="73"/>
      <c r="K2702" s="671"/>
      <c r="L2702" s="73"/>
      <c r="M2702" s="73"/>
      <c r="N2702" s="74"/>
      <c r="O2702" s="153"/>
    </row>
    <row r="2703" spans="1:15" customFormat="1" x14ac:dyDescent="0.25">
      <c r="A2703" s="661"/>
      <c r="B2703" s="100" t="s">
        <v>143</v>
      </c>
      <c r="C2703" s="73"/>
      <c r="D2703" s="73"/>
      <c r="E2703" s="73"/>
      <c r="F2703" s="73"/>
      <c r="G2703" s="74" t="s">
        <v>3</v>
      </c>
      <c r="H2703" s="153">
        <f>H2701</f>
        <v>6.9300000000000004E-3</v>
      </c>
      <c r="I2703" s="72"/>
      <c r="J2703" s="73"/>
      <c r="K2703" s="671"/>
      <c r="L2703" s="73"/>
      <c r="M2703" s="73"/>
      <c r="N2703" s="74"/>
      <c r="O2703" s="153"/>
    </row>
    <row r="2704" spans="1:15" customFormat="1" x14ac:dyDescent="0.25">
      <c r="A2704" s="661"/>
      <c r="B2704" s="100" t="s">
        <v>12</v>
      </c>
      <c r="C2704" s="73"/>
      <c r="D2704" s="73"/>
      <c r="E2704" s="73"/>
      <c r="F2704" s="73"/>
      <c r="G2704" s="74" t="s">
        <v>3</v>
      </c>
      <c r="H2704" s="153">
        <f>0.3*SUM(H2701:H2703)</f>
        <v>6.2370000000000004E-3</v>
      </c>
      <c r="I2704" s="72"/>
      <c r="J2704" s="73"/>
      <c r="K2704" s="671"/>
      <c r="L2704" s="73"/>
      <c r="M2704" s="73"/>
      <c r="N2704" s="74"/>
      <c r="O2704" s="153"/>
    </row>
    <row r="2705" spans="1:15" customFormat="1" x14ac:dyDescent="0.25">
      <c r="A2705" s="661"/>
      <c r="B2705" s="100"/>
      <c r="C2705" s="75" t="s">
        <v>8372</v>
      </c>
      <c r="D2705" s="73"/>
      <c r="E2705" s="73"/>
      <c r="F2705" s="73"/>
      <c r="G2705" s="74"/>
      <c r="H2705" s="153"/>
      <c r="I2705" s="72"/>
      <c r="J2705" s="73"/>
      <c r="K2705" s="671"/>
      <c r="L2705" s="73"/>
      <c r="M2705" s="73"/>
      <c r="N2705" s="74"/>
      <c r="O2705" s="153"/>
    </row>
    <row r="2706" spans="1:15" customFormat="1" x14ac:dyDescent="0.25">
      <c r="A2706" s="661"/>
      <c r="B2706" s="100"/>
      <c r="C2706" s="73" t="s">
        <v>2424</v>
      </c>
      <c r="D2706" s="73"/>
      <c r="E2706" s="73"/>
      <c r="F2706" s="73"/>
      <c r="G2706" s="74" t="s">
        <v>3</v>
      </c>
      <c r="H2706" s="153">
        <v>4.2999999999999997E-2</v>
      </c>
      <c r="I2706" s="72"/>
      <c r="J2706" t="s">
        <v>2401</v>
      </c>
      <c r="K2706" s="671"/>
      <c r="L2706" s="73"/>
      <c r="M2706" s="73"/>
      <c r="N2706" s="74"/>
      <c r="O2706" s="153"/>
    </row>
    <row r="2707" spans="1:15" customFormat="1" x14ac:dyDescent="0.25">
      <c r="A2707" s="661"/>
      <c r="B2707" s="75"/>
      <c r="C2707" s="73"/>
      <c r="D2707" s="73"/>
      <c r="E2707" s="73"/>
      <c r="F2707" s="73"/>
      <c r="G2707" s="74"/>
      <c r="H2707" s="153"/>
      <c r="I2707" s="72"/>
      <c r="J2707" s="73"/>
      <c r="K2707" s="671"/>
      <c r="L2707" s="73"/>
      <c r="M2707" s="73"/>
      <c r="N2707" s="74"/>
      <c r="O2707" s="153"/>
    </row>
    <row r="2708" spans="1:15" customFormat="1" x14ac:dyDescent="0.25">
      <c r="A2708" s="678"/>
      <c r="B2708" s="75" t="s">
        <v>8371</v>
      </c>
      <c r="C2708" s="73"/>
      <c r="D2708" s="73"/>
      <c r="E2708" s="73"/>
      <c r="F2708" s="73"/>
      <c r="G2708" s="74"/>
      <c r="H2708" s="153"/>
      <c r="I2708" s="72"/>
      <c r="J2708" s="73"/>
      <c r="K2708" s="671"/>
      <c r="L2708" s="73"/>
      <c r="M2708" s="73"/>
      <c r="N2708" s="74"/>
      <c r="O2708" s="153"/>
    </row>
    <row r="2709" spans="1:15" customFormat="1" x14ac:dyDescent="0.25">
      <c r="A2709" s="661"/>
      <c r="B2709" s="73" t="s">
        <v>140</v>
      </c>
      <c r="C2709" s="73"/>
      <c r="D2709" s="73"/>
      <c r="E2709" s="73"/>
      <c r="F2709" s="73"/>
      <c r="G2709" s="74" t="s">
        <v>3</v>
      </c>
      <c r="H2709" s="153">
        <f>0.07*0.08*1.2</f>
        <v>6.7200000000000011E-3</v>
      </c>
      <c r="I2709" s="72"/>
      <c r="J2709" s="73"/>
      <c r="K2709" s="671"/>
      <c r="L2709" s="73"/>
      <c r="M2709" s="73"/>
      <c r="N2709" s="74"/>
      <c r="O2709" s="153"/>
    </row>
    <row r="2710" spans="1:15" customFormat="1" ht="17.25" x14ac:dyDescent="0.25">
      <c r="A2710" s="661"/>
      <c r="B2710" s="73" t="s">
        <v>23</v>
      </c>
      <c r="C2710" s="73"/>
      <c r="D2710" s="73"/>
      <c r="E2710" s="73"/>
      <c r="F2710" s="73"/>
      <c r="G2710" s="74" t="s">
        <v>596</v>
      </c>
      <c r="H2710" s="153">
        <f>H2709*2</f>
        <v>1.3440000000000002E-2</v>
      </c>
      <c r="I2710" s="72"/>
      <c r="J2710" s="73"/>
      <c r="K2710" s="671"/>
      <c r="L2710" s="73"/>
      <c r="M2710" s="73"/>
      <c r="N2710" s="74"/>
      <c r="O2710" s="153"/>
    </row>
    <row r="2711" spans="1:15" customFormat="1" x14ac:dyDescent="0.25">
      <c r="A2711" s="661"/>
      <c r="B2711" s="73" t="s">
        <v>142</v>
      </c>
      <c r="C2711" s="73"/>
      <c r="D2711" s="73"/>
      <c r="E2711" s="73"/>
      <c r="F2711" s="73"/>
      <c r="G2711" s="74" t="s">
        <v>3</v>
      </c>
      <c r="H2711" s="153">
        <f>H2709/4</f>
        <v>1.6800000000000003E-3</v>
      </c>
      <c r="I2711" s="72"/>
      <c r="J2711" s="73"/>
      <c r="K2711" s="671"/>
      <c r="L2711" s="73"/>
      <c r="M2711" s="73"/>
      <c r="N2711" s="74"/>
      <c r="O2711" s="153"/>
    </row>
    <row r="2712" spans="1:15" customFormat="1" x14ac:dyDescent="0.25">
      <c r="A2712" s="661"/>
      <c r="B2712" s="100" t="s">
        <v>8</v>
      </c>
      <c r="C2712" s="73"/>
      <c r="D2712" s="73"/>
      <c r="E2712" s="73"/>
      <c r="F2712" s="73"/>
      <c r="G2712" s="74" t="s">
        <v>3</v>
      </c>
      <c r="H2712" s="153">
        <f>H2713</f>
        <v>2.4650999999999999E-2</v>
      </c>
      <c r="I2712" s="72"/>
      <c r="J2712" s="73"/>
      <c r="K2712" s="671"/>
      <c r="L2712" s="73"/>
      <c r="M2712" s="73"/>
      <c r="N2712" s="74"/>
      <c r="O2712" s="153"/>
    </row>
    <row r="2713" spans="1:15" customFormat="1" x14ac:dyDescent="0.25">
      <c r="A2713" s="661"/>
      <c r="B2713" s="73" t="s">
        <v>5097</v>
      </c>
      <c r="C2713" s="73"/>
      <c r="D2713" s="73"/>
      <c r="E2713" s="73"/>
      <c r="F2713" s="73"/>
      <c r="G2713" s="74" t="s">
        <v>3</v>
      </c>
      <c r="H2713" s="153">
        <f>0.83*0.011*2*1.35</f>
        <v>2.4650999999999999E-2</v>
      </c>
      <c r="I2713" s="72"/>
      <c r="J2713" s="73"/>
      <c r="K2713" s="671"/>
      <c r="L2713" s="73"/>
      <c r="M2713" s="73"/>
      <c r="N2713" s="74"/>
      <c r="O2713" s="153"/>
    </row>
    <row r="2714" spans="1:15" customFormat="1" x14ac:dyDescent="0.25">
      <c r="A2714" s="661"/>
      <c r="B2714" s="100" t="s">
        <v>12</v>
      </c>
      <c r="C2714" s="73"/>
      <c r="D2714" s="73"/>
      <c r="E2714" s="73"/>
      <c r="F2714" s="73"/>
      <c r="G2714" s="74" t="s">
        <v>3</v>
      </c>
      <c r="H2714" s="153">
        <f>0.3*SUM(H2712:H2713)</f>
        <v>1.4790599999999999E-2</v>
      </c>
      <c r="I2714" s="72"/>
      <c r="J2714" s="73"/>
      <c r="K2714" s="671"/>
      <c r="L2714" s="73"/>
      <c r="M2714" s="73"/>
      <c r="N2714" s="74"/>
      <c r="O2714" s="153"/>
    </row>
    <row r="2715" spans="1:15" customFormat="1" x14ac:dyDescent="0.25">
      <c r="A2715" s="661"/>
      <c r="B2715" s="73"/>
      <c r="C2715" s="75" t="s">
        <v>8370</v>
      </c>
      <c r="D2715" s="73"/>
      <c r="E2715" s="73"/>
      <c r="F2715" s="73"/>
      <c r="G2715" s="74"/>
      <c r="H2715" s="153"/>
      <c r="I2715" s="72"/>
      <c r="J2715" s="73"/>
      <c r="K2715" s="671"/>
      <c r="L2715" s="73"/>
      <c r="M2715" s="73"/>
      <c r="N2715" s="74"/>
      <c r="O2715" s="153"/>
    </row>
    <row r="2716" spans="1:15" customFormat="1" x14ac:dyDescent="0.25">
      <c r="A2716" s="661"/>
      <c r="B2716" s="73"/>
      <c r="C2716" s="73" t="s">
        <v>172</v>
      </c>
      <c r="D2716" s="73"/>
      <c r="E2716" s="73"/>
      <c r="F2716" s="73"/>
      <c r="G2716" s="74" t="s">
        <v>3</v>
      </c>
      <c r="H2716" s="153">
        <v>0.17499999999999999</v>
      </c>
      <c r="I2716" s="72"/>
      <c r="J2716" t="s">
        <v>8369</v>
      </c>
      <c r="K2716" s="671"/>
      <c r="L2716" s="73"/>
      <c r="M2716" s="73"/>
      <c r="N2716" s="74"/>
      <c r="O2716" s="153"/>
    </row>
    <row r="2717" spans="1:15" customFormat="1" x14ac:dyDescent="0.25">
      <c r="A2717" s="661"/>
      <c r="B2717" s="73"/>
      <c r="C2717" s="73"/>
      <c r="D2717" s="73"/>
      <c r="E2717" s="73"/>
      <c r="F2717" s="73"/>
      <c r="G2717" s="74"/>
      <c r="H2717" s="153"/>
      <c r="I2717" s="72"/>
      <c r="J2717" s="73"/>
      <c r="K2717" s="671"/>
      <c r="L2717" s="73"/>
      <c r="M2717" s="73"/>
      <c r="N2717" s="74"/>
      <c r="O2717" s="153"/>
    </row>
    <row r="2718" spans="1:15" customFormat="1" x14ac:dyDescent="0.25">
      <c r="A2718" s="678"/>
      <c r="B2718" s="75" t="s">
        <v>8368</v>
      </c>
      <c r="C2718" s="73"/>
      <c r="D2718" s="73"/>
      <c r="E2718" s="73"/>
      <c r="F2718" s="73"/>
      <c r="G2718" s="74"/>
      <c r="H2718" s="153"/>
      <c r="I2718" s="72"/>
      <c r="J2718" s="73"/>
      <c r="K2718" s="671"/>
      <c r="L2718" s="73"/>
      <c r="M2718" s="73"/>
      <c r="N2718" s="74"/>
      <c r="O2718" s="153"/>
    </row>
    <row r="2719" spans="1:15" customFormat="1" x14ac:dyDescent="0.25">
      <c r="A2719" s="661"/>
      <c r="B2719" s="77" t="s">
        <v>1054</v>
      </c>
      <c r="C2719" s="73"/>
      <c r="D2719" s="73"/>
      <c r="E2719" s="73"/>
      <c r="F2719" s="73"/>
      <c r="G2719" s="74" t="s">
        <v>3</v>
      </c>
      <c r="H2719" s="153">
        <f>0.3*0.05*1.2</f>
        <v>1.7999999999999999E-2</v>
      </c>
      <c r="I2719" s="72"/>
      <c r="J2719" s="73"/>
      <c r="K2719" s="671"/>
      <c r="L2719" s="73"/>
      <c r="M2719" s="73"/>
      <c r="N2719" s="74"/>
      <c r="O2719" s="153"/>
    </row>
    <row r="2720" spans="1:15" customFormat="1" ht="17.25" x14ac:dyDescent="0.25">
      <c r="A2720" s="661"/>
      <c r="B2720" s="77" t="s">
        <v>1055</v>
      </c>
      <c r="C2720" s="73"/>
      <c r="D2720" s="73"/>
      <c r="E2720" s="73"/>
      <c r="F2720" s="73"/>
      <c r="G2720" s="74" t="s">
        <v>596</v>
      </c>
      <c r="H2720" s="153">
        <f>H2719</f>
        <v>1.7999999999999999E-2</v>
      </c>
      <c r="I2720" s="72"/>
      <c r="J2720" s="73"/>
      <c r="K2720" s="671"/>
      <c r="L2720" s="73"/>
      <c r="M2720" s="73"/>
      <c r="N2720" s="74"/>
      <c r="O2720" s="153"/>
    </row>
    <row r="2721" spans="1:15" customFormat="1" x14ac:dyDescent="0.25">
      <c r="A2721" s="661"/>
      <c r="B2721" s="100" t="s">
        <v>37</v>
      </c>
      <c r="C2721" s="73"/>
      <c r="D2721" s="73"/>
      <c r="E2721" s="73"/>
      <c r="F2721" s="73"/>
      <c r="G2721" s="74" t="s">
        <v>3</v>
      </c>
      <c r="H2721" s="153">
        <f>0.2*0.2*0.2*1.3</f>
        <v>1.0400000000000003E-2</v>
      </c>
      <c r="I2721" s="72"/>
      <c r="J2721" s="73"/>
      <c r="K2721" s="671"/>
      <c r="L2721" s="73"/>
      <c r="M2721" s="73"/>
      <c r="N2721" s="74"/>
      <c r="O2721" s="153"/>
    </row>
    <row r="2722" spans="1:15" customFormat="1" x14ac:dyDescent="0.25">
      <c r="A2722" s="661"/>
      <c r="B2722" s="100" t="s">
        <v>7873</v>
      </c>
      <c r="C2722" s="73"/>
      <c r="D2722" s="73"/>
      <c r="E2722" s="73"/>
      <c r="F2722" s="73"/>
      <c r="G2722" s="74" t="s">
        <v>3</v>
      </c>
      <c r="H2722" s="153">
        <f>H2724*0.9</f>
        <v>7.4844000000000008E-2</v>
      </c>
      <c r="I2722" s="72"/>
      <c r="J2722" s="73"/>
      <c r="K2722" s="671"/>
      <c r="L2722" s="73"/>
      <c r="M2722" s="73"/>
      <c r="N2722" s="74"/>
      <c r="O2722" s="153"/>
    </row>
    <row r="2723" spans="1:15" customFormat="1" x14ac:dyDescent="0.25">
      <c r="A2723" s="661"/>
      <c r="B2723" s="100" t="s">
        <v>313</v>
      </c>
      <c r="C2723" s="73"/>
      <c r="D2723" s="73"/>
      <c r="E2723" s="73"/>
      <c r="F2723" s="73"/>
      <c r="G2723" s="74" t="s">
        <v>3</v>
      </c>
      <c r="H2723" s="153">
        <f>0.3*H2722</f>
        <v>2.2453200000000003E-2</v>
      </c>
      <c r="I2723" s="72"/>
      <c r="J2723" s="73"/>
      <c r="K2723" s="671"/>
      <c r="L2723" s="73"/>
      <c r="M2723" s="73"/>
      <c r="N2723" s="74"/>
      <c r="O2723" s="153"/>
    </row>
    <row r="2724" spans="1:15" customFormat="1" x14ac:dyDescent="0.25">
      <c r="A2724" s="661"/>
      <c r="B2724" s="100" t="s">
        <v>36</v>
      </c>
      <c r="C2724" s="73"/>
      <c r="D2724" s="73"/>
      <c r="E2724" s="73"/>
      <c r="F2724" s="73"/>
      <c r="G2724" s="74" t="s">
        <v>3</v>
      </c>
      <c r="H2724" s="153">
        <f>0.3*0.42*2*0.15*2*1.1</f>
        <v>8.3160000000000012E-2</v>
      </c>
      <c r="I2724" s="72"/>
      <c r="J2724" s="73"/>
      <c r="K2724" s="671"/>
      <c r="L2724" s="73"/>
      <c r="M2724" s="73"/>
      <c r="N2724" s="74"/>
      <c r="O2724" s="153"/>
    </row>
    <row r="2725" spans="1:15" customFormat="1" x14ac:dyDescent="0.25">
      <c r="A2725" s="661"/>
      <c r="B2725" s="100" t="s">
        <v>12</v>
      </c>
      <c r="C2725" s="73"/>
      <c r="D2725" s="73"/>
      <c r="E2725" s="73"/>
      <c r="F2725" s="73"/>
      <c r="G2725" s="74" t="s">
        <v>3</v>
      </c>
      <c r="H2725" s="153">
        <f>0.3*H2724</f>
        <v>2.4948000000000001E-2</v>
      </c>
      <c r="I2725" s="72"/>
      <c r="J2725" s="73"/>
      <c r="K2725" s="671"/>
      <c r="L2725" s="73"/>
      <c r="M2725" s="73"/>
      <c r="N2725" s="74"/>
      <c r="O2725" s="153"/>
    </row>
    <row r="2726" spans="1:15" customFormat="1" x14ac:dyDescent="0.25">
      <c r="A2726" s="661"/>
      <c r="B2726" s="100"/>
      <c r="C2726" s="75" t="s">
        <v>8367</v>
      </c>
      <c r="D2726" s="73"/>
      <c r="E2726" s="73"/>
      <c r="F2726" s="73"/>
      <c r="G2726" s="74"/>
      <c r="H2726" s="153"/>
      <c r="I2726" s="72"/>
      <c r="J2726" s="73"/>
      <c r="K2726" s="671"/>
      <c r="L2726" s="73"/>
      <c r="M2726" s="73"/>
      <c r="N2726" s="74"/>
      <c r="O2726" s="153"/>
    </row>
    <row r="2727" spans="1:15" customFormat="1" x14ac:dyDescent="0.25">
      <c r="A2727" s="661"/>
      <c r="B2727" s="100"/>
      <c r="C2727" s="100" t="s">
        <v>150</v>
      </c>
      <c r="D2727" s="73"/>
      <c r="E2727" s="73"/>
      <c r="F2727" s="73"/>
      <c r="G2727" s="74" t="s">
        <v>3</v>
      </c>
      <c r="H2727" s="153">
        <f>0.3*0.42*2*8*1.121</f>
        <v>2.2599360000000002</v>
      </c>
      <c r="I2727" s="72"/>
      <c r="J2727" s="73"/>
      <c r="K2727" s="671"/>
      <c r="L2727" s="73"/>
      <c r="M2727" s="73"/>
      <c r="N2727" s="74"/>
      <c r="O2727" s="153"/>
    </row>
    <row r="2728" spans="1:15" customFormat="1" x14ac:dyDescent="0.25">
      <c r="A2728" s="661"/>
      <c r="B2728" s="100"/>
      <c r="C2728" s="75" t="s">
        <v>8366</v>
      </c>
      <c r="D2728" s="73"/>
      <c r="E2728" s="73"/>
      <c r="F2728" s="73"/>
      <c r="G2728" s="74"/>
      <c r="H2728" s="153"/>
      <c r="I2728" s="72"/>
      <c r="J2728" s="73"/>
      <c r="K2728" s="671"/>
      <c r="L2728" s="73"/>
      <c r="M2728" s="73"/>
      <c r="N2728" s="74"/>
      <c r="O2728" s="153"/>
    </row>
    <row r="2729" spans="1:15" customFormat="1" x14ac:dyDescent="0.25">
      <c r="A2729" s="661"/>
      <c r="B2729" s="100"/>
      <c r="C2729" s="73" t="s">
        <v>722</v>
      </c>
      <c r="D2729" s="73"/>
      <c r="E2729" s="73"/>
      <c r="F2729" s="73"/>
      <c r="G2729" s="74" t="s">
        <v>3</v>
      </c>
      <c r="H2729" s="153">
        <f>0.04*0.18*1.5*8*1.155</f>
        <v>9.9792000000000006E-2</v>
      </c>
      <c r="I2729" s="72"/>
      <c r="J2729" s="73"/>
      <c r="K2729" s="671"/>
      <c r="L2729" s="73"/>
      <c r="M2729" s="73"/>
      <c r="N2729" s="74"/>
      <c r="O2729" s="153"/>
    </row>
    <row r="2730" spans="1:15" customFormat="1" x14ac:dyDescent="0.25">
      <c r="A2730" s="661"/>
      <c r="B2730" s="100"/>
      <c r="C2730" s="75" t="s">
        <v>8365</v>
      </c>
      <c r="D2730" s="73"/>
      <c r="E2730" s="73"/>
      <c r="F2730" s="73"/>
      <c r="G2730" s="74"/>
      <c r="H2730" s="153"/>
      <c r="I2730" s="72"/>
      <c r="J2730" s="73"/>
      <c r="K2730" s="671"/>
      <c r="L2730" s="73"/>
      <c r="M2730" s="73"/>
      <c r="N2730" s="74"/>
      <c r="O2730" s="153"/>
    </row>
    <row r="2731" spans="1:15" customFormat="1" x14ac:dyDescent="0.25">
      <c r="A2731" s="661"/>
      <c r="B2731" s="100"/>
      <c r="C2731" s="73" t="s">
        <v>2567</v>
      </c>
      <c r="D2731" s="73"/>
      <c r="E2731" s="73"/>
      <c r="F2731" s="73"/>
      <c r="G2731" s="74" t="s">
        <v>3</v>
      </c>
      <c r="H2731" s="153">
        <f>0.042*0.02*3*8*1.15</f>
        <v>2.3184E-2</v>
      </c>
      <c r="I2731" s="72"/>
      <c r="J2731" s="73"/>
      <c r="K2731" s="671"/>
      <c r="L2731" s="73"/>
      <c r="M2731" s="73"/>
      <c r="N2731" s="74"/>
      <c r="O2731" s="153"/>
    </row>
    <row r="2732" spans="1:15" customFormat="1" x14ac:dyDescent="0.25">
      <c r="A2732" s="661"/>
      <c r="B2732" s="100"/>
      <c r="C2732" s="73"/>
      <c r="D2732" s="73"/>
      <c r="E2732" s="73"/>
      <c r="F2732" s="73"/>
      <c r="G2732" s="74"/>
      <c r="H2732" s="153"/>
      <c r="I2732" s="72"/>
      <c r="J2732" s="73"/>
      <c r="K2732" s="671"/>
      <c r="L2732" s="73"/>
      <c r="M2732" s="73"/>
      <c r="N2732" s="74"/>
      <c r="O2732" s="153"/>
    </row>
    <row r="2733" spans="1:15" customFormat="1" x14ac:dyDescent="0.25">
      <c r="A2733" s="678"/>
      <c r="B2733" s="75" t="s">
        <v>8364</v>
      </c>
      <c r="C2733" s="73"/>
      <c r="D2733" s="73"/>
      <c r="E2733" s="73"/>
      <c r="F2733" s="73"/>
      <c r="G2733" s="74"/>
      <c r="H2733" s="153"/>
      <c r="I2733" s="72"/>
      <c r="J2733" s="73"/>
      <c r="K2733" s="671"/>
      <c r="L2733" s="73"/>
      <c r="M2733" s="73"/>
      <c r="N2733" s="74"/>
      <c r="O2733" s="153"/>
    </row>
    <row r="2734" spans="1:15" customFormat="1" x14ac:dyDescent="0.25">
      <c r="A2734" s="661"/>
      <c r="B2734" s="77" t="s">
        <v>1054</v>
      </c>
      <c r="C2734" s="73"/>
      <c r="D2734" s="73"/>
      <c r="E2734" s="73"/>
      <c r="F2734" s="73"/>
      <c r="G2734" s="74" t="s">
        <v>3</v>
      </c>
      <c r="H2734" s="153">
        <f>0.6*0.08*1.25</f>
        <v>0.06</v>
      </c>
      <c r="I2734" s="72"/>
      <c r="J2734" s="73"/>
      <c r="K2734" s="671"/>
      <c r="L2734" s="73"/>
      <c r="M2734" s="73"/>
      <c r="N2734" s="74"/>
      <c r="O2734" s="153"/>
    </row>
    <row r="2735" spans="1:15" customFormat="1" ht="17.25" x14ac:dyDescent="0.25">
      <c r="A2735" s="661"/>
      <c r="B2735" s="77" t="s">
        <v>1055</v>
      </c>
      <c r="C2735" s="73"/>
      <c r="D2735" s="73"/>
      <c r="E2735" s="73"/>
      <c r="F2735" s="73"/>
      <c r="G2735" s="74" t="s">
        <v>596</v>
      </c>
      <c r="H2735" s="153">
        <f>H2734</f>
        <v>0.06</v>
      </c>
      <c r="I2735" s="72"/>
      <c r="J2735" s="73"/>
      <c r="K2735" s="671"/>
      <c r="L2735" s="73"/>
      <c r="M2735" s="73"/>
      <c r="N2735" s="74"/>
      <c r="O2735" s="153"/>
    </row>
    <row r="2736" spans="1:15" customFormat="1" x14ac:dyDescent="0.25">
      <c r="A2736" s="661"/>
      <c r="B2736" s="100" t="s">
        <v>7873</v>
      </c>
      <c r="C2736" s="73"/>
      <c r="D2736" s="73"/>
      <c r="E2736" s="73"/>
      <c r="F2736" s="73"/>
      <c r="G2736" s="74" t="s">
        <v>3</v>
      </c>
      <c r="H2736" s="153">
        <f>H2738*0.9</f>
        <v>0.35966478600000001</v>
      </c>
      <c r="I2736" s="72"/>
      <c r="J2736" s="73"/>
      <c r="K2736" s="671"/>
      <c r="L2736" s="73"/>
      <c r="M2736" s="73"/>
      <c r="N2736" s="74"/>
      <c r="O2736" s="153"/>
    </row>
    <row r="2737" spans="1:15" customFormat="1" x14ac:dyDescent="0.25">
      <c r="A2737" s="661"/>
      <c r="B2737" s="100" t="s">
        <v>313</v>
      </c>
      <c r="C2737" s="73"/>
      <c r="D2737" s="73"/>
      <c r="E2737" s="73"/>
      <c r="F2737" s="73"/>
      <c r="G2737" s="74" t="s">
        <v>3</v>
      </c>
      <c r="H2737" s="153">
        <f>0.3*H2736</f>
        <v>0.1078994358</v>
      </c>
      <c r="I2737" s="72"/>
      <c r="J2737" s="73"/>
      <c r="K2737" s="671"/>
      <c r="L2737" s="73"/>
      <c r="M2737" s="73"/>
      <c r="N2737" s="74"/>
      <c r="O2737" s="153"/>
    </row>
    <row r="2738" spans="1:15" customFormat="1" x14ac:dyDescent="0.25">
      <c r="A2738" s="661"/>
      <c r="B2738" s="100" t="s">
        <v>36</v>
      </c>
      <c r="C2738" s="73"/>
      <c r="D2738" s="73"/>
      <c r="E2738" s="73"/>
      <c r="F2738" s="73"/>
      <c r="G2738" s="74" t="s">
        <v>3</v>
      </c>
      <c r="H2738" s="153">
        <f>(0.615*0.8+0.34*0.285)*2*0.15*2*1.131</f>
        <v>0.39962754</v>
      </c>
      <c r="I2738" s="72"/>
      <c r="J2738" s="73"/>
      <c r="K2738" s="671"/>
      <c r="L2738" s="73"/>
      <c r="M2738" s="73"/>
      <c r="N2738" s="74"/>
      <c r="O2738" s="153"/>
    </row>
    <row r="2739" spans="1:15" customFormat="1" x14ac:dyDescent="0.25">
      <c r="A2739" s="661"/>
      <c r="B2739" s="100" t="s">
        <v>12</v>
      </c>
      <c r="C2739" s="73"/>
      <c r="D2739" s="73"/>
      <c r="E2739" s="73"/>
      <c r="F2739" s="73"/>
      <c r="G2739" s="74" t="s">
        <v>3</v>
      </c>
      <c r="H2739" s="153">
        <f>0.3*H2738</f>
        <v>0.119888262</v>
      </c>
      <c r="I2739" s="72"/>
      <c r="J2739" s="73"/>
      <c r="K2739" s="671"/>
      <c r="L2739" s="73"/>
      <c r="M2739" s="73"/>
      <c r="N2739" s="74"/>
      <c r="O2739" s="153"/>
    </row>
    <row r="2740" spans="1:15" customFormat="1" x14ac:dyDescent="0.25">
      <c r="A2740" s="661"/>
      <c r="B2740" s="75"/>
      <c r="C2740" s="75" t="s">
        <v>8363</v>
      </c>
      <c r="D2740" s="73"/>
      <c r="E2740" s="73"/>
      <c r="F2740" s="73"/>
      <c r="G2740" s="74"/>
      <c r="H2740" s="153"/>
      <c r="I2740" s="72"/>
      <c r="J2740" s="73"/>
      <c r="K2740" s="671"/>
      <c r="L2740" s="73"/>
      <c r="M2740" s="73"/>
      <c r="N2740" s="74"/>
      <c r="O2740" s="153"/>
    </row>
    <row r="2741" spans="1:15" customFormat="1" x14ac:dyDescent="0.25">
      <c r="A2741" s="661"/>
      <c r="B2741" s="75"/>
      <c r="C2741" s="100" t="s">
        <v>150</v>
      </c>
      <c r="D2741" s="73"/>
      <c r="E2741" s="73"/>
      <c r="F2741" s="73"/>
      <c r="G2741" s="74" t="s">
        <v>3</v>
      </c>
      <c r="H2741" s="153">
        <f>0.39*0.025*2*8*1.12</f>
        <v>0.17472000000000004</v>
      </c>
      <c r="I2741" s="72"/>
      <c r="J2741" s="73"/>
      <c r="K2741" s="671"/>
      <c r="L2741" s="73"/>
      <c r="M2741" s="73"/>
      <c r="N2741" s="74"/>
      <c r="O2741" s="153"/>
    </row>
    <row r="2742" spans="1:15" customFormat="1" x14ac:dyDescent="0.25">
      <c r="A2742" s="661"/>
      <c r="B2742" s="75"/>
      <c r="C2742" s="75" t="s">
        <v>8362</v>
      </c>
      <c r="D2742" s="73"/>
      <c r="E2742" s="73"/>
      <c r="F2742" s="73"/>
      <c r="G2742" s="74"/>
      <c r="H2742" s="153"/>
      <c r="I2742" s="72"/>
      <c r="J2742" s="73"/>
      <c r="K2742" s="671"/>
      <c r="L2742" s="73"/>
      <c r="M2742" s="73"/>
      <c r="N2742" s="74"/>
      <c r="O2742" s="153"/>
    </row>
    <row r="2743" spans="1:15" customFormat="1" x14ac:dyDescent="0.25">
      <c r="A2743" s="661"/>
      <c r="B2743" s="75"/>
      <c r="C2743" s="100" t="s">
        <v>150</v>
      </c>
      <c r="D2743" s="73"/>
      <c r="E2743" s="73"/>
      <c r="F2743" s="73"/>
      <c r="G2743" s="74" t="s">
        <v>3</v>
      </c>
      <c r="H2743" s="153">
        <f>0.34*0.285*2*8*1.0515</f>
        <v>1.6302456000000001</v>
      </c>
      <c r="I2743" s="72"/>
      <c r="J2743" s="73"/>
      <c r="K2743" s="671"/>
      <c r="L2743" s="73"/>
      <c r="M2743" s="73"/>
      <c r="N2743" s="74"/>
      <c r="O2743" s="153"/>
    </row>
    <row r="2744" spans="1:15" customFormat="1" x14ac:dyDescent="0.25">
      <c r="A2744" s="661"/>
      <c r="B2744" s="75"/>
      <c r="C2744" s="75" t="s">
        <v>8361</v>
      </c>
      <c r="D2744" s="73"/>
      <c r="E2744" s="73"/>
      <c r="F2744" s="73"/>
      <c r="G2744" s="74"/>
      <c r="H2744" s="153"/>
      <c r="I2744" s="72"/>
      <c r="J2744" s="73"/>
      <c r="K2744" s="671"/>
      <c r="L2744" s="73"/>
      <c r="M2744" s="73"/>
      <c r="N2744" s="74"/>
      <c r="O2744" s="153"/>
    </row>
    <row r="2745" spans="1:15" customFormat="1" x14ac:dyDescent="0.25">
      <c r="A2745" s="661"/>
      <c r="B2745" s="75"/>
      <c r="C2745" s="100" t="s">
        <v>150</v>
      </c>
      <c r="D2745" s="73"/>
      <c r="E2745" s="73"/>
      <c r="F2745" s="73"/>
      <c r="G2745" s="74" t="s">
        <v>3</v>
      </c>
      <c r="H2745" s="153">
        <f>0.615*0.8*2*8*1.1052</f>
        <v>8.7001343999999996</v>
      </c>
      <c r="I2745" s="72"/>
      <c r="J2745" s="73"/>
      <c r="K2745" s="671"/>
      <c r="L2745" s="73"/>
      <c r="M2745" s="73"/>
      <c r="N2745" s="74"/>
      <c r="O2745" s="153"/>
    </row>
    <row r="2746" spans="1:15" customFormat="1" x14ac:dyDescent="0.25">
      <c r="A2746" s="661"/>
      <c r="B2746" s="75"/>
      <c r="C2746" s="100"/>
      <c r="D2746" s="73"/>
      <c r="E2746" s="73"/>
      <c r="F2746" s="73"/>
      <c r="G2746" s="74"/>
      <c r="H2746" s="153"/>
      <c r="I2746" s="72"/>
      <c r="J2746" s="73"/>
      <c r="K2746" s="671"/>
      <c r="L2746" s="73"/>
      <c r="M2746" s="73"/>
      <c r="N2746" s="74"/>
      <c r="O2746" s="153"/>
    </row>
    <row r="2747" spans="1:15" customFormat="1" x14ac:dyDescent="0.25">
      <c r="A2747" s="678"/>
      <c r="B2747" s="75" t="s">
        <v>8360</v>
      </c>
      <c r="C2747" s="73"/>
      <c r="D2747" s="73"/>
      <c r="E2747" s="73"/>
      <c r="F2747" s="73"/>
      <c r="G2747" s="74"/>
      <c r="H2747" s="153"/>
      <c r="I2747" s="72"/>
      <c r="J2747" s="73"/>
      <c r="K2747" s="671"/>
      <c r="L2747" s="73"/>
      <c r="M2747" s="73"/>
      <c r="N2747" s="74"/>
      <c r="O2747" s="153"/>
    </row>
    <row r="2748" spans="1:15" customFormat="1" x14ac:dyDescent="0.25">
      <c r="A2748" s="661"/>
      <c r="B2748" s="100" t="s">
        <v>37</v>
      </c>
      <c r="C2748" s="73"/>
      <c r="D2748" s="73"/>
      <c r="E2748" s="73"/>
      <c r="F2748" s="73"/>
      <c r="G2748" s="74" t="s">
        <v>3</v>
      </c>
      <c r="H2748" s="153">
        <v>8.0000000000000002E-3</v>
      </c>
      <c r="I2748" s="72"/>
      <c r="J2748" s="73"/>
      <c r="K2748" s="671"/>
      <c r="L2748" s="73"/>
      <c r="M2748" s="73"/>
      <c r="N2748" s="74"/>
      <c r="O2748" s="153"/>
    </row>
    <row r="2749" spans="1:15" customFormat="1" x14ac:dyDescent="0.25">
      <c r="A2749" s="661"/>
      <c r="B2749" s="100" t="s">
        <v>7873</v>
      </c>
      <c r="C2749" s="73"/>
      <c r="D2749" s="73"/>
      <c r="E2749" s="73"/>
      <c r="F2749" s="73"/>
      <c r="G2749" s="74" t="s">
        <v>3</v>
      </c>
      <c r="H2749" s="153">
        <f>H2751*0.99</f>
        <v>1.4907291299999998E-2</v>
      </c>
      <c r="I2749" s="72"/>
      <c r="J2749" s="73"/>
      <c r="K2749" s="671"/>
      <c r="L2749" s="73"/>
      <c r="M2749" s="73"/>
      <c r="N2749" s="74"/>
      <c r="O2749" s="153"/>
    </row>
    <row r="2750" spans="1:15" customFormat="1" x14ac:dyDescent="0.25">
      <c r="A2750" s="661"/>
      <c r="B2750" s="100" t="s">
        <v>313</v>
      </c>
      <c r="C2750" s="73"/>
      <c r="D2750" s="73"/>
      <c r="E2750" s="73"/>
      <c r="F2750" s="73"/>
      <c r="G2750" s="74" t="s">
        <v>3</v>
      </c>
      <c r="H2750" s="153">
        <f>0.3*H2749</f>
        <v>4.4721873899999992E-3</v>
      </c>
      <c r="I2750" s="72"/>
      <c r="J2750" s="73"/>
      <c r="K2750" s="671"/>
      <c r="L2750" s="73"/>
      <c r="M2750" s="73"/>
      <c r="N2750" s="74"/>
      <c r="O2750" s="153"/>
    </row>
    <row r="2751" spans="1:15" customFormat="1" x14ac:dyDescent="0.25">
      <c r="A2751" s="661"/>
      <c r="B2751" s="100" t="s">
        <v>36</v>
      </c>
      <c r="C2751" s="73"/>
      <c r="D2751" s="73"/>
      <c r="E2751" s="73"/>
      <c r="F2751" s="73"/>
      <c r="G2751" s="74" t="s">
        <v>3</v>
      </c>
      <c r="H2751" s="153">
        <f>0.115*3.14*0.05*2*0.15*2*1.39</f>
        <v>1.5057869999999999E-2</v>
      </c>
      <c r="I2751" s="72"/>
      <c r="J2751" s="73"/>
      <c r="K2751" s="671"/>
      <c r="L2751" s="73"/>
      <c r="M2751" s="73"/>
      <c r="N2751" s="74"/>
      <c r="O2751" s="153"/>
    </row>
    <row r="2752" spans="1:15" customFormat="1" x14ac:dyDescent="0.25">
      <c r="A2752" s="661"/>
      <c r="B2752" s="100" t="s">
        <v>12</v>
      </c>
      <c r="C2752" s="73"/>
      <c r="D2752" s="73"/>
      <c r="E2752" s="73"/>
      <c r="F2752" s="73"/>
      <c r="G2752" s="74" t="s">
        <v>3</v>
      </c>
      <c r="H2752" s="153">
        <f>0.3*H2751</f>
        <v>4.5173609999999993E-3</v>
      </c>
      <c r="I2752" s="72"/>
      <c r="J2752" s="73"/>
      <c r="K2752" s="671"/>
      <c r="L2752" s="73"/>
      <c r="M2752" s="73"/>
      <c r="N2752" s="74"/>
      <c r="O2752" s="153"/>
    </row>
    <row r="2753" spans="1:15" customFormat="1" x14ac:dyDescent="0.25">
      <c r="A2753" s="661"/>
      <c r="B2753" s="75"/>
      <c r="C2753" s="75" t="s">
        <v>8359</v>
      </c>
      <c r="D2753" s="73"/>
      <c r="E2753" s="73"/>
      <c r="F2753" s="73"/>
      <c r="G2753" s="74"/>
      <c r="H2753" s="153"/>
      <c r="I2753" s="72"/>
      <c r="J2753" s="73"/>
      <c r="K2753" s="671"/>
      <c r="L2753" s="73"/>
      <c r="M2753" s="73"/>
      <c r="N2753" s="74"/>
      <c r="O2753" s="153"/>
    </row>
    <row r="2754" spans="1:15" customFormat="1" x14ac:dyDescent="0.25">
      <c r="A2754" s="661"/>
      <c r="B2754" s="75"/>
      <c r="C2754" s="77" t="s">
        <v>1054</v>
      </c>
      <c r="D2754" s="73"/>
      <c r="E2754" s="73"/>
      <c r="F2754" s="73"/>
      <c r="G2754" s="74" t="s">
        <v>3</v>
      </c>
      <c r="H2754" s="153">
        <f>0.1*0.08*1.2</f>
        <v>9.5999999999999992E-3</v>
      </c>
      <c r="I2754" s="72"/>
      <c r="J2754" s="73"/>
      <c r="K2754" s="671"/>
      <c r="L2754" s="73"/>
      <c r="M2754" s="73"/>
      <c r="N2754" s="74"/>
      <c r="O2754" s="153"/>
    </row>
    <row r="2755" spans="1:15" customFormat="1" ht="17.25" x14ac:dyDescent="0.25">
      <c r="A2755" s="661"/>
      <c r="B2755" s="75"/>
      <c r="C2755" s="77" t="s">
        <v>1055</v>
      </c>
      <c r="D2755" s="73"/>
      <c r="E2755" s="73"/>
      <c r="F2755" s="73"/>
      <c r="G2755" s="74" t="s">
        <v>596</v>
      </c>
      <c r="H2755" s="153">
        <f>H2754</f>
        <v>9.5999999999999992E-3</v>
      </c>
      <c r="I2755" s="72"/>
      <c r="J2755" s="73"/>
      <c r="K2755" s="671"/>
      <c r="L2755" s="73"/>
      <c r="M2755" s="73"/>
      <c r="N2755" s="74"/>
      <c r="O2755" s="153"/>
    </row>
    <row r="2756" spans="1:15" customFormat="1" x14ac:dyDescent="0.25">
      <c r="A2756" s="661"/>
      <c r="B2756" s="75"/>
      <c r="C2756" s="73"/>
      <c r="D2756" s="75" t="s">
        <v>8358</v>
      </c>
      <c r="E2756" s="73"/>
      <c r="F2756" s="73"/>
      <c r="G2756" s="74"/>
      <c r="H2756" s="153"/>
      <c r="I2756" s="72"/>
      <c r="J2756" s="73"/>
      <c r="K2756" s="671"/>
      <c r="L2756" s="73"/>
      <c r="M2756" s="73"/>
      <c r="N2756" s="74"/>
      <c r="O2756" s="153"/>
    </row>
    <row r="2757" spans="1:15" customFormat="1" x14ac:dyDescent="0.25">
      <c r="A2757" s="661"/>
      <c r="B2757" s="75"/>
      <c r="C2757" s="73"/>
      <c r="D2757" s="73" t="s">
        <v>8357</v>
      </c>
      <c r="E2757" s="73"/>
      <c r="F2757" s="73"/>
      <c r="G2757" s="74" t="s">
        <v>3</v>
      </c>
      <c r="H2757" s="153">
        <f>0.09*0.08*4*8*1.108</f>
        <v>0.25528319999999999</v>
      </c>
      <c r="I2757" s="72"/>
      <c r="J2757" s="73"/>
      <c r="K2757" s="671"/>
      <c r="L2757" s="73"/>
      <c r="M2757" s="73"/>
      <c r="N2757" s="74"/>
      <c r="O2757" s="153"/>
    </row>
    <row r="2758" spans="1:15" customFormat="1" x14ac:dyDescent="0.25">
      <c r="A2758" s="661"/>
      <c r="B2758" s="75"/>
      <c r="C2758" s="73"/>
      <c r="D2758" s="75" t="s">
        <v>8356</v>
      </c>
      <c r="E2758" s="73"/>
      <c r="F2758" s="73"/>
      <c r="G2758" s="74"/>
      <c r="H2758" s="153"/>
      <c r="I2758" s="72"/>
      <c r="J2758" s="73"/>
      <c r="K2758" s="671"/>
      <c r="L2758" s="73"/>
      <c r="M2758" s="73"/>
      <c r="N2758" s="74"/>
      <c r="O2758" s="153"/>
    </row>
    <row r="2759" spans="1:15" customFormat="1" x14ac:dyDescent="0.25">
      <c r="A2759" s="661"/>
      <c r="B2759" s="75"/>
      <c r="C2759" s="73"/>
      <c r="D2759" s="73" t="s">
        <v>2156</v>
      </c>
      <c r="E2759" s="73"/>
      <c r="F2759" s="73"/>
      <c r="G2759" s="74" t="s">
        <v>3</v>
      </c>
      <c r="H2759" s="153">
        <f>0.16*0.065*4*8*1.111</f>
        <v>0.36974080000000004</v>
      </c>
      <c r="I2759" s="72"/>
      <c r="J2759" s="73"/>
      <c r="K2759" s="671"/>
      <c r="L2759" s="73"/>
      <c r="M2759" s="73"/>
      <c r="N2759" s="74"/>
      <c r="O2759" s="153"/>
    </row>
    <row r="2760" spans="1:15" customFormat="1" x14ac:dyDescent="0.25">
      <c r="A2760" s="661"/>
      <c r="B2760" s="75"/>
      <c r="C2760" s="73"/>
      <c r="D2760" s="75" t="s">
        <v>8355</v>
      </c>
      <c r="E2760" s="73"/>
      <c r="F2760" s="73"/>
      <c r="G2760" s="74"/>
      <c r="H2760" s="153"/>
      <c r="I2760" s="72"/>
      <c r="J2760" s="73"/>
      <c r="K2760" s="671"/>
      <c r="L2760" s="73"/>
      <c r="M2760" s="73"/>
      <c r="N2760" s="74"/>
      <c r="O2760" s="153"/>
    </row>
    <row r="2761" spans="1:15" customFormat="1" x14ac:dyDescent="0.25">
      <c r="A2761" s="661"/>
      <c r="B2761" s="75"/>
      <c r="C2761" s="73"/>
      <c r="D2761" s="73" t="s">
        <v>55</v>
      </c>
      <c r="E2761" s="73"/>
      <c r="F2761" s="73"/>
      <c r="G2761" s="74" t="s">
        <v>3</v>
      </c>
      <c r="H2761" s="153">
        <f>0.175*0.045*3*8*1.12</f>
        <v>0.21168000000000003</v>
      </c>
      <c r="I2761" s="72"/>
      <c r="J2761" s="73"/>
      <c r="K2761" s="671"/>
      <c r="L2761" s="73"/>
      <c r="M2761" s="73"/>
      <c r="N2761" s="74"/>
      <c r="O2761" s="153"/>
    </row>
    <row r="2762" spans="1:15" customFormat="1" x14ac:dyDescent="0.25">
      <c r="A2762" s="661"/>
      <c r="B2762" s="75"/>
      <c r="C2762" s="73"/>
      <c r="D2762" s="75" t="s">
        <v>47</v>
      </c>
      <c r="E2762" s="73"/>
      <c r="F2762" s="73"/>
      <c r="G2762" s="74"/>
      <c r="H2762" s="153"/>
      <c r="I2762" s="72"/>
      <c r="J2762" s="73"/>
      <c r="K2762" s="671"/>
      <c r="L2762" s="73"/>
      <c r="M2762" s="73"/>
      <c r="N2762" s="74"/>
      <c r="O2762" s="153"/>
    </row>
    <row r="2763" spans="1:15" customFormat="1" x14ac:dyDescent="0.25">
      <c r="A2763" s="661"/>
      <c r="B2763" s="75"/>
      <c r="C2763" s="73"/>
      <c r="D2763" s="73" t="s">
        <v>55</v>
      </c>
      <c r="E2763" s="73"/>
      <c r="F2763" s="73"/>
      <c r="G2763" s="74" t="s">
        <v>3</v>
      </c>
      <c r="H2763" s="153">
        <f>0.008*0.008*3*8*1.12</f>
        <v>1.7203200000000002E-3</v>
      </c>
      <c r="I2763" s="72"/>
      <c r="J2763" s="73"/>
      <c r="K2763" s="671"/>
      <c r="L2763" s="73"/>
      <c r="M2763" s="73"/>
      <c r="N2763" s="74"/>
      <c r="O2763" s="153"/>
    </row>
    <row r="2764" spans="1:15" customFormat="1" x14ac:dyDescent="0.25">
      <c r="A2764" s="661"/>
      <c r="B2764" s="75"/>
      <c r="C2764" s="73"/>
      <c r="D2764" s="75" t="s">
        <v>8354</v>
      </c>
      <c r="E2764" s="73"/>
      <c r="F2764" s="73"/>
      <c r="G2764" s="74"/>
      <c r="H2764" s="153"/>
      <c r="I2764" s="72"/>
      <c r="J2764" s="73"/>
      <c r="K2764" s="671"/>
      <c r="L2764" s="73"/>
      <c r="M2764" s="73"/>
      <c r="N2764" s="74"/>
      <c r="O2764" s="153"/>
    </row>
    <row r="2765" spans="1:15" customFormat="1" x14ac:dyDescent="0.25">
      <c r="A2765" s="661"/>
      <c r="B2765" s="75"/>
      <c r="C2765" s="73"/>
      <c r="D2765" s="73" t="s">
        <v>55</v>
      </c>
      <c r="E2765" s="73"/>
      <c r="F2765" s="73"/>
      <c r="G2765" s="74" t="s">
        <v>3</v>
      </c>
      <c r="H2765" s="153">
        <f>0.345*0.045*3*8*1.127</f>
        <v>0.41992019999999997</v>
      </c>
      <c r="I2765" s="72"/>
      <c r="J2765" s="73"/>
      <c r="K2765" s="671"/>
      <c r="L2765" s="73"/>
      <c r="M2765" s="73"/>
      <c r="N2765" s="74"/>
      <c r="O2765" s="153"/>
    </row>
    <row r="2766" spans="1:15" customFormat="1" x14ac:dyDescent="0.25">
      <c r="A2766" s="661"/>
      <c r="B2766" s="75"/>
      <c r="C2766" s="73"/>
      <c r="D2766" s="73"/>
      <c r="E2766" s="73"/>
      <c r="F2766" s="73"/>
      <c r="G2766" s="74"/>
      <c r="H2766" s="153"/>
      <c r="I2766" s="72"/>
      <c r="J2766" s="73"/>
      <c r="K2766" s="671"/>
      <c r="L2766" s="73"/>
      <c r="M2766" s="73"/>
      <c r="N2766" s="74"/>
      <c r="O2766" s="153"/>
    </row>
    <row r="2767" spans="1:15" customFormat="1" x14ac:dyDescent="0.25">
      <c r="A2767" s="678"/>
      <c r="B2767" s="75" t="s">
        <v>8353</v>
      </c>
      <c r="C2767" s="73"/>
      <c r="D2767" s="73"/>
      <c r="E2767" s="73"/>
      <c r="F2767" s="73"/>
      <c r="G2767" s="74"/>
      <c r="H2767" s="153"/>
      <c r="I2767" s="72"/>
      <c r="J2767" s="73"/>
      <c r="K2767" s="671"/>
      <c r="L2767" s="73"/>
      <c r="M2767" s="73"/>
      <c r="N2767" s="74"/>
      <c r="O2767" s="153"/>
    </row>
    <row r="2768" spans="1:15" customFormat="1" x14ac:dyDescent="0.25">
      <c r="A2768" s="661"/>
      <c r="B2768" s="100" t="s">
        <v>8</v>
      </c>
      <c r="C2768" s="73"/>
      <c r="D2768" s="73"/>
      <c r="E2768" s="73"/>
      <c r="F2768" s="73"/>
      <c r="G2768" s="74" t="s">
        <v>3</v>
      </c>
      <c r="H2768" s="153">
        <f>H2770*0.9</f>
        <v>4.9571999999999998E-2</v>
      </c>
      <c r="I2768" s="72"/>
      <c r="J2768" s="73"/>
      <c r="K2768" s="671"/>
      <c r="L2768" s="73"/>
      <c r="M2768" s="73"/>
      <c r="N2768" s="74"/>
      <c r="O2768" s="153"/>
    </row>
    <row r="2769" spans="1:15" customFormat="1" x14ac:dyDescent="0.25">
      <c r="A2769" s="661"/>
      <c r="B2769" s="100" t="s">
        <v>12</v>
      </c>
      <c r="C2769" s="73"/>
      <c r="D2769" s="73"/>
      <c r="E2769" s="73"/>
      <c r="F2769" s="73"/>
      <c r="G2769" s="74" t="s">
        <v>3</v>
      </c>
      <c r="H2769" s="153">
        <f>0.3*H2768</f>
        <v>1.4871599999999999E-2</v>
      </c>
      <c r="I2769" s="72"/>
      <c r="J2769" s="73"/>
      <c r="K2769" s="671"/>
      <c r="L2769" s="73"/>
      <c r="M2769" s="73"/>
      <c r="N2769" s="74"/>
      <c r="O2769" s="153"/>
    </row>
    <row r="2770" spans="1:15" customFormat="1" x14ac:dyDescent="0.25">
      <c r="A2770" s="661"/>
      <c r="B2770" s="100" t="s">
        <v>72</v>
      </c>
      <c r="C2770" s="73"/>
      <c r="D2770" s="73"/>
      <c r="E2770" s="73"/>
      <c r="F2770" s="73"/>
      <c r="G2770" s="74" t="s">
        <v>3</v>
      </c>
      <c r="H2770" s="153">
        <f>0.85*0.09*2*0.15*2*1.2</f>
        <v>5.5079999999999997E-2</v>
      </c>
      <c r="I2770" s="72"/>
      <c r="J2770" s="73"/>
      <c r="K2770" s="671"/>
      <c r="L2770" s="73"/>
      <c r="M2770" s="73"/>
      <c r="N2770" s="74"/>
      <c r="O2770" s="153"/>
    </row>
    <row r="2771" spans="1:15" customFormat="1" x14ac:dyDescent="0.25">
      <c r="A2771" s="661"/>
      <c r="B2771" s="100" t="s">
        <v>11</v>
      </c>
      <c r="C2771" s="73"/>
      <c r="D2771" s="73"/>
      <c r="E2771" s="73"/>
      <c r="F2771" s="73"/>
      <c r="G2771" s="74" t="s">
        <v>3</v>
      </c>
      <c r="H2771" s="153">
        <f>0.3*H2770</f>
        <v>1.6523999999999997E-2</v>
      </c>
      <c r="I2771" s="72"/>
      <c r="J2771" s="73"/>
      <c r="K2771" s="671"/>
      <c r="L2771" s="73"/>
      <c r="M2771" s="73"/>
      <c r="N2771" s="74"/>
      <c r="O2771" s="153"/>
    </row>
    <row r="2772" spans="1:15" customFormat="1" x14ac:dyDescent="0.25">
      <c r="A2772" s="661"/>
      <c r="B2772" s="100" t="s">
        <v>13</v>
      </c>
      <c r="C2772" s="73"/>
      <c r="D2772" s="73"/>
      <c r="E2772" s="73"/>
      <c r="F2772" s="73"/>
      <c r="G2772" s="74" t="s">
        <v>3</v>
      </c>
      <c r="H2772" s="153">
        <f>0.02</f>
        <v>0.02</v>
      </c>
      <c r="I2772" s="72"/>
      <c r="J2772" s="73"/>
      <c r="K2772" s="671"/>
      <c r="L2772" s="73"/>
      <c r="M2772" s="73"/>
      <c r="N2772" s="74"/>
      <c r="O2772" s="153"/>
    </row>
    <row r="2773" spans="1:15" customFormat="1" x14ac:dyDescent="0.25">
      <c r="A2773" s="661"/>
      <c r="B2773" s="75"/>
      <c r="C2773" s="75" t="s">
        <v>8352</v>
      </c>
      <c r="D2773" s="73"/>
      <c r="E2773" s="73"/>
      <c r="F2773" s="73"/>
      <c r="G2773" s="74"/>
      <c r="H2773" s="153"/>
      <c r="I2773" s="72"/>
      <c r="J2773" s="73"/>
      <c r="K2773" s="671"/>
      <c r="L2773" s="73"/>
      <c r="M2773" s="73"/>
      <c r="N2773" s="74"/>
      <c r="O2773" s="153"/>
    </row>
    <row r="2774" spans="1:15" customFormat="1" x14ac:dyDescent="0.25">
      <c r="A2774" s="661"/>
      <c r="B2774" s="75"/>
      <c r="C2774" s="73" t="s">
        <v>1650</v>
      </c>
      <c r="D2774" s="73"/>
      <c r="E2774" s="73"/>
      <c r="F2774" s="73"/>
      <c r="G2774" s="74" t="s">
        <v>3</v>
      </c>
      <c r="H2774" s="153">
        <f>1.05*0.09*1.5*8*1.146</f>
        <v>1.2995639999999997</v>
      </c>
      <c r="I2774" s="72"/>
      <c r="J2774" s="73"/>
      <c r="K2774" s="671"/>
      <c r="L2774" s="73"/>
      <c r="M2774" s="73"/>
      <c r="N2774" s="74"/>
      <c r="O2774" s="153"/>
    </row>
    <row r="2775" spans="1:15" customFormat="1" x14ac:dyDescent="0.25">
      <c r="A2775" s="661"/>
      <c r="B2775" s="75"/>
      <c r="C2775" s="73"/>
      <c r="D2775" s="73"/>
      <c r="E2775" s="73"/>
      <c r="F2775" s="73"/>
      <c r="G2775" s="74"/>
      <c r="H2775" s="153"/>
      <c r="I2775" s="72"/>
      <c r="J2775" s="73"/>
      <c r="K2775" s="671"/>
      <c r="L2775" s="73"/>
      <c r="M2775" s="73"/>
      <c r="N2775" s="74"/>
      <c r="O2775" s="153"/>
    </row>
    <row r="2776" spans="1:15" customFormat="1" x14ac:dyDescent="0.25">
      <c r="A2776" s="678"/>
      <c r="B2776" s="75" t="s">
        <v>8351</v>
      </c>
      <c r="C2776" s="73"/>
      <c r="D2776" s="73"/>
      <c r="E2776" s="73"/>
      <c r="F2776" s="73"/>
      <c r="G2776" s="74"/>
      <c r="H2776" s="153"/>
      <c r="I2776" s="72"/>
      <c r="J2776" s="73"/>
      <c r="K2776" s="671"/>
      <c r="L2776" s="73"/>
      <c r="M2776" s="73"/>
      <c r="N2776" s="74"/>
      <c r="O2776" s="153"/>
    </row>
    <row r="2777" spans="1:15" customFormat="1" x14ac:dyDescent="0.25">
      <c r="A2777" s="661"/>
      <c r="B2777" s="100" t="s">
        <v>8</v>
      </c>
      <c r="C2777" s="73"/>
      <c r="D2777" s="73"/>
      <c r="E2777" s="73"/>
      <c r="F2777" s="73"/>
      <c r="G2777" s="74" t="s">
        <v>3</v>
      </c>
      <c r="H2777" s="153">
        <f>H2779*0.84</f>
        <v>5.0400000000000007E-2</v>
      </c>
      <c r="I2777" s="72"/>
      <c r="J2777" s="73"/>
      <c r="K2777" s="671"/>
      <c r="L2777" s="73"/>
      <c r="M2777" s="73"/>
      <c r="N2777" s="74"/>
      <c r="O2777" s="153"/>
    </row>
    <row r="2778" spans="1:15" customFormat="1" x14ac:dyDescent="0.25">
      <c r="A2778" s="661"/>
      <c r="B2778" s="100" t="s">
        <v>12</v>
      </c>
      <c r="C2778" s="73"/>
      <c r="D2778" s="73"/>
      <c r="E2778" s="73"/>
      <c r="F2778" s="73"/>
      <c r="G2778" s="74" t="s">
        <v>3</v>
      </c>
      <c r="H2778" s="153">
        <f>0.3*H2777</f>
        <v>1.5120000000000001E-2</v>
      </c>
      <c r="I2778" s="72"/>
      <c r="J2778" s="73"/>
      <c r="K2778" s="671"/>
      <c r="L2778" s="73"/>
      <c r="M2778" s="73"/>
      <c r="N2778" s="74"/>
      <c r="O2778" s="153"/>
    </row>
    <row r="2779" spans="1:15" customFormat="1" x14ac:dyDescent="0.25">
      <c r="A2779" s="661"/>
      <c r="B2779" s="100" t="s">
        <v>72</v>
      </c>
      <c r="C2779" s="73"/>
      <c r="D2779" s="73"/>
      <c r="E2779" s="73"/>
      <c r="F2779" s="73"/>
      <c r="G2779" s="74" t="s">
        <v>3</v>
      </c>
      <c r="H2779" s="153">
        <f>0.8*0.1*2*0.15*2*1.25</f>
        <v>6.0000000000000012E-2</v>
      </c>
      <c r="I2779" s="72"/>
      <c r="J2779" s="73"/>
      <c r="K2779" s="671"/>
      <c r="L2779" s="73"/>
      <c r="M2779" s="73"/>
      <c r="N2779" s="74"/>
      <c r="O2779" s="153"/>
    </row>
    <row r="2780" spans="1:15" customFormat="1" x14ac:dyDescent="0.25">
      <c r="A2780" s="661"/>
      <c r="B2780" s="100" t="s">
        <v>11</v>
      </c>
      <c r="C2780" s="73"/>
      <c r="D2780" s="73"/>
      <c r="E2780" s="73"/>
      <c r="F2780" s="73"/>
      <c r="G2780" s="74" t="s">
        <v>3</v>
      </c>
      <c r="H2780" s="153">
        <f>0.3*H2779</f>
        <v>1.8000000000000002E-2</v>
      </c>
      <c r="I2780" s="72"/>
      <c r="J2780" s="73"/>
      <c r="K2780" s="671"/>
      <c r="L2780" s="73"/>
      <c r="M2780" s="73"/>
      <c r="N2780" s="74"/>
      <c r="O2780" s="153"/>
    </row>
    <row r="2781" spans="1:15" customFormat="1" x14ac:dyDescent="0.25">
      <c r="A2781" s="661"/>
      <c r="B2781" s="100" t="s">
        <v>13</v>
      </c>
      <c r="C2781" s="73"/>
      <c r="D2781" s="73"/>
      <c r="E2781" s="73"/>
      <c r="F2781" s="73"/>
      <c r="G2781" s="74" t="s">
        <v>3</v>
      </c>
      <c r="H2781" s="153">
        <f>0.02</f>
        <v>0.02</v>
      </c>
      <c r="I2781" s="72"/>
      <c r="J2781" s="73"/>
      <c r="K2781" s="671"/>
      <c r="L2781" s="73"/>
      <c r="M2781" s="73"/>
      <c r="N2781" s="74"/>
      <c r="O2781" s="153"/>
    </row>
    <row r="2782" spans="1:15" customFormat="1" x14ac:dyDescent="0.25">
      <c r="A2782" s="661"/>
      <c r="B2782" s="100"/>
      <c r="C2782" s="75" t="s">
        <v>8350</v>
      </c>
      <c r="D2782" s="73"/>
      <c r="E2782" s="73"/>
      <c r="F2782" s="73"/>
      <c r="G2782" s="74"/>
      <c r="H2782" s="153"/>
      <c r="I2782" s="72"/>
      <c r="J2782" s="73"/>
      <c r="K2782" s="671"/>
      <c r="L2782" s="73"/>
      <c r="M2782" s="73"/>
      <c r="N2782" s="74"/>
      <c r="O2782" s="153"/>
    </row>
    <row r="2783" spans="1:15" customFormat="1" x14ac:dyDescent="0.25">
      <c r="A2783" s="661"/>
      <c r="B2783" s="100"/>
      <c r="C2783" s="73"/>
      <c r="D2783" s="75" t="s">
        <v>8349</v>
      </c>
      <c r="E2783" s="73"/>
      <c r="F2783" s="73"/>
      <c r="G2783" s="74"/>
      <c r="H2783" s="153"/>
      <c r="I2783" s="72"/>
      <c r="J2783" s="73"/>
      <c r="K2783" s="671"/>
      <c r="L2783" s="73"/>
      <c r="M2783" s="73"/>
      <c r="N2783" s="74"/>
      <c r="O2783" s="153"/>
    </row>
    <row r="2784" spans="1:15" customFormat="1" x14ac:dyDescent="0.25">
      <c r="A2784" s="661"/>
      <c r="B2784" s="100"/>
      <c r="C2784" s="73"/>
      <c r="D2784" s="73" t="s">
        <v>1650</v>
      </c>
      <c r="E2784" s="73"/>
      <c r="F2784" s="73"/>
      <c r="G2784" s="74" t="s">
        <v>3</v>
      </c>
      <c r="H2784" s="153">
        <f>0.465*0.09*1.5*8*1.12</f>
        <v>0.56246400000000008</v>
      </c>
      <c r="I2784" s="72"/>
      <c r="J2784" s="73"/>
      <c r="K2784" s="671"/>
      <c r="L2784" s="73"/>
      <c r="M2784" s="73"/>
      <c r="N2784" s="74"/>
      <c r="O2784" s="153"/>
    </row>
    <row r="2785" spans="1:15" customFormat="1" x14ac:dyDescent="0.25">
      <c r="A2785" s="661"/>
      <c r="B2785" s="100"/>
      <c r="C2785" s="75" t="s">
        <v>8348</v>
      </c>
      <c r="D2785" s="73"/>
      <c r="E2785" s="73"/>
      <c r="F2785" s="73"/>
      <c r="G2785" s="74"/>
      <c r="H2785" s="153"/>
      <c r="I2785" s="72"/>
      <c r="J2785" s="73"/>
      <c r="K2785" s="671"/>
      <c r="L2785" s="73"/>
      <c r="M2785" s="73"/>
      <c r="N2785" s="74"/>
      <c r="O2785" s="153"/>
    </row>
    <row r="2786" spans="1:15" customFormat="1" x14ac:dyDescent="0.25">
      <c r="A2786" s="661"/>
      <c r="B2786" s="100"/>
      <c r="C2786" s="73"/>
      <c r="D2786" s="75" t="s">
        <v>8347</v>
      </c>
      <c r="E2786" s="73"/>
      <c r="F2786" s="73"/>
      <c r="G2786" s="74"/>
      <c r="H2786" s="153"/>
      <c r="I2786" s="72"/>
      <c r="J2786" s="73"/>
      <c r="K2786" s="671"/>
      <c r="L2786" s="73"/>
      <c r="M2786" s="73"/>
      <c r="N2786" s="74"/>
      <c r="O2786" s="153"/>
    </row>
    <row r="2787" spans="1:15" customFormat="1" x14ac:dyDescent="0.25">
      <c r="A2787" s="661"/>
      <c r="B2787" s="100"/>
      <c r="C2787" s="73"/>
      <c r="D2787" s="73" t="s">
        <v>1650</v>
      </c>
      <c r="E2787" s="73"/>
      <c r="F2787" s="73"/>
      <c r="G2787" s="74" t="s">
        <v>3</v>
      </c>
      <c r="H2787" s="153">
        <f>0.63*0.09*1.5*8*1.12</f>
        <v>0.76204800000000006</v>
      </c>
      <c r="I2787" s="72"/>
      <c r="J2787" s="73"/>
      <c r="K2787" s="671"/>
      <c r="L2787" s="73"/>
      <c r="M2787" s="73"/>
      <c r="N2787" s="74"/>
      <c r="O2787" s="153"/>
    </row>
    <row r="2788" spans="1:15" customFormat="1" x14ac:dyDescent="0.25">
      <c r="A2788" s="661"/>
      <c r="B2788" s="75"/>
      <c r="C2788" s="73"/>
      <c r="D2788" s="75" t="s">
        <v>8346</v>
      </c>
      <c r="E2788" s="73"/>
      <c r="F2788" s="73"/>
      <c r="G2788" s="74"/>
      <c r="H2788" s="153"/>
      <c r="I2788" s="72"/>
      <c r="J2788" s="73"/>
      <c r="K2788" s="671"/>
      <c r="L2788" s="73"/>
      <c r="M2788" s="73"/>
      <c r="N2788" s="74"/>
      <c r="O2788" s="153"/>
    </row>
    <row r="2789" spans="1:15" customFormat="1" x14ac:dyDescent="0.25">
      <c r="A2789" s="661"/>
      <c r="B2789" s="75"/>
      <c r="C2789" s="73"/>
      <c r="D2789" s="73" t="s">
        <v>5371</v>
      </c>
      <c r="E2789" s="73"/>
      <c r="F2789" s="73"/>
      <c r="G2789" s="74" t="s">
        <v>3</v>
      </c>
      <c r="H2789" s="153">
        <f>0.045*0.04*3*8*1.12</f>
        <v>4.838400000000001E-2</v>
      </c>
      <c r="I2789" s="72"/>
      <c r="J2789" s="73"/>
      <c r="K2789" s="671"/>
      <c r="L2789" s="73"/>
      <c r="M2789" s="73"/>
      <c r="N2789" s="74"/>
      <c r="O2789" s="153"/>
    </row>
    <row r="2790" spans="1:15" customFormat="1" x14ac:dyDescent="0.25">
      <c r="A2790" s="661"/>
      <c r="B2790" s="75"/>
      <c r="C2790" s="73"/>
      <c r="D2790" s="73"/>
      <c r="E2790" s="73"/>
      <c r="F2790" s="73"/>
      <c r="G2790" s="74"/>
      <c r="H2790" s="153"/>
      <c r="I2790" s="72"/>
      <c r="J2790" s="73"/>
      <c r="K2790" s="671"/>
      <c r="L2790" s="73"/>
      <c r="M2790" s="73"/>
      <c r="N2790" s="74"/>
      <c r="O2790" s="153"/>
    </row>
    <row r="2791" spans="1:15" customFormat="1" x14ac:dyDescent="0.25">
      <c r="A2791" s="678"/>
      <c r="B2791" s="75" t="s">
        <v>8345</v>
      </c>
      <c r="C2791" s="73"/>
      <c r="D2791" s="73"/>
      <c r="E2791" s="73"/>
      <c r="F2791" s="73"/>
      <c r="G2791" s="74"/>
      <c r="H2791" s="153"/>
      <c r="I2791" s="72"/>
      <c r="J2791" s="73"/>
      <c r="K2791" s="671"/>
      <c r="L2791" s="73"/>
      <c r="M2791" s="73"/>
      <c r="N2791" s="74"/>
      <c r="O2791" s="153"/>
    </row>
    <row r="2792" spans="1:15" customFormat="1" x14ac:dyDescent="0.25">
      <c r="A2792" s="661"/>
      <c r="B2792" s="77" t="s">
        <v>1054</v>
      </c>
      <c r="C2792" s="73"/>
      <c r="D2792" s="73"/>
      <c r="E2792" s="73"/>
      <c r="F2792" s="73"/>
      <c r="G2792" s="74" t="s">
        <v>3</v>
      </c>
      <c r="H2792" s="153">
        <f>0.12*0.08*1.3</f>
        <v>1.248E-2</v>
      </c>
      <c r="I2792" s="72"/>
      <c r="J2792" s="73"/>
      <c r="K2792" s="671"/>
      <c r="L2792" s="73"/>
      <c r="M2792" s="73"/>
      <c r="N2792" s="74"/>
      <c r="O2792" s="153"/>
    </row>
    <row r="2793" spans="1:15" customFormat="1" ht="17.25" x14ac:dyDescent="0.25">
      <c r="A2793" s="661"/>
      <c r="B2793" s="77" t="s">
        <v>1055</v>
      </c>
      <c r="C2793" s="73"/>
      <c r="D2793" s="73"/>
      <c r="E2793" s="73"/>
      <c r="F2793" s="73"/>
      <c r="G2793" s="74" t="s">
        <v>596</v>
      </c>
      <c r="H2793" s="153">
        <f>H2792</f>
        <v>1.248E-2</v>
      </c>
      <c r="I2793" s="72"/>
      <c r="J2793" s="73"/>
      <c r="K2793" s="671"/>
      <c r="L2793" s="73"/>
      <c r="M2793" s="73"/>
      <c r="N2793" s="74"/>
      <c r="O2793" s="153"/>
    </row>
    <row r="2794" spans="1:15" customFormat="1" x14ac:dyDescent="0.25">
      <c r="A2794" s="661"/>
      <c r="B2794" s="186" t="s">
        <v>8</v>
      </c>
      <c r="C2794" s="73"/>
      <c r="D2794" s="73"/>
      <c r="E2794" s="73"/>
      <c r="F2794" s="73"/>
      <c r="G2794" s="74" t="s">
        <v>3</v>
      </c>
      <c r="H2794" s="153">
        <f>H2796</f>
        <v>1.9593600000000003E-2</v>
      </c>
      <c r="I2794" s="72"/>
      <c r="J2794" s="73"/>
      <c r="K2794" s="671"/>
      <c r="L2794" s="73"/>
      <c r="M2794" s="73"/>
      <c r="N2794" s="74"/>
      <c r="O2794" s="153"/>
    </row>
    <row r="2795" spans="1:15" customFormat="1" x14ac:dyDescent="0.25">
      <c r="A2795" s="661"/>
      <c r="B2795" s="186" t="s">
        <v>12</v>
      </c>
      <c r="C2795" s="73"/>
      <c r="D2795" s="73"/>
      <c r="E2795" s="73"/>
      <c r="F2795" s="73"/>
      <c r="G2795" s="74" t="s">
        <v>3</v>
      </c>
      <c r="H2795" s="153">
        <f>0.3*H2794</f>
        <v>5.8780800000000008E-3</v>
      </c>
      <c r="I2795" s="72"/>
      <c r="J2795" s="73"/>
      <c r="K2795" s="671"/>
      <c r="L2795" s="73"/>
      <c r="M2795" s="73"/>
      <c r="N2795" s="74"/>
      <c r="O2795" s="153"/>
    </row>
    <row r="2796" spans="1:15" customFormat="1" x14ac:dyDescent="0.25">
      <c r="A2796" s="661"/>
      <c r="B2796" s="186" t="s">
        <v>72</v>
      </c>
      <c r="C2796" s="73"/>
      <c r="D2796" s="73"/>
      <c r="E2796" s="73"/>
      <c r="F2796" s="73"/>
      <c r="G2796" s="74" t="s">
        <v>3</v>
      </c>
      <c r="H2796" s="153">
        <f>0.16*3.14*0.05*2*0.15*2*1.3</f>
        <v>1.9593600000000003E-2</v>
      </c>
      <c r="I2796" s="72"/>
      <c r="J2796" s="73"/>
      <c r="K2796" s="671"/>
      <c r="L2796" s="73"/>
      <c r="M2796" s="73"/>
      <c r="N2796" s="74"/>
      <c r="O2796" s="153"/>
    </row>
    <row r="2797" spans="1:15" customFormat="1" x14ac:dyDescent="0.25">
      <c r="A2797" s="661"/>
      <c r="B2797" s="186" t="s">
        <v>11</v>
      </c>
      <c r="C2797" s="73"/>
      <c r="D2797" s="73"/>
      <c r="E2797" s="73"/>
      <c r="F2797" s="73"/>
      <c r="G2797" s="74" t="s">
        <v>3</v>
      </c>
      <c r="H2797" s="153">
        <f>0.3*H2796</f>
        <v>5.8780800000000008E-3</v>
      </c>
      <c r="I2797" s="72"/>
      <c r="J2797" s="73"/>
      <c r="K2797" s="671"/>
      <c r="L2797" s="73"/>
      <c r="M2797" s="73"/>
      <c r="N2797" s="74"/>
      <c r="O2797" s="153"/>
    </row>
    <row r="2798" spans="1:15" customFormat="1" x14ac:dyDescent="0.25">
      <c r="A2798" s="661"/>
      <c r="B2798" s="77" t="s">
        <v>13</v>
      </c>
      <c r="C2798" s="73"/>
      <c r="D2798" s="73"/>
      <c r="E2798" s="73"/>
      <c r="F2798" s="73"/>
      <c r="G2798" s="74" t="s">
        <v>3</v>
      </c>
      <c r="H2798" s="153">
        <f>0.03</f>
        <v>0.03</v>
      </c>
      <c r="I2798" s="72"/>
      <c r="J2798" s="73"/>
      <c r="K2798" s="671"/>
      <c r="L2798" s="73"/>
      <c r="M2798" s="73"/>
      <c r="N2798" s="74"/>
      <c r="O2798" s="153"/>
    </row>
    <row r="2799" spans="1:15" customFormat="1" x14ac:dyDescent="0.25">
      <c r="A2799" s="661"/>
      <c r="B2799" s="186"/>
      <c r="C2799" s="75" t="s">
        <v>8344</v>
      </c>
      <c r="D2799" s="73"/>
      <c r="E2799" s="73"/>
      <c r="F2799" s="73"/>
      <c r="G2799" s="74"/>
      <c r="H2799" s="153"/>
      <c r="I2799" s="72"/>
      <c r="J2799" s="73"/>
      <c r="K2799" s="671"/>
      <c r="L2799" s="73"/>
      <c r="M2799" s="73"/>
      <c r="N2799" s="74"/>
      <c r="O2799" s="153"/>
    </row>
    <row r="2800" spans="1:15" customFormat="1" x14ac:dyDescent="0.25">
      <c r="A2800" s="661"/>
      <c r="B2800" s="186"/>
      <c r="C2800" s="73" t="s">
        <v>226</v>
      </c>
      <c r="D2800" s="73"/>
      <c r="E2800" s="73"/>
      <c r="F2800" s="73"/>
      <c r="G2800" s="74" t="s">
        <v>3</v>
      </c>
      <c r="H2800" s="153">
        <f>0.21*0.03*5*8*1.11</f>
        <v>0.27971999999999997</v>
      </c>
      <c r="I2800" s="72"/>
      <c r="J2800" s="73"/>
      <c r="K2800" s="671"/>
      <c r="L2800" s="73"/>
      <c r="M2800" s="73"/>
      <c r="N2800" s="74"/>
      <c r="O2800" s="153"/>
    </row>
    <row r="2801" spans="1:15" customFormat="1" x14ac:dyDescent="0.25">
      <c r="A2801" s="661"/>
      <c r="B2801" s="186"/>
      <c r="C2801" s="75" t="s">
        <v>8343</v>
      </c>
      <c r="D2801" s="73"/>
      <c r="E2801" s="73"/>
      <c r="F2801" s="73"/>
      <c r="G2801" s="74"/>
      <c r="H2801" s="153"/>
      <c r="I2801" s="72"/>
      <c r="J2801" s="73"/>
      <c r="K2801" s="671"/>
      <c r="L2801" s="73"/>
      <c r="M2801" s="73"/>
      <c r="N2801" s="74"/>
      <c r="O2801" s="153"/>
    </row>
    <row r="2802" spans="1:15" customFormat="1" x14ac:dyDescent="0.25">
      <c r="A2802" s="661"/>
      <c r="B2802" s="186"/>
      <c r="C2802" s="73" t="s">
        <v>5371</v>
      </c>
      <c r="D2802" s="73"/>
      <c r="E2802" s="73"/>
      <c r="F2802" s="73"/>
      <c r="G2802" s="74" t="s">
        <v>3</v>
      </c>
      <c r="H2802" s="153">
        <f>(0.17*3.14/2+0.09)*0.04*3*8*1.125</f>
        <v>0.38545200000000002</v>
      </c>
      <c r="I2802" s="72"/>
      <c r="J2802" s="73"/>
      <c r="K2802" s="671"/>
      <c r="L2802" s="73"/>
      <c r="M2802" s="73"/>
      <c r="N2802" s="74"/>
      <c r="O2802" s="153"/>
    </row>
    <row r="2803" spans="1:15" customFormat="1" x14ac:dyDescent="0.25">
      <c r="A2803" s="661"/>
      <c r="B2803" s="186"/>
      <c r="C2803" s="75" t="s">
        <v>8342</v>
      </c>
      <c r="D2803" s="73"/>
      <c r="E2803" s="73"/>
      <c r="F2803" s="73"/>
      <c r="G2803" s="74"/>
      <c r="H2803" s="153"/>
      <c r="I2803" s="72"/>
      <c r="J2803" s="73"/>
      <c r="K2803" s="671"/>
      <c r="L2803" s="73"/>
      <c r="M2803" s="73"/>
      <c r="N2803" s="74"/>
      <c r="O2803" s="153"/>
    </row>
    <row r="2804" spans="1:15" customFormat="1" x14ac:dyDescent="0.25">
      <c r="A2804" s="661"/>
      <c r="B2804" s="186"/>
      <c r="C2804" s="73" t="s">
        <v>5371</v>
      </c>
      <c r="D2804" s="73"/>
      <c r="E2804" s="73"/>
      <c r="F2804" s="73"/>
      <c r="G2804" s="74" t="s">
        <v>3</v>
      </c>
      <c r="H2804" s="153">
        <f>(0.065+0.17*3.14/4)*0.04*3*8*1.12</f>
        <v>0.21337344000000003</v>
      </c>
      <c r="I2804" s="72"/>
      <c r="J2804" s="73"/>
      <c r="K2804" s="671"/>
      <c r="L2804" s="73"/>
      <c r="M2804" s="73"/>
      <c r="N2804" s="74"/>
      <c r="O2804" s="153"/>
    </row>
    <row r="2805" spans="1:15" customFormat="1" x14ac:dyDescent="0.25">
      <c r="A2805" s="661"/>
      <c r="B2805" s="186"/>
      <c r="C2805" s="75" t="s">
        <v>8341</v>
      </c>
      <c r="D2805" s="73"/>
      <c r="E2805" s="73"/>
      <c r="F2805" s="73"/>
      <c r="G2805" s="74"/>
      <c r="H2805" s="153"/>
      <c r="I2805" s="72"/>
      <c r="J2805" s="73"/>
      <c r="K2805" s="671"/>
      <c r="L2805" s="73"/>
      <c r="M2805" s="73"/>
      <c r="N2805" s="74"/>
      <c r="O2805" s="153"/>
    </row>
    <row r="2806" spans="1:15" customFormat="1" x14ac:dyDescent="0.25">
      <c r="A2806" s="661"/>
      <c r="B2806" s="186"/>
      <c r="C2806" s="100" t="s">
        <v>8340</v>
      </c>
      <c r="D2806" s="73"/>
      <c r="E2806" s="73"/>
      <c r="F2806" s="73"/>
      <c r="G2806" s="74" t="s">
        <v>3</v>
      </c>
      <c r="H2806" s="153">
        <v>0.04</v>
      </c>
      <c r="I2806" s="72"/>
      <c r="J2806" s="73"/>
      <c r="K2806" s="671"/>
      <c r="L2806" s="73"/>
      <c r="M2806" s="73"/>
      <c r="N2806" s="74"/>
      <c r="O2806" s="153"/>
    </row>
    <row r="2807" spans="1:15" customFormat="1" x14ac:dyDescent="0.25">
      <c r="A2807" s="661"/>
      <c r="B2807" s="186"/>
      <c r="C2807" s="73"/>
      <c r="D2807" s="73"/>
      <c r="E2807" s="73"/>
      <c r="F2807" s="73"/>
      <c r="G2807" s="74"/>
      <c r="H2807" s="153"/>
      <c r="I2807" s="72"/>
      <c r="J2807" s="73"/>
      <c r="K2807" s="671"/>
      <c r="L2807" s="73"/>
      <c r="M2807" s="73"/>
      <c r="N2807" s="74"/>
      <c r="O2807" s="153"/>
    </row>
    <row r="2808" spans="1:15" customFormat="1" x14ac:dyDescent="0.25">
      <c r="A2808" s="678"/>
      <c r="B2808" s="75" t="s">
        <v>8339</v>
      </c>
      <c r="C2808" s="73"/>
      <c r="D2808" s="73"/>
      <c r="E2808" s="73"/>
      <c r="F2808" s="73"/>
      <c r="G2808" s="74"/>
      <c r="H2808" s="153"/>
      <c r="I2808" s="72"/>
      <c r="J2808" s="73"/>
      <c r="K2808" s="671"/>
      <c r="L2808" s="73"/>
      <c r="M2808" s="73"/>
      <c r="N2808" s="74"/>
      <c r="O2808" s="153"/>
    </row>
    <row r="2809" spans="1:15" customFormat="1" x14ac:dyDescent="0.25">
      <c r="A2809" s="661"/>
      <c r="B2809" s="73" t="s">
        <v>140</v>
      </c>
      <c r="C2809" s="73"/>
      <c r="D2809" s="73"/>
      <c r="E2809" s="73"/>
      <c r="F2809" s="73"/>
      <c r="G2809" s="74" t="s">
        <v>3</v>
      </c>
      <c r="H2809" s="153">
        <f>0.003</f>
        <v>3.0000000000000001E-3</v>
      </c>
      <c r="I2809" s="72"/>
      <c r="J2809" s="73"/>
      <c r="K2809" s="671"/>
      <c r="L2809" s="73"/>
      <c r="M2809" s="73"/>
      <c r="N2809" s="74"/>
      <c r="O2809" s="153"/>
    </row>
    <row r="2810" spans="1:15" customFormat="1" ht="17.25" x14ac:dyDescent="0.25">
      <c r="A2810" s="661"/>
      <c r="B2810" s="73" t="s">
        <v>23</v>
      </c>
      <c r="C2810" s="73"/>
      <c r="D2810" s="73"/>
      <c r="E2810" s="73"/>
      <c r="F2810" s="73"/>
      <c r="G2810" s="74" t="s">
        <v>596</v>
      </c>
      <c r="H2810" s="153">
        <f>H2809*2</f>
        <v>6.0000000000000001E-3</v>
      </c>
      <c r="I2810" s="72"/>
      <c r="J2810" s="73"/>
      <c r="K2810" s="671"/>
      <c r="L2810" s="73"/>
      <c r="M2810" s="73"/>
      <c r="N2810" s="74"/>
      <c r="O2810" s="153"/>
    </row>
    <row r="2811" spans="1:15" customFormat="1" x14ac:dyDescent="0.25">
      <c r="A2811" s="661"/>
      <c r="B2811" s="73" t="s">
        <v>142</v>
      </c>
      <c r="C2811" s="73"/>
      <c r="D2811" s="73"/>
      <c r="E2811" s="73"/>
      <c r="F2811" s="73"/>
      <c r="G2811" s="74" t="s">
        <v>3</v>
      </c>
      <c r="H2811" s="153">
        <f>H2809/4</f>
        <v>7.5000000000000002E-4</v>
      </c>
      <c r="I2811" s="72"/>
      <c r="J2811" s="73"/>
      <c r="K2811" s="671"/>
      <c r="L2811" s="73"/>
      <c r="M2811" s="73"/>
      <c r="N2811" s="74"/>
      <c r="O2811" s="153"/>
    </row>
    <row r="2812" spans="1:15" customFormat="1" x14ac:dyDescent="0.25">
      <c r="A2812" s="661"/>
      <c r="B2812" s="77" t="s">
        <v>1054</v>
      </c>
      <c r="C2812" s="73"/>
      <c r="D2812" s="73"/>
      <c r="E2812" s="73"/>
      <c r="F2812" s="73"/>
      <c r="G2812" s="74" t="s">
        <v>3</v>
      </c>
      <c r="H2812" s="153">
        <v>5.0000000000000001E-3</v>
      </c>
      <c r="I2812" s="72"/>
      <c r="J2812" s="73"/>
      <c r="K2812" s="671"/>
      <c r="L2812" s="73"/>
      <c r="M2812" s="73"/>
      <c r="N2812" s="74"/>
      <c r="O2812" s="153"/>
    </row>
    <row r="2813" spans="1:15" customFormat="1" ht="17.25" x14ac:dyDescent="0.25">
      <c r="A2813" s="661"/>
      <c r="B2813" s="77" t="s">
        <v>1055</v>
      </c>
      <c r="C2813" s="73"/>
      <c r="D2813" s="73"/>
      <c r="E2813" s="73"/>
      <c r="F2813" s="73"/>
      <c r="G2813" s="74" t="s">
        <v>596</v>
      </c>
      <c r="H2813" s="153">
        <f>H2812</f>
        <v>5.0000000000000001E-3</v>
      </c>
      <c r="I2813" s="72"/>
      <c r="J2813" s="73"/>
      <c r="K2813" s="671"/>
      <c r="L2813" s="73"/>
      <c r="M2813" s="73"/>
      <c r="N2813" s="74"/>
      <c r="O2813" s="153"/>
    </row>
    <row r="2814" spans="1:15" customFormat="1" x14ac:dyDescent="0.25">
      <c r="A2814" s="661"/>
      <c r="B2814" s="77" t="s">
        <v>731</v>
      </c>
      <c r="C2814" s="73"/>
      <c r="D2814" s="73"/>
      <c r="E2814" s="73"/>
      <c r="F2814" s="73"/>
      <c r="G2814" s="74" t="s">
        <v>3</v>
      </c>
      <c r="H2814" s="153">
        <f>0.28*0.09*0.2*2</f>
        <v>1.008E-2</v>
      </c>
      <c r="I2814" s="72"/>
      <c r="J2814" s="73"/>
      <c r="K2814" s="671"/>
      <c r="L2814" s="73"/>
      <c r="M2814" s="73"/>
      <c r="N2814" s="74"/>
      <c r="O2814" s="153"/>
    </row>
    <row r="2815" spans="1:15" customFormat="1" x14ac:dyDescent="0.25">
      <c r="A2815" s="661"/>
      <c r="B2815" s="77" t="s">
        <v>8</v>
      </c>
      <c r="C2815" s="73"/>
      <c r="D2815" s="73"/>
      <c r="E2815" s="73"/>
      <c r="F2815" s="73"/>
      <c r="G2815" s="74" t="s">
        <v>3</v>
      </c>
      <c r="H2815" s="153">
        <f>H2817*0.85</f>
        <v>3.1946399999999993E-2</v>
      </c>
      <c r="I2815" s="72"/>
      <c r="J2815" s="73"/>
      <c r="K2815" s="671"/>
      <c r="L2815" s="73"/>
      <c r="M2815" s="73"/>
      <c r="N2815" s="74"/>
      <c r="O2815" s="153"/>
    </row>
    <row r="2816" spans="1:15" customFormat="1" x14ac:dyDescent="0.25">
      <c r="A2816" s="661"/>
      <c r="B2816" s="77" t="s">
        <v>12</v>
      </c>
      <c r="C2816" s="73"/>
      <c r="D2816" s="73"/>
      <c r="E2816" s="73"/>
      <c r="F2816" s="73"/>
      <c r="G2816" s="74" t="s">
        <v>3</v>
      </c>
      <c r="H2816" s="153">
        <f>0.3*H2815</f>
        <v>9.5839199999999975E-3</v>
      </c>
      <c r="I2816" s="72"/>
      <c r="J2816" s="73"/>
      <c r="K2816" s="671"/>
      <c r="L2816" s="73"/>
      <c r="M2816" s="73"/>
      <c r="N2816" s="74"/>
      <c r="O2816" s="153"/>
    </row>
    <row r="2817" spans="1:15" customFormat="1" x14ac:dyDescent="0.25">
      <c r="A2817" s="661"/>
      <c r="B2817" s="77" t="s">
        <v>72</v>
      </c>
      <c r="C2817" s="73"/>
      <c r="D2817" s="73"/>
      <c r="E2817" s="73"/>
      <c r="F2817" s="73"/>
      <c r="G2817" s="74" t="s">
        <v>3</v>
      </c>
      <c r="H2817" s="153">
        <f>0.58*0.09*2*0.15*2*1.2</f>
        <v>3.7583999999999992E-2</v>
      </c>
      <c r="I2817" s="72"/>
      <c r="J2817" s="73"/>
      <c r="K2817" s="671"/>
      <c r="L2817" s="73"/>
      <c r="M2817" s="73"/>
      <c r="N2817" s="74"/>
      <c r="O2817" s="153"/>
    </row>
    <row r="2818" spans="1:15" customFormat="1" x14ac:dyDescent="0.25">
      <c r="A2818" s="661"/>
      <c r="B2818" s="77" t="s">
        <v>11</v>
      </c>
      <c r="C2818" s="73"/>
      <c r="D2818" s="73"/>
      <c r="E2818" s="73"/>
      <c r="F2818" s="73"/>
      <c r="G2818" s="74" t="s">
        <v>3</v>
      </c>
      <c r="H2818" s="153">
        <f>0.3*H2817</f>
        <v>1.1275199999999997E-2</v>
      </c>
      <c r="I2818" s="72"/>
      <c r="J2818" s="73"/>
      <c r="K2818" s="671"/>
      <c r="L2818" s="73"/>
      <c r="M2818" s="73"/>
      <c r="N2818" s="74"/>
      <c r="O2818" s="153"/>
    </row>
    <row r="2819" spans="1:15" customFormat="1" x14ac:dyDescent="0.25">
      <c r="A2819" s="661"/>
      <c r="B2819" s="77" t="s">
        <v>13</v>
      </c>
      <c r="C2819" s="73"/>
      <c r="D2819" s="73"/>
      <c r="E2819" s="73"/>
      <c r="F2819" s="73"/>
      <c r="G2819" s="74"/>
      <c r="H2819" s="153"/>
      <c r="I2819" s="72"/>
      <c r="J2819" s="73"/>
      <c r="K2819" s="671"/>
      <c r="L2819" s="73"/>
      <c r="M2819" s="73"/>
      <c r="N2819" s="74"/>
      <c r="O2819" s="153"/>
    </row>
    <row r="2820" spans="1:15" customFormat="1" x14ac:dyDescent="0.25">
      <c r="A2820" s="661"/>
      <c r="B2820" s="77"/>
      <c r="C2820" s="75" t="s">
        <v>8338</v>
      </c>
      <c r="D2820" s="73"/>
      <c r="E2820" s="73"/>
      <c r="F2820" s="73"/>
      <c r="G2820" s="74"/>
      <c r="H2820" s="153"/>
      <c r="I2820" s="72"/>
      <c r="J2820" s="73"/>
      <c r="K2820" s="671"/>
      <c r="L2820" s="73"/>
      <c r="M2820" s="73"/>
      <c r="N2820" s="74"/>
      <c r="O2820" s="153"/>
    </row>
    <row r="2821" spans="1:15" customFormat="1" x14ac:dyDescent="0.25">
      <c r="A2821" s="661"/>
      <c r="B2821" s="77"/>
      <c r="C2821" s="73" t="s">
        <v>1650</v>
      </c>
      <c r="D2821" s="73"/>
      <c r="E2821" s="73"/>
      <c r="F2821" s="73"/>
      <c r="G2821" s="74" t="s">
        <v>3</v>
      </c>
      <c r="H2821" s="153">
        <f>0.68*0.09*1.5*8*1.124</f>
        <v>0.82546560000000013</v>
      </c>
      <c r="I2821" s="72"/>
      <c r="J2821" s="73"/>
      <c r="K2821" s="671"/>
      <c r="L2821" s="73"/>
      <c r="M2821" s="73"/>
      <c r="N2821" s="74"/>
      <c r="O2821" s="153"/>
    </row>
    <row r="2822" spans="1:15" customFormat="1" x14ac:dyDescent="0.25">
      <c r="A2822" s="661"/>
      <c r="B2822" s="77"/>
      <c r="C2822" s="75" t="s">
        <v>8337</v>
      </c>
      <c r="D2822" s="73"/>
      <c r="E2822" s="73"/>
      <c r="F2822" s="73"/>
      <c r="G2822" s="74"/>
      <c r="H2822" s="153"/>
      <c r="I2822" s="72"/>
      <c r="J2822" s="73"/>
      <c r="K2822" s="671"/>
      <c r="L2822" s="73"/>
      <c r="M2822" s="73"/>
      <c r="N2822" s="74"/>
      <c r="O2822" s="153"/>
    </row>
    <row r="2823" spans="1:15" customFormat="1" x14ac:dyDescent="0.25">
      <c r="A2823" s="661"/>
      <c r="B2823" s="77"/>
      <c r="C2823" s="73" t="s">
        <v>5371</v>
      </c>
      <c r="D2823" s="73"/>
      <c r="E2823" s="73"/>
      <c r="F2823" s="73"/>
      <c r="G2823" s="74" t="s">
        <v>3</v>
      </c>
      <c r="H2823" s="153">
        <f>0.08*0.07*3*8*1.119</f>
        <v>0.15039360000000002</v>
      </c>
      <c r="I2823" s="72"/>
      <c r="J2823" s="73"/>
      <c r="K2823" s="671"/>
      <c r="L2823" s="73"/>
      <c r="M2823" s="73"/>
      <c r="N2823" s="74"/>
      <c r="O2823" s="153"/>
    </row>
    <row r="2824" spans="1:15" customFormat="1" x14ac:dyDescent="0.25">
      <c r="A2824" s="661"/>
      <c r="B2824" s="77"/>
      <c r="C2824" s="73"/>
      <c r="D2824" s="73"/>
      <c r="E2824" s="73"/>
      <c r="F2824" s="73"/>
      <c r="G2824" s="74"/>
      <c r="H2824" s="153"/>
      <c r="I2824" s="72"/>
      <c r="J2824" s="73"/>
      <c r="K2824" s="671"/>
      <c r="L2824" s="73"/>
      <c r="M2824" s="73"/>
      <c r="N2824" s="74"/>
      <c r="O2824" s="153"/>
    </row>
    <row r="2825" spans="1:15" customFormat="1" x14ac:dyDescent="0.25">
      <c r="A2825" s="678"/>
      <c r="B2825" s="75" t="s">
        <v>8336</v>
      </c>
      <c r="C2825" s="73"/>
      <c r="D2825" s="73"/>
      <c r="E2825" s="73"/>
      <c r="F2825" s="73"/>
      <c r="G2825" s="74"/>
      <c r="H2825" s="153"/>
      <c r="I2825" s="72"/>
      <c r="J2825" s="73"/>
      <c r="K2825" s="671"/>
      <c r="L2825" s="73"/>
      <c r="M2825" s="73"/>
      <c r="N2825" s="74"/>
      <c r="O2825" s="153"/>
    </row>
    <row r="2826" spans="1:15" customFormat="1" x14ac:dyDescent="0.25">
      <c r="A2826" s="661"/>
      <c r="B2826" s="580" t="s">
        <v>6724</v>
      </c>
      <c r="C2826" s="75"/>
      <c r="D2826" s="75"/>
      <c r="E2826" s="75"/>
      <c r="F2826" s="73"/>
      <c r="G2826" s="74" t="s">
        <v>3</v>
      </c>
      <c r="H2826" s="427">
        <f>0.25*0.05*1.2</f>
        <v>1.4999999999999999E-2</v>
      </c>
      <c r="I2826" s="72"/>
      <c r="J2826" s="73"/>
      <c r="K2826" s="671"/>
      <c r="L2826" s="73"/>
      <c r="M2826" s="73"/>
      <c r="N2826" s="74"/>
      <c r="O2826" s="153"/>
    </row>
    <row r="2827" spans="1:15" customFormat="1" ht="17.25" x14ac:dyDescent="0.25">
      <c r="A2827" s="661"/>
      <c r="B2827" s="204" t="s">
        <v>6723</v>
      </c>
      <c r="C2827" s="75"/>
      <c r="D2827" s="75"/>
      <c r="E2827" s="75"/>
      <c r="F2827" s="73"/>
      <c r="G2827" s="74" t="s">
        <v>596</v>
      </c>
      <c r="H2827" s="153">
        <f>1.09*H2826</f>
        <v>1.635E-2</v>
      </c>
      <c r="I2827" s="72"/>
      <c r="J2827" s="73"/>
      <c r="K2827" s="671"/>
      <c r="L2827" s="73"/>
      <c r="M2827" s="73"/>
      <c r="N2827" s="74"/>
      <c r="O2827" s="153"/>
    </row>
    <row r="2828" spans="1:15" customFormat="1" x14ac:dyDescent="0.25">
      <c r="A2828" s="661"/>
      <c r="B2828" s="100" t="s">
        <v>7873</v>
      </c>
      <c r="C2828" s="73"/>
      <c r="D2828" s="73"/>
      <c r="E2828" s="73"/>
      <c r="F2828" s="73"/>
      <c r="G2828" s="74" t="s">
        <v>3</v>
      </c>
      <c r="H2828" s="153">
        <f>H2830*0.8</f>
        <v>3.0332399999999999E-2</v>
      </c>
      <c r="I2828" s="72"/>
      <c r="J2828" s="73"/>
      <c r="K2828" s="671"/>
      <c r="L2828" s="73"/>
      <c r="M2828" s="73"/>
      <c r="N2828" s="74"/>
      <c r="O2828" s="153"/>
    </row>
    <row r="2829" spans="1:15" customFormat="1" x14ac:dyDescent="0.25">
      <c r="A2829" s="661"/>
      <c r="B2829" s="100" t="s">
        <v>313</v>
      </c>
      <c r="C2829" s="73"/>
      <c r="D2829" s="73"/>
      <c r="E2829" s="73"/>
      <c r="F2829" s="73"/>
      <c r="G2829" s="74" t="s">
        <v>3</v>
      </c>
      <c r="H2829" s="153">
        <f>0.3*H2828</f>
        <v>9.0997199999999986E-3</v>
      </c>
      <c r="I2829" s="72"/>
      <c r="J2829" s="73"/>
      <c r="K2829" s="671"/>
      <c r="L2829" s="73"/>
      <c r="M2829" s="73"/>
      <c r="N2829" s="74"/>
      <c r="O2829" s="153"/>
    </row>
    <row r="2830" spans="1:15" customFormat="1" x14ac:dyDescent="0.25">
      <c r="A2830" s="661"/>
      <c r="B2830" s="100" t="s">
        <v>36</v>
      </c>
      <c r="C2830" s="73"/>
      <c r="D2830" s="73"/>
      <c r="E2830" s="73"/>
      <c r="F2830" s="73"/>
      <c r="G2830" s="74" t="s">
        <v>3</v>
      </c>
      <c r="H2830" s="153">
        <f>0.125*3.14*0.14*2*0.15*2*1.15</f>
        <v>3.7915499999999998E-2</v>
      </c>
      <c r="I2830" s="72"/>
      <c r="J2830" s="73"/>
      <c r="K2830" s="671"/>
      <c r="L2830" s="73"/>
      <c r="M2830" s="73"/>
      <c r="N2830" s="74"/>
      <c r="O2830" s="153"/>
    </row>
    <row r="2831" spans="1:15" customFormat="1" x14ac:dyDescent="0.25">
      <c r="A2831" s="661"/>
      <c r="B2831" s="100" t="s">
        <v>12</v>
      </c>
      <c r="C2831" s="73"/>
      <c r="D2831" s="73"/>
      <c r="E2831" s="73"/>
      <c r="F2831" s="73"/>
      <c r="G2831" s="74" t="s">
        <v>3</v>
      </c>
      <c r="H2831" s="153">
        <f>0.3*H2830</f>
        <v>1.1374649999999998E-2</v>
      </c>
      <c r="I2831" s="72"/>
      <c r="J2831" s="73"/>
      <c r="K2831" s="671"/>
      <c r="L2831" s="73"/>
      <c r="M2831" s="73"/>
      <c r="N2831" s="74"/>
      <c r="O2831" s="153"/>
    </row>
    <row r="2832" spans="1:15" customFormat="1" x14ac:dyDescent="0.25">
      <c r="A2832" s="661"/>
      <c r="B2832" s="75"/>
      <c r="C2832" s="75" t="s">
        <v>8335</v>
      </c>
      <c r="D2832" s="73"/>
      <c r="E2832" s="73"/>
      <c r="F2832" s="73"/>
      <c r="G2832" s="74"/>
      <c r="H2832" s="153"/>
      <c r="I2832" s="72"/>
      <c r="J2832" s="73"/>
      <c r="K2832" s="671"/>
      <c r="L2832" s="73"/>
      <c r="M2832" s="73"/>
      <c r="N2832" s="74"/>
      <c r="O2832" s="153"/>
    </row>
    <row r="2833" spans="1:15" customFormat="1" x14ac:dyDescent="0.25">
      <c r="A2833" s="661"/>
      <c r="B2833" s="75"/>
      <c r="C2833" s="73" t="s">
        <v>8317</v>
      </c>
      <c r="D2833" s="73"/>
      <c r="E2833" s="73"/>
      <c r="F2833" s="73"/>
      <c r="G2833" s="74" t="s">
        <v>3</v>
      </c>
      <c r="H2833" s="153">
        <f>0.125*3.14*0.14*2*2.7*1.12</f>
        <v>0.33233760000000007</v>
      </c>
      <c r="I2833" s="72"/>
      <c r="J2833" s="73"/>
      <c r="K2833" s="671"/>
      <c r="L2833" s="73"/>
      <c r="M2833" s="73"/>
      <c r="N2833" s="74"/>
      <c r="O2833" s="153"/>
    </row>
    <row r="2834" spans="1:15" customFormat="1" x14ac:dyDescent="0.25">
      <c r="A2834" s="661"/>
      <c r="B2834" s="75"/>
      <c r="C2834" s="75" t="s">
        <v>8334</v>
      </c>
      <c r="D2834" s="73"/>
      <c r="E2834" s="73"/>
      <c r="F2834" s="73"/>
      <c r="G2834" s="74"/>
      <c r="H2834" s="153"/>
      <c r="I2834" s="72"/>
      <c r="J2834" s="73"/>
      <c r="K2834" s="671"/>
      <c r="L2834" s="73"/>
      <c r="M2834" s="73"/>
      <c r="N2834" s="74"/>
      <c r="O2834" s="153"/>
    </row>
    <row r="2835" spans="1:15" customFormat="1" x14ac:dyDescent="0.25">
      <c r="A2835" s="661"/>
      <c r="B2835" s="75"/>
      <c r="C2835" s="73" t="s">
        <v>8317</v>
      </c>
      <c r="D2835" s="73"/>
      <c r="E2835" s="73"/>
      <c r="F2835" s="73"/>
      <c r="G2835" s="74" t="s">
        <v>3</v>
      </c>
      <c r="H2835" s="153">
        <f>0.125*0.05*2*2.7*1.18</f>
        <v>3.9824999999999999E-2</v>
      </c>
      <c r="I2835" s="72"/>
      <c r="J2835" s="73"/>
      <c r="K2835" s="671"/>
      <c r="L2835" s="73"/>
      <c r="M2835" s="73"/>
      <c r="N2835" s="74"/>
      <c r="O2835" s="153"/>
    </row>
    <row r="2836" spans="1:15" customFormat="1" x14ac:dyDescent="0.25">
      <c r="A2836" s="661"/>
      <c r="B2836" s="75"/>
      <c r="C2836" s="75" t="s">
        <v>3121</v>
      </c>
      <c r="D2836" s="73"/>
      <c r="E2836" s="73"/>
      <c r="F2836" s="73"/>
      <c r="G2836" s="74"/>
      <c r="H2836" s="153"/>
      <c r="I2836" s="72"/>
      <c r="J2836" s="73"/>
      <c r="K2836" s="671"/>
      <c r="L2836" s="73"/>
      <c r="M2836" s="73"/>
      <c r="N2836" s="74"/>
      <c r="O2836" s="153"/>
    </row>
    <row r="2837" spans="1:15" customFormat="1" x14ac:dyDescent="0.25">
      <c r="A2837" s="661"/>
      <c r="B2837" s="75"/>
      <c r="C2837" s="100" t="s">
        <v>213</v>
      </c>
      <c r="D2837" s="73"/>
      <c r="E2837" s="73"/>
      <c r="F2837" s="73"/>
      <c r="G2837" s="74" t="s">
        <v>3</v>
      </c>
      <c r="H2837" s="153">
        <f>0.05*0.02*3*2.7*1.2</f>
        <v>9.7200000000000012E-3</v>
      </c>
      <c r="I2837" s="72"/>
      <c r="J2837" s="73"/>
      <c r="K2837" s="671"/>
      <c r="L2837" s="73"/>
      <c r="M2837" s="73"/>
      <c r="N2837" s="74"/>
      <c r="O2837" s="153"/>
    </row>
    <row r="2838" spans="1:15" customFormat="1" x14ac:dyDescent="0.25">
      <c r="A2838" s="661"/>
      <c r="B2838" s="75"/>
      <c r="C2838" s="75"/>
      <c r="D2838" s="73"/>
      <c r="E2838" s="73"/>
      <c r="F2838" s="73"/>
      <c r="G2838" s="74"/>
      <c r="H2838" s="153"/>
      <c r="I2838" s="72"/>
      <c r="J2838" s="73"/>
      <c r="K2838" s="671"/>
      <c r="L2838" s="73"/>
      <c r="M2838" s="73"/>
      <c r="N2838" s="74"/>
      <c r="O2838" s="153"/>
    </row>
    <row r="2839" spans="1:15" customFormat="1" x14ac:dyDescent="0.25">
      <c r="A2839" s="678"/>
      <c r="B2839" s="75" t="s">
        <v>8333</v>
      </c>
      <c r="C2839" s="73"/>
      <c r="D2839" s="73"/>
      <c r="E2839" s="73"/>
      <c r="F2839" s="73"/>
      <c r="G2839" s="74"/>
      <c r="H2839" s="153"/>
      <c r="I2839" s="72"/>
      <c r="J2839" s="73"/>
      <c r="K2839" s="671"/>
      <c r="L2839" s="73"/>
      <c r="M2839" s="73"/>
      <c r="N2839" s="74"/>
      <c r="O2839" s="153"/>
    </row>
    <row r="2840" spans="1:15" customFormat="1" x14ac:dyDescent="0.25">
      <c r="A2840" s="661"/>
      <c r="B2840" s="77" t="s">
        <v>1054</v>
      </c>
      <c r="C2840" s="73"/>
      <c r="D2840" s="73"/>
      <c r="E2840" s="73"/>
      <c r="F2840" s="73"/>
      <c r="G2840" s="74" t="s">
        <v>3</v>
      </c>
      <c r="H2840" s="153">
        <f>0.85*0.08*1.18</f>
        <v>8.0240000000000006E-2</v>
      </c>
      <c r="I2840" s="72"/>
      <c r="J2840" s="73"/>
      <c r="K2840" s="671"/>
      <c r="L2840" s="73"/>
      <c r="M2840" s="73"/>
      <c r="N2840" s="74"/>
      <c r="O2840" s="153"/>
    </row>
    <row r="2841" spans="1:15" customFormat="1" ht="17.25" x14ac:dyDescent="0.25">
      <c r="A2841" s="661"/>
      <c r="B2841" s="77" t="s">
        <v>1055</v>
      </c>
      <c r="C2841" s="73"/>
      <c r="D2841" s="73"/>
      <c r="E2841" s="73"/>
      <c r="F2841" s="73"/>
      <c r="G2841" s="74" t="s">
        <v>596</v>
      </c>
      <c r="H2841" s="153">
        <f>H2840</f>
        <v>8.0240000000000006E-2</v>
      </c>
      <c r="I2841" s="72"/>
      <c r="J2841" s="73"/>
      <c r="K2841" s="671"/>
      <c r="L2841" s="73"/>
      <c r="M2841" s="73"/>
      <c r="N2841" s="74"/>
      <c r="O2841" s="153"/>
    </row>
    <row r="2842" spans="1:15" customFormat="1" x14ac:dyDescent="0.25">
      <c r="A2842" s="661"/>
      <c r="B2842" s="100" t="s">
        <v>8</v>
      </c>
      <c r="C2842" s="73"/>
      <c r="D2842" s="73"/>
      <c r="E2842" s="73"/>
      <c r="F2842" s="73"/>
      <c r="G2842" s="74" t="s">
        <v>3</v>
      </c>
      <c r="H2842" s="153">
        <v>0.4</v>
      </c>
      <c r="I2842" s="72"/>
      <c r="J2842" s="73"/>
      <c r="K2842" s="671"/>
      <c r="L2842" s="73"/>
      <c r="M2842" s="73"/>
      <c r="N2842" s="74"/>
      <c r="O2842" s="153"/>
    </row>
    <row r="2843" spans="1:15" customFormat="1" x14ac:dyDescent="0.25">
      <c r="A2843" s="661"/>
      <c r="B2843" s="100" t="s">
        <v>12</v>
      </c>
      <c r="C2843" s="73"/>
      <c r="D2843" s="73"/>
      <c r="E2843" s="73"/>
      <c r="F2843" s="73"/>
      <c r="G2843" s="74" t="s">
        <v>3</v>
      </c>
      <c r="H2843" s="153">
        <f>0.3*H2842</f>
        <v>0.12</v>
      </c>
      <c r="I2843" s="72"/>
      <c r="J2843" s="73"/>
      <c r="K2843" s="671"/>
      <c r="L2843" s="73"/>
      <c r="M2843" s="73"/>
      <c r="N2843" s="74"/>
      <c r="O2843" s="153"/>
    </row>
    <row r="2844" spans="1:15" customFormat="1" x14ac:dyDescent="0.25">
      <c r="A2844" s="661"/>
      <c r="B2844" s="100" t="s">
        <v>72</v>
      </c>
      <c r="C2844" s="73"/>
      <c r="D2844" s="73"/>
      <c r="E2844" s="73"/>
      <c r="F2844" s="73"/>
      <c r="G2844" s="74" t="s">
        <v>3</v>
      </c>
      <c r="H2844" s="153">
        <f>(0.94*0.57+1.8*0.1)*2*0.15*2*1.2</f>
        <v>0.51537599999999995</v>
      </c>
      <c r="I2844" s="72"/>
      <c r="J2844" s="73"/>
      <c r="K2844" s="671"/>
      <c r="L2844" s="73"/>
      <c r="M2844" s="73"/>
      <c r="N2844" s="74"/>
      <c r="O2844" s="153"/>
    </row>
    <row r="2845" spans="1:15" customFormat="1" x14ac:dyDescent="0.25">
      <c r="A2845" s="661"/>
      <c r="B2845" s="100" t="s">
        <v>11</v>
      </c>
      <c r="C2845" s="73"/>
      <c r="D2845" s="73"/>
      <c r="E2845" s="73"/>
      <c r="F2845" s="73"/>
      <c r="G2845" s="74" t="s">
        <v>3</v>
      </c>
      <c r="H2845" s="153">
        <f>0.3*H2844</f>
        <v>0.15461279999999997</v>
      </c>
      <c r="I2845" s="72"/>
      <c r="J2845" s="73"/>
      <c r="K2845" s="671"/>
      <c r="L2845" s="73"/>
      <c r="M2845" s="73"/>
      <c r="N2845" s="74"/>
      <c r="O2845" s="153"/>
    </row>
    <row r="2846" spans="1:15" customFormat="1" x14ac:dyDescent="0.25">
      <c r="A2846" s="661"/>
      <c r="B2846" s="100" t="s">
        <v>13</v>
      </c>
      <c r="C2846" s="73"/>
      <c r="D2846" s="73"/>
      <c r="E2846" s="73"/>
      <c r="F2846" s="73"/>
      <c r="G2846" s="74" t="s">
        <v>3</v>
      </c>
      <c r="H2846" s="153">
        <v>0.2</v>
      </c>
      <c r="I2846" s="72"/>
      <c r="J2846" s="73"/>
      <c r="K2846" s="671"/>
      <c r="L2846" s="73"/>
      <c r="M2846" s="73"/>
      <c r="N2846" s="74"/>
      <c r="O2846" s="153"/>
    </row>
    <row r="2847" spans="1:15" customFormat="1" x14ac:dyDescent="0.25">
      <c r="A2847" s="661"/>
      <c r="B2847" s="77"/>
      <c r="C2847" s="75" t="s">
        <v>8332</v>
      </c>
      <c r="D2847" s="73"/>
      <c r="E2847" s="73"/>
      <c r="F2847" s="73"/>
      <c r="G2847" s="74"/>
      <c r="H2847" s="153"/>
      <c r="I2847" s="72"/>
      <c r="J2847" s="73"/>
      <c r="K2847" s="671"/>
      <c r="L2847" s="73"/>
      <c r="M2847" s="73"/>
      <c r="N2847" s="74"/>
      <c r="O2847" s="153"/>
    </row>
    <row r="2848" spans="1:15" customFormat="1" x14ac:dyDescent="0.25">
      <c r="A2848" s="661"/>
      <c r="B2848" s="77"/>
      <c r="C2848" s="73" t="s">
        <v>5371</v>
      </c>
      <c r="D2848" s="73"/>
      <c r="E2848" s="73"/>
      <c r="F2848" s="73"/>
      <c r="G2848" s="74" t="s">
        <v>3</v>
      </c>
      <c r="H2848" s="153">
        <f>0.09*0.04*3*8*1.1</f>
        <v>9.5040000000000013E-2</v>
      </c>
      <c r="I2848" s="72"/>
      <c r="J2848" s="73"/>
      <c r="K2848" s="671"/>
      <c r="L2848" s="73"/>
      <c r="M2848" s="73"/>
      <c r="N2848" s="74"/>
      <c r="O2848" s="153"/>
    </row>
    <row r="2849" spans="1:15" customFormat="1" x14ac:dyDescent="0.25">
      <c r="A2849" s="661"/>
      <c r="B2849" s="77"/>
      <c r="C2849" s="75" t="s">
        <v>8331</v>
      </c>
      <c r="D2849" s="73"/>
      <c r="E2849" s="73"/>
      <c r="F2849" s="73"/>
      <c r="G2849" s="74"/>
      <c r="H2849" s="153"/>
      <c r="I2849" s="72"/>
      <c r="J2849" s="73"/>
      <c r="K2849" s="671"/>
      <c r="L2849" s="73"/>
      <c r="M2849" s="73"/>
      <c r="N2849" s="74"/>
      <c r="O2849" s="153"/>
    </row>
    <row r="2850" spans="1:15" customFormat="1" x14ac:dyDescent="0.25">
      <c r="A2850" s="661"/>
      <c r="B2850" s="77"/>
      <c r="C2850" s="73" t="s">
        <v>412</v>
      </c>
      <c r="D2850" s="73"/>
      <c r="E2850" s="73"/>
      <c r="F2850" s="73"/>
      <c r="G2850" s="74" t="s">
        <v>3</v>
      </c>
      <c r="H2850" s="153">
        <f>0.045*0.08*2*8*1.12</f>
        <v>6.4512E-2</v>
      </c>
      <c r="I2850" s="72"/>
      <c r="J2850" s="73"/>
      <c r="K2850" s="671"/>
      <c r="L2850" s="73"/>
      <c r="M2850" s="73"/>
      <c r="N2850" s="74"/>
      <c r="O2850" s="153"/>
    </row>
    <row r="2851" spans="1:15" customFormat="1" x14ac:dyDescent="0.25">
      <c r="A2851" s="661"/>
      <c r="B2851" s="77"/>
      <c r="C2851" s="73"/>
      <c r="D2851" s="73"/>
      <c r="E2851" s="73"/>
      <c r="F2851" s="73"/>
      <c r="G2851" s="74"/>
      <c r="H2851" s="153"/>
      <c r="I2851" s="72"/>
      <c r="J2851" s="73"/>
      <c r="K2851" s="671"/>
      <c r="L2851" s="73"/>
      <c r="M2851" s="73"/>
      <c r="N2851" s="74"/>
      <c r="O2851" s="153"/>
    </row>
    <row r="2852" spans="1:15" customFormat="1" x14ac:dyDescent="0.25">
      <c r="A2852" s="678"/>
      <c r="B2852" s="75" t="s">
        <v>8330</v>
      </c>
      <c r="C2852" s="73"/>
      <c r="D2852" s="73"/>
      <c r="E2852" s="73"/>
      <c r="F2852" s="73"/>
      <c r="G2852" s="74"/>
      <c r="H2852" s="153"/>
      <c r="I2852" s="72"/>
      <c r="J2852" s="73"/>
      <c r="K2852" s="671"/>
      <c r="L2852" s="73"/>
      <c r="M2852" s="73"/>
      <c r="N2852" s="74"/>
      <c r="O2852" s="153"/>
    </row>
    <row r="2853" spans="1:15" customFormat="1" x14ac:dyDescent="0.25">
      <c r="A2853" s="661"/>
      <c r="B2853" s="580" t="s">
        <v>6724</v>
      </c>
      <c r="C2853" s="75"/>
      <c r="D2853" s="75"/>
      <c r="E2853" s="75"/>
      <c r="F2853" s="73"/>
      <c r="G2853" s="74" t="s">
        <v>3</v>
      </c>
      <c r="H2853" s="427">
        <f>0.1*0.05*1.2</f>
        <v>6.000000000000001E-3</v>
      </c>
      <c r="I2853" s="72"/>
      <c r="J2853" s="73"/>
      <c r="K2853" s="671"/>
      <c r="L2853" s="73"/>
      <c r="M2853" s="73"/>
      <c r="N2853" s="74"/>
      <c r="O2853" s="153"/>
    </row>
    <row r="2854" spans="1:15" customFormat="1" ht="17.25" x14ac:dyDescent="0.25">
      <c r="A2854" s="661"/>
      <c r="B2854" s="204" t="s">
        <v>6723</v>
      </c>
      <c r="C2854" s="75"/>
      <c r="D2854" s="75"/>
      <c r="E2854" s="75"/>
      <c r="F2854" s="73"/>
      <c r="G2854" s="74" t="s">
        <v>596</v>
      </c>
      <c r="H2854" s="153">
        <f>1.09*H2853</f>
        <v>6.5400000000000015E-3</v>
      </c>
      <c r="I2854" s="72"/>
      <c r="J2854" s="73"/>
      <c r="K2854" s="671"/>
      <c r="L2854" s="73"/>
      <c r="M2854" s="73"/>
      <c r="N2854" s="74"/>
      <c r="O2854" s="153"/>
    </row>
    <row r="2855" spans="1:15" customFormat="1" x14ac:dyDescent="0.25">
      <c r="A2855" s="661"/>
      <c r="B2855" s="100" t="s">
        <v>7873</v>
      </c>
      <c r="C2855" s="73"/>
      <c r="D2855" s="73"/>
      <c r="E2855" s="73"/>
      <c r="F2855" s="73"/>
      <c r="G2855" s="74" t="s">
        <v>3</v>
      </c>
      <c r="H2855" s="153">
        <f>0.73*0.5*2*0.15*2*1.095</f>
        <v>0.23980499999999999</v>
      </c>
      <c r="I2855" s="72"/>
      <c r="J2855" s="73"/>
      <c r="K2855" s="671"/>
      <c r="L2855" s="73"/>
      <c r="M2855" s="73"/>
      <c r="N2855" s="74"/>
      <c r="O2855" s="153"/>
    </row>
    <row r="2856" spans="1:15" customFormat="1" x14ac:dyDescent="0.25">
      <c r="A2856" s="661"/>
      <c r="B2856" s="100" t="s">
        <v>313</v>
      </c>
      <c r="C2856" s="73"/>
      <c r="D2856" s="73"/>
      <c r="E2856" s="73"/>
      <c r="F2856" s="73"/>
      <c r="G2856" s="74" t="s">
        <v>3</v>
      </c>
      <c r="H2856" s="153">
        <f>0.3*H2855</f>
        <v>7.1941499999999992E-2</v>
      </c>
      <c r="I2856" s="72"/>
      <c r="J2856" s="73"/>
      <c r="K2856" s="671"/>
      <c r="L2856" s="73"/>
      <c r="M2856" s="73"/>
      <c r="N2856" s="74"/>
      <c r="O2856" s="153"/>
    </row>
    <row r="2857" spans="1:15" customFormat="1" x14ac:dyDescent="0.25">
      <c r="A2857" s="661"/>
      <c r="B2857" s="100" t="s">
        <v>2346</v>
      </c>
      <c r="C2857" s="73"/>
      <c r="D2857" s="73"/>
      <c r="E2857" s="73"/>
      <c r="F2857" s="73"/>
      <c r="G2857" s="74" t="s">
        <v>3</v>
      </c>
      <c r="H2857" s="153">
        <f>0.73*0.5*2*0.15*2*1.37</f>
        <v>0.30003000000000002</v>
      </c>
      <c r="I2857" s="72"/>
      <c r="J2857" s="73"/>
      <c r="K2857" s="671"/>
      <c r="L2857" s="73"/>
      <c r="M2857" s="73"/>
      <c r="N2857" s="74"/>
      <c r="O2857" s="153"/>
    </row>
    <row r="2858" spans="1:15" customFormat="1" x14ac:dyDescent="0.25">
      <c r="A2858" s="661"/>
      <c r="B2858" s="100" t="s">
        <v>12</v>
      </c>
      <c r="C2858" s="73"/>
      <c r="D2858" s="73"/>
      <c r="E2858" s="73"/>
      <c r="F2858" s="73"/>
      <c r="G2858" s="74" t="s">
        <v>3</v>
      </c>
      <c r="H2858" s="153">
        <f>0.3*H2857</f>
        <v>9.0009000000000006E-2</v>
      </c>
      <c r="I2858" s="72"/>
      <c r="J2858" s="73"/>
      <c r="K2858" s="671"/>
      <c r="L2858" s="73"/>
      <c r="M2858" s="73"/>
      <c r="N2858" s="74"/>
      <c r="O2858" s="153"/>
    </row>
    <row r="2859" spans="1:15" customFormat="1" x14ac:dyDescent="0.25">
      <c r="A2859" s="661"/>
      <c r="B2859" s="75"/>
      <c r="C2859" s="75" t="s">
        <v>8329</v>
      </c>
      <c r="D2859" s="73"/>
      <c r="E2859" s="73"/>
      <c r="F2859" s="73"/>
      <c r="G2859" s="74"/>
      <c r="H2859" s="153"/>
      <c r="I2859" s="72"/>
      <c r="J2859" s="73"/>
      <c r="K2859" s="671"/>
      <c r="L2859" s="73"/>
      <c r="M2859" s="73"/>
      <c r="N2859" s="74"/>
      <c r="O2859" s="153"/>
    </row>
    <row r="2860" spans="1:15" customFormat="1" x14ac:dyDescent="0.25">
      <c r="A2860" s="661"/>
      <c r="B2860" s="75"/>
      <c r="C2860" s="580" t="s">
        <v>6724</v>
      </c>
      <c r="D2860" s="75"/>
      <c r="E2860" s="75"/>
      <c r="F2860" s="75"/>
      <c r="G2860" s="74" t="s">
        <v>3</v>
      </c>
      <c r="H2860" s="427">
        <f>(0.06+0.18+0.45+0.5+0.3)*0.05*1.21</f>
        <v>9.0144999999999989E-2</v>
      </c>
      <c r="I2860" s="72"/>
      <c r="J2860" s="73"/>
      <c r="K2860" s="671"/>
      <c r="L2860" s="73"/>
      <c r="M2860" s="73"/>
      <c r="N2860" s="74"/>
      <c r="O2860" s="153"/>
    </row>
    <row r="2861" spans="1:15" customFormat="1" ht="17.25" x14ac:dyDescent="0.25">
      <c r="A2861" s="661"/>
      <c r="B2861" s="75"/>
      <c r="C2861" s="204" t="s">
        <v>6723</v>
      </c>
      <c r="D2861" s="75"/>
      <c r="E2861" s="75"/>
      <c r="F2861" s="75"/>
      <c r="G2861" s="74" t="s">
        <v>596</v>
      </c>
      <c r="H2861" s="153">
        <f>1.09*H2860</f>
        <v>9.825805E-2</v>
      </c>
      <c r="I2861" s="72"/>
      <c r="J2861" s="73"/>
      <c r="K2861" s="671"/>
      <c r="L2861" s="73"/>
      <c r="M2861" s="73"/>
      <c r="N2861" s="74"/>
      <c r="O2861" s="153"/>
    </row>
    <row r="2862" spans="1:15" customFormat="1" x14ac:dyDescent="0.25">
      <c r="A2862" s="661"/>
      <c r="B2862" s="75"/>
      <c r="C2862" s="204"/>
      <c r="D2862" s="75" t="s">
        <v>8328</v>
      </c>
      <c r="E2862" s="75"/>
      <c r="F2862" s="75"/>
      <c r="G2862" s="74"/>
      <c r="H2862" s="153"/>
      <c r="I2862" s="72"/>
      <c r="J2862" s="73"/>
      <c r="K2862" s="671"/>
      <c r="L2862" s="73"/>
      <c r="M2862" s="73"/>
      <c r="N2862" s="74"/>
      <c r="O2862" s="153"/>
    </row>
    <row r="2863" spans="1:15" customFormat="1" x14ac:dyDescent="0.25">
      <c r="A2863" s="661"/>
      <c r="B2863" s="75"/>
      <c r="C2863" s="204"/>
      <c r="D2863" s="73" t="s">
        <v>8317</v>
      </c>
      <c r="E2863" s="75"/>
      <c r="F2863" s="75"/>
      <c r="G2863" s="74" t="s">
        <v>3</v>
      </c>
      <c r="H2863" s="153">
        <f>0.94*0.115*2*2.7*1.122</f>
        <v>0.65495628000000006</v>
      </c>
      <c r="I2863" s="72"/>
      <c r="J2863" s="73"/>
      <c r="K2863" s="671"/>
      <c r="L2863" s="73"/>
      <c r="M2863" s="73"/>
      <c r="N2863" s="74"/>
      <c r="O2863" s="153"/>
    </row>
    <row r="2864" spans="1:15" customFormat="1" x14ac:dyDescent="0.25">
      <c r="A2864" s="661"/>
      <c r="B2864" s="75"/>
      <c r="C2864" s="204"/>
      <c r="D2864" s="580" t="s">
        <v>6724</v>
      </c>
      <c r="E2864" s="75"/>
      <c r="F2864" s="75"/>
      <c r="G2864" s="74" t="s">
        <v>3</v>
      </c>
      <c r="H2864" s="427">
        <f>0.1*0.05*1.2</f>
        <v>6.000000000000001E-3</v>
      </c>
      <c r="I2864" s="72"/>
      <c r="K2864" s="671"/>
      <c r="L2864" s="73"/>
      <c r="M2864" s="73"/>
      <c r="N2864" s="74"/>
      <c r="O2864" s="153"/>
    </row>
    <row r="2865" spans="1:15" customFormat="1" ht="17.25" x14ac:dyDescent="0.25">
      <c r="A2865" s="661"/>
      <c r="B2865" s="75"/>
      <c r="C2865" s="204"/>
      <c r="D2865" s="204" t="s">
        <v>6723</v>
      </c>
      <c r="E2865" s="75"/>
      <c r="F2865" s="75"/>
      <c r="G2865" s="74" t="s">
        <v>596</v>
      </c>
      <c r="H2865" s="153">
        <f>1.09*H2864</f>
        <v>6.5400000000000015E-3</v>
      </c>
      <c r="I2865" s="72"/>
      <c r="K2865" s="671"/>
      <c r="L2865" s="73"/>
      <c r="M2865" s="73"/>
      <c r="N2865" s="74"/>
      <c r="O2865" s="153"/>
    </row>
    <row r="2866" spans="1:15" customFormat="1" x14ac:dyDescent="0.25">
      <c r="A2866" s="661"/>
      <c r="B2866" s="75"/>
      <c r="C2866" s="204"/>
      <c r="D2866" s="75" t="s">
        <v>8327</v>
      </c>
      <c r="E2866" s="75"/>
      <c r="F2866" s="75"/>
      <c r="G2866" s="74"/>
      <c r="H2866" s="153"/>
      <c r="I2866" s="72"/>
      <c r="J2866" s="73"/>
      <c r="K2866" s="490"/>
      <c r="L2866" s="679"/>
      <c r="M2866" s="485"/>
      <c r="N2866" s="487"/>
      <c r="O2866" s="153"/>
    </row>
    <row r="2867" spans="1:15" customFormat="1" x14ac:dyDescent="0.25">
      <c r="A2867" s="661"/>
      <c r="B2867" s="75"/>
      <c r="C2867" s="204"/>
      <c r="D2867" s="73" t="s">
        <v>8317</v>
      </c>
      <c r="E2867" s="75"/>
      <c r="F2867" s="75"/>
      <c r="G2867" s="74" t="s">
        <v>3</v>
      </c>
      <c r="H2867" s="153">
        <f>0.35*0.115*2*2.7*1.125</f>
        <v>0.24451875000000001</v>
      </c>
      <c r="I2867" s="72"/>
      <c r="J2867" s="73"/>
      <c r="K2867" s="680" t="s">
        <v>8326</v>
      </c>
      <c r="L2867" s="679"/>
      <c r="M2867" s="485"/>
      <c r="N2867" s="487"/>
      <c r="O2867" s="153"/>
    </row>
    <row r="2868" spans="1:15" customFormat="1" x14ac:dyDescent="0.25">
      <c r="A2868" s="661"/>
      <c r="B2868" s="75"/>
      <c r="C2868" s="204"/>
      <c r="D2868" s="75" t="s">
        <v>8325</v>
      </c>
      <c r="E2868" s="75"/>
      <c r="F2868" s="75"/>
      <c r="G2868" s="74"/>
      <c r="H2868" s="153"/>
      <c r="I2868" s="72"/>
      <c r="J2868" s="73"/>
      <c r="K2868" s="490"/>
      <c r="L2868" s="679"/>
      <c r="M2868" s="485"/>
      <c r="N2868" s="487"/>
      <c r="O2868" s="153"/>
    </row>
    <row r="2869" spans="1:15" customFormat="1" x14ac:dyDescent="0.25">
      <c r="A2869" s="661"/>
      <c r="B2869" s="75"/>
      <c r="C2869" s="204"/>
      <c r="D2869" s="73" t="s">
        <v>8317</v>
      </c>
      <c r="E2869" s="75"/>
      <c r="F2869" s="75"/>
      <c r="G2869" s="74" t="s">
        <v>3</v>
      </c>
      <c r="H2869" s="153">
        <f>0.085*0.12*2*2.7*1.1</f>
        <v>6.0588000000000017E-2</v>
      </c>
      <c r="I2869" s="72"/>
      <c r="J2869" s="73"/>
      <c r="K2869" s="490"/>
      <c r="L2869" s="679"/>
      <c r="M2869" s="485"/>
      <c r="N2869" s="487"/>
      <c r="O2869" s="153"/>
    </row>
    <row r="2870" spans="1:15" customFormat="1" x14ac:dyDescent="0.25">
      <c r="A2870" s="661"/>
      <c r="B2870" s="75"/>
      <c r="C2870" s="204"/>
      <c r="D2870" s="75" t="s">
        <v>8324</v>
      </c>
      <c r="E2870" s="75"/>
      <c r="F2870" s="75"/>
      <c r="G2870" s="74"/>
      <c r="H2870" s="153"/>
      <c r="I2870" s="72"/>
      <c r="J2870" s="73"/>
      <c r="K2870" s="671"/>
      <c r="L2870" s="73"/>
      <c r="M2870" s="73"/>
      <c r="N2870" s="74"/>
      <c r="O2870" s="153"/>
    </row>
    <row r="2871" spans="1:15" customFormat="1" x14ac:dyDescent="0.25">
      <c r="A2871" s="661"/>
      <c r="B2871" s="75"/>
      <c r="C2871" s="204"/>
      <c r="D2871" s="73" t="s">
        <v>8317</v>
      </c>
      <c r="E2871" s="75"/>
      <c r="F2871" s="75"/>
      <c r="G2871" s="74" t="s">
        <v>3</v>
      </c>
      <c r="H2871" s="153">
        <f>0.27*0.16*2*2.7*1.115</f>
        <v>0.26010720000000004</v>
      </c>
      <c r="I2871" s="72"/>
      <c r="J2871" s="73"/>
      <c r="K2871" s="671"/>
      <c r="L2871" s="73"/>
      <c r="M2871" s="73"/>
      <c r="N2871" s="74"/>
      <c r="O2871" s="153"/>
    </row>
    <row r="2872" spans="1:15" customFormat="1" x14ac:dyDescent="0.25">
      <c r="A2872" s="661"/>
      <c r="B2872" s="75"/>
      <c r="C2872" s="204"/>
      <c r="D2872" s="75" t="s">
        <v>8323</v>
      </c>
      <c r="E2872" s="75"/>
      <c r="F2872" s="75"/>
      <c r="G2872" s="74"/>
      <c r="H2872" s="153"/>
      <c r="I2872" s="72"/>
      <c r="J2872" s="73"/>
      <c r="K2872" s="671"/>
      <c r="L2872" s="73"/>
      <c r="M2872" s="73"/>
      <c r="N2872" s="74"/>
      <c r="O2872" s="153"/>
    </row>
    <row r="2873" spans="1:15" customFormat="1" x14ac:dyDescent="0.25">
      <c r="A2873" s="661"/>
      <c r="B2873" s="75"/>
      <c r="C2873" s="204"/>
      <c r="D2873" s="73" t="s">
        <v>8317</v>
      </c>
      <c r="E2873" s="75"/>
      <c r="F2873" s="75"/>
      <c r="G2873" s="74" t="s">
        <v>3</v>
      </c>
      <c r="H2873" s="153">
        <f>0.16*0.07*2*2.7*1.15</f>
        <v>6.9552000000000003E-2</v>
      </c>
      <c r="I2873" s="72"/>
      <c r="J2873" s="73"/>
      <c r="K2873" s="671"/>
      <c r="L2873" s="73"/>
      <c r="M2873" s="73"/>
      <c r="N2873" s="74"/>
      <c r="O2873" s="153"/>
    </row>
    <row r="2874" spans="1:15" customFormat="1" x14ac:dyDescent="0.25">
      <c r="A2874" s="661"/>
      <c r="B2874" s="75"/>
      <c r="C2874" s="204"/>
      <c r="D2874" s="75" t="s">
        <v>8322</v>
      </c>
      <c r="E2874" s="75"/>
      <c r="F2874" s="75"/>
      <c r="G2874" s="74"/>
      <c r="H2874" s="153"/>
      <c r="I2874" s="72"/>
      <c r="J2874" s="73"/>
      <c r="K2874" s="671"/>
      <c r="L2874" s="73"/>
      <c r="M2874" s="73"/>
      <c r="N2874" s="74"/>
      <c r="O2874" s="153"/>
    </row>
    <row r="2875" spans="1:15" customFormat="1" x14ac:dyDescent="0.25">
      <c r="A2875" s="661"/>
      <c r="B2875" s="75"/>
      <c r="C2875" s="204"/>
      <c r="D2875" s="100" t="s">
        <v>8314</v>
      </c>
      <c r="E2875" s="75"/>
      <c r="F2875" s="75"/>
      <c r="G2875" s="74" t="s">
        <v>3</v>
      </c>
      <c r="H2875" s="153">
        <v>0.04</v>
      </c>
      <c r="I2875" s="72"/>
      <c r="J2875" t="s">
        <v>8321</v>
      </c>
      <c r="K2875" s="671"/>
      <c r="L2875" s="73"/>
      <c r="M2875" s="73"/>
      <c r="N2875" s="74"/>
      <c r="O2875" s="153"/>
    </row>
    <row r="2876" spans="1:15" customFormat="1" x14ac:dyDescent="0.25">
      <c r="A2876" s="661"/>
      <c r="B2876" s="75"/>
      <c r="C2876" s="204"/>
      <c r="D2876" s="75" t="s">
        <v>8320</v>
      </c>
      <c r="E2876" s="75"/>
      <c r="F2876" s="75"/>
      <c r="G2876" s="74"/>
      <c r="H2876" s="153"/>
      <c r="I2876" s="72"/>
      <c r="J2876" s="73"/>
      <c r="K2876" s="671"/>
      <c r="L2876" s="73"/>
      <c r="M2876" s="73"/>
      <c r="N2876" s="74"/>
      <c r="O2876" s="153"/>
    </row>
    <row r="2877" spans="1:15" customFormat="1" x14ac:dyDescent="0.25">
      <c r="A2877" s="661"/>
      <c r="B2877" s="75"/>
      <c r="C2877" s="204"/>
      <c r="D2877" s="73" t="s">
        <v>8317</v>
      </c>
      <c r="E2877" s="75"/>
      <c r="F2877" s="75"/>
      <c r="G2877" s="74" t="s">
        <v>3</v>
      </c>
      <c r="H2877" s="153">
        <f>0.035*0.015*2*2.7*1.12</f>
        <v>3.1752000000000013E-3</v>
      </c>
      <c r="I2877" s="72"/>
      <c r="J2877" s="73"/>
      <c r="K2877" s="671"/>
      <c r="L2877" s="73"/>
      <c r="M2877" s="73"/>
      <c r="N2877" s="74"/>
      <c r="O2877" s="153"/>
    </row>
    <row r="2878" spans="1:15" customFormat="1" x14ac:dyDescent="0.25">
      <c r="A2878" s="661"/>
      <c r="B2878" s="75"/>
      <c r="C2878" s="75" t="s">
        <v>8319</v>
      </c>
      <c r="D2878" s="73"/>
      <c r="E2878" s="73"/>
      <c r="F2878" s="73"/>
      <c r="G2878" s="74"/>
      <c r="H2878" s="153"/>
      <c r="I2878" s="72"/>
      <c r="J2878" s="73"/>
      <c r="K2878" s="671"/>
      <c r="L2878" s="73"/>
      <c r="M2878" s="73"/>
      <c r="N2878" s="74"/>
      <c r="O2878" s="153"/>
    </row>
    <row r="2879" spans="1:15" customFormat="1" x14ac:dyDescent="0.25">
      <c r="A2879" s="661"/>
      <c r="B2879" s="75"/>
      <c r="C2879" s="580" t="s">
        <v>6724</v>
      </c>
      <c r="D2879" s="75"/>
      <c r="E2879" s="75"/>
      <c r="F2879" s="75"/>
      <c r="G2879" s="74" t="s">
        <v>3</v>
      </c>
      <c r="H2879" s="427">
        <f>(0.16+0.45+0.3)*0.05*1.2</f>
        <v>5.4599999999999996E-2</v>
      </c>
      <c r="I2879" s="72"/>
      <c r="J2879" s="73"/>
      <c r="K2879" s="671"/>
      <c r="L2879" s="73"/>
      <c r="M2879" s="73"/>
      <c r="N2879" s="74"/>
      <c r="O2879" s="153"/>
    </row>
    <row r="2880" spans="1:15" customFormat="1" ht="17.25" x14ac:dyDescent="0.25">
      <c r="A2880" s="661"/>
      <c r="B2880" s="75"/>
      <c r="C2880" s="204" t="s">
        <v>6723</v>
      </c>
      <c r="D2880" s="75"/>
      <c r="E2880" s="75"/>
      <c r="F2880" s="75"/>
      <c r="G2880" s="74" t="s">
        <v>596</v>
      </c>
      <c r="H2880" s="153">
        <f>1.09*H2879</f>
        <v>5.9513999999999997E-2</v>
      </c>
      <c r="I2880" s="72"/>
      <c r="J2880" s="73"/>
      <c r="K2880" s="671"/>
      <c r="L2880" s="73"/>
      <c r="M2880" s="73"/>
      <c r="N2880" s="74"/>
      <c r="O2880" s="153"/>
    </row>
    <row r="2881" spans="1:15" customFormat="1" x14ac:dyDescent="0.25">
      <c r="A2881" s="661"/>
      <c r="B2881" s="75"/>
      <c r="C2881" s="75"/>
      <c r="D2881" s="75" t="s">
        <v>8318</v>
      </c>
      <c r="E2881" s="73"/>
      <c r="F2881" s="73"/>
      <c r="G2881" s="74"/>
      <c r="H2881" s="153"/>
      <c r="I2881" s="72"/>
      <c r="J2881" s="73"/>
      <c r="K2881" s="671"/>
      <c r="L2881" s="73"/>
      <c r="M2881" s="73"/>
      <c r="N2881" s="74"/>
      <c r="O2881" s="153"/>
    </row>
    <row r="2882" spans="1:15" customFormat="1" x14ac:dyDescent="0.25">
      <c r="A2882" s="661"/>
      <c r="B2882" s="75"/>
      <c r="C2882" s="75"/>
      <c r="D2882" s="73" t="s">
        <v>8317</v>
      </c>
      <c r="E2882" s="73"/>
      <c r="F2882" s="73"/>
      <c r="G2882" s="74" t="s">
        <v>3</v>
      </c>
      <c r="H2882" s="153">
        <f>0.62*0.115*2*2.7*1.118</f>
        <v>0.43045236000000009</v>
      </c>
      <c r="I2882" s="72"/>
      <c r="J2882" s="73"/>
      <c r="K2882" s="671"/>
      <c r="L2882" s="73"/>
      <c r="M2882" s="73"/>
      <c r="N2882" s="74"/>
      <c r="O2882" s="153"/>
    </row>
    <row r="2883" spans="1:15" customFormat="1" x14ac:dyDescent="0.25">
      <c r="A2883" s="661"/>
      <c r="B2883" s="75"/>
      <c r="C2883" s="75" t="s">
        <v>6757</v>
      </c>
      <c r="D2883" s="73"/>
      <c r="E2883" s="73"/>
      <c r="F2883" s="73"/>
      <c r="G2883" s="74"/>
      <c r="H2883" s="153"/>
      <c r="I2883" s="72"/>
      <c r="J2883" s="73"/>
      <c r="K2883" s="671"/>
      <c r="L2883" s="73"/>
      <c r="M2883" s="73"/>
      <c r="N2883" s="74"/>
      <c r="O2883" s="153"/>
    </row>
    <row r="2884" spans="1:15" customFormat="1" x14ac:dyDescent="0.25">
      <c r="A2884" s="661"/>
      <c r="B2884" s="75"/>
      <c r="C2884" s="73" t="s">
        <v>8316</v>
      </c>
      <c r="D2884" s="73"/>
      <c r="E2884" s="73"/>
      <c r="F2884" s="73"/>
      <c r="G2884" s="74" t="s">
        <v>3</v>
      </c>
      <c r="H2884" s="153">
        <f>0.065*0.03*3*2.7*1.1</f>
        <v>1.7374500000000001E-2</v>
      </c>
      <c r="I2884" s="72"/>
      <c r="J2884" s="73"/>
      <c r="K2884" s="671"/>
      <c r="L2884" s="73"/>
      <c r="M2884" s="73"/>
      <c r="N2884" s="74"/>
      <c r="O2884" s="153"/>
    </row>
    <row r="2885" spans="1:15" customFormat="1" x14ac:dyDescent="0.25">
      <c r="A2885" s="661"/>
      <c r="B2885" s="75"/>
      <c r="C2885" s="75" t="s">
        <v>8315</v>
      </c>
      <c r="D2885" s="73"/>
      <c r="E2885" s="73"/>
      <c r="F2885" s="73"/>
      <c r="G2885" s="74"/>
      <c r="H2885" s="153"/>
      <c r="I2885" s="72"/>
      <c r="J2885" s="73"/>
      <c r="K2885" s="671"/>
      <c r="L2885" s="73"/>
      <c r="M2885" s="73"/>
      <c r="N2885" s="74"/>
      <c r="O2885" s="153"/>
    </row>
    <row r="2886" spans="1:15" customFormat="1" x14ac:dyDescent="0.25">
      <c r="A2886" s="661"/>
      <c r="B2886" s="75"/>
      <c r="C2886" s="73" t="s">
        <v>8314</v>
      </c>
      <c r="D2886" s="73"/>
      <c r="E2886" s="73"/>
      <c r="F2886" s="73"/>
      <c r="G2886" s="74" t="s">
        <v>3</v>
      </c>
      <c r="H2886" s="153">
        <v>1.4E-2</v>
      </c>
      <c r="I2886" s="72"/>
      <c r="J2886" t="s">
        <v>8313</v>
      </c>
      <c r="K2886" s="671"/>
      <c r="L2886" s="73"/>
      <c r="M2886" s="73"/>
      <c r="N2886" s="74"/>
      <c r="O2886" s="153"/>
    </row>
    <row r="2887" spans="1:15" customFormat="1" x14ac:dyDescent="0.25">
      <c r="A2887" s="661"/>
      <c r="B2887" s="75"/>
      <c r="C2887" s="73"/>
      <c r="D2887" s="73"/>
      <c r="E2887" s="73"/>
      <c r="F2887" s="73"/>
      <c r="G2887" s="74"/>
      <c r="H2887" s="153"/>
      <c r="I2887" s="72"/>
      <c r="J2887" s="73"/>
      <c r="K2887" s="671"/>
      <c r="L2887" s="73"/>
      <c r="M2887" s="73"/>
      <c r="N2887" s="74"/>
      <c r="O2887" s="153"/>
    </row>
    <row r="2888" spans="1:15" customFormat="1" x14ac:dyDescent="0.25">
      <c r="A2888" s="678"/>
      <c r="B2888" s="75" t="s">
        <v>8312</v>
      </c>
      <c r="C2888" s="73"/>
      <c r="D2888" s="73"/>
      <c r="E2888" s="73"/>
      <c r="F2888" s="73"/>
      <c r="G2888" s="74"/>
      <c r="H2888" s="153"/>
      <c r="I2888" s="72"/>
      <c r="J2888" s="73"/>
      <c r="K2888" s="671"/>
      <c r="L2888" s="73"/>
      <c r="M2888" s="73"/>
      <c r="N2888" s="74"/>
      <c r="O2888" s="153"/>
    </row>
    <row r="2889" spans="1:15" customFormat="1" x14ac:dyDescent="0.25">
      <c r="A2889" s="661"/>
      <c r="B2889" s="580" t="s">
        <v>6724</v>
      </c>
      <c r="C2889" s="75"/>
      <c r="D2889" s="75"/>
      <c r="E2889" s="75"/>
      <c r="F2889" s="73"/>
      <c r="G2889" s="74" t="s">
        <v>3</v>
      </c>
      <c r="H2889" s="427">
        <f>(0.16+1.1*2+0.285+0.285+0.2+0.5)*0.05*1.21</f>
        <v>0.21961500000000006</v>
      </c>
      <c r="I2889" s="72"/>
      <c r="J2889" s="73"/>
      <c r="K2889" s="671"/>
      <c r="L2889" s="73"/>
      <c r="M2889" s="73"/>
      <c r="N2889" s="74"/>
      <c r="O2889" s="153"/>
    </row>
    <row r="2890" spans="1:15" customFormat="1" ht="17.25" x14ac:dyDescent="0.25">
      <c r="A2890" s="661"/>
      <c r="B2890" s="204" t="s">
        <v>6723</v>
      </c>
      <c r="C2890" s="75"/>
      <c r="D2890" s="75"/>
      <c r="E2890" s="75"/>
      <c r="F2890" s="73"/>
      <c r="G2890" s="74" t="s">
        <v>596</v>
      </c>
      <c r="H2890" s="153">
        <f>1.09*H2889</f>
        <v>0.23938035000000008</v>
      </c>
      <c r="I2890" s="72"/>
      <c r="J2890" s="73"/>
      <c r="K2890" s="671"/>
      <c r="L2890" s="73"/>
      <c r="M2890" s="73"/>
      <c r="N2890" s="74"/>
      <c r="O2890" s="153"/>
    </row>
    <row r="2891" spans="1:15" customFormat="1" x14ac:dyDescent="0.25">
      <c r="A2891" s="661"/>
      <c r="B2891" s="100" t="s">
        <v>7873</v>
      </c>
      <c r="C2891" s="73"/>
      <c r="D2891" s="73"/>
      <c r="E2891" s="73"/>
      <c r="F2891" s="73"/>
      <c r="G2891" s="74" t="s">
        <v>3</v>
      </c>
      <c r="H2891" s="153">
        <f>H2893*0.89</f>
        <v>0.40047778559999997</v>
      </c>
      <c r="I2891" s="72"/>
      <c r="J2891" s="73"/>
      <c r="K2891" s="671"/>
      <c r="L2891" s="73"/>
      <c r="M2891" s="73"/>
      <c r="N2891" s="74"/>
      <c r="O2891" s="153"/>
    </row>
    <row r="2892" spans="1:15" customFormat="1" x14ac:dyDescent="0.25">
      <c r="A2892" s="661"/>
      <c r="B2892" s="100" t="s">
        <v>313</v>
      </c>
      <c r="C2892" s="73"/>
      <c r="D2892" s="73"/>
      <c r="E2892" s="73"/>
      <c r="F2892" s="73"/>
      <c r="G2892" s="74" t="s">
        <v>3</v>
      </c>
      <c r="H2892" s="153">
        <f>0.3*H2891</f>
        <v>0.12014333567999999</v>
      </c>
      <c r="I2892" s="72"/>
      <c r="J2892" s="73"/>
      <c r="K2892" s="671"/>
      <c r="L2892" s="73"/>
      <c r="M2892" s="73"/>
      <c r="N2892" s="74"/>
      <c r="O2892" s="153"/>
    </row>
    <row r="2893" spans="1:15" customFormat="1" x14ac:dyDescent="0.25">
      <c r="A2893" s="661"/>
      <c r="B2893" s="73" t="s">
        <v>36</v>
      </c>
      <c r="C2893" s="73"/>
      <c r="D2893" s="73"/>
      <c r="E2893" s="73"/>
      <c r="F2893" s="73"/>
      <c r="G2893" s="74" t="s">
        <v>3</v>
      </c>
      <c r="H2893" s="153">
        <f>(1*0.6+0.22*0.28*2)*2*0.15*2*1.037</f>
        <v>0.44997503999999994</v>
      </c>
      <c r="I2893" s="72"/>
      <c r="J2893" s="73"/>
      <c r="K2893" s="671"/>
      <c r="L2893" s="73"/>
      <c r="M2893" s="73"/>
      <c r="N2893" s="74"/>
      <c r="O2893" s="153"/>
    </row>
    <row r="2894" spans="1:15" customFormat="1" x14ac:dyDescent="0.25">
      <c r="A2894" s="661"/>
      <c r="B2894" s="100" t="s">
        <v>12</v>
      </c>
      <c r="C2894" s="73"/>
      <c r="D2894" s="73"/>
      <c r="E2894" s="73"/>
      <c r="F2894" s="73"/>
      <c r="G2894" s="74" t="s">
        <v>3</v>
      </c>
      <c r="H2894" s="153">
        <f>0.3*H2893</f>
        <v>0.13499251199999998</v>
      </c>
      <c r="I2894" s="72"/>
      <c r="J2894" s="73"/>
      <c r="K2894" s="671"/>
      <c r="L2894" s="73"/>
      <c r="M2894" s="73"/>
      <c r="N2894" s="74"/>
      <c r="O2894" s="153"/>
    </row>
    <row r="2895" spans="1:15" customFormat="1" x14ac:dyDescent="0.25">
      <c r="A2895" s="661"/>
      <c r="B2895" s="75"/>
      <c r="C2895" s="75" t="s">
        <v>8311</v>
      </c>
      <c r="D2895" s="73"/>
      <c r="E2895" s="73"/>
      <c r="F2895" s="73"/>
      <c r="G2895" s="74"/>
      <c r="H2895" s="153"/>
      <c r="I2895" s="72"/>
      <c r="J2895" s="73"/>
      <c r="K2895" s="671"/>
      <c r="L2895" s="73"/>
      <c r="M2895" s="73"/>
      <c r="N2895" s="74"/>
      <c r="O2895" s="153"/>
    </row>
    <row r="2896" spans="1:15" customFormat="1" x14ac:dyDescent="0.25">
      <c r="A2896" s="661"/>
      <c r="B2896" s="75"/>
      <c r="C2896" s="580" t="s">
        <v>6724</v>
      </c>
      <c r="D2896" s="75"/>
      <c r="E2896" s="75"/>
      <c r="F2896" s="75"/>
      <c r="G2896" s="74" t="s">
        <v>3</v>
      </c>
      <c r="H2896" s="427">
        <f>1.1*0.05*1.12</f>
        <v>6.1600000000000016E-2</v>
      </c>
      <c r="I2896" s="72"/>
      <c r="J2896" s="73"/>
      <c r="K2896" s="671"/>
      <c r="L2896" s="73"/>
      <c r="M2896" s="73"/>
      <c r="N2896" s="74"/>
      <c r="O2896" s="153"/>
    </row>
    <row r="2897" spans="1:15" customFormat="1" ht="17.25" x14ac:dyDescent="0.25">
      <c r="A2897" s="661"/>
      <c r="B2897" s="75"/>
      <c r="C2897" s="204" t="s">
        <v>6723</v>
      </c>
      <c r="D2897" s="75"/>
      <c r="E2897" s="75"/>
      <c r="F2897" s="75"/>
      <c r="G2897" s="74" t="s">
        <v>596</v>
      </c>
      <c r="H2897" s="153">
        <f>1.09*H2896</f>
        <v>6.7144000000000023E-2</v>
      </c>
      <c r="I2897" s="72"/>
      <c r="J2897" s="73"/>
      <c r="K2897" s="671"/>
      <c r="L2897" s="73"/>
      <c r="M2897" s="73"/>
      <c r="N2897" s="74"/>
      <c r="O2897" s="153"/>
    </row>
    <row r="2898" spans="1:15" customFormat="1" x14ac:dyDescent="0.25">
      <c r="A2898" s="661"/>
      <c r="B2898" s="75"/>
      <c r="C2898" s="75"/>
      <c r="D2898" s="75" t="s">
        <v>8310</v>
      </c>
      <c r="E2898" s="73"/>
      <c r="F2898" s="73"/>
      <c r="G2898" s="74"/>
      <c r="H2898" s="153"/>
      <c r="I2898" s="72"/>
      <c r="J2898" s="73"/>
      <c r="K2898" s="671"/>
      <c r="L2898" s="73"/>
      <c r="M2898" s="73"/>
      <c r="N2898" s="74"/>
      <c r="O2898" s="153"/>
    </row>
    <row r="2899" spans="1:15" customFormat="1" x14ac:dyDescent="0.25">
      <c r="A2899" s="661"/>
      <c r="B2899" s="75"/>
      <c r="C2899" s="75"/>
      <c r="D2899" s="580" t="s">
        <v>6724</v>
      </c>
      <c r="E2899" s="75"/>
      <c r="F2899" s="75"/>
      <c r="G2899" s="74" t="s">
        <v>3</v>
      </c>
      <c r="H2899" s="427">
        <f>0.27*0.05*1.2</f>
        <v>1.6200000000000003E-2</v>
      </c>
      <c r="I2899" s="72"/>
      <c r="J2899" s="73"/>
      <c r="K2899" s="671"/>
      <c r="L2899" s="73"/>
      <c r="M2899" s="73"/>
      <c r="N2899" s="74"/>
      <c r="O2899" s="153"/>
    </row>
    <row r="2900" spans="1:15" customFormat="1" ht="17.25" x14ac:dyDescent="0.25">
      <c r="A2900" s="661"/>
      <c r="B2900" s="75"/>
      <c r="C2900" s="75"/>
      <c r="D2900" s="204" t="s">
        <v>6723</v>
      </c>
      <c r="E2900" s="75"/>
      <c r="F2900" s="75"/>
      <c r="G2900" s="74" t="s">
        <v>596</v>
      </c>
      <c r="H2900" s="153">
        <f>1.09*H2899</f>
        <v>1.7658000000000004E-2</v>
      </c>
      <c r="I2900" s="72"/>
      <c r="J2900" s="73"/>
      <c r="K2900" s="671"/>
      <c r="L2900" s="73"/>
      <c r="M2900" s="73"/>
      <c r="N2900" s="74"/>
      <c r="O2900" s="153"/>
    </row>
    <row r="2901" spans="1:15" customFormat="1" x14ac:dyDescent="0.25">
      <c r="A2901" s="661"/>
      <c r="B2901" s="75"/>
      <c r="C2901" s="75"/>
      <c r="D2901" s="204"/>
      <c r="E2901" s="75" t="s">
        <v>8309</v>
      </c>
      <c r="F2901" s="75"/>
      <c r="G2901" s="74"/>
      <c r="H2901" s="153"/>
      <c r="I2901" s="72"/>
      <c r="J2901" s="73"/>
      <c r="K2901" s="671"/>
      <c r="L2901" s="73"/>
      <c r="M2901" s="73"/>
      <c r="N2901" s="74"/>
      <c r="O2901" s="153"/>
    </row>
    <row r="2902" spans="1:15" customFormat="1" x14ac:dyDescent="0.25">
      <c r="A2902" s="661"/>
      <c r="B2902" s="75"/>
      <c r="C2902" s="75"/>
      <c r="D2902" s="204"/>
      <c r="E2902" s="73" t="s">
        <v>651</v>
      </c>
      <c r="F2902" s="75"/>
      <c r="G2902" s="74" t="s">
        <v>3</v>
      </c>
      <c r="H2902" s="153">
        <f>0.3*0.16*2*2.7*1.12</f>
        <v>0.29030400000000006</v>
      </c>
      <c r="I2902" s="72"/>
      <c r="J2902" s="73"/>
      <c r="K2902" s="671"/>
      <c r="L2902" s="73"/>
      <c r="M2902" s="73"/>
      <c r="N2902" s="74"/>
      <c r="O2902" s="153"/>
    </row>
    <row r="2903" spans="1:15" customFormat="1" x14ac:dyDescent="0.25">
      <c r="A2903" s="661"/>
      <c r="B2903" s="75"/>
      <c r="C2903" s="75"/>
      <c r="D2903" s="204"/>
      <c r="E2903" s="75" t="s">
        <v>8308</v>
      </c>
      <c r="F2903" s="75"/>
      <c r="G2903" s="74"/>
      <c r="H2903" s="153"/>
      <c r="I2903" s="72"/>
      <c r="J2903" s="73"/>
      <c r="K2903" s="671"/>
      <c r="L2903" s="73"/>
      <c r="M2903" s="73"/>
      <c r="N2903" s="74"/>
      <c r="O2903" s="153"/>
    </row>
    <row r="2904" spans="1:15" customFormat="1" x14ac:dyDescent="0.25">
      <c r="A2904" s="661"/>
      <c r="B2904" s="75"/>
      <c r="C2904" s="75"/>
      <c r="D2904" s="204"/>
      <c r="E2904" s="73" t="s">
        <v>651</v>
      </c>
      <c r="F2904" s="75"/>
      <c r="G2904" s="74" t="s">
        <v>3</v>
      </c>
      <c r="H2904" s="153">
        <f>0.14*0.175*2*2.7*1.131</f>
        <v>0.14963129999999999</v>
      </c>
      <c r="I2904" s="72"/>
      <c r="J2904" s="73"/>
      <c r="K2904" s="671"/>
      <c r="L2904" s="73"/>
      <c r="M2904" s="73"/>
      <c r="N2904" s="74"/>
      <c r="O2904" s="153"/>
    </row>
    <row r="2905" spans="1:15" customFormat="1" x14ac:dyDescent="0.25">
      <c r="A2905" s="661"/>
      <c r="B2905" s="75"/>
      <c r="C2905" s="75"/>
      <c r="D2905" s="75" t="s">
        <v>8307</v>
      </c>
      <c r="E2905" s="73"/>
      <c r="F2905" s="73"/>
      <c r="G2905" s="74"/>
      <c r="H2905" s="153"/>
      <c r="I2905" s="72"/>
      <c r="J2905" s="73"/>
      <c r="K2905" s="671"/>
      <c r="L2905" s="73"/>
      <c r="M2905" s="73"/>
      <c r="N2905" s="74"/>
      <c r="O2905" s="153"/>
    </row>
    <row r="2906" spans="1:15" customFormat="1" x14ac:dyDescent="0.25">
      <c r="A2906" s="661"/>
      <c r="B2906" s="75"/>
      <c r="C2906" s="75"/>
      <c r="D2906" s="73" t="s">
        <v>671</v>
      </c>
      <c r="E2906" s="73"/>
      <c r="F2906" s="73"/>
      <c r="G2906" s="74" t="s">
        <v>3</v>
      </c>
      <c r="H2906" s="153">
        <v>5.0000000000000001E-3</v>
      </c>
      <c r="I2906" s="72"/>
      <c r="J2906" s="73"/>
      <c r="K2906" s="671"/>
      <c r="L2906" s="73"/>
      <c r="M2906" s="73"/>
      <c r="N2906" s="74"/>
      <c r="O2906" s="153"/>
    </row>
    <row r="2907" spans="1:15" customFormat="1" x14ac:dyDescent="0.25">
      <c r="A2907" s="661"/>
      <c r="B2907" s="75"/>
      <c r="C2907" s="73"/>
      <c r="D2907" s="73" t="s">
        <v>672</v>
      </c>
      <c r="E2907" s="73"/>
      <c r="F2907" s="73"/>
      <c r="G2907" s="74" t="s">
        <v>3</v>
      </c>
      <c r="H2907" s="153">
        <f>2.5*H2906</f>
        <v>1.2500000000000001E-2</v>
      </c>
      <c r="I2907" s="72"/>
      <c r="J2907" s="73"/>
      <c r="K2907" s="671"/>
      <c r="L2907" s="73"/>
      <c r="M2907" s="73"/>
      <c r="N2907" s="74"/>
      <c r="O2907" s="153"/>
    </row>
    <row r="2908" spans="1:15" customFormat="1" x14ac:dyDescent="0.25">
      <c r="A2908" s="661"/>
      <c r="B2908" s="75"/>
      <c r="C2908" s="73"/>
      <c r="D2908" s="73" t="s">
        <v>1658</v>
      </c>
      <c r="E2908" s="73"/>
      <c r="F2908" s="73"/>
      <c r="G2908" s="74" t="s">
        <v>3</v>
      </c>
      <c r="H2908" s="153">
        <v>1E-3</v>
      </c>
      <c r="I2908" s="72"/>
      <c r="J2908" s="73"/>
      <c r="K2908" s="671"/>
      <c r="L2908" s="73"/>
      <c r="M2908" s="73"/>
      <c r="N2908" s="74"/>
      <c r="O2908" s="153"/>
    </row>
    <row r="2909" spans="1:15" customFormat="1" x14ac:dyDescent="0.25">
      <c r="A2909" s="661"/>
      <c r="B2909" s="75"/>
      <c r="C2909" s="73"/>
      <c r="D2909" s="73"/>
      <c r="E2909" s="75" t="s">
        <v>8306</v>
      </c>
      <c r="F2909" s="73"/>
      <c r="G2909" s="74"/>
      <c r="H2909" s="153"/>
      <c r="I2909" s="72"/>
      <c r="J2909" s="73"/>
      <c r="K2909" s="671"/>
      <c r="L2909" s="73"/>
      <c r="M2909" s="73"/>
      <c r="N2909" s="74"/>
      <c r="O2909" s="153"/>
    </row>
    <row r="2910" spans="1:15" customFormat="1" x14ac:dyDescent="0.25">
      <c r="A2910" s="661"/>
      <c r="B2910" s="75"/>
      <c r="C2910" s="73"/>
      <c r="D2910" s="73"/>
      <c r="E2910" s="73" t="s">
        <v>294</v>
      </c>
      <c r="F2910" s="73"/>
      <c r="G2910" s="74" t="s">
        <v>195</v>
      </c>
      <c r="H2910" s="153">
        <v>0.22500000000000001</v>
      </c>
      <c r="I2910" s="72"/>
      <c r="J2910" s="73"/>
      <c r="K2910" s="671"/>
      <c r="L2910" s="73"/>
      <c r="M2910" s="73"/>
      <c r="N2910" s="74"/>
      <c r="O2910" s="153"/>
    </row>
    <row r="2911" spans="1:15" customFormat="1" x14ac:dyDescent="0.25">
      <c r="A2911" s="661"/>
      <c r="B2911" s="75"/>
      <c r="C2911" s="75" t="s">
        <v>8305</v>
      </c>
      <c r="D2911" s="73"/>
      <c r="E2911" s="73"/>
      <c r="F2911" s="73"/>
      <c r="G2911" s="74"/>
      <c r="H2911" s="153"/>
      <c r="I2911" s="72"/>
      <c r="J2911" s="73"/>
      <c r="K2911" s="671"/>
      <c r="L2911" s="73"/>
      <c r="M2911" s="73"/>
      <c r="N2911" s="74"/>
      <c r="O2911" s="153"/>
    </row>
    <row r="2912" spans="1:15" customFormat="1" x14ac:dyDescent="0.25">
      <c r="A2912" s="661"/>
      <c r="B2912" s="75"/>
      <c r="C2912" s="580" t="s">
        <v>6724</v>
      </c>
      <c r="D2912" s="75"/>
      <c r="E2912" s="75"/>
      <c r="F2912" s="73"/>
      <c r="G2912" s="74" t="s">
        <v>3</v>
      </c>
      <c r="H2912" s="427">
        <f>0.11*0.05*1.2</f>
        <v>6.6000000000000008E-3</v>
      </c>
      <c r="I2912" s="72"/>
      <c r="J2912" s="73"/>
      <c r="K2912" s="671"/>
      <c r="L2912" s="73"/>
      <c r="M2912" s="73"/>
      <c r="N2912" s="74"/>
      <c r="O2912" s="153"/>
    </row>
    <row r="2913" spans="1:15" customFormat="1" ht="17.25" x14ac:dyDescent="0.25">
      <c r="A2913" s="661"/>
      <c r="B2913" s="75"/>
      <c r="C2913" s="204" t="s">
        <v>6723</v>
      </c>
      <c r="D2913" s="75"/>
      <c r="E2913" s="75"/>
      <c r="F2913" s="73"/>
      <c r="G2913" s="74" t="s">
        <v>596</v>
      </c>
      <c r="H2913" s="153">
        <f>1.09*H2912</f>
        <v>7.1940000000000016E-3</v>
      </c>
      <c r="I2913" s="72"/>
      <c r="J2913" s="73"/>
      <c r="K2913" s="671"/>
      <c r="L2913" s="73"/>
      <c r="M2913" s="73"/>
      <c r="N2913" s="74"/>
      <c r="O2913" s="153"/>
    </row>
    <row r="2914" spans="1:15" customFormat="1" x14ac:dyDescent="0.25">
      <c r="A2914" s="661"/>
      <c r="B2914" s="75"/>
      <c r="C2914" s="75"/>
      <c r="D2914" s="75" t="s">
        <v>8304</v>
      </c>
      <c r="E2914" s="73"/>
      <c r="F2914" s="73"/>
      <c r="G2914" s="74"/>
      <c r="H2914" s="153"/>
      <c r="I2914" s="72"/>
      <c r="J2914" s="73"/>
      <c r="K2914" s="671"/>
      <c r="L2914" s="73"/>
      <c r="M2914" s="73"/>
      <c r="N2914" s="74"/>
      <c r="O2914" s="153"/>
    </row>
    <row r="2915" spans="1:15" customFormat="1" x14ac:dyDescent="0.25">
      <c r="A2915" s="661"/>
      <c r="B2915" s="75"/>
      <c r="C2915" s="75"/>
      <c r="D2915" s="73" t="s">
        <v>651</v>
      </c>
      <c r="E2915" s="73"/>
      <c r="F2915" s="73"/>
      <c r="G2915" s="74" t="s">
        <v>3</v>
      </c>
      <c r="H2915" s="153">
        <f>0.11*0.06*2*2.7*1.12</f>
        <v>3.9916800000000009E-2</v>
      </c>
      <c r="I2915" s="72"/>
      <c r="J2915" s="73"/>
      <c r="K2915" s="671"/>
      <c r="L2915" s="73"/>
      <c r="M2915" s="73"/>
      <c r="N2915" s="74"/>
      <c r="O2915" s="153"/>
    </row>
    <row r="2916" spans="1:15" customFormat="1" x14ac:dyDescent="0.25">
      <c r="A2916" s="661"/>
      <c r="B2916" s="75"/>
      <c r="C2916" s="75"/>
      <c r="D2916" s="75" t="s">
        <v>8303</v>
      </c>
      <c r="E2916" s="73"/>
      <c r="F2916" s="73"/>
      <c r="G2916" s="74"/>
      <c r="H2916" s="153"/>
      <c r="I2916" s="72"/>
      <c r="J2916" s="73"/>
      <c r="K2916" s="671"/>
      <c r="L2916" s="73"/>
      <c r="M2916" s="73"/>
      <c r="N2916" s="74"/>
      <c r="O2916" s="153"/>
    </row>
    <row r="2917" spans="1:15" customFormat="1" x14ac:dyDescent="0.25">
      <c r="A2917" s="661"/>
      <c r="B2917" s="73"/>
      <c r="C2917" s="73"/>
      <c r="D2917" s="73" t="s">
        <v>651</v>
      </c>
      <c r="E2917" s="73"/>
      <c r="F2917" s="73"/>
      <c r="G2917" s="74" t="s">
        <v>3</v>
      </c>
      <c r="H2917" s="153">
        <f>0.11*0.05*2*2.7*1.12</f>
        <v>3.3264000000000009E-2</v>
      </c>
      <c r="I2917" s="72"/>
      <c r="J2917" s="73"/>
      <c r="K2917" s="671"/>
      <c r="L2917" s="73"/>
      <c r="M2917" s="73"/>
      <c r="N2917" s="74"/>
      <c r="O2917" s="153"/>
    </row>
    <row r="2918" spans="1:15" customFormat="1" x14ac:dyDescent="0.25">
      <c r="A2918" s="661"/>
      <c r="B2918" s="73"/>
      <c r="C2918" s="75" t="s">
        <v>8302</v>
      </c>
      <c r="D2918" s="73"/>
      <c r="E2918" s="73"/>
      <c r="F2918" s="73"/>
      <c r="G2918" s="74"/>
      <c r="H2918" s="153"/>
      <c r="I2918" s="72"/>
      <c r="J2918" s="73"/>
      <c r="K2918" s="671"/>
      <c r="L2918" s="73"/>
      <c r="M2918" s="73"/>
      <c r="N2918" s="74"/>
      <c r="O2918" s="153"/>
    </row>
    <row r="2919" spans="1:15" customFormat="1" x14ac:dyDescent="0.25">
      <c r="A2919" s="661"/>
      <c r="B2919" s="73"/>
      <c r="C2919" s="73" t="s">
        <v>651</v>
      </c>
      <c r="D2919" s="73"/>
      <c r="E2919" s="73"/>
      <c r="F2919" s="73"/>
      <c r="G2919" s="74" t="s">
        <v>3</v>
      </c>
      <c r="H2919" s="153">
        <f>0.915*0.245*2*2.7*1.1235</f>
        <v>1.3600473075000001</v>
      </c>
      <c r="I2919" s="72"/>
      <c r="J2919" s="73"/>
      <c r="K2919" s="671"/>
      <c r="L2919" s="73"/>
      <c r="M2919" s="73"/>
      <c r="N2919" s="74"/>
      <c r="O2919" s="153"/>
    </row>
    <row r="2920" spans="1:15" customFormat="1" x14ac:dyDescent="0.25">
      <c r="A2920" s="661"/>
      <c r="B2920" s="73"/>
      <c r="C2920" s="75" t="s">
        <v>8301</v>
      </c>
      <c r="D2920" s="73"/>
      <c r="E2920" s="73"/>
      <c r="F2920" s="73"/>
      <c r="G2920" s="74"/>
      <c r="H2920" s="153"/>
      <c r="I2920" s="72"/>
      <c r="J2920" s="73"/>
      <c r="K2920" s="671"/>
      <c r="L2920" s="73"/>
      <c r="M2920" s="73"/>
      <c r="N2920" s="74"/>
      <c r="O2920" s="153"/>
    </row>
    <row r="2921" spans="1:15" customFormat="1" x14ac:dyDescent="0.25">
      <c r="A2921" s="661"/>
      <c r="B2921" s="73"/>
      <c r="C2921" s="73" t="s">
        <v>651</v>
      </c>
      <c r="D2921" s="73"/>
      <c r="E2921" s="73"/>
      <c r="F2921" s="73"/>
      <c r="G2921" s="74" t="s">
        <v>3</v>
      </c>
      <c r="H2921" s="153">
        <f>0.435*0.265*2*2.7*1.125</f>
        <v>0.70029562500000009</v>
      </c>
      <c r="I2921" s="72"/>
      <c r="J2921" s="73"/>
      <c r="K2921" s="671"/>
      <c r="L2921" s="73"/>
      <c r="M2921" s="73"/>
      <c r="N2921" s="74"/>
      <c r="O2921" s="153"/>
    </row>
    <row r="2922" spans="1:15" customFormat="1" x14ac:dyDescent="0.25">
      <c r="A2922" s="661"/>
      <c r="B2922" s="73"/>
      <c r="C2922" s="75" t="s">
        <v>8300</v>
      </c>
      <c r="D2922" s="73"/>
      <c r="E2922" s="73"/>
      <c r="F2922" s="73"/>
      <c r="G2922" s="74"/>
      <c r="H2922" s="153"/>
      <c r="I2922" s="72"/>
      <c r="J2922" s="73"/>
      <c r="K2922" s="671"/>
      <c r="L2922" s="73"/>
      <c r="M2922" s="73"/>
      <c r="N2922" s="74"/>
      <c r="O2922" s="153"/>
    </row>
    <row r="2923" spans="1:15" customFormat="1" x14ac:dyDescent="0.25">
      <c r="A2923" s="661"/>
      <c r="B2923" s="73"/>
      <c r="C2923" s="73" t="s">
        <v>651</v>
      </c>
      <c r="D2923" s="73"/>
      <c r="E2923" s="73"/>
      <c r="F2923" s="73"/>
      <c r="G2923" s="74" t="s">
        <v>3</v>
      </c>
      <c r="H2923" s="153">
        <f>0.43*0.27*2*2.7*1.125</f>
        <v>0.70530750000000009</v>
      </c>
      <c r="I2923" s="72"/>
      <c r="J2923" s="73"/>
      <c r="K2923" s="671"/>
      <c r="L2923" s="73"/>
      <c r="M2923" s="73"/>
      <c r="N2923" s="74"/>
      <c r="O2923" s="153"/>
    </row>
    <row r="2924" spans="1:15" customFormat="1" x14ac:dyDescent="0.25">
      <c r="A2924" s="661"/>
      <c r="B2924" s="73"/>
      <c r="C2924" s="75" t="s">
        <v>8299</v>
      </c>
      <c r="D2924" s="73"/>
      <c r="E2924" s="73"/>
      <c r="F2924" s="73"/>
      <c r="G2924" s="74"/>
      <c r="H2924" s="153"/>
      <c r="I2924" s="72"/>
      <c r="J2924" s="73"/>
      <c r="K2924" s="671"/>
      <c r="L2924" s="73"/>
      <c r="M2924" s="73"/>
      <c r="N2924" s="74"/>
      <c r="O2924" s="153"/>
    </row>
    <row r="2925" spans="1:15" customFormat="1" x14ac:dyDescent="0.25">
      <c r="A2925" s="661"/>
      <c r="B2925" s="73"/>
      <c r="C2925" s="73" t="s">
        <v>651</v>
      </c>
      <c r="D2925" s="73"/>
      <c r="E2925" s="73"/>
      <c r="F2925" s="73"/>
      <c r="G2925" s="74" t="s">
        <v>3</v>
      </c>
      <c r="H2925" s="153">
        <f>0.24*0.1*2*2.7*1.12</f>
        <v>0.14515200000000003</v>
      </c>
      <c r="I2925" s="72"/>
      <c r="J2925" s="73"/>
      <c r="K2925" s="671"/>
      <c r="L2925" s="73"/>
      <c r="M2925" s="73"/>
      <c r="N2925" s="74"/>
      <c r="O2925" s="153"/>
    </row>
    <row r="2926" spans="1:15" customFormat="1" x14ac:dyDescent="0.25">
      <c r="A2926" s="661"/>
      <c r="B2926" s="73"/>
      <c r="C2926" s="75"/>
      <c r="D2926" s="73"/>
      <c r="E2926" s="73"/>
      <c r="F2926" s="73"/>
      <c r="G2926" s="74"/>
      <c r="H2926" s="153"/>
      <c r="I2926" s="72"/>
      <c r="J2926" s="73"/>
      <c r="K2926" s="671"/>
      <c r="L2926" s="73"/>
      <c r="M2926" s="73"/>
      <c r="N2926" s="74"/>
      <c r="O2926" s="153"/>
    </row>
    <row r="2927" spans="1:15" customFormat="1" x14ac:dyDescent="0.25">
      <c r="A2927" s="678"/>
      <c r="B2927" s="75" t="s">
        <v>8298</v>
      </c>
      <c r="C2927" s="75"/>
      <c r="D2927" s="73"/>
      <c r="E2927" s="73"/>
      <c r="F2927" s="73"/>
      <c r="G2927" s="74"/>
      <c r="H2927" s="153"/>
      <c r="I2927" s="72"/>
      <c r="J2927" s="73"/>
      <c r="K2927" s="671"/>
      <c r="L2927" s="73"/>
      <c r="M2927" s="73"/>
      <c r="N2927" s="74"/>
      <c r="O2927" s="153"/>
    </row>
    <row r="2928" spans="1:15" customFormat="1" x14ac:dyDescent="0.25">
      <c r="A2928" s="661"/>
      <c r="B2928" s="73" t="s">
        <v>140</v>
      </c>
      <c r="C2928" s="73"/>
      <c r="D2928" s="73"/>
      <c r="E2928" s="73"/>
      <c r="F2928" s="73"/>
      <c r="G2928" s="74" t="s">
        <v>3</v>
      </c>
      <c r="H2928" s="153">
        <f>0.07*0.08*1.2</f>
        <v>6.7200000000000011E-3</v>
      </c>
      <c r="I2928" s="72"/>
      <c r="J2928" s="73"/>
      <c r="K2928" s="671"/>
      <c r="L2928" s="73"/>
      <c r="M2928" s="73"/>
      <c r="N2928" s="74"/>
      <c r="O2928" s="153"/>
    </row>
    <row r="2929" spans="1:15" customFormat="1" ht="17.25" x14ac:dyDescent="0.25">
      <c r="A2929" s="661"/>
      <c r="B2929" s="73" t="s">
        <v>23</v>
      </c>
      <c r="C2929" s="73"/>
      <c r="D2929" s="73"/>
      <c r="E2929" s="73"/>
      <c r="F2929" s="73"/>
      <c r="G2929" s="74" t="s">
        <v>596</v>
      </c>
      <c r="H2929" s="153">
        <f>H2928*2</f>
        <v>1.3440000000000002E-2</v>
      </c>
      <c r="I2929" s="72"/>
      <c r="J2929" s="73"/>
      <c r="K2929" s="671"/>
      <c r="L2929" s="73"/>
      <c r="M2929" s="73"/>
      <c r="N2929" s="74"/>
      <c r="O2929" s="153"/>
    </row>
    <row r="2930" spans="1:15" customFormat="1" x14ac:dyDescent="0.25">
      <c r="A2930" s="661"/>
      <c r="B2930" s="73" t="s">
        <v>142</v>
      </c>
      <c r="C2930" s="73"/>
      <c r="D2930" s="73"/>
      <c r="E2930" s="73"/>
      <c r="F2930" s="73"/>
      <c r="G2930" s="74" t="s">
        <v>3</v>
      </c>
      <c r="H2930" s="153">
        <f>H2928/4</f>
        <v>1.6800000000000003E-3</v>
      </c>
      <c r="I2930" s="72"/>
      <c r="J2930" s="73"/>
      <c r="K2930" s="671"/>
      <c r="L2930" s="73"/>
      <c r="M2930" s="73"/>
      <c r="N2930" s="74"/>
      <c r="O2930" s="153"/>
    </row>
    <row r="2931" spans="1:15" customFormat="1" x14ac:dyDescent="0.25">
      <c r="A2931" s="661"/>
      <c r="B2931" s="77" t="s">
        <v>143</v>
      </c>
      <c r="C2931" s="77"/>
      <c r="D2931" s="77"/>
      <c r="E2931" s="77"/>
      <c r="F2931" s="73"/>
      <c r="G2931" s="74" t="s">
        <v>3</v>
      </c>
      <c r="H2931" s="153">
        <f>H2932</f>
        <v>3.1711679999999992E-2</v>
      </c>
      <c r="I2931" s="72"/>
      <c r="J2931" s="73"/>
      <c r="K2931" s="671"/>
      <c r="L2931" s="73"/>
      <c r="M2931" s="73"/>
      <c r="N2931" s="74"/>
      <c r="O2931" s="153"/>
    </row>
    <row r="2932" spans="1:15" customFormat="1" x14ac:dyDescent="0.25">
      <c r="A2932" s="661"/>
      <c r="B2932" s="77" t="s">
        <v>8</v>
      </c>
      <c r="C2932" s="77"/>
      <c r="D2932" s="77"/>
      <c r="E2932" s="77"/>
      <c r="F2932" s="73"/>
      <c r="G2932" s="74" t="s">
        <v>3</v>
      </c>
      <c r="H2932" s="153">
        <f>H2933*0.858</f>
        <v>3.1711679999999992E-2</v>
      </c>
      <c r="I2932" s="72"/>
      <c r="J2932" s="73"/>
      <c r="K2932" s="671"/>
      <c r="L2932" s="73"/>
      <c r="M2932" s="73"/>
      <c r="N2932" s="74"/>
      <c r="O2932" s="153"/>
    </row>
    <row r="2933" spans="1:15" customFormat="1" x14ac:dyDescent="0.25">
      <c r="A2933" s="661"/>
      <c r="B2933" s="77" t="s">
        <v>8297</v>
      </c>
      <c r="C2933" s="77"/>
      <c r="D2933" s="77"/>
      <c r="E2933" s="77"/>
      <c r="F2933" s="73"/>
      <c r="G2933" s="74" t="s">
        <v>3</v>
      </c>
      <c r="H2933" s="153">
        <f>1.4*0.011*2*1.2</f>
        <v>3.6959999999999993E-2</v>
      </c>
      <c r="I2933" s="72"/>
      <c r="J2933" s="73"/>
      <c r="K2933" s="671"/>
      <c r="L2933" s="73"/>
      <c r="M2933" s="73"/>
      <c r="N2933" s="74"/>
      <c r="O2933" s="153"/>
    </row>
    <row r="2934" spans="1:15" customFormat="1" x14ac:dyDescent="0.25">
      <c r="A2934" s="661"/>
      <c r="B2934" s="77" t="s">
        <v>12</v>
      </c>
      <c r="C2934" s="77"/>
      <c r="D2934" s="77"/>
      <c r="E2934" s="77"/>
      <c r="F2934" s="73"/>
      <c r="G2934" s="74" t="s">
        <v>3</v>
      </c>
      <c r="H2934" s="153">
        <f>0.3*(H2933+H2932+H2931)</f>
        <v>3.0115007999999992E-2</v>
      </c>
      <c r="I2934" s="72"/>
      <c r="J2934" s="73"/>
      <c r="K2934" s="671"/>
      <c r="L2934" s="73"/>
      <c r="M2934" s="73"/>
      <c r="N2934" s="74"/>
      <c r="O2934" s="153"/>
    </row>
    <row r="2935" spans="1:15" customFormat="1" x14ac:dyDescent="0.25">
      <c r="A2935" s="661"/>
      <c r="B2935" s="73"/>
      <c r="C2935" s="75" t="s">
        <v>8296</v>
      </c>
      <c r="D2935" s="73"/>
      <c r="E2935" s="73"/>
      <c r="F2935" s="73"/>
      <c r="G2935" s="74"/>
      <c r="H2935" s="153"/>
      <c r="I2935" s="72"/>
      <c r="J2935" s="73"/>
      <c r="K2935" s="671"/>
      <c r="L2935" s="73"/>
      <c r="M2935" s="73"/>
      <c r="N2935" s="74"/>
      <c r="O2935" s="153"/>
    </row>
    <row r="2936" spans="1:15" customFormat="1" x14ac:dyDescent="0.25">
      <c r="A2936" s="661"/>
      <c r="B2936" s="73"/>
      <c r="C2936" s="100" t="s">
        <v>8295</v>
      </c>
      <c r="D2936" s="73"/>
      <c r="E2936" s="73"/>
      <c r="F2936" s="73"/>
      <c r="G2936" s="74" t="s">
        <v>3</v>
      </c>
      <c r="H2936" s="153">
        <v>0.34</v>
      </c>
      <c r="I2936" s="72"/>
      <c r="J2936" t="s">
        <v>8294</v>
      </c>
      <c r="K2936" s="671"/>
      <c r="L2936" s="73"/>
      <c r="M2936" s="73"/>
      <c r="N2936" s="74"/>
      <c r="O2936" s="153"/>
    </row>
    <row r="2937" spans="1:15" customFormat="1" x14ac:dyDescent="0.25">
      <c r="A2937" s="661"/>
      <c r="B2937" s="73"/>
      <c r="C2937" s="73"/>
      <c r="D2937" s="73"/>
      <c r="E2937" s="73"/>
      <c r="F2937" s="73"/>
      <c r="G2937" s="74"/>
      <c r="H2937" s="153"/>
      <c r="I2937" s="72"/>
      <c r="J2937" s="73"/>
      <c r="K2937" s="671"/>
      <c r="L2937" s="73"/>
      <c r="M2937" s="73"/>
      <c r="N2937" s="74"/>
      <c r="O2937" s="153"/>
    </row>
    <row r="2938" spans="1:15" customFormat="1" x14ac:dyDescent="0.25">
      <c r="A2938" s="678"/>
      <c r="B2938" s="75" t="s">
        <v>8293</v>
      </c>
      <c r="C2938" s="73"/>
      <c r="D2938" s="73"/>
      <c r="E2938" s="73"/>
      <c r="F2938" s="73"/>
      <c r="G2938" s="74"/>
      <c r="H2938" s="153"/>
      <c r="I2938" s="72"/>
      <c r="J2938" s="73"/>
      <c r="K2938" s="671"/>
      <c r="L2938" s="73"/>
      <c r="M2938" s="73"/>
      <c r="N2938" s="74"/>
      <c r="O2938" s="153"/>
    </row>
    <row r="2939" spans="1:15" customFormat="1" x14ac:dyDescent="0.25">
      <c r="A2939" s="661"/>
      <c r="B2939" s="73" t="s">
        <v>150</v>
      </c>
      <c r="C2939" s="73"/>
      <c r="D2939" s="73"/>
      <c r="E2939" s="73"/>
      <c r="F2939" s="73"/>
      <c r="G2939" s="74" t="s">
        <v>3</v>
      </c>
      <c r="H2939" s="153">
        <f>0.095*0.1*2*8*1.181</f>
        <v>0.17951200000000003</v>
      </c>
      <c r="I2939" s="72"/>
      <c r="J2939" s="73"/>
      <c r="K2939" s="671"/>
      <c r="L2939" s="73"/>
      <c r="M2939" s="73"/>
      <c r="N2939" s="74"/>
      <c r="O2939" s="153"/>
    </row>
    <row r="2940" spans="1:15" customFormat="1" x14ac:dyDescent="0.25">
      <c r="A2940" s="661"/>
      <c r="B2940" s="73"/>
      <c r="C2940" s="73"/>
      <c r="D2940" s="73"/>
      <c r="E2940" s="73"/>
      <c r="F2940" s="73"/>
      <c r="G2940" s="74"/>
      <c r="H2940" s="153"/>
      <c r="I2940" s="72"/>
      <c r="J2940" s="73"/>
      <c r="K2940" s="671"/>
      <c r="L2940" s="73"/>
      <c r="M2940" s="73"/>
      <c r="N2940" s="74"/>
      <c r="O2940" s="153"/>
    </row>
    <row r="2941" spans="1:15" customFormat="1" x14ac:dyDescent="0.25">
      <c r="A2941" s="678"/>
      <c r="B2941" s="75" t="s">
        <v>8292</v>
      </c>
      <c r="C2941" s="73"/>
      <c r="D2941" s="73"/>
      <c r="E2941" s="73"/>
      <c r="F2941" s="73"/>
      <c r="G2941" s="74"/>
      <c r="H2941" s="153"/>
      <c r="I2941" s="72"/>
      <c r="J2941" s="73"/>
      <c r="K2941" s="671"/>
      <c r="L2941" s="73"/>
      <c r="M2941" s="73"/>
      <c r="N2941" s="74"/>
      <c r="O2941" s="153"/>
    </row>
    <row r="2942" spans="1:15" customFormat="1" x14ac:dyDescent="0.25">
      <c r="A2942" s="661"/>
      <c r="B2942" s="73" t="s">
        <v>8291</v>
      </c>
      <c r="C2942" s="73"/>
      <c r="D2942" s="73"/>
      <c r="E2942" s="73"/>
      <c r="F2942" s="73"/>
      <c r="G2942" s="74" t="s">
        <v>3</v>
      </c>
      <c r="H2942" s="153">
        <f>0.205*0.205*2*2*1.1</f>
        <v>0.18490999999999999</v>
      </c>
      <c r="I2942" s="72"/>
      <c r="J2942" s="73"/>
      <c r="K2942" s="671"/>
      <c r="L2942" s="73"/>
      <c r="M2942" s="73"/>
      <c r="N2942" s="74"/>
      <c r="O2942" s="153"/>
    </row>
    <row r="2943" spans="1:15" customFormat="1" x14ac:dyDescent="0.25">
      <c r="A2943" s="661"/>
      <c r="B2943" s="73"/>
      <c r="C2943" s="73"/>
      <c r="D2943" s="73"/>
      <c r="E2943" s="73"/>
      <c r="F2943" s="73"/>
      <c r="G2943" s="74"/>
      <c r="H2943" s="153"/>
      <c r="I2943" s="72"/>
      <c r="J2943" s="73"/>
      <c r="K2943" s="671"/>
      <c r="L2943" s="73"/>
      <c r="M2943" s="73"/>
      <c r="N2943" s="74"/>
      <c r="O2943" s="153"/>
    </row>
    <row r="2944" spans="1:15" customFormat="1" x14ac:dyDescent="0.25">
      <c r="A2944" s="678"/>
      <c r="B2944" s="75" t="s">
        <v>8290</v>
      </c>
      <c r="C2944" s="73"/>
      <c r="D2944" s="73"/>
      <c r="E2944" s="73"/>
      <c r="F2944" s="73"/>
      <c r="G2944" s="74"/>
      <c r="H2944" s="153"/>
      <c r="I2944" s="72"/>
      <c r="J2944" s="73"/>
      <c r="K2944" s="671"/>
      <c r="L2944" s="73"/>
      <c r="M2944" s="73"/>
      <c r="N2944" s="74"/>
      <c r="O2944" s="153"/>
    </row>
    <row r="2945" spans="1:15" customFormat="1" x14ac:dyDescent="0.25">
      <c r="A2945" s="661"/>
      <c r="B2945" s="73" t="s">
        <v>8289</v>
      </c>
      <c r="C2945" s="73"/>
      <c r="D2945" s="73"/>
      <c r="E2945" s="73"/>
      <c r="F2945" s="73"/>
      <c r="G2945" s="74" t="s">
        <v>3</v>
      </c>
      <c r="H2945" s="153">
        <f>0.006*3.14*2*0.08*1.3</f>
        <v>3.9187200000000005E-3</v>
      </c>
      <c r="I2945" s="72"/>
      <c r="J2945" s="73"/>
      <c r="K2945" s="671"/>
      <c r="L2945" s="73"/>
      <c r="M2945" s="73"/>
      <c r="N2945" s="74"/>
      <c r="O2945" s="153"/>
    </row>
    <row r="2946" spans="1:15" customFormat="1" x14ac:dyDescent="0.25">
      <c r="A2946" s="661"/>
      <c r="B2946" s="73" t="s">
        <v>8288</v>
      </c>
      <c r="C2946" s="73"/>
      <c r="D2946" s="73"/>
      <c r="E2946" s="73"/>
      <c r="F2946" s="73"/>
      <c r="G2946" s="74" t="s">
        <v>3</v>
      </c>
      <c r="H2946" s="153">
        <f>H2945/3</f>
        <v>1.3062400000000002E-3</v>
      </c>
      <c r="I2946" s="72"/>
      <c r="J2946" s="73"/>
      <c r="K2946" s="671"/>
      <c r="L2946" s="73"/>
      <c r="M2946" s="73"/>
      <c r="N2946" s="74"/>
      <c r="O2946" s="153"/>
    </row>
    <row r="2947" spans="1:15" customFormat="1" x14ac:dyDescent="0.25">
      <c r="A2947" s="661"/>
      <c r="B2947" s="73" t="s">
        <v>1993</v>
      </c>
      <c r="C2947" s="73"/>
      <c r="D2947" s="73"/>
      <c r="E2947" s="73"/>
      <c r="F2947" s="73"/>
      <c r="G2947" s="74" t="s">
        <v>3</v>
      </c>
      <c r="H2947" s="153">
        <f>H2945/2</f>
        <v>1.9593600000000003E-3</v>
      </c>
      <c r="I2947" s="72"/>
      <c r="J2947" s="73"/>
      <c r="K2947" s="671"/>
      <c r="L2947" s="73"/>
      <c r="M2947" s="73"/>
      <c r="N2947" s="74"/>
      <c r="O2947" s="153"/>
    </row>
    <row r="2948" spans="1:15" customFormat="1" x14ac:dyDescent="0.25">
      <c r="A2948" s="661"/>
      <c r="B2948" s="73" t="s">
        <v>114</v>
      </c>
      <c r="C2948" s="73"/>
      <c r="D2948" s="73"/>
      <c r="E2948" s="73"/>
      <c r="F2948" s="73"/>
      <c r="G2948" s="74" t="s">
        <v>3</v>
      </c>
      <c r="H2948" s="153">
        <f>H2950</f>
        <v>9.9329999999999991E-3</v>
      </c>
      <c r="I2948" s="72"/>
      <c r="J2948" s="73"/>
      <c r="K2948" s="671"/>
      <c r="L2948" s="73"/>
      <c r="M2948" s="73"/>
      <c r="N2948" s="74"/>
      <c r="O2948" s="153"/>
    </row>
    <row r="2949" spans="1:15" customFormat="1" x14ac:dyDescent="0.25">
      <c r="A2949" s="661"/>
      <c r="B2949" s="73" t="s">
        <v>164</v>
      </c>
      <c r="C2949" s="73"/>
      <c r="D2949" s="73"/>
      <c r="E2949" s="73"/>
      <c r="F2949" s="73"/>
      <c r="G2949" s="74" t="s">
        <v>3</v>
      </c>
      <c r="H2949" s="153">
        <f>0.3*H2948</f>
        <v>2.9798999999999997E-3</v>
      </c>
      <c r="I2949" s="72"/>
      <c r="J2949" s="73"/>
      <c r="K2949" s="671"/>
      <c r="L2949" s="73"/>
      <c r="M2949" s="73"/>
      <c r="N2949" s="74"/>
      <c r="O2949" s="153"/>
    </row>
    <row r="2950" spans="1:15" customFormat="1" x14ac:dyDescent="0.25">
      <c r="A2950" s="661"/>
      <c r="B2950" s="73" t="s">
        <v>152</v>
      </c>
      <c r="C2950" s="73"/>
      <c r="D2950" s="73"/>
      <c r="E2950" s="73"/>
      <c r="F2950" s="73"/>
      <c r="G2950" s="74" t="s">
        <v>3</v>
      </c>
      <c r="H2950" s="153">
        <f>0.35*0.011*2*1.29</f>
        <v>9.9329999999999991E-3</v>
      </c>
      <c r="I2950" s="72"/>
      <c r="J2950" s="73"/>
      <c r="K2950" s="671"/>
      <c r="L2950" s="73"/>
      <c r="M2950" s="73"/>
      <c r="N2950" s="74"/>
      <c r="O2950" s="153"/>
    </row>
    <row r="2951" spans="1:15" customFormat="1" x14ac:dyDescent="0.25">
      <c r="A2951" s="661"/>
      <c r="B2951" s="73" t="s">
        <v>12</v>
      </c>
      <c r="C2951" s="73"/>
      <c r="D2951" s="73"/>
      <c r="E2951" s="73"/>
      <c r="F2951" s="73"/>
      <c r="G2951" s="74" t="s">
        <v>3</v>
      </c>
      <c r="H2951" s="153">
        <f>0.3*H2950</f>
        <v>2.9798999999999997E-3</v>
      </c>
      <c r="I2951" s="72"/>
      <c r="J2951" s="73"/>
      <c r="K2951" s="671"/>
      <c r="L2951" s="73"/>
      <c r="M2951" s="73"/>
      <c r="N2951" s="74"/>
      <c r="O2951" s="153"/>
    </row>
    <row r="2952" spans="1:15" customFormat="1" x14ac:dyDescent="0.25">
      <c r="A2952" s="661"/>
      <c r="B2952" s="73"/>
      <c r="C2952" s="75" t="s">
        <v>8287</v>
      </c>
      <c r="D2952" s="73"/>
      <c r="E2952" s="73"/>
      <c r="F2952" s="73"/>
      <c r="G2952" s="74"/>
      <c r="H2952" s="153"/>
      <c r="I2952" s="72"/>
      <c r="J2952" s="73"/>
      <c r="K2952" s="671"/>
      <c r="L2952" s="73"/>
      <c r="M2952" s="73"/>
      <c r="N2952" s="74"/>
      <c r="O2952" s="153"/>
    </row>
    <row r="2953" spans="1:15" customFormat="1" x14ac:dyDescent="0.25">
      <c r="A2953" s="661"/>
      <c r="B2953" s="73"/>
      <c r="C2953" s="73" t="s">
        <v>8286</v>
      </c>
      <c r="D2953" s="73"/>
      <c r="E2953" s="73"/>
      <c r="F2953" s="73"/>
      <c r="G2953" s="74" t="s">
        <v>3</v>
      </c>
      <c r="H2953" s="153">
        <v>0.49</v>
      </c>
      <c r="I2953" s="72"/>
      <c r="J2953" t="s">
        <v>6306</v>
      </c>
      <c r="K2953" s="671"/>
      <c r="L2953" s="73"/>
      <c r="M2953" s="73"/>
      <c r="N2953" s="74"/>
      <c r="O2953" s="153"/>
    </row>
    <row r="2954" spans="1:15" customFormat="1" x14ac:dyDescent="0.25">
      <c r="A2954" s="661"/>
      <c r="B2954" s="73"/>
      <c r="C2954" s="73"/>
      <c r="D2954" s="73"/>
      <c r="E2954" s="73"/>
      <c r="F2954" s="73"/>
      <c r="G2954" s="74"/>
      <c r="H2954" s="153"/>
      <c r="I2954" s="72"/>
      <c r="J2954" s="73"/>
      <c r="K2954" s="671"/>
      <c r="L2954" s="73"/>
      <c r="M2954" s="73"/>
      <c r="N2954" s="74"/>
      <c r="O2954" s="153"/>
    </row>
    <row r="2955" spans="1:15" customFormat="1" x14ac:dyDescent="0.25">
      <c r="A2955" s="678"/>
      <c r="B2955" s="75" t="s">
        <v>8285</v>
      </c>
      <c r="C2955" s="73"/>
      <c r="D2955" s="73"/>
      <c r="E2955" s="73"/>
      <c r="F2955" s="73"/>
      <c r="G2955" s="74"/>
      <c r="H2955" s="153"/>
      <c r="I2955" s="72"/>
      <c r="J2955" s="73"/>
      <c r="K2955" s="671"/>
      <c r="L2955" s="73"/>
      <c r="M2955" s="73"/>
      <c r="N2955" s="74"/>
      <c r="O2955" s="153"/>
    </row>
    <row r="2956" spans="1:15" customFormat="1" x14ac:dyDescent="0.25">
      <c r="A2956" s="661"/>
      <c r="B2956" s="73" t="s">
        <v>5284</v>
      </c>
      <c r="C2956" s="73"/>
      <c r="D2956" s="73"/>
      <c r="E2956" s="73"/>
      <c r="F2956" s="73"/>
      <c r="G2956" s="74" t="s">
        <v>3</v>
      </c>
      <c r="H2956" s="153">
        <f>(0.23*0.16+0.37*0.105+0.23*0.105)*2*8*1.149</f>
        <v>1.8347232</v>
      </c>
      <c r="I2956" s="72"/>
      <c r="J2956" s="73"/>
      <c r="K2956" s="671"/>
      <c r="L2956" s="73"/>
      <c r="M2956" s="73"/>
      <c r="N2956" s="74"/>
      <c r="O2956" s="153"/>
    </row>
    <row r="2957" spans="1:15" customFormat="1" x14ac:dyDescent="0.25">
      <c r="A2957" s="661"/>
      <c r="B2957" s="77" t="s">
        <v>1054</v>
      </c>
      <c r="C2957" s="73"/>
      <c r="D2957" s="73"/>
      <c r="E2957" s="73"/>
      <c r="F2957" s="73"/>
      <c r="G2957" s="74" t="s">
        <v>3</v>
      </c>
      <c r="H2957" s="153">
        <f>0.25*0.08*1.2</f>
        <v>2.4E-2</v>
      </c>
      <c r="I2957" s="72"/>
      <c r="J2957" s="73"/>
      <c r="K2957" s="671"/>
      <c r="L2957" s="73"/>
      <c r="M2957" s="73"/>
      <c r="N2957" s="74"/>
      <c r="O2957" s="153"/>
    </row>
    <row r="2958" spans="1:15" customFormat="1" ht="17.25" x14ac:dyDescent="0.25">
      <c r="A2958" s="661"/>
      <c r="B2958" s="77" t="s">
        <v>1055</v>
      </c>
      <c r="C2958" s="73"/>
      <c r="D2958" s="73"/>
      <c r="E2958" s="73"/>
      <c r="F2958" s="73"/>
      <c r="G2958" s="74" t="s">
        <v>596</v>
      </c>
      <c r="H2958" s="153">
        <f>H2957</f>
        <v>2.4E-2</v>
      </c>
      <c r="I2958" s="72"/>
      <c r="J2958" s="73"/>
      <c r="K2958" s="671"/>
      <c r="L2958" s="73"/>
      <c r="M2958" s="73"/>
      <c r="N2958" s="74"/>
      <c r="O2958" s="153"/>
    </row>
    <row r="2959" spans="1:15" customFormat="1" x14ac:dyDescent="0.25">
      <c r="A2959" s="661"/>
      <c r="B2959" s="77" t="s">
        <v>8</v>
      </c>
      <c r="C2959" s="73"/>
      <c r="D2959" s="73"/>
      <c r="E2959" s="73"/>
      <c r="F2959" s="73"/>
      <c r="G2959" s="74" t="s">
        <v>3</v>
      </c>
      <c r="H2959" s="153">
        <f>H2961*0.84</f>
        <v>5.0400000000000007E-2</v>
      </c>
      <c r="I2959" s="72"/>
      <c r="J2959" s="73"/>
      <c r="K2959" s="671"/>
      <c r="L2959" s="73"/>
      <c r="M2959" s="73"/>
      <c r="N2959" s="74"/>
      <c r="O2959" s="153"/>
    </row>
    <row r="2960" spans="1:15" customFormat="1" x14ac:dyDescent="0.25">
      <c r="A2960" s="661"/>
      <c r="B2960" s="77" t="s">
        <v>12</v>
      </c>
      <c r="C2960" s="73"/>
      <c r="D2960" s="73"/>
      <c r="E2960" s="73"/>
      <c r="F2960" s="73"/>
      <c r="G2960" s="74" t="s">
        <v>3</v>
      </c>
      <c r="H2960" s="153">
        <f>0.3*H2959</f>
        <v>1.5120000000000001E-2</v>
      </c>
      <c r="I2960" s="72"/>
      <c r="J2960" s="73"/>
      <c r="K2960" s="671"/>
      <c r="L2960" s="73"/>
      <c r="M2960" s="73"/>
      <c r="N2960" s="74"/>
      <c r="O2960" s="153"/>
    </row>
    <row r="2961" spans="1:15" customFormat="1" x14ac:dyDescent="0.25">
      <c r="A2961" s="661"/>
      <c r="B2961" s="77" t="s">
        <v>72</v>
      </c>
      <c r="C2961" s="73"/>
      <c r="D2961" s="73"/>
      <c r="E2961" s="73"/>
      <c r="F2961" s="73"/>
      <c r="G2961" s="74" t="s">
        <v>3</v>
      </c>
      <c r="H2961" s="153">
        <f>0.8*0.1*2*0.15*2*1.25</f>
        <v>6.0000000000000012E-2</v>
      </c>
      <c r="I2961" s="72"/>
      <c r="J2961" s="73"/>
      <c r="K2961" s="671"/>
      <c r="L2961" s="73"/>
      <c r="M2961" s="73"/>
      <c r="N2961" s="74"/>
      <c r="O2961" s="153"/>
    </row>
    <row r="2962" spans="1:15" customFormat="1" x14ac:dyDescent="0.25">
      <c r="A2962" s="661"/>
      <c r="B2962" s="77" t="s">
        <v>11</v>
      </c>
      <c r="C2962" s="73"/>
      <c r="D2962" s="73"/>
      <c r="E2962" s="73"/>
      <c r="F2962" s="73"/>
      <c r="G2962" s="74" t="s">
        <v>3</v>
      </c>
      <c r="H2962" s="153">
        <f>0.3*H2961</f>
        <v>1.8000000000000002E-2</v>
      </c>
      <c r="I2962" s="72"/>
      <c r="J2962" s="73"/>
      <c r="K2962" s="671"/>
      <c r="L2962" s="73"/>
      <c r="M2962" s="73"/>
      <c r="N2962" s="74"/>
      <c r="O2962" s="153"/>
    </row>
    <row r="2963" spans="1:15" customFormat="1" x14ac:dyDescent="0.25">
      <c r="A2963" s="661"/>
      <c r="B2963" s="73"/>
      <c r="C2963" s="73"/>
      <c r="D2963" s="73"/>
      <c r="E2963" s="73"/>
      <c r="F2963" s="73"/>
      <c r="G2963" s="74"/>
      <c r="H2963" s="153"/>
      <c r="I2963" s="72"/>
      <c r="J2963" s="73"/>
      <c r="K2963" s="671"/>
      <c r="L2963" s="73"/>
      <c r="M2963" s="73"/>
      <c r="N2963" s="74"/>
      <c r="O2963" s="153"/>
    </row>
    <row r="2964" spans="1:15" customFormat="1" x14ac:dyDescent="0.25">
      <c r="A2964" s="678"/>
      <c r="B2964" s="75" t="s">
        <v>8284</v>
      </c>
      <c r="C2964" s="73"/>
      <c r="D2964" s="73"/>
      <c r="E2964" s="73"/>
      <c r="F2964" s="73"/>
      <c r="G2964" s="74"/>
      <c r="H2964" s="153"/>
      <c r="I2964" s="72"/>
      <c r="J2964" s="73"/>
      <c r="K2964" s="671"/>
      <c r="L2964" s="73"/>
      <c r="M2964" s="73"/>
      <c r="N2964" s="74"/>
      <c r="O2964" s="153"/>
    </row>
    <row r="2965" spans="1:15" customFormat="1" x14ac:dyDescent="0.25">
      <c r="A2965" s="661"/>
      <c r="B2965" s="73" t="s">
        <v>140</v>
      </c>
      <c r="C2965" s="73"/>
      <c r="D2965" s="73"/>
      <c r="E2965" s="73"/>
      <c r="F2965" s="73"/>
      <c r="G2965" s="74" t="s">
        <v>3</v>
      </c>
      <c r="H2965" s="153">
        <f>0.012*3.14*2*0.08*1.2</f>
        <v>7.234560000000001E-3</v>
      </c>
      <c r="I2965" s="72"/>
      <c r="J2965" s="73"/>
      <c r="K2965" s="671"/>
      <c r="L2965" s="73"/>
      <c r="M2965" s="73"/>
      <c r="N2965" s="74"/>
      <c r="O2965" s="153"/>
    </row>
    <row r="2966" spans="1:15" customFormat="1" ht="17.25" x14ac:dyDescent="0.25">
      <c r="A2966" s="661"/>
      <c r="B2966" s="73" t="s">
        <v>23</v>
      </c>
      <c r="C2966" s="73"/>
      <c r="D2966" s="73"/>
      <c r="E2966" s="73"/>
      <c r="F2966" s="73"/>
      <c r="G2966" s="74" t="s">
        <v>596</v>
      </c>
      <c r="H2966" s="153">
        <f>H2965*2</f>
        <v>1.4469120000000002E-2</v>
      </c>
      <c r="I2966" s="72"/>
      <c r="J2966" s="73"/>
      <c r="K2966" s="671"/>
      <c r="L2966" s="73"/>
      <c r="M2966" s="73"/>
      <c r="N2966" s="74"/>
      <c r="O2966" s="153"/>
    </row>
    <row r="2967" spans="1:15" customFormat="1" x14ac:dyDescent="0.25">
      <c r="A2967" s="661"/>
      <c r="B2967" s="73" t="s">
        <v>142</v>
      </c>
      <c r="C2967" s="73"/>
      <c r="D2967" s="73"/>
      <c r="E2967" s="73"/>
      <c r="F2967" s="73"/>
      <c r="G2967" s="74" t="s">
        <v>3</v>
      </c>
      <c r="H2967" s="153">
        <f>H2965/4</f>
        <v>1.8086400000000002E-3</v>
      </c>
      <c r="I2967" s="72"/>
      <c r="J2967" s="73"/>
      <c r="K2967" s="671"/>
      <c r="L2967" s="73"/>
      <c r="M2967" s="73"/>
      <c r="N2967" s="74"/>
      <c r="O2967" s="153"/>
    </row>
    <row r="2968" spans="1:15" customFormat="1" x14ac:dyDescent="0.25">
      <c r="A2968" s="661"/>
      <c r="B2968" s="100" t="s">
        <v>143</v>
      </c>
      <c r="C2968" s="73"/>
      <c r="D2968" s="73"/>
      <c r="E2968" s="73"/>
      <c r="F2968" s="73"/>
      <c r="G2968" s="74" t="s">
        <v>3</v>
      </c>
      <c r="H2968" s="153">
        <f>H2970*0.82</f>
        <v>3.0307199999999992E-2</v>
      </c>
      <c r="I2968" s="72"/>
      <c r="J2968" s="73"/>
      <c r="K2968" s="671"/>
      <c r="L2968" s="73"/>
      <c r="M2968" s="73"/>
      <c r="N2968" s="74"/>
      <c r="O2968" s="153"/>
    </row>
    <row r="2969" spans="1:15" customFormat="1" x14ac:dyDescent="0.25">
      <c r="A2969" s="661"/>
      <c r="B2969" s="100" t="s">
        <v>8</v>
      </c>
      <c r="C2969" s="73"/>
      <c r="D2969" s="73"/>
      <c r="E2969" s="73"/>
      <c r="F2969" s="73"/>
      <c r="G2969" s="74" t="s">
        <v>3</v>
      </c>
      <c r="H2969" s="153">
        <f>H2968</f>
        <v>3.0307199999999992E-2</v>
      </c>
      <c r="I2969" s="72"/>
      <c r="J2969" s="73"/>
      <c r="K2969" s="671"/>
      <c r="L2969" s="73"/>
      <c r="M2969" s="73"/>
      <c r="N2969" s="74"/>
      <c r="O2969" s="153"/>
    </row>
    <row r="2970" spans="1:15" customFormat="1" x14ac:dyDescent="0.25">
      <c r="A2970" s="661"/>
      <c r="B2970" s="100" t="s">
        <v>5543</v>
      </c>
      <c r="C2970" s="73"/>
      <c r="D2970" s="73"/>
      <c r="E2970" s="73"/>
      <c r="F2970" s="73"/>
      <c r="G2970" s="74" t="s">
        <v>3</v>
      </c>
      <c r="H2970" s="153">
        <f>1.4*0.011*2*1.2</f>
        <v>3.6959999999999993E-2</v>
      </c>
      <c r="I2970" s="72"/>
      <c r="J2970" s="73"/>
      <c r="K2970" s="671"/>
      <c r="L2970" s="73"/>
      <c r="M2970" s="73"/>
      <c r="N2970" s="74"/>
      <c r="O2970" s="153"/>
    </row>
    <row r="2971" spans="1:15" customFormat="1" x14ac:dyDescent="0.25">
      <c r="A2971" s="661"/>
      <c r="B2971" s="100" t="s">
        <v>12</v>
      </c>
      <c r="C2971" s="73"/>
      <c r="D2971" s="73"/>
      <c r="E2971" s="73"/>
      <c r="F2971" s="73"/>
      <c r="G2971" s="74" t="s">
        <v>3</v>
      </c>
      <c r="H2971" s="153">
        <f>0.3*SUM(H2968:H2970)</f>
        <v>2.9272319999999991E-2</v>
      </c>
      <c r="I2971" s="72"/>
      <c r="J2971" s="73"/>
      <c r="K2971" s="671"/>
      <c r="L2971" s="73"/>
      <c r="M2971" s="73"/>
      <c r="N2971" s="74"/>
      <c r="O2971" s="153"/>
    </row>
    <row r="2972" spans="1:15" customFormat="1" x14ac:dyDescent="0.25">
      <c r="A2972" s="661"/>
      <c r="B2972" s="73"/>
      <c r="C2972" s="75" t="s">
        <v>8283</v>
      </c>
      <c r="D2972" s="73"/>
      <c r="E2972" s="73"/>
      <c r="F2972" s="73"/>
      <c r="G2972" s="74"/>
      <c r="H2972" s="153"/>
      <c r="I2972" s="72"/>
      <c r="J2972" s="73"/>
      <c r="K2972" s="671"/>
      <c r="L2972" s="73"/>
      <c r="M2972" s="73"/>
      <c r="N2972" s="74"/>
      <c r="O2972" s="153"/>
    </row>
    <row r="2973" spans="1:15" customFormat="1" x14ac:dyDescent="0.25">
      <c r="A2973" s="661"/>
      <c r="B2973" s="73"/>
      <c r="C2973" s="73" t="s">
        <v>159</v>
      </c>
      <c r="D2973" s="73"/>
      <c r="E2973" s="73"/>
      <c r="F2973" s="73"/>
      <c r="G2973" s="74" t="s">
        <v>3</v>
      </c>
      <c r="H2973" s="153">
        <v>0.41</v>
      </c>
      <c r="I2973" s="72"/>
      <c r="J2973" t="s">
        <v>8282</v>
      </c>
      <c r="K2973" s="671"/>
      <c r="L2973" s="73"/>
      <c r="M2973" s="73"/>
      <c r="N2973" s="74"/>
      <c r="O2973" s="153"/>
    </row>
    <row r="2974" spans="1:15" customFormat="1" x14ac:dyDescent="0.25">
      <c r="A2974" s="661"/>
      <c r="B2974" s="73"/>
      <c r="C2974" s="73"/>
      <c r="D2974" s="73"/>
      <c r="E2974" s="73"/>
      <c r="F2974" s="73"/>
      <c r="G2974" s="74"/>
      <c r="H2974" s="153"/>
      <c r="I2974" s="72"/>
      <c r="J2974" s="73"/>
      <c r="K2974" s="671"/>
      <c r="L2974" s="73"/>
      <c r="M2974" s="73"/>
      <c r="N2974" s="74"/>
      <c r="O2974" s="153"/>
    </row>
    <row r="2975" spans="1:15" customFormat="1" x14ac:dyDescent="0.25">
      <c r="A2975" s="678"/>
      <c r="B2975" s="75" t="s">
        <v>8281</v>
      </c>
      <c r="C2975" s="73"/>
      <c r="D2975" s="73"/>
      <c r="E2975" s="73"/>
      <c r="F2975" s="73"/>
      <c r="G2975" s="74"/>
      <c r="H2975" s="153"/>
      <c r="I2975" s="72"/>
      <c r="J2975" s="73"/>
      <c r="K2975" s="671"/>
      <c r="L2975" s="73"/>
      <c r="M2975" s="73"/>
      <c r="N2975" s="74"/>
      <c r="O2975" s="153"/>
    </row>
    <row r="2976" spans="1:15" customFormat="1" x14ac:dyDescent="0.25">
      <c r="A2976" s="661"/>
      <c r="B2976" s="100" t="s">
        <v>723</v>
      </c>
      <c r="C2976" s="73"/>
      <c r="D2976" s="73"/>
      <c r="E2976" s="73"/>
      <c r="F2976" s="73"/>
      <c r="G2976" s="74" t="s">
        <v>3</v>
      </c>
      <c r="H2976" s="153">
        <v>1E-3</v>
      </c>
      <c r="I2976" s="72"/>
      <c r="J2976" s="73"/>
      <c r="K2976" s="671"/>
      <c r="L2976" s="73"/>
      <c r="M2976" s="73"/>
      <c r="N2976" s="74"/>
      <c r="O2976" s="153"/>
    </row>
    <row r="2977" spans="1:15" customFormat="1" x14ac:dyDescent="0.25">
      <c r="A2977" s="661"/>
      <c r="B2977" s="580" t="s">
        <v>6724</v>
      </c>
      <c r="C2977" s="75"/>
      <c r="D2977" s="75"/>
      <c r="E2977" s="73"/>
      <c r="F2977" s="73"/>
      <c r="G2977" s="74" t="s">
        <v>3</v>
      </c>
      <c r="H2977" s="427">
        <f>10*0.05*1.2</f>
        <v>0.6</v>
      </c>
      <c r="I2977" s="72"/>
      <c r="J2977" s="73"/>
      <c r="K2977" s="671"/>
      <c r="L2977" s="73"/>
      <c r="M2977" s="73"/>
      <c r="N2977" s="74"/>
      <c r="O2977" s="153"/>
    </row>
    <row r="2978" spans="1:15" customFormat="1" ht="17.25" x14ac:dyDescent="0.25">
      <c r="A2978" s="661"/>
      <c r="B2978" s="204" t="s">
        <v>6723</v>
      </c>
      <c r="C2978" s="75"/>
      <c r="D2978" s="75"/>
      <c r="E2978" s="73"/>
      <c r="F2978" s="73"/>
      <c r="G2978" s="74" t="s">
        <v>596</v>
      </c>
      <c r="H2978" s="153">
        <f>1.09*H2977</f>
        <v>0.65400000000000003</v>
      </c>
      <c r="I2978" s="72"/>
      <c r="J2978" s="73"/>
      <c r="K2978" s="671"/>
      <c r="L2978" s="73"/>
      <c r="M2978" s="73"/>
      <c r="N2978" s="74"/>
      <c r="O2978" s="153"/>
    </row>
    <row r="2979" spans="1:15" customFormat="1" x14ac:dyDescent="0.25">
      <c r="A2979" s="661"/>
      <c r="B2979" s="73" t="s">
        <v>114</v>
      </c>
      <c r="C2979" s="73"/>
      <c r="D2979" s="73"/>
      <c r="E2979" s="73"/>
      <c r="F2979" s="73"/>
      <c r="G2979" s="74" t="s">
        <v>3</v>
      </c>
      <c r="H2979" s="153">
        <v>0.25</v>
      </c>
      <c r="I2979" s="72"/>
      <c r="J2979" s="73"/>
      <c r="K2979" s="671"/>
      <c r="L2979" s="73"/>
      <c r="M2979" s="73"/>
      <c r="N2979" s="74"/>
      <c r="O2979" s="153"/>
    </row>
    <row r="2980" spans="1:15" customFormat="1" x14ac:dyDescent="0.25">
      <c r="A2980" s="661"/>
      <c r="B2980" s="73" t="s">
        <v>163</v>
      </c>
      <c r="C2980" s="73"/>
      <c r="D2980" s="73"/>
      <c r="E2980" s="73"/>
      <c r="F2980" s="73"/>
      <c r="G2980" s="74" t="s">
        <v>3</v>
      </c>
      <c r="H2980" s="153">
        <v>0.25</v>
      </c>
      <c r="I2980" s="72"/>
      <c r="J2980" s="73"/>
      <c r="K2980" s="671"/>
      <c r="L2980" s="73"/>
      <c r="M2980" s="73"/>
      <c r="N2980" s="74"/>
      <c r="O2980" s="153"/>
    </row>
    <row r="2981" spans="1:15" customFormat="1" x14ac:dyDescent="0.25">
      <c r="A2981" s="661"/>
      <c r="B2981" s="73" t="s">
        <v>164</v>
      </c>
      <c r="C2981" s="73"/>
      <c r="D2981" s="73"/>
      <c r="E2981" s="73"/>
      <c r="F2981" s="73"/>
      <c r="G2981" s="74" t="s">
        <v>3</v>
      </c>
      <c r="H2981" s="153">
        <f>0.3*(H2980+H31662)</f>
        <v>7.4999999999999997E-2</v>
      </c>
      <c r="I2981" s="72"/>
      <c r="J2981" s="73"/>
      <c r="K2981" s="671"/>
      <c r="L2981" s="73"/>
      <c r="M2981" s="73"/>
      <c r="N2981" s="74"/>
      <c r="O2981" s="153"/>
    </row>
    <row r="2982" spans="1:15" customFormat="1" x14ac:dyDescent="0.25">
      <c r="A2982" s="661"/>
      <c r="B2982" s="73" t="s">
        <v>72</v>
      </c>
      <c r="C2982" s="73"/>
      <c r="D2982" s="73"/>
      <c r="E2982" s="73"/>
      <c r="F2982" s="73"/>
      <c r="G2982" s="74" t="s">
        <v>3</v>
      </c>
      <c r="H2982" s="153">
        <v>0.45</v>
      </c>
      <c r="I2982" s="72"/>
      <c r="J2982" s="73"/>
      <c r="K2982" s="671"/>
      <c r="L2982" s="73"/>
      <c r="M2982" s="73"/>
      <c r="N2982" s="74"/>
      <c r="O2982" s="153"/>
    </row>
    <row r="2983" spans="1:15" customFormat="1" x14ac:dyDescent="0.25">
      <c r="A2983" s="661"/>
      <c r="B2983" s="73" t="s">
        <v>11</v>
      </c>
      <c r="C2983" s="73"/>
      <c r="D2983" s="73"/>
      <c r="E2983" s="73"/>
      <c r="F2983" s="73"/>
      <c r="G2983" s="74" t="s">
        <v>3</v>
      </c>
      <c r="H2983" s="153">
        <f>0.3*H2982</f>
        <v>0.13500000000000001</v>
      </c>
      <c r="I2983" s="72"/>
      <c r="J2983" s="73"/>
      <c r="K2983" s="671"/>
      <c r="L2983" s="73"/>
      <c r="M2983" s="73"/>
      <c r="N2983" s="74"/>
      <c r="O2983" s="153"/>
    </row>
    <row r="2984" spans="1:15" customFormat="1" x14ac:dyDescent="0.25">
      <c r="A2984" s="661"/>
      <c r="B2984" s="73" t="s">
        <v>13</v>
      </c>
      <c r="C2984" s="73"/>
      <c r="D2984" s="73"/>
      <c r="E2984" s="73"/>
      <c r="F2984" s="73"/>
      <c r="G2984" s="74" t="s">
        <v>3</v>
      </c>
      <c r="H2984" s="153">
        <v>0.2</v>
      </c>
      <c r="I2984" s="72"/>
      <c r="J2984" s="73"/>
      <c r="K2984" s="671"/>
      <c r="L2984" s="73"/>
      <c r="M2984" s="73"/>
      <c r="N2984" s="74"/>
      <c r="O2984" s="153"/>
    </row>
    <row r="2985" spans="1:15" customFormat="1" x14ac:dyDescent="0.25">
      <c r="A2985" s="661"/>
      <c r="B2985" s="73"/>
      <c r="C2985" s="75" t="s">
        <v>2699</v>
      </c>
      <c r="D2985" s="73"/>
      <c r="E2985" s="73"/>
      <c r="F2985" s="73"/>
      <c r="G2985" s="74"/>
      <c r="H2985" s="153"/>
      <c r="I2985" s="72"/>
      <c r="J2985" s="73"/>
      <c r="K2985" s="671"/>
      <c r="L2985" s="73"/>
      <c r="M2985" s="73"/>
      <c r="N2985" s="74"/>
      <c r="O2985" s="153"/>
    </row>
    <row r="2986" spans="1:15" customFormat="1" x14ac:dyDescent="0.25">
      <c r="A2986" s="661"/>
      <c r="B2986" s="73"/>
      <c r="C2986" s="580" t="s">
        <v>6724</v>
      </c>
      <c r="D2986" s="75"/>
      <c r="E2986" s="75"/>
      <c r="F2986" s="73"/>
      <c r="G2986" s="74" t="s">
        <v>3</v>
      </c>
      <c r="H2986" s="427">
        <f>0.025*3.14*0.05*1.2</f>
        <v>4.7100000000000006E-3</v>
      </c>
      <c r="I2986" s="72"/>
      <c r="J2986" s="73"/>
      <c r="K2986" s="671"/>
      <c r="L2986" s="73"/>
      <c r="M2986" s="73"/>
      <c r="N2986" s="74"/>
      <c r="O2986" s="153"/>
    </row>
    <row r="2987" spans="1:15" customFormat="1" ht="17.25" x14ac:dyDescent="0.25">
      <c r="A2987" s="661"/>
      <c r="B2987" s="73"/>
      <c r="C2987" s="204" t="s">
        <v>6723</v>
      </c>
      <c r="D2987" s="75"/>
      <c r="E2987" s="75"/>
      <c r="F2987" s="73"/>
      <c r="G2987" s="74" t="s">
        <v>596</v>
      </c>
      <c r="H2987" s="153">
        <f>1.09*H2986</f>
        <v>5.1339000000000011E-3</v>
      </c>
      <c r="I2987" s="72"/>
      <c r="J2987" s="73"/>
      <c r="K2987" s="671"/>
      <c r="L2987" s="73"/>
      <c r="M2987" s="73"/>
      <c r="N2987" s="74"/>
      <c r="O2987" s="153"/>
    </row>
    <row r="2988" spans="1:15" customFormat="1" x14ac:dyDescent="0.25">
      <c r="A2988" s="661"/>
      <c r="B2988" s="73"/>
      <c r="C2988" s="73"/>
      <c r="D2988" s="75" t="s">
        <v>2700</v>
      </c>
      <c r="E2988" s="73"/>
      <c r="F2988" s="73"/>
      <c r="G2988" s="74"/>
      <c r="H2988" s="153"/>
      <c r="I2988" s="72"/>
      <c r="J2988" s="73"/>
      <c r="K2988" s="671"/>
      <c r="L2988" s="73"/>
      <c r="M2988" s="73"/>
      <c r="N2988" s="74"/>
      <c r="O2988" s="153"/>
    </row>
    <row r="2989" spans="1:15" customFormat="1" x14ac:dyDescent="0.25">
      <c r="A2989" s="661"/>
      <c r="B2989" s="73"/>
      <c r="C2989" s="73"/>
      <c r="D2989" s="73" t="s">
        <v>8280</v>
      </c>
      <c r="E2989" s="73"/>
      <c r="F2989" s="73"/>
      <c r="G2989" s="74" t="s">
        <v>3</v>
      </c>
      <c r="H2989" s="153">
        <v>0.28999999999999998</v>
      </c>
      <c r="I2989" s="72"/>
      <c r="J2989" t="s">
        <v>2701</v>
      </c>
      <c r="K2989" s="671"/>
      <c r="L2989" s="73"/>
      <c r="M2989" s="73"/>
      <c r="N2989" s="74"/>
      <c r="O2989" s="153"/>
    </row>
    <row r="2990" spans="1:15" customFormat="1" x14ac:dyDescent="0.25">
      <c r="A2990" s="661"/>
      <c r="B2990" s="73"/>
      <c r="C2990" s="75" t="s">
        <v>8279</v>
      </c>
      <c r="D2990" s="73"/>
      <c r="E2990" s="73"/>
      <c r="F2990" s="73"/>
      <c r="G2990" s="74"/>
      <c r="H2990" s="153"/>
      <c r="I2990" s="72"/>
      <c r="J2990" s="73"/>
      <c r="K2990" s="671"/>
      <c r="L2990" s="73"/>
      <c r="M2990" s="73"/>
      <c r="N2990" s="74"/>
      <c r="O2990" s="153"/>
    </row>
    <row r="2991" spans="1:15" customFormat="1" x14ac:dyDescent="0.25">
      <c r="A2991" s="661"/>
      <c r="B2991" s="73"/>
      <c r="C2991" s="73" t="s">
        <v>8273</v>
      </c>
      <c r="D2991" s="73"/>
      <c r="E2991" s="73"/>
      <c r="F2991" s="73"/>
      <c r="G2991" s="74" t="s">
        <v>3</v>
      </c>
      <c r="H2991" s="153">
        <f>0.99*1.26*2.5*2.7*1.12</f>
        <v>9.4303440000000016</v>
      </c>
      <c r="I2991" s="72"/>
      <c r="J2991" s="73"/>
      <c r="K2991" s="671"/>
      <c r="L2991" s="73"/>
      <c r="M2991" s="73"/>
      <c r="N2991" s="74"/>
      <c r="O2991" s="153"/>
    </row>
    <row r="2992" spans="1:15" customFormat="1" x14ac:dyDescent="0.25">
      <c r="A2992" s="661"/>
      <c r="B2992" s="73"/>
      <c r="C2992" s="75" t="s">
        <v>2702</v>
      </c>
      <c r="D2992" s="73"/>
      <c r="E2992" s="73"/>
      <c r="F2992" s="73"/>
      <c r="G2992" s="74"/>
      <c r="H2992" s="153"/>
      <c r="I2992" s="72"/>
      <c r="J2992" s="73"/>
      <c r="K2992" s="671"/>
      <c r="L2992" s="73"/>
      <c r="M2992" s="73"/>
      <c r="N2992" s="74"/>
      <c r="O2992" s="153"/>
    </row>
    <row r="2993" spans="1:15" customFormat="1" x14ac:dyDescent="0.25">
      <c r="A2993" s="661"/>
      <c r="B2993" s="73"/>
      <c r="C2993" s="73" t="s">
        <v>8273</v>
      </c>
      <c r="D2993" s="73"/>
      <c r="E2993" s="73"/>
      <c r="F2993" s="73"/>
      <c r="G2993" s="74" t="s">
        <v>3</v>
      </c>
      <c r="H2993" s="153">
        <f>0.38*0.26*2.5*2.7*1.125</f>
        <v>0.75026250000000005</v>
      </c>
      <c r="I2993" s="72"/>
      <c r="J2993" s="73"/>
      <c r="K2993" s="671"/>
      <c r="L2993" s="73"/>
      <c r="M2993" s="73"/>
      <c r="N2993" s="74"/>
      <c r="O2993" s="153"/>
    </row>
    <row r="2994" spans="1:15" customFormat="1" x14ac:dyDescent="0.25">
      <c r="A2994" s="661"/>
      <c r="B2994" s="73"/>
      <c r="C2994" s="75" t="s">
        <v>8278</v>
      </c>
      <c r="D2994" s="73"/>
      <c r="E2994" s="73"/>
      <c r="F2994" s="73"/>
      <c r="G2994" s="74"/>
      <c r="H2994" s="153"/>
      <c r="I2994" s="72"/>
      <c r="J2994" s="73"/>
      <c r="K2994" s="671"/>
      <c r="L2994" s="73"/>
      <c r="M2994" s="73"/>
      <c r="N2994" s="74"/>
      <c r="O2994" s="153"/>
    </row>
    <row r="2995" spans="1:15" customFormat="1" x14ac:dyDescent="0.25">
      <c r="A2995" s="661"/>
      <c r="B2995" s="73"/>
      <c r="C2995" s="73" t="s">
        <v>8273</v>
      </c>
      <c r="D2995" s="73"/>
      <c r="E2995" s="73"/>
      <c r="F2995" s="73"/>
      <c r="G2995" s="74" t="s">
        <v>3</v>
      </c>
      <c r="H2995" s="153">
        <f>0.66*0.34*2.5*2.7*1.1225</f>
        <v>1.7002507500000004</v>
      </c>
      <c r="I2995" s="72"/>
      <c r="J2995" s="73"/>
      <c r="K2995" s="671"/>
      <c r="L2995" s="73"/>
      <c r="M2995" s="73"/>
      <c r="N2995" s="74"/>
      <c r="O2995" s="153"/>
    </row>
    <row r="2996" spans="1:15" customFormat="1" x14ac:dyDescent="0.25">
      <c r="A2996" s="661"/>
      <c r="B2996" s="73"/>
      <c r="C2996" s="75" t="s">
        <v>2705</v>
      </c>
      <c r="D2996" s="73"/>
      <c r="E2996" s="73"/>
      <c r="F2996" s="73"/>
      <c r="G2996" s="74"/>
      <c r="H2996" s="153"/>
      <c r="I2996" s="72"/>
      <c r="J2996" s="73"/>
      <c r="K2996" s="671"/>
      <c r="L2996" s="73"/>
      <c r="M2996" s="73"/>
      <c r="N2996" s="74"/>
      <c r="O2996" s="153"/>
    </row>
    <row r="2997" spans="1:15" customFormat="1" x14ac:dyDescent="0.25">
      <c r="A2997" s="661"/>
      <c r="B2997" s="73"/>
      <c r="C2997" s="73" t="s">
        <v>8273</v>
      </c>
      <c r="D2997" s="73"/>
      <c r="E2997" s="73"/>
      <c r="F2997" s="73"/>
      <c r="G2997" s="74" t="s">
        <v>3</v>
      </c>
      <c r="H2997" s="153">
        <f>0.29*0.33*2.5*2.7*1.13</f>
        <v>0.7299517499999999</v>
      </c>
      <c r="I2997" s="72"/>
      <c r="J2997" s="73"/>
      <c r="K2997" s="671"/>
      <c r="L2997" s="73"/>
      <c r="M2997" s="73"/>
      <c r="N2997" s="74"/>
      <c r="O2997" s="153"/>
    </row>
    <row r="2998" spans="1:15" customFormat="1" x14ac:dyDescent="0.25">
      <c r="A2998" s="661"/>
      <c r="B2998" s="73"/>
      <c r="C2998" s="75" t="s">
        <v>8277</v>
      </c>
      <c r="D2998" s="73"/>
      <c r="E2998" s="73"/>
      <c r="F2998" s="73"/>
      <c r="G2998" s="74"/>
      <c r="H2998" s="153"/>
      <c r="I2998" s="72"/>
      <c r="J2998" s="73"/>
      <c r="K2998" s="671"/>
      <c r="L2998" s="73"/>
      <c r="M2998" s="73"/>
      <c r="N2998" s="74"/>
      <c r="O2998" s="153"/>
    </row>
    <row r="2999" spans="1:15" customFormat="1" x14ac:dyDescent="0.25">
      <c r="A2999" s="661"/>
      <c r="B2999" s="73"/>
      <c r="C2999" s="73" t="s">
        <v>8273</v>
      </c>
      <c r="D2999" s="73"/>
      <c r="E2999" s="73"/>
      <c r="F2999" s="73"/>
      <c r="G2999" s="74" t="s">
        <v>3</v>
      </c>
      <c r="H2999" s="153">
        <f>0.67*0.3*2.5*2.7*1.15</f>
        <v>1.5602625000000003</v>
      </c>
      <c r="I2999" s="72"/>
      <c r="J2999" s="73"/>
      <c r="K2999" s="671"/>
      <c r="L2999" s="73"/>
      <c r="M2999" s="73"/>
      <c r="N2999" s="74"/>
      <c r="O2999" s="153"/>
    </row>
    <row r="3000" spans="1:15" customFormat="1" x14ac:dyDescent="0.25">
      <c r="A3000" s="661"/>
      <c r="B3000" s="73"/>
      <c r="C3000" s="75" t="s">
        <v>2706</v>
      </c>
      <c r="D3000" s="73"/>
      <c r="E3000" s="73"/>
      <c r="F3000" s="73"/>
      <c r="G3000" s="74"/>
      <c r="H3000" s="153"/>
      <c r="I3000" s="72"/>
      <c r="J3000" s="73"/>
      <c r="K3000" s="671"/>
      <c r="L3000" s="73"/>
      <c r="M3000" s="73"/>
      <c r="N3000" s="74"/>
      <c r="O3000" s="153"/>
    </row>
    <row r="3001" spans="1:15" customFormat="1" x14ac:dyDescent="0.25">
      <c r="A3001" s="661"/>
      <c r="B3001" s="73"/>
      <c r="C3001" s="73" t="s">
        <v>8273</v>
      </c>
      <c r="D3001" s="73"/>
      <c r="E3001" s="73"/>
      <c r="F3001" s="73"/>
      <c r="G3001" s="74" t="s">
        <v>3</v>
      </c>
      <c r="H3001" s="153">
        <f>0.32*0.275*2.5*2.7*1.12</f>
        <v>0.6652800000000002</v>
      </c>
      <c r="I3001" s="72"/>
      <c r="J3001" s="73"/>
      <c r="K3001" s="671"/>
      <c r="L3001" s="73"/>
      <c r="M3001" s="73"/>
      <c r="N3001" s="74"/>
      <c r="O3001" s="153"/>
    </row>
    <row r="3002" spans="1:15" customFormat="1" x14ac:dyDescent="0.25">
      <c r="A3002" s="661"/>
      <c r="B3002" s="73"/>
      <c r="C3002" s="75" t="s">
        <v>2708</v>
      </c>
      <c r="D3002" s="73"/>
      <c r="E3002" s="73"/>
      <c r="F3002" s="73"/>
      <c r="G3002" s="74"/>
      <c r="H3002" s="153"/>
      <c r="I3002" s="72"/>
      <c r="J3002" s="73"/>
      <c r="K3002" s="671"/>
      <c r="L3002" s="73"/>
      <c r="M3002" s="73"/>
      <c r="N3002" s="74"/>
      <c r="O3002" s="153"/>
    </row>
    <row r="3003" spans="1:15" customFormat="1" x14ac:dyDescent="0.25">
      <c r="A3003" s="661"/>
      <c r="B3003" s="73"/>
      <c r="C3003" s="73" t="s">
        <v>8273</v>
      </c>
      <c r="D3003" s="73"/>
      <c r="E3003" s="73"/>
      <c r="F3003" s="73"/>
      <c r="G3003" s="74" t="s">
        <v>3</v>
      </c>
      <c r="H3003" s="153">
        <f>0.415*0.265*2.5*2.7*1.12-0.001</f>
        <v>0.83041100000000012</v>
      </c>
      <c r="I3003" s="72"/>
      <c r="J3003" s="73"/>
      <c r="K3003" s="671"/>
      <c r="L3003" s="73"/>
      <c r="M3003" s="73"/>
      <c r="N3003" s="74"/>
      <c r="O3003" s="153"/>
    </row>
    <row r="3004" spans="1:15" customFormat="1" x14ac:dyDescent="0.25">
      <c r="A3004" s="661"/>
      <c r="B3004" s="73"/>
      <c r="C3004" s="75" t="s">
        <v>2709</v>
      </c>
      <c r="D3004" s="73"/>
      <c r="E3004" s="73"/>
      <c r="F3004" s="73"/>
      <c r="G3004" s="74"/>
      <c r="H3004" s="153"/>
      <c r="I3004" s="72"/>
      <c r="J3004" s="73"/>
      <c r="K3004" s="671"/>
      <c r="L3004" s="73"/>
      <c r="M3004" s="73"/>
      <c r="N3004" s="74"/>
      <c r="O3004" s="153"/>
    </row>
    <row r="3005" spans="1:15" customFormat="1" x14ac:dyDescent="0.25">
      <c r="A3005" s="661"/>
      <c r="B3005" s="73"/>
      <c r="C3005" s="73" t="s">
        <v>8273</v>
      </c>
      <c r="D3005" s="73"/>
      <c r="E3005" s="73"/>
      <c r="F3005" s="73"/>
      <c r="G3005" s="74" t="s">
        <v>3</v>
      </c>
      <c r="H3005" s="153">
        <f>(0.014*3.14/2+0.008)*0.03*4*2.7*1.12</f>
        <v>1.0879142400000003E-2</v>
      </c>
      <c r="I3005" s="72"/>
      <c r="J3005" s="73"/>
      <c r="K3005" s="671"/>
      <c r="L3005" s="73"/>
      <c r="M3005" s="73"/>
      <c r="N3005" s="74"/>
      <c r="O3005" s="153"/>
    </row>
    <row r="3006" spans="1:15" customFormat="1" x14ac:dyDescent="0.25">
      <c r="A3006" s="661"/>
      <c r="B3006" s="73"/>
      <c r="C3006" s="75" t="s">
        <v>2711</v>
      </c>
      <c r="D3006" s="73"/>
      <c r="E3006" s="73"/>
      <c r="F3006" s="73"/>
      <c r="G3006" s="74"/>
      <c r="H3006" s="153"/>
      <c r="I3006" s="72"/>
      <c r="J3006" s="73"/>
      <c r="K3006" s="671"/>
      <c r="L3006" s="73"/>
      <c r="M3006" s="73"/>
      <c r="N3006" s="74"/>
      <c r="O3006" s="153"/>
    </row>
    <row r="3007" spans="1:15" customFormat="1" x14ac:dyDescent="0.25">
      <c r="A3007" s="661"/>
      <c r="B3007" s="73"/>
      <c r="C3007" s="73" t="s">
        <v>8276</v>
      </c>
      <c r="D3007" s="73"/>
      <c r="E3007" s="73"/>
      <c r="F3007" s="73"/>
      <c r="G3007" s="74" t="s">
        <v>3</v>
      </c>
      <c r="H3007" s="153">
        <f>0.22*0.16*4*2.7*1.131</f>
        <v>0.42996096000000006</v>
      </c>
      <c r="I3007" s="72"/>
      <c r="J3007" s="73"/>
      <c r="K3007" s="671"/>
      <c r="L3007" s="73"/>
      <c r="M3007" s="73"/>
      <c r="N3007" s="74"/>
      <c r="O3007" s="153"/>
    </row>
    <row r="3008" spans="1:15" customFormat="1" x14ac:dyDescent="0.25">
      <c r="A3008" s="661"/>
      <c r="B3008" s="73"/>
      <c r="C3008" s="75" t="s">
        <v>8275</v>
      </c>
      <c r="D3008" s="73"/>
      <c r="E3008" s="73"/>
      <c r="F3008" s="73"/>
      <c r="G3008" s="74"/>
      <c r="H3008" s="153"/>
      <c r="I3008" s="72"/>
      <c r="J3008" s="73"/>
      <c r="K3008" s="671"/>
      <c r="L3008" s="73"/>
      <c r="M3008" s="73"/>
      <c r="N3008" s="74"/>
      <c r="O3008" s="153"/>
    </row>
    <row r="3009" spans="1:15" customFormat="1" x14ac:dyDescent="0.25">
      <c r="A3009" s="661"/>
      <c r="B3009" s="73"/>
      <c r="C3009" s="100" t="s">
        <v>8274</v>
      </c>
      <c r="D3009" s="73"/>
      <c r="E3009" s="73"/>
      <c r="F3009" s="73"/>
      <c r="G3009" s="74" t="s">
        <v>3</v>
      </c>
      <c r="H3009" s="153">
        <v>0.44</v>
      </c>
      <c r="I3009" s="72"/>
      <c r="J3009" t="s">
        <v>2713</v>
      </c>
      <c r="K3009" s="671"/>
      <c r="L3009" s="73"/>
      <c r="M3009" s="73"/>
      <c r="N3009" s="74"/>
      <c r="O3009" s="153"/>
    </row>
    <row r="3010" spans="1:15" customFormat="1" x14ac:dyDescent="0.25">
      <c r="A3010" s="661"/>
      <c r="B3010" s="73"/>
      <c r="C3010" s="75" t="s">
        <v>2661</v>
      </c>
      <c r="D3010" s="73"/>
      <c r="E3010" s="73"/>
      <c r="F3010" s="73"/>
      <c r="G3010" s="74"/>
      <c r="H3010" s="153"/>
      <c r="I3010" s="72"/>
      <c r="J3010" s="73"/>
      <c r="K3010" s="671"/>
      <c r="L3010" s="73"/>
      <c r="M3010" s="73"/>
      <c r="N3010" s="74"/>
      <c r="O3010" s="153"/>
    </row>
    <row r="3011" spans="1:15" customFormat="1" x14ac:dyDescent="0.25">
      <c r="A3011" s="661"/>
      <c r="B3011" s="73"/>
      <c r="C3011" s="73" t="s">
        <v>8273</v>
      </c>
      <c r="D3011" s="73"/>
      <c r="E3011" s="73"/>
      <c r="F3011" s="73"/>
      <c r="G3011" s="74" t="s">
        <v>3</v>
      </c>
      <c r="H3011" s="153">
        <f>0.085*0.015*2.5*2.7*1.12</f>
        <v>9.6390000000000017E-3</v>
      </c>
      <c r="I3011" s="72"/>
      <c r="J3011" s="73"/>
      <c r="K3011" s="671"/>
      <c r="L3011" s="73"/>
      <c r="M3011" s="73"/>
      <c r="N3011" s="74"/>
      <c r="O3011" s="153"/>
    </row>
    <row r="3012" spans="1:15" customFormat="1" x14ac:dyDescent="0.25">
      <c r="A3012" s="661"/>
      <c r="B3012" s="73"/>
      <c r="C3012" s="75" t="s">
        <v>2678</v>
      </c>
      <c r="D3012" s="73"/>
      <c r="E3012" s="73"/>
      <c r="F3012" s="73"/>
      <c r="G3012" s="74"/>
      <c r="H3012" s="153"/>
      <c r="I3012" s="72"/>
      <c r="J3012" s="73"/>
      <c r="K3012" s="671"/>
      <c r="L3012" s="73"/>
      <c r="M3012" s="73"/>
      <c r="N3012" s="74"/>
      <c r="O3012" s="153"/>
    </row>
    <row r="3013" spans="1:15" customFormat="1" x14ac:dyDescent="0.25">
      <c r="A3013" s="661"/>
      <c r="B3013" s="73"/>
      <c r="C3013" s="73" t="s">
        <v>8273</v>
      </c>
      <c r="D3013" s="73"/>
      <c r="E3013" s="73"/>
      <c r="F3013" s="73"/>
      <c r="G3013" s="74" t="s">
        <v>3</v>
      </c>
      <c r="H3013" s="153">
        <f>0.035*0.015*2.5*2.7*1.12</f>
        <v>3.9690000000000012E-3</v>
      </c>
      <c r="I3013" s="72"/>
      <c r="J3013" s="73"/>
      <c r="K3013" s="671"/>
      <c r="L3013" s="73"/>
      <c r="M3013" s="73"/>
      <c r="N3013" s="74"/>
      <c r="O3013" s="153"/>
    </row>
    <row r="3014" spans="1:15" customFormat="1" x14ac:dyDescent="0.25">
      <c r="A3014" s="661"/>
      <c r="B3014" s="73"/>
      <c r="C3014" s="75"/>
      <c r="D3014" s="73"/>
      <c r="E3014" s="73"/>
      <c r="F3014" s="73"/>
      <c r="G3014" s="74"/>
      <c r="H3014" s="153"/>
      <c r="I3014" s="72"/>
      <c r="J3014" s="73"/>
      <c r="K3014" s="671"/>
      <c r="L3014" s="73"/>
      <c r="M3014" s="73"/>
      <c r="N3014" s="74"/>
      <c r="O3014" s="153"/>
    </row>
    <row r="3015" spans="1:15" customFormat="1" x14ac:dyDescent="0.25">
      <c r="A3015" s="678"/>
      <c r="B3015" s="75" t="s">
        <v>8272</v>
      </c>
      <c r="C3015" s="75"/>
      <c r="D3015" s="73"/>
      <c r="E3015" s="73"/>
      <c r="F3015" s="73"/>
      <c r="G3015" s="74"/>
      <c r="H3015" s="153"/>
      <c r="I3015" s="72"/>
      <c r="J3015" s="73"/>
      <c r="K3015" s="671"/>
      <c r="L3015" s="73"/>
      <c r="M3015" s="73"/>
      <c r="N3015" s="74"/>
      <c r="O3015" s="153"/>
    </row>
    <row r="3016" spans="1:15" customFormat="1" x14ac:dyDescent="0.25">
      <c r="A3016" s="661"/>
      <c r="B3016" s="73"/>
      <c r="C3016" s="75" t="s">
        <v>8271</v>
      </c>
      <c r="D3016" s="73"/>
      <c r="E3016" s="73"/>
      <c r="F3016" s="73"/>
      <c r="G3016" s="74"/>
      <c r="H3016" s="153"/>
      <c r="I3016" s="72"/>
      <c r="J3016" s="73"/>
      <c r="K3016" s="671"/>
      <c r="L3016" s="73"/>
      <c r="M3016" s="73"/>
      <c r="N3016" s="74"/>
      <c r="O3016" s="153"/>
    </row>
    <row r="3017" spans="1:15" customFormat="1" x14ac:dyDescent="0.25">
      <c r="A3017" s="661"/>
      <c r="B3017" s="73"/>
      <c r="C3017" s="77" t="s">
        <v>1054</v>
      </c>
      <c r="D3017" s="73"/>
      <c r="E3017" s="73"/>
      <c r="F3017" s="73"/>
      <c r="G3017" s="74" t="s">
        <v>3</v>
      </c>
      <c r="H3017" s="153">
        <f>0.06*3.14*6*0.08*1.11</f>
        <v>0.10037952000000003</v>
      </c>
      <c r="I3017" s="72"/>
      <c r="J3017" s="73"/>
      <c r="K3017" s="671"/>
      <c r="L3017" s="73"/>
      <c r="M3017" s="73"/>
      <c r="N3017" s="74"/>
      <c r="O3017" s="153"/>
    </row>
    <row r="3018" spans="1:15" customFormat="1" ht="17.25" x14ac:dyDescent="0.25">
      <c r="A3018" s="661"/>
      <c r="B3018" s="73"/>
      <c r="C3018" s="77" t="s">
        <v>1055</v>
      </c>
      <c r="D3018" s="73"/>
      <c r="E3018" s="73"/>
      <c r="F3018" s="73"/>
      <c r="G3018" s="74" t="s">
        <v>596</v>
      </c>
      <c r="H3018" s="153">
        <f>H3017</f>
        <v>0.10037952000000003</v>
      </c>
      <c r="I3018" s="72"/>
      <c r="J3018" s="73"/>
      <c r="K3018" s="671"/>
      <c r="L3018" s="73"/>
      <c r="M3018" s="73"/>
      <c r="N3018" s="74"/>
      <c r="O3018" s="153"/>
    </row>
    <row r="3019" spans="1:15" customFormat="1" x14ac:dyDescent="0.25">
      <c r="A3019" s="661"/>
      <c r="B3019" s="73"/>
      <c r="C3019" s="100" t="s">
        <v>8</v>
      </c>
      <c r="D3019" s="73"/>
      <c r="E3019" s="73"/>
      <c r="F3019" s="73"/>
      <c r="G3019" s="74" t="s">
        <v>3</v>
      </c>
      <c r="H3019" s="153">
        <f>H3020</f>
        <v>8.4894599999999987E-2</v>
      </c>
      <c r="I3019" s="72"/>
      <c r="J3019" s="73"/>
      <c r="K3019" s="671"/>
      <c r="L3019" s="73"/>
      <c r="M3019" s="73"/>
      <c r="N3019" s="74"/>
      <c r="O3019" s="153"/>
    </row>
    <row r="3020" spans="1:15" customFormat="1" x14ac:dyDescent="0.25">
      <c r="A3020" s="661"/>
      <c r="B3020" s="73"/>
      <c r="C3020" s="100" t="s">
        <v>442</v>
      </c>
      <c r="D3020" s="73"/>
      <c r="E3020" s="73"/>
      <c r="F3020" s="73"/>
      <c r="G3020" s="74" t="s">
        <v>3</v>
      </c>
      <c r="H3020" s="153">
        <f>0.58*0.41*2*0.15*1.19</f>
        <v>8.4894599999999987E-2</v>
      </c>
      <c r="I3020" s="72"/>
      <c r="J3020" s="73"/>
      <c r="K3020" s="671"/>
      <c r="L3020" s="73"/>
      <c r="M3020" s="73"/>
      <c r="N3020" s="74"/>
      <c r="O3020" s="153"/>
    </row>
    <row r="3021" spans="1:15" customFormat="1" x14ac:dyDescent="0.25">
      <c r="A3021" s="661"/>
      <c r="B3021" s="73"/>
      <c r="C3021" s="100" t="s">
        <v>12</v>
      </c>
      <c r="D3021" s="73"/>
      <c r="E3021" s="73"/>
      <c r="F3021" s="73"/>
      <c r="G3021" s="74" t="s">
        <v>3</v>
      </c>
      <c r="H3021" s="153">
        <f>0.3*(H3020+H3019)</f>
        <v>5.0936759999999991E-2</v>
      </c>
      <c r="I3021" s="72"/>
      <c r="J3021" s="73"/>
      <c r="K3021" s="671"/>
      <c r="L3021" s="73"/>
      <c r="M3021" s="73"/>
      <c r="N3021" s="74"/>
      <c r="O3021" s="153"/>
    </row>
    <row r="3022" spans="1:15" customFormat="1" x14ac:dyDescent="0.25">
      <c r="A3022" s="661"/>
      <c r="B3022" s="73"/>
      <c r="C3022" s="75"/>
      <c r="D3022" s="75" t="s">
        <v>8270</v>
      </c>
      <c r="E3022" s="73"/>
      <c r="F3022" s="73"/>
      <c r="G3022" s="74"/>
      <c r="H3022" s="153"/>
      <c r="I3022" s="72"/>
      <c r="J3022" s="73"/>
      <c r="K3022" s="671"/>
      <c r="L3022" s="73"/>
      <c r="M3022" s="73"/>
      <c r="N3022" s="74"/>
      <c r="O3022" s="153"/>
    </row>
    <row r="3023" spans="1:15" customFormat="1" x14ac:dyDescent="0.25">
      <c r="A3023" s="661"/>
      <c r="B3023" s="73"/>
      <c r="C3023" s="75"/>
      <c r="D3023" s="73" t="s">
        <v>2546</v>
      </c>
      <c r="E3023" s="73"/>
      <c r="F3023" s="73"/>
      <c r="G3023" s="74" t="s">
        <v>3</v>
      </c>
      <c r="H3023" s="153">
        <f>0.6*0.415*3*8*1.1211</f>
        <v>6.6996935999999989</v>
      </c>
      <c r="I3023" s="72"/>
      <c r="J3023" s="73"/>
      <c r="K3023" s="671"/>
      <c r="L3023" s="73"/>
      <c r="M3023" s="73"/>
      <c r="N3023" s="74"/>
      <c r="O3023" s="153"/>
    </row>
    <row r="3024" spans="1:15" customFormat="1" x14ac:dyDescent="0.25">
      <c r="A3024" s="661"/>
      <c r="B3024" s="73"/>
      <c r="C3024" s="75"/>
      <c r="D3024" s="75" t="s">
        <v>8269</v>
      </c>
      <c r="E3024" s="73"/>
      <c r="F3024" s="73"/>
      <c r="G3024" s="74"/>
      <c r="H3024" s="153"/>
      <c r="I3024" s="72"/>
      <c r="J3024" s="73"/>
      <c r="K3024" s="671"/>
      <c r="L3024" s="73"/>
      <c r="M3024" s="73"/>
      <c r="N3024" s="74"/>
      <c r="O3024" s="153"/>
    </row>
    <row r="3025" spans="1:15" customFormat="1" x14ac:dyDescent="0.25">
      <c r="A3025" s="661"/>
      <c r="B3025" s="73"/>
      <c r="C3025" s="75"/>
      <c r="D3025" s="73" t="s">
        <v>5859</v>
      </c>
      <c r="E3025" s="73"/>
      <c r="F3025" s="73"/>
      <c r="G3025" s="74" t="s">
        <v>3</v>
      </c>
      <c r="H3025" s="153">
        <f>(0.05*0.06+0.13*0.015)*3*8*1.133</f>
        <v>0.13460039999999998</v>
      </c>
      <c r="I3025" s="72"/>
      <c r="J3025" s="73"/>
      <c r="K3025" s="671"/>
      <c r="L3025" s="73"/>
      <c r="M3025" s="73"/>
      <c r="N3025" s="74"/>
      <c r="O3025" s="153"/>
    </row>
    <row r="3026" spans="1:15" customFormat="1" x14ac:dyDescent="0.25">
      <c r="A3026" s="661"/>
      <c r="B3026" s="73"/>
      <c r="C3026" s="75"/>
      <c r="D3026" s="75" t="s">
        <v>8268</v>
      </c>
      <c r="E3026" s="73"/>
      <c r="F3026" s="73"/>
      <c r="G3026" s="74"/>
      <c r="H3026" s="153"/>
      <c r="I3026" s="72"/>
      <c r="J3026" s="73"/>
      <c r="K3026" s="671"/>
      <c r="L3026" s="73"/>
      <c r="M3026" s="73"/>
      <c r="N3026" s="74"/>
      <c r="O3026" s="153"/>
    </row>
    <row r="3027" spans="1:15" customFormat="1" x14ac:dyDescent="0.25">
      <c r="A3027" s="661"/>
      <c r="B3027" s="73"/>
      <c r="C3027" s="75"/>
      <c r="D3027" s="73" t="s">
        <v>5859</v>
      </c>
      <c r="E3027" s="73"/>
      <c r="F3027" s="73"/>
      <c r="G3027" s="74" t="s">
        <v>3</v>
      </c>
      <c r="H3027" s="153">
        <f>(0.06*0.06+0.06*3.14*0.015)*3*8*1.133</f>
        <v>0.17473579199999997</v>
      </c>
      <c r="I3027" s="72"/>
      <c r="J3027" s="73"/>
      <c r="K3027" s="671"/>
      <c r="L3027" s="73"/>
      <c r="M3027" s="73"/>
      <c r="N3027" s="74"/>
      <c r="O3027" s="153"/>
    </row>
    <row r="3028" spans="1:15" customFormat="1" x14ac:dyDescent="0.25">
      <c r="A3028" s="661"/>
      <c r="B3028" s="73"/>
      <c r="C3028" s="75"/>
      <c r="D3028" s="75" t="s">
        <v>8267</v>
      </c>
      <c r="E3028" s="73"/>
      <c r="F3028" s="73"/>
      <c r="G3028" s="74"/>
      <c r="H3028" s="153"/>
      <c r="I3028" s="72"/>
      <c r="J3028" s="73"/>
      <c r="K3028" s="671"/>
      <c r="L3028" s="73"/>
      <c r="M3028" s="73"/>
      <c r="N3028" s="74"/>
      <c r="O3028" s="153"/>
    </row>
    <row r="3029" spans="1:15" customFormat="1" x14ac:dyDescent="0.25">
      <c r="A3029" s="661"/>
      <c r="B3029" s="73"/>
      <c r="C3029" s="75"/>
      <c r="D3029" s="73" t="s">
        <v>2546</v>
      </c>
      <c r="E3029" s="73"/>
      <c r="F3029" s="73"/>
      <c r="G3029" s="74" t="s">
        <v>3</v>
      </c>
      <c r="H3029" s="153">
        <f>0.18*0.025*3*8*1.112</f>
        <v>0.12009599999999999</v>
      </c>
      <c r="I3029" s="72"/>
      <c r="J3029" s="73"/>
      <c r="K3029" s="671"/>
      <c r="L3029" s="73"/>
      <c r="M3029" s="73"/>
      <c r="N3029" s="74"/>
      <c r="O3029" s="153"/>
    </row>
    <row r="3030" spans="1:15" customFormat="1" x14ac:dyDescent="0.25">
      <c r="A3030" s="661"/>
      <c r="B3030" s="73"/>
      <c r="C3030" s="75"/>
      <c r="D3030" s="75" t="s">
        <v>8266</v>
      </c>
      <c r="E3030" s="73"/>
      <c r="F3030" s="73"/>
      <c r="G3030" s="74"/>
      <c r="H3030" s="153"/>
      <c r="I3030" s="72"/>
      <c r="J3030" s="73"/>
      <c r="K3030" s="671"/>
      <c r="L3030" s="73"/>
      <c r="M3030" s="73"/>
      <c r="N3030" s="74"/>
      <c r="O3030" s="153"/>
    </row>
    <row r="3031" spans="1:15" customFormat="1" x14ac:dyDescent="0.25">
      <c r="A3031" s="661"/>
      <c r="B3031" s="73"/>
      <c r="C3031" s="75"/>
      <c r="D3031" s="73" t="s">
        <v>2546</v>
      </c>
      <c r="E3031" s="73"/>
      <c r="F3031" s="73"/>
      <c r="G3031" s="74" t="s">
        <v>3</v>
      </c>
      <c r="H3031" s="153">
        <f>0.19*0.15*3*8*1.125</f>
        <v>0.76949999999999996</v>
      </c>
      <c r="I3031" s="72"/>
      <c r="J3031" s="73"/>
      <c r="K3031" s="671"/>
      <c r="L3031" s="73"/>
      <c r="M3031" s="73"/>
      <c r="N3031" s="74"/>
      <c r="O3031" s="153"/>
    </row>
    <row r="3032" spans="1:15" customFormat="1" x14ac:dyDescent="0.25">
      <c r="A3032" s="661"/>
      <c r="B3032" s="73"/>
      <c r="C3032" s="75" t="s">
        <v>8265</v>
      </c>
      <c r="D3032" s="73"/>
      <c r="E3032" s="73"/>
      <c r="F3032" s="73"/>
      <c r="G3032" s="74"/>
      <c r="H3032" s="153"/>
      <c r="I3032" s="72"/>
      <c r="J3032" s="73"/>
      <c r="K3032" s="671"/>
      <c r="L3032" s="73"/>
      <c r="M3032" s="73"/>
      <c r="N3032" s="74"/>
      <c r="O3032" s="153"/>
    </row>
    <row r="3033" spans="1:15" customFormat="1" x14ac:dyDescent="0.25">
      <c r="A3033" s="661"/>
      <c r="B3033" s="73"/>
      <c r="C3033" s="77" t="s">
        <v>1054</v>
      </c>
      <c r="D3033" s="73"/>
      <c r="E3033" s="73"/>
      <c r="F3033" s="73"/>
      <c r="G3033" s="74" t="s">
        <v>3</v>
      </c>
      <c r="H3033" s="153">
        <f>0.015*3.14*0.08*1.2</f>
        <v>4.5216000000000006E-3</v>
      </c>
      <c r="I3033" s="72"/>
      <c r="J3033" s="73"/>
      <c r="K3033" s="671"/>
      <c r="L3033" s="73"/>
      <c r="M3033" s="73"/>
      <c r="N3033" s="74"/>
      <c r="O3033" s="153"/>
    </row>
    <row r="3034" spans="1:15" customFormat="1" ht="17.25" x14ac:dyDescent="0.25">
      <c r="A3034" s="661"/>
      <c r="B3034" s="73"/>
      <c r="C3034" s="77" t="s">
        <v>1055</v>
      </c>
      <c r="D3034" s="73"/>
      <c r="E3034" s="73"/>
      <c r="F3034" s="73"/>
      <c r="G3034" s="74" t="s">
        <v>596</v>
      </c>
      <c r="H3034" s="153">
        <f>H3033</f>
        <v>4.5216000000000006E-3</v>
      </c>
      <c r="I3034" s="72"/>
      <c r="J3034" s="73"/>
      <c r="K3034" s="671"/>
      <c r="L3034" s="73"/>
      <c r="M3034" s="73"/>
      <c r="N3034" s="74"/>
      <c r="O3034" s="153"/>
    </row>
    <row r="3035" spans="1:15" customFormat="1" x14ac:dyDescent="0.25">
      <c r="A3035" s="661"/>
      <c r="B3035" s="73"/>
      <c r="C3035" s="100" t="s">
        <v>8</v>
      </c>
      <c r="D3035" s="73"/>
      <c r="E3035" s="73"/>
      <c r="F3035" s="73"/>
      <c r="G3035" s="74" t="s">
        <v>3</v>
      </c>
      <c r="H3035" s="153">
        <f>H3036</f>
        <v>6.2549999999999993E-3</v>
      </c>
      <c r="I3035" s="72"/>
      <c r="J3035" s="73"/>
      <c r="K3035" s="671"/>
      <c r="L3035" s="73"/>
      <c r="M3035" s="73"/>
      <c r="N3035" s="74"/>
      <c r="O3035" s="153"/>
    </row>
    <row r="3036" spans="1:15" customFormat="1" x14ac:dyDescent="0.25">
      <c r="A3036" s="661"/>
      <c r="B3036" s="73"/>
      <c r="C3036" s="100" t="s">
        <v>442</v>
      </c>
      <c r="D3036" s="73"/>
      <c r="E3036" s="73"/>
      <c r="F3036" s="73"/>
      <c r="G3036" s="74" t="s">
        <v>3</v>
      </c>
      <c r="H3036" s="153">
        <f>0.15*0.05*2*0.15*2*1.39</f>
        <v>6.2549999999999993E-3</v>
      </c>
      <c r="I3036" s="72"/>
      <c r="J3036" s="73"/>
      <c r="K3036" s="671"/>
      <c r="L3036" s="73"/>
      <c r="M3036" s="73"/>
      <c r="N3036" s="74"/>
      <c r="O3036" s="153"/>
    </row>
    <row r="3037" spans="1:15" customFormat="1" x14ac:dyDescent="0.25">
      <c r="A3037" s="661"/>
      <c r="B3037" s="73"/>
      <c r="C3037" s="100" t="s">
        <v>12</v>
      </c>
      <c r="D3037" s="73"/>
      <c r="E3037" s="73"/>
      <c r="F3037" s="73"/>
      <c r="G3037" s="74" t="s">
        <v>3</v>
      </c>
      <c r="H3037" s="153">
        <f>0.3*(H3036+H3035)</f>
        <v>3.7529999999999994E-3</v>
      </c>
      <c r="I3037" s="72"/>
      <c r="J3037" s="73"/>
      <c r="K3037" s="671"/>
      <c r="L3037" s="73"/>
      <c r="M3037" s="73"/>
      <c r="N3037" s="74"/>
      <c r="O3037" s="153"/>
    </row>
    <row r="3038" spans="1:15" customFormat="1" x14ac:dyDescent="0.25">
      <c r="A3038" s="661"/>
      <c r="B3038" s="73"/>
      <c r="C3038" s="75"/>
      <c r="D3038" s="75" t="s">
        <v>8264</v>
      </c>
      <c r="E3038" s="73"/>
      <c r="F3038" s="73"/>
      <c r="G3038" s="74"/>
      <c r="H3038" s="153"/>
      <c r="I3038" s="72"/>
      <c r="J3038" s="73"/>
      <c r="K3038" s="671"/>
      <c r="L3038" s="73"/>
      <c r="M3038" s="73"/>
      <c r="N3038" s="74"/>
      <c r="O3038" s="153"/>
    </row>
    <row r="3039" spans="1:15" customFormat="1" x14ac:dyDescent="0.25">
      <c r="A3039" s="661"/>
      <c r="B3039" s="73"/>
      <c r="C3039" s="75"/>
      <c r="D3039" s="73" t="s">
        <v>2546</v>
      </c>
      <c r="E3039" s="73"/>
      <c r="F3039" s="73"/>
      <c r="G3039" s="74" t="s">
        <v>3</v>
      </c>
      <c r="H3039" s="153">
        <f>0.156*0.055*3*8*1.115</f>
        <v>0.22960080000000002</v>
      </c>
      <c r="I3039" s="72"/>
      <c r="J3039" s="73"/>
      <c r="K3039" s="671"/>
      <c r="L3039" s="73"/>
      <c r="M3039" s="73"/>
      <c r="N3039" s="74"/>
      <c r="O3039" s="153"/>
    </row>
    <row r="3040" spans="1:15" customFormat="1" x14ac:dyDescent="0.25">
      <c r="A3040" s="661"/>
      <c r="B3040" s="73"/>
      <c r="C3040" s="75" t="s">
        <v>8263</v>
      </c>
      <c r="D3040" s="73"/>
      <c r="E3040" s="73"/>
      <c r="F3040" s="73"/>
      <c r="G3040" s="74"/>
      <c r="H3040" s="153"/>
      <c r="I3040" s="72"/>
      <c r="J3040" s="73"/>
      <c r="K3040" s="671"/>
      <c r="L3040" s="73"/>
      <c r="M3040" s="73"/>
      <c r="N3040" s="74"/>
      <c r="O3040" s="153"/>
    </row>
    <row r="3041" spans="1:15" customFormat="1" x14ac:dyDescent="0.25">
      <c r="A3041" s="661"/>
      <c r="B3041" s="73"/>
      <c r="C3041" s="100" t="s">
        <v>8262</v>
      </c>
      <c r="D3041" s="73"/>
      <c r="E3041" s="73"/>
      <c r="F3041" s="73"/>
      <c r="G3041" s="74" t="s">
        <v>3</v>
      </c>
      <c r="H3041" s="153">
        <f>0.05*0.05*2*8</f>
        <v>4.0000000000000008E-2</v>
      </c>
      <c r="I3041" s="72"/>
      <c r="J3041" s="73"/>
      <c r="K3041" s="671"/>
      <c r="L3041" s="73"/>
      <c r="M3041" s="73"/>
      <c r="N3041" s="74"/>
      <c r="O3041" s="153"/>
    </row>
    <row r="3042" spans="1:15" customFormat="1" x14ac:dyDescent="0.25">
      <c r="A3042" s="661"/>
      <c r="B3042" s="73"/>
      <c r="C3042" s="75"/>
      <c r="D3042" s="73"/>
      <c r="E3042" s="73"/>
      <c r="F3042" s="73"/>
      <c r="G3042" s="74"/>
      <c r="H3042" s="153"/>
      <c r="I3042" s="72"/>
      <c r="J3042" s="73"/>
      <c r="K3042" s="671"/>
      <c r="L3042" s="73"/>
      <c r="M3042" s="73"/>
      <c r="N3042" s="74"/>
      <c r="O3042" s="153"/>
    </row>
    <row r="3043" spans="1:15" customFormat="1" x14ac:dyDescent="0.25">
      <c r="A3043" s="678"/>
      <c r="B3043" s="75" t="s">
        <v>8261</v>
      </c>
      <c r="C3043" s="75"/>
      <c r="D3043" s="73"/>
      <c r="E3043" s="73"/>
      <c r="F3043" s="73"/>
      <c r="G3043" s="74"/>
      <c r="H3043" s="153"/>
      <c r="I3043" s="72"/>
      <c r="J3043" s="73"/>
      <c r="K3043" s="671"/>
      <c r="L3043" s="73"/>
      <c r="M3043" s="73"/>
      <c r="N3043" s="74"/>
      <c r="O3043" s="153"/>
    </row>
    <row r="3044" spans="1:15" customFormat="1" x14ac:dyDescent="0.25">
      <c r="A3044" s="661"/>
      <c r="B3044" s="77" t="s">
        <v>1054</v>
      </c>
      <c r="C3044" s="73"/>
      <c r="D3044" s="73"/>
      <c r="E3044" s="73"/>
      <c r="F3044" s="73"/>
      <c r="G3044" s="74" t="s">
        <v>3</v>
      </c>
      <c r="H3044" s="153">
        <f>0.52*0.08*1.2</f>
        <v>4.9920000000000006E-2</v>
      </c>
      <c r="I3044" s="72"/>
      <c r="J3044" s="73"/>
      <c r="K3044" s="671"/>
      <c r="L3044" s="73"/>
      <c r="M3044" s="73"/>
      <c r="N3044" s="74"/>
      <c r="O3044" s="153"/>
    </row>
    <row r="3045" spans="1:15" customFormat="1" ht="17.25" x14ac:dyDescent="0.25">
      <c r="A3045" s="661"/>
      <c r="B3045" s="77" t="s">
        <v>1055</v>
      </c>
      <c r="C3045" s="73"/>
      <c r="D3045" s="73"/>
      <c r="E3045" s="73"/>
      <c r="F3045" s="73"/>
      <c r="G3045" s="74" t="s">
        <v>596</v>
      </c>
      <c r="H3045" s="153">
        <f>H3044</f>
        <v>4.9920000000000006E-2</v>
      </c>
      <c r="I3045" s="72"/>
      <c r="J3045" s="73"/>
      <c r="K3045" s="671"/>
      <c r="L3045" s="73"/>
      <c r="M3045" s="73"/>
      <c r="N3045" s="74"/>
      <c r="O3045" s="153"/>
    </row>
    <row r="3046" spans="1:15" customFormat="1" x14ac:dyDescent="0.25">
      <c r="A3046" s="661"/>
      <c r="B3046" s="73" t="s">
        <v>8260</v>
      </c>
      <c r="C3046" s="75"/>
      <c r="D3046" s="73"/>
      <c r="E3046" s="73"/>
      <c r="F3046" s="73"/>
      <c r="G3046" s="74" t="s">
        <v>3</v>
      </c>
      <c r="H3046" s="153">
        <f>0.38*0.29*2*0.15*2*1.3</f>
        <v>8.5956000000000005E-2</v>
      </c>
      <c r="I3046" s="72"/>
      <c r="J3046" s="73"/>
      <c r="K3046" s="671"/>
      <c r="L3046" s="73"/>
      <c r="M3046" s="73"/>
      <c r="N3046" s="74"/>
      <c r="O3046" s="153"/>
    </row>
    <row r="3047" spans="1:15" customFormat="1" x14ac:dyDescent="0.25">
      <c r="A3047" s="661"/>
      <c r="B3047" s="73" t="s">
        <v>6131</v>
      </c>
      <c r="C3047" s="75"/>
      <c r="D3047" s="73"/>
      <c r="E3047" s="73"/>
      <c r="F3047" s="73"/>
      <c r="G3047" s="74" t="s">
        <v>3</v>
      </c>
      <c r="H3047" s="153">
        <f>0.38*0.29*0.15*2*1.3</f>
        <v>4.2978000000000002E-2</v>
      </c>
      <c r="I3047" s="72"/>
      <c r="J3047" s="73"/>
      <c r="K3047" s="671"/>
      <c r="L3047" s="73"/>
      <c r="M3047" s="73"/>
      <c r="N3047" s="74"/>
      <c r="O3047" s="153"/>
    </row>
    <row r="3048" spans="1:15" customFormat="1" x14ac:dyDescent="0.25">
      <c r="A3048" s="661"/>
      <c r="B3048" s="73" t="s">
        <v>854</v>
      </c>
      <c r="C3048" s="75"/>
      <c r="D3048" s="73"/>
      <c r="E3048" s="73"/>
      <c r="F3048" s="73"/>
      <c r="G3048" s="74" t="s">
        <v>3</v>
      </c>
      <c r="H3048" s="153">
        <f>0.38*0.29*0.15*2*1.3</f>
        <v>4.2978000000000002E-2</v>
      </c>
      <c r="I3048" s="72"/>
      <c r="J3048" s="73"/>
      <c r="K3048" s="671"/>
      <c r="L3048" s="73"/>
      <c r="M3048" s="73"/>
      <c r="N3048" s="74"/>
      <c r="O3048" s="153"/>
    </row>
    <row r="3049" spans="1:15" customFormat="1" x14ac:dyDescent="0.25">
      <c r="A3049" s="661"/>
      <c r="B3049" s="73" t="s">
        <v>8259</v>
      </c>
      <c r="C3049" s="75"/>
      <c r="D3049" s="73"/>
      <c r="E3049" s="73"/>
      <c r="F3049" s="73"/>
      <c r="G3049" s="74" t="s">
        <v>3</v>
      </c>
      <c r="H3049" s="153">
        <f>0.005</f>
        <v>5.0000000000000001E-3</v>
      </c>
      <c r="I3049" s="72"/>
      <c r="J3049" s="73"/>
      <c r="K3049" s="671"/>
      <c r="L3049" s="73"/>
      <c r="M3049" s="73"/>
      <c r="N3049" s="74"/>
      <c r="O3049" s="153"/>
    </row>
    <row r="3050" spans="1:15" customFormat="1" x14ac:dyDescent="0.25">
      <c r="A3050" s="661"/>
      <c r="B3050" s="73" t="s">
        <v>313</v>
      </c>
      <c r="C3050" s="75"/>
      <c r="D3050" s="73"/>
      <c r="E3050" s="73"/>
      <c r="F3050" s="73"/>
      <c r="G3050" s="74" t="s">
        <v>3</v>
      </c>
      <c r="H3050" s="153">
        <f>0.3*(H3048+H3047+H3046+H3049)</f>
        <v>5.3073600000000005E-2</v>
      </c>
      <c r="I3050" s="72"/>
      <c r="J3050" s="73"/>
      <c r="K3050" s="671"/>
      <c r="L3050" s="73"/>
      <c r="M3050" s="73"/>
      <c r="N3050" s="74"/>
      <c r="O3050" s="153"/>
    </row>
    <row r="3051" spans="1:15" customFormat="1" x14ac:dyDescent="0.25">
      <c r="A3051" s="661"/>
      <c r="B3051" s="73"/>
      <c r="C3051" s="75" t="s">
        <v>8258</v>
      </c>
      <c r="D3051" s="73"/>
      <c r="E3051" s="73"/>
      <c r="F3051" s="73"/>
      <c r="G3051" s="74"/>
      <c r="H3051" s="153"/>
      <c r="I3051" s="72"/>
      <c r="J3051" s="73"/>
      <c r="K3051" s="671"/>
      <c r="L3051" s="73"/>
      <c r="M3051" s="73"/>
      <c r="N3051" s="74"/>
      <c r="O3051" s="153"/>
    </row>
    <row r="3052" spans="1:15" customFormat="1" x14ac:dyDescent="0.25">
      <c r="A3052" s="661"/>
      <c r="B3052" s="73"/>
      <c r="C3052" s="73" t="s">
        <v>8250</v>
      </c>
      <c r="D3052" s="73"/>
      <c r="E3052" s="73"/>
      <c r="F3052" s="73"/>
      <c r="G3052" s="74" t="s">
        <v>3</v>
      </c>
      <c r="H3052" s="153">
        <f>0.285*0.17*3*8*1.118</f>
        <v>1.3000104000000001</v>
      </c>
      <c r="I3052" s="72"/>
      <c r="J3052" s="73"/>
      <c r="K3052" s="671"/>
      <c r="L3052" s="73"/>
      <c r="M3052" s="73"/>
      <c r="N3052" s="74"/>
      <c r="O3052" s="153"/>
    </row>
    <row r="3053" spans="1:15" customFormat="1" x14ac:dyDescent="0.25">
      <c r="A3053" s="661"/>
      <c r="B3053" s="73"/>
      <c r="C3053" s="75" t="s">
        <v>8257</v>
      </c>
      <c r="D3053" s="73"/>
      <c r="E3053" s="73"/>
      <c r="F3053" s="73"/>
      <c r="G3053" s="74"/>
      <c r="H3053" s="153"/>
      <c r="I3053" s="72"/>
      <c r="J3053" s="73"/>
      <c r="K3053" s="671"/>
      <c r="L3053" s="73"/>
      <c r="M3053" s="73"/>
      <c r="N3053" s="74"/>
      <c r="O3053" s="153"/>
    </row>
    <row r="3054" spans="1:15" customFormat="1" x14ac:dyDescent="0.25">
      <c r="A3054" s="661"/>
      <c r="B3054" s="73"/>
      <c r="C3054" s="73" t="s">
        <v>8250</v>
      </c>
      <c r="D3054" s="73"/>
      <c r="E3054" s="73"/>
      <c r="F3054" s="73"/>
      <c r="G3054" s="74" t="s">
        <v>3</v>
      </c>
      <c r="H3054" s="153">
        <f>0.19*0.065*3*8*1.115</f>
        <v>0.330486</v>
      </c>
      <c r="I3054" s="72"/>
      <c r="J3054" s="73"/>
      <c r="K3054" s="671"/>
      <c r="L3054" s="73"/>
      <c r="M3054" s="73"/>
      <c r="N3054" s="74"/>
      <c r="O3054" s="153"/>
    </row>
    <row r="3055" spans="1:15" customFormat="1" x14ac:dyDescent="0.25">
      <c r="A3055" s="661"/>
      <c r="B3055" s="73"/>
      <c r="C3055" s="75" t="s">
        <v>8256</v>
      </c>
      <c r="D3055" s="73"/>
      <c r="E3055" s="73"/>
      <c r="F3055" s="73"/>
      <c r="G3055" s="74"/>
      <c r="H3055" s="153"/>
      <c r="I3055" s="72"/>
      <c r="J3055" s="73"/>
      <c r="K3055" s="671"/>
      <c r="L3055" s="73"/>
      <c r="M3055" s="73"/>
      <c r="N3055" s="74"/>
      <c r="O3055" s="153"/>
    </row>
    <row r="3056" spans="1:15" customFormat="1" x14ac:dyDescent="0.25">
      <c r="A3056" s="661"/>
      <c r="B3056" s="73"/>
      <c r="C3056" s="73" t="s">
        <v>8250</v>
      </c>
      <c r="D3056" s="73"/>
      <c r="E3056" s="73"/>
      <c r="F3056" s="73"/>
      <c r="G3056" s="74" t="s">
        <v>3</v>
      </c>
      <c r="H3056" s="153">
        <f>0.22*0.065*3*8*1.135</f>
        <v>0.38953199999999999</v>
      </c>
      <c r="I3056" s="72"/>
      <c r="J3056" s="73"/>
      <c r="K3056" s="671"/>
      <c r="L3056" s="73"/>
      <c r="M3056" s="73"/>
      <c r="N3056" s="74"/>
      <c r="O3056" s="153"/>
    </row>
    <row r="3057" spans="1:15" customFormat="1" x14ac:dyDescent="0.25">
      <c r="A3057" s="661"/>
      <c r="B3057" s="73"/>
      <c r="C3057" s="75" t="s">
        <v>8255</v>
      </c>
      <c r="D3057" s="73"/>
      <c r="E3057" s="73"/>
      <c r="F3057" s="73"/>
      <c r="G3057" s="74"/>
      <c r="H3057" s="153"/>
      <c r="I3057" s="72"/>
      <c r="J3057" s="73"/>
      <c r="K3057" s="671"/>
      <c r="L3057" s="73"/>
      <c r="M3057" s="73"/>
      <c r="N3057" s="74"/>
      <c r="O3057" s="153"/>
    </row>
    <row r="3058" spans="1:15" customFormat="1" x14ac:dyDescent="0.25">
      <c r="A3058" s="661"/>
      <c r="B3058" s="73"/>
      <c r="C3058" s="73" t="s">
        <v>8250</v>
      </c>
      <c r="D3058" s="73"/>
      <c r="E3058" s="73"/>
      <c r="F3058" s="73"/>
      <c r="G3058" s="74" t="s">
        <v>3</v>
      </c>
      <c r="H3058" s="153">
        <f>0.18*0.065*3*8*1.121</f>
        <v>0.31477679999999997</v>
      </c>
      <c r="I3058" s="72"/>
      <c r="J3058" s="73"/>
      <c r="K3058" s="671"/>
      <c r="L3058" s="73"/>
      <c r="M3058" s="73"/>
      <c r="N3058" s="74"/>
      <c r="O3058" s="153"/>
    </row>
    <row r="3059" spans="1:15" customFormat="1" x14ac:dyDescent="0.25">
      <c r="A3059" s="661"/>
      <c r="B3059" s="73"/>
      <c r="C3059" s="75" t="s">
        <v>8254</v>
      </c>
      <c r="D3059" s="73"/>
      <c r="E3059" s="73"/>
      <c r="F3059" s="73"/>
      <c r="G3059" s="74"/>
      <c r="H3059" s="153"/>
      <c r="I3059" s="72"/>
      <c r="J3059" s="73"/>
      <c r="K3059" s="671"/>
      <c r="L3059" s="73"/>
      <c r="M3059" s="73"/>
      <c r="N3059" s="74"/>
      <c r="O3059" s="153"/>
    </row>
    <row r="3060" spans="1:15" customFormat="1" x14ac:dyDescent="0.25">
      <c r="A3060" s="661"/>
      <c r="B3060" s="73"/>
      <c r="C3060" s="73" t="s">
        <v>8250</v>
      </c>
      <c r="D3060" s="73"/>
      <c r="E3060" s="73"/>
      <c r="F3060" s="73"/>
      <c r="G3060" s="74" t="s">
        <v>3</v>
      </c>
      <c r="H3060" s="153">
        <f>0.193*0.065*3*8*1.129</f>
        <v>0.33991932000000002</v>
      </c>
      <c r="I3060" s="72"/>
      <c r="J3060" s="73"/>
      <c r="K3060" s="671"/>
      <c r="L3060" s="73"/>
      <c r="M3060" s="73"/>
      <c r="N3060" s="74"/>
      <c r="O3060" s="153"/>
    </row>
    <row r="3061" spans="1:15" customFormat="1" x14ac:dyDescent="0.25">
      <c r="A3061" s="661"/>
      <c r="B3061" s="73"/>
      <c r="C3061" s="75" t="s">
        <v>8253</v>
      </c>
      <c r="D3061" s="73"/>
      <c r="E3061" s="73"/>
      <c r="F3061" s="73"/>
      <c r="G3061" s="74"/>
      <c r="H3061" s="153"/>
      <c r="I3061" s="72"/>
      <c r="J3061" s="73"/>
      <c r="K3061" s="671"/>
      <c r="L3061" s="73"/>
      <c r="M3061" s="73"/>
      <c r="N3061" s="74"/>
      <c r="O3061" s="153"/>
    </row>
    <row r="3062" spans="1:15" customFormat="1" x14ac:dyDescent="0.25">
      <c r="A3062" s="661"/>
      <c r="B3062" s="73"/>
      <c r="C3062" s="73" t="s">
        <v>8250</v>
      </c>
      <c r="D3062" s="73"/>
      <c r="E3062" s="73"/>
      <c r="F3062" s="73"/>
      <c r="G3062" s="74" t="s">
        <v>3</v>
      </c>
      <c r="H3062" s="153">
        <f>0.17*0.008*3*8*1.12</f>
        <v>3.6556800000000007E-2</v>
      </c>
      <c r="I3062" s="72"/>
      <c r="J3062" s="73"/>
      <c r="K3062" s="671"/>
      <c r="L3062" s="73"/>
      <c r="M3062" s="73"/>
      <c r="N3062" s="74"/>
      <c r="O3062" s="153"/>
    </row>
    <row r="3063" spans="1:15" customFormat="1" x14ac:dyDescent="0.25">
      <c r="A3063" s="661"/>
      <c r="B3063" s="73"/>
      <c r="C3063" s="75" t="s">
        <v>8252</v>
      </c>
      <c r="D3063" s="73"/>
      <c r="E3063" s="73"/>
      <c r="F3063" s="73"/>
      <c r="G3063" s="74"/>
      <c r="H3063" s="153"/>
      <c r="I3063" s="72"/>
      <c r="J3063" s="73"/>
      <c r="K3063" s="671"/>
      <c r="L3063" s="73"/>
      <c r="M3063" s="73"/>
      <c r="N3063" s="74"/>
      <c r="O3063" s="153"/>
    </row>
    <row r="3064" spans="1:15" customFormat="1" x14ac:dyDescent="0.25">
      <c r="A3064" s="661"/>
      <c r="B3064" s="73"/>
      <c r="C3064" s="73" t="s">
        <v>8250</v>
      </c>
      <c r="D3064" s="73"/>
      <c r="E3064" s="73"/>
      <c r="F3064" s="73"/>
      <c r="G3064" s="74" t="s">
        <v>3</v>
      </c>
      <c r="H3064" s="153">
        <f>0.09*0.008*3*8*1.12</f>
        <v>1.9353599999999999E-2</v>
      </c>
      <c r="I3064" s="72"/>
      <c r="J3064" s="73"/>
      <c r="K3064" s="671"/>
      <c r="L3064" s="73"/>
      <c r="M3064" s="73"/>
      <c r="N3064" s="74"/>
      <c r="O3064" s="153"/>
    </row>
    <row r="3065" spans="1:15" customFormat="1" x14ac:dyDescent="0.25">
      <c r="A3065" s="661"/>
      <c r="B3065" s="73"/>
      <c r="C3065" s="75" t="s">
        <v>8251</v>
      </c>
      <c r="D3065" s="73"/>
      <c r="E3065" s="73"/>
      <c r="F3065" s="73"/>
      <c r="G3065" s="74"/>
      <c r="H3065" s="153"/>
      <c r="I3065" s="72"/>
      <c r="J3065" s="73"/>
      <c r="K3065" s="671"/>
      <c r="L3065" s="73"/>
      <c r="M3065" s="73"/>
      <c r="N3065" s="74"/>
      <c r="O3065" s="153"/>
    </row>
    <row r="3066" spans="1:15" customFormat="1" x14ac:dyDescent="0.25">
      <c r="A3066" s="661"/>
      <c r="B3066" s="73"/>
      <c r="C3066" s="73" t="s">
        <v>8250</v>
      </c>
      <c r="D3066" s="73"/>
      <c r="E3066" s="73"/>
      <c r="F3066" s="73"/>
      <c r="G3066" s="74" t="s">
        <v>3</v>
      </c>
      <c r="H3066" s="153">
        <f>0.012*0.008*3*8*1.12</f>
        <v>2.5804800000000004E-3</v>
      </c>
      <c r="I3066" s="72"/>
      <c r="J3066" s="73"/>
      <c r="K3066" s="671"/>
      <c r="L3066" s="73"/>
      <c r="M3066" s="73"/>
      <c r="N3066" s="74"/>
      <c r="O3066" s="153"/>
    </row>
    <row r="3067" spans="1:15" customFormat="1" x14ac:dyDescent="0.25">
      <c r="A3067" s="661"/>
      <c r="B3067" s="73"/>
      <c r="C3067" s="75"/>
      <c r="D3067" s="73"/>
      <c r="E3067" s="73"/>
      <c r="F3067" s="73"/>
      <c r="G3067" s="74"/>
      <c r="H3067" s="153"/>
      <c r="I3067" s="72"/>
      <c r="J3067" s="73"/>
      <c r="K3067" s="671"/>
      <c r="L3067" s="73"/>
      <c r="M3067" s="73"/>
      <c r="N3067" s="74"/>
      <c r="O3067" s="153"/>
    </row>
    <row r="3068" spans="1:15" customFormat="1" x14ac:dyDescent="0.25">
      <c r="A3068" s="678"/>
      <c r="B3068" s="75" t="s">
        <v>8249</v>
      </c>
      <c r="C3068" s="75"/>
      <c r="D3068" s="73"/>
      <c r="E3068" s="73"/>
      <c r="F3068" s="73"/>
      <c r="G3068" s="74"/>
      <c r="H3068" s="153"/>
      <c r="I3068" s="72"/>
      <c r="J3068" s="73"/>
      <c r="K3068" s="671"/>
      <c r="L3068" s="73"/>
      <c r="M3068" s="73"/>
      <c r="N3068" s="74"/>
      <c r="O3068" s="153"/>
    </row>
    <row r="3069" spans="1:15" customFormat="1" x14ac:dyDescent="0.25">
      <c r="A3069" s="661"/>
      <c r="B3069" s="73"/>
      <c r="C3069" s="75" t="s">
        <v>8248</v>
      </c>
      <c r="D3069" s="73"/>
      <c r="E3069" s="73"/>
      <c r="F3069" s="73"/>
      <c r="G3069" s="74"/>
      <c r="H3069" s="153"/>
      <c r="I3069" s="72"/>
      <c r="J3069" s="73"/>
      <c r="K3069" s="671"/>
      <c r="L3069" s="73"/>
      <c r="M3069" s="73"/>
      <c r="N3069" s="74"/>
      <c r="O3069" s="153"/>
    </row>
    <row r="3070" spans="1:15" customFormat="1" x14ac:dyDescent="0.25">
      <c r="A3070" s="661"/>
      <c r="B3070" s="73"/>
      <c r="C3070" s="100" t="s">
        <v>1658</v>
      </c>
      <c r="D3070" s="73"/>
      <c r="E3070" s="73"/>
      <c r="F3070" s="73"/>
      <c r="G3070" s="74" t="s">
        <v>3</v>
      </c>
      <c r="H3070" s="153">
        <v>1E-3</v>
      </c>
      <c r="I3070" s="72"/>
      <c r="J3070" s="73"/>
      <c r="K3070" s="671"/>
      <c r="L3070" s="73"/>
      <c r="M3070" s="73"/>
      <c r="N3070" s="74"/>
      <c r="O3070" s="153"/>
    </row>
    <row r="3071" spans="1:15" customFormat="1" x14ac:dyDescent="0.25">
      <c r="A3071" s="661"/>
      <c r="B3071" s="73"/>
      <c r="C3071" s="100" t="s">
        <v>671</v>
      </c>
      <c r="D3071" s="73"/>
      <c r="E3071" s="73"/>
      <c r="F3071" s="73"/>
      <c r="G3071" s="74" t="s">
        <v>3</v>
      </c>
      <c r="H3071" s="153">
        <v>5.0000000000000001E-3</v>
      </c>
      <c r="I3071" s="72"/>
      <c r="J3071" s="73"/>
      <c r="K3071" s="671"/>
      <c r="L3071" s="73"/>
      <c r="M3071" s="73"/>
      <c r="N3071" s="74"/>
      <c r="O3071" s="153"/>
    </row>
    <row r="3072" spans="1:15" customFormat="1" x14ac:dyDescent="0.25">
      <c r="A3072" s="661"/>
      <c r="B3072" s="73"/>
      <c r="C3072" s="100" t="s">
        <v>672</v>
      </c>
      <c r="D3072" s="73"/>
      <c r="E3072" s="73"/>
      <c r="F3072" s="73"/>
      <c r="G3072" s="74" t="s">
        <v>3</v>
      </c>
      <c r="H3072" s="153">
        <f>2.5*H3071</f>
        <v>1.2500000000000001E-2</v>
      </c>
      <c r="I3072" s="72"/>
      <c r="J3072" s="73"/>
      <c r="K3072" s="671"/>
      <c r="L3072" s="73"/>
      <c r="M3072" s="73"/>
      <c r="N3072" s="74"/>
      <c r="O3072" s="153"/>
    </row>
    <row r="3073" spans="1:15" customFormat="1" x14ac:dyDescent="0.25">
      <c r="A3073" s="661"/>
      <c r="B3073" s="73"/>
      <c r="C3073" s="75"/>
      <c r="D3073" s="75" t="s">
        <v>8247</v>
      </c>
      <c r="E3073" s="73"/>
      <c r="F3073" s="73"/>
      <c r="G3073" s="74"/>
      <c r="H3073" s="153"/>
      <c r="I3073" s="72"/>
      <c r="J3073" s="73"/>
      <c r="K3073" s="671"/>
      <c r="L3073" s="73"/>
      <c r="M3073" s="73"/>
      <c r="N3073" s="74"/>
      <c r="O3073" s="153"/>
    </row>
    <row r="3074" spans="1:15" customFormat="1" x14ac:dyDescent="0.25">
      <c r="A3074" s="661"/>
      <c r="B3074" s="73"/>
      <c r="C3074" s="75"/>
      <c r="D3074" s="100" t="s">
        <v>8246</v>
      </c>
      <c r="E3074" s="73"/>
      <c r="F3074" s="73"/>
      <c r="G3074" s="74" t="s">
        <v>3</v>
      </c>
      <c r="H3074" s="153">
        <f>0.03*0.015*2*8*1.1</f>
        <v>7.92E-3</v>
      </c>
      <c r="I3074" s="72"/>
      <c r="J3074" s="73"/>
      <c r="K3074" s="671"/>
      <c r="L3074" s="73"/>
      <c r="M3074" s="73"/>
      <c r="N3074" s="74"/>
      <c r="O3074" s="153"/>
    </row>
    <row r="3075" spans="1:15" customFormat="1" x14ac:dyDescent="0.25">
      <c r="A3075" s="661"/>
      <c r="B3075" s="73"/>
      <c r="C3075" s="75"/>
      <c r="D3075" s="75" t="s">
        <v>8245</v>
      </c>
      <c r="E3075" s="73"/>
      <c r="F3075" s="73"/>
      <c r="G3075" s="74"/>
      <c r="H3075" s="153"/>
      <c r="I3075" s="72"/>
      <c r="J3075" s="73"/>
      <c r="K3075" s="671"/>
      <c r="L3075" s="73"/>
      <c r="M3075" s="73"/>
      <c r="N3075" s="74"/>
      <c r="O3075" s="153"/>
    </row>
    <row r="3076" spans="1:15" customFormat="1" x14ac:dyDescent="0.25">
      <c r="A3076" s="661"/>
      <c r="B3076" s="73"/>
      <c r="C3076" s="75"/>
      <c r="D3076" s="100" t="s">
        <v>379</v>
      </c>
      <c r="E3076" s="73"/>
      <c r="F3076" s="73"/>
      <c r="G3076" s="74" t="s">
        <v>195</v>
      </c>
      <c r="H3076" s="153">
        <f>0.47</f>
        <v>0.47</v>
      </c>
      <c r="I3076" s="72"/>
      <c r="J3076" s="73"/>
      <c r="K3076" s="671"/>
      <c r="L3076" s="73"/>
      <c r="M3076" s="73"/>
      <c r="N3076" s="74"/>
      <c r="O3076" s="153"/>
    </row>
    <row r="3077" spans="1:15" customFormat="1" x14ac:dyDescent="0.25">
      <c r="A3077" s="661"/>
      <c r="B3077" s="73"/>
      <c r="C3077" s="75"/>
      <c r="D3077" s="73"/>
      <c r="E3077" s="73"/>
      <c r="F3077" s="73"/>
      <c r="G3077" s="74"/>
      <c r="H3077" s="153"/>
      <c r="I3077" s="72"/>
      <c r="J3077" s="73"/>
      <c r="K3077" s="671"/>
      <c r="L3077" s="73"/>
      <c r="M3077" s="73"/>
      <c r="N3077" s="74"/>
      <c r="O3077" s="153"/>
    </row>
    <row r="3078" spans="1:15" customFormat="1" x14ac:dyDescent="0.25">
      <c r="A3078" s="678"/>
      <c r="B3078" s="75" t="s">
        <v>8244</v>
      </c>
      <c r="C3078" s="75"/>
      <c r="D3078" s="73"/>
      <c r="E3078" s="73"/>
      <c r="F3078" s="73"/>
      <c r="G3078" s="74"/>
      <c r="H3078" s="153"/>
      <c r="I3078" s="72"/>
      <c r="J3078" s="73"/>
      <c r="K3078" s="671"/>
      <c r="L3078" s="73"/>
      <c r="M3078" s="73"/>
      <c r="N3078" s="74"/>
      <c r="O3078" s="153"/>
    </row>
    <row r="3079" spans="1:15" customFormat="1" x14ac:dyDescent="0.25">
      <c r="A3079" s="661"/>
      <c r="B3079" s="73" t="s">
        <v>140</v>
      </c>
      <c r="C3079" s="73"/>
      <c r="D3079" s="73"/>
      <c r="E3079" s="73"/>
      <c r="F3079" s="73"/>
      <c r="G3079" s="74" t="s">
        <v>3</v>
      </c>
      <c r="H3079" s="153">
        <f>0.025*0.08*1.2</f>
        <v>2.3999999999999998E-3</v>
      </c>
      <c r="I3079" s="72"/>
      <c r="J3079" s="73"/>
      <c r="K3079" s="671"/>
      <c r="L3079" s="73"/>
      <c r="M3079" s="73"/>
      <c r="N3079" s="74"/>
      <c r="O3079" s="153"/>
    </row>
    <row r="3080" spans="1:15" customFormat="1" ht="17.25" x14ac:dyDescent="0.25">
      <c r="A3080" s="661"/>
      <c r="B3080" s="73" t="s">
        <v>23</v>
      </c>
      <c r="C3080" s="73"/>
      <c r="D3080" s="73"/>
      <c r="E3080" s="73"/>
      <c r="F3080" s="73"/>
      <c r="G3080" s="74" t="s">
        <v>596</v>
      </c>
      <c r="H3080" s="153">
        <f>H3079*2</f>
        <v>4.7999999999999996E-3</v>
      </c>
      <c r="I3080" s="72"/>
      <c r="J3080" s="73"/>
      <c r="K3080" s="671"/>
      <c r="L3080" s="73"/>
      <c r="M3080" s="73"/>
      <c r="N3080" s="74"/>
      <c r="O3080" s="153"/>
    </row>
    <row r="3081" spans="1:15" customFormat="1" x14ac:dyDescent="0.25">
      <c r="A3081" s="661"/>
      <c r="B3081" s="73" t="s">
        <v>142</v>
      </c>
      <c r="C3081" s="73"/>
      <c r="D3081" s="73"/>
      <c r="E3081" s="73"/>
      <c r="F3081" s="73"/>
      <c r="G3081" s="74" t="s">
        <v>3</v>
      </c>
      <c r="H3081" s="153">
        <f>H3079/4</f>
        <v>5.9999999999999995E-4</v>
      </c>
      <c r="I3081" s="72"/>
      <c r="J3081" s="73"/>
      <c r="K3081" s="671"/>
      <c r="L3081" s="73"/>
      <c r="M3081" s="73"/>
      <c r="N3081" s="74"/>
      <c r="O3081" s="153"/>
    </row>
    <row r="3082" spans="1:15" customFormat="1" x14ac:dyDescent="0.25">
      <c r="A3082" s="661"/>
      <c r="B3082" s="77" t="s">
        <v>143</v>
      </c>
      <c r="C3082" s="77"/>
      <c r="D3082" s="77"/>
      <c r="E3082" s="77"/>
      <c r="F3082" s="73"/>
      <c r="G3082" s="74" t="s">
        <v>3</v>
      </c>
      <c r="H3082" s="153">
        <f>H3083</f>
        <v>1.056E-2</v>
      </c>
      <c r="I3082" s="72"/>
      <c r="J3082" s="73"/>
      <c r="K3082" s="671"/>
      <c r="L3082" s="73"/>
      <c r="M3082" s="73"/>
      <c r="N3082" s="74"/>
      <c r="O3082" s="153"/>
    </row>
    <row r="3083" spans="1:15" customFormat="1" x14ac:dyDescent="0.25">
      <c r="A3083" s="661"/>
      <c r="B3083" s="77" t="s">
        <v>8</v>
      </c>
      <c r="C3083" s="77"/>
      <c r="D3083" s="77"/>
      <c r="E3083" s="77"/>
      <c r="F3083" s="73"/>
      <c r="G3083" s="74" t="s">
        <v>3</v>
      </c>
      <c r="H3083" s="153">
        <f>H3084</f>
        <v>1.056E-2</v>
      </c>
      <c r="I3083" s="72"/>
      <c r="J3083" s="73"/>
      <c r="K3083" s="671"/>
      <c r="L3083" s="73"/>
      <c r="M3083" s="73"/>
      <c r="N3083" s="74"/>
      <c r="O3083" s="153"/>
    </row>
    <row r="3084" spans="1:15" customFormat="1" x14ac:dyDescent="0.25">
      <c r="A3084" s="661"/>
      <c r="B3084" s="77" t="s">
        <v>401</v>
      </c>
      <c r="C3084" s="77"/>
      <c r="D3084" s="77"/>
      <c r="E3084" s="77"/>
      <c r="F3084" s="73"/>
      <c r="G3084" s="74" t="s">
        <v>3</v>
      </c>
      <c r="H3084" s="153">
        <f>0.4*0.011*2*1.2</f>
        <v>1.056E-2</v>
      </c>
      <c r="I3084" s="72"/>
      <c r="J3084" s="73"/>
      <c r="K3084" s="671"/>
      <c r="L3084" s="73"/>
      <c r="M3084" s="73"/>
      <c r="N3084" s="74"/>
      <c r="O3084" s="153"/>
    </row>
    <row r="3085" spans="1:15" customFormat="1" x14ac:dyDescent="0.25">
      <c r="A3085" s="661"/>
      <c r="B3085" s="77" t="s">
        <v>12</v>
      </c>
      <c r="C3085" s="77"/>
      <c r="D3085" s="77"/>
      <c r="E3085" s="77"/>
      <c r="F3085" s="73"/>
      <c r="G3085" s="74" t="s">
        <v>3</v>
      </c>
      <c r="H3085" s="153">
        <f>0.3*(H3084+H3083+H3082)</f>
        <v>9.5040000000000003E-3</v>
      </c>
      <c r="I3085" s="72"/>
      <c r="J3085" s="73"/>
      <c r="K3085" s="671"/>
      <c r="L3085" s="73"/>
      <c r="M3085" s="73"/>
      <c r="N3085" s="74"/>
      <c r="O3085" s="153"/>
    </row>
    <row r="3086" spans="1:15" customFormat="1" x14ac:dyDescent="0.25">
      <c r="A3086" s="661"/>
      <c r="B3086" s="73"/>
      <c r="C3086" s="75" t="s">
        <v>8243</v>
      </c>
      <c r="D3086" s="73"/>
      <c r="E3086" s="73"/>
      <c r="F3086" s="73"/>
      <c r="G3086" s="74"/>
      <c r="H3086" s="153"/>
      <c r="I3086" s="72"/>
      <c r="J3086" s="73"/>
      <c r="K3086" s="671"/>
      <c r="L3086" s="73"/>
      <c r="M3086" s="73"/>
      <c r="N3086" s="74"/>
      <c r="O3086" s="153"/>
    </row>
    <row r="3087" spans="1:15" customFormat="1" x14ac:dyDescent="0.25">
      <c r="A3087" s="661"/>
      <c r="B3087" s="73"/>
      <c r="C3087" s="100" t="s">
        <v>8242</v>
      </c>
      <c r="D3087" s="73"/>
      <c r="E3087" s="73"/>
      <c r="F3087" s="73"/>
      <c r="G3087" s="74" t="s">
        <v>3</v>
      </c>
      <c r="H3087" s="153">
        <f>0.072</f>
        <v>7.1999999999999995E-2</v>
      </c>
      <c r="I3087" s="72"/>
      <c r="J3087" t="s">
        <v>7693</v>
      </c>
      <c r="K3087" s="671"/>
      <c r="L3087" s="73"/>
      <c r="M3087" s="73"/>
      <c r="N3087" s="74"/>
      <c r="O3087" s="153"/>
    </row>
    <row r="3088" spans="1:15" customFormat="1" x14ac:dyDescent="0.25">
      <c r="A3088" s="661"/>
      <c r="B3088" s="73"/>
      <c r="C3088" s="75"/>
      <c r="D3088" s="73"/>
      <c r="E3088" s="73"/>
      <c r="F3088" s="73"/>
      <c r="G3088" s="74"/>
      <c r="H3088" s="153"/>
      <c r="I3088" s="72"/>
      <c r="J3088" s="73"/>
      <c r="K3088" s="671"/>
      <c r="L3088" s="73"/>
      <c r="M3088" s="73"/>
      <c r="N3088" s="74"/>
      <c r="O3088" s="153"/>
    </row>
    <row r="3089" spans="1:15" customFormat="1" x14ac:dyDescent="0.25">
      <c r="A3089" s="678"/>
      <c r="B3089" s="75" t="s">
        <v>4870</v>
      </c>
      <c r="C3089" s="75"/>
      <c r="D3089" s="73"/>
      <c r="E3089" s="73"/>
      <c r="F3089" s="73"/>
      <c r="G3089" s="74"/>
      <c r="H3089" s="153"/>
      <c r="I3089" s="72"/>
      <c r="J3089" s="73"/>
      <c r="K3089" s="671"/>
      <c r="L3089" s="73"/>
      <c r="M3089" s="73"/>
      <c r="N3089" s="74"/>
      <c r="O3089" s="153"/>
    </row>
    <row r="3090" spans="1:15" customFormat="1" x14ac:dyDescent="0.25">
      <c r="A3090" s="661"/>
      <c r="B3090" s="73"/>
      <c r="C3090" s="75" t="s">
        <v>8241</v>
      </c>
      <c r="D3090" s="73"/>
      <c r="E3090" s="73"/>
      <c r="F3090" s="73"/>
      <c r="G3090" s="74"/>
      <c r="H3090" s="153"/>
      <c r="I3090" s="72"/>
      <c r="J3090" s="73"/>
      <c r="K3090" s="671"/>
      <c r="L3090" s="73"/>
      <c r="M3090" s="73"/>
      <c r="N3090" s="74"/>
      <c r="O3090" s="153"/>
    </row>
    <row r="3091" spans="1:15" customFormat="1" x14ac:dyDescent="0.25">
      <c r="A3091" s="661"/>
      <c r="B3091" s="73"/>
      <c r="C3091" s="73" t="s">
        <v>140</v>
      </c>
      <c r="D3091" s="73"/>
      <c r="E3091" s="73"/>
      <c r="F3091" s="73"/>
      <c r="G3091" s="74" t="s">
        <v>3</v>
      </c>
      <c r="H3091" s="153">
        <f>0.018*3.14*2*0.08*1.2</f>
        <v>1.085184E-2</v>
      </c>
      <c r="I3091" s="72"/>
      <c r="J3091" s="73"/>
      <c r="K3091" s="671"/>
      <c r="L3091" s="73"/>
      <c r="M3091" s="73"/>
      <c r="N3091" s="74"/>
      <c r="O3091" s="153"/>
    </row>
    <row r="3092" spans="1:15" customFormat="1" ht="17.25" x14ac:dyDescent="0.25">
      <c r="A3092" s="661"/>
      <c r="B3092" s="73"/>
      <c r="C3092" s="73" t="s">
        <v>23</v>
      </c>
      <c r="D3092" s="73"/>
      <c r="E3092" s="73"/>
      <c r="F3092" s="73"/>
      <c r="G3092" s="74" t="s">
        <v>596</v>
      </c>
      <c r="H3092" s="153">
        <f>H3091*2</f>
        <v>2.170368E-2</v>
      </c>
      <c r="I3092" s="72"/>
      <c r="J3092" s="73"/>
      <c r="K3092" s="671"/>
      <c r="L3092" s="73"/>
      <c r="M3092" s="73"/>
      <c r="N3092" s="74"/>
      <c r="O3092" s="153"/>
    </row>
    <row r="3093" spans="1:15" customFormat="1" x14ac:dyDescent="0.25">
      <c r="A3093" s="661"/>
      <c r="B3093" s="73"/>
      <c r="C3093" s="73" t="s">
        <v>142</v>
      </c>
      <c r="D3093" s="73"/>
      <c r="E3093" s="73"/>
      <c r="F3093" s="73"/>
      <c r="G3093" s="74" t="s">
        <v>3</v>
      </c>
      <c r="H3093" s="153">
        <f>H3091/4</f>
        <v>2.7129599999999999E-3</v>
      </c>
      <c r="I3093" s="72"/>
      <c r="J3093" s="73"/>
      <c r="K3093" s="671"/>
      <c r="L3093" s="73"/>
      <c r="M3093" s="73"/>
      <c r="N3093" s="74"/>
      <c r="O3093" s="153"/>
    </row>
    <row r="3094" spans="1:15" customFormat="1" x14ac:dyDescent="0.25">
      <c r="A3094" s="661"/>
      <c r="B3094" s="73"/>
      <c r="C3094" s="77" t="s">
        <v>143</v>
      </c>
      <c r="D3094" s="77"/>
      <c r="E3094" s="77"/>
      <c r="F3094" s="77"/>
      <c r="G3094" s="74" t="s">
        <v>3</v>
      </c>
      <c r="H3094" s="153">
        <f>H3095</f>
        <v>1.2000000000000002E-2</v>
      </c>
      <c r="I3094" s="72"/>
      <c r="J3094" s="73"/>
      <c r="K3094" s="671"/>
      <c r="L3094" s="73"/>
      <c r="M3094" s="73"/>
      <c r="N3094" s="74"/>
      <c r="O3094" s="153"/>
    </row>
    <row r="3095" spans="1:15" customFormat="1" x14ac:dyDescent="0.25">
      <c r="A3095" s="661"/>
      <c r="B3095" s="73"/>
      <c r="C3095" s="77" t="s">
        <v>8</v>
      </c>
      <c r="D3095" s="77"/>
      <c r="E3095" s="77"/>
      <c r="F3095" s="77"/>
      <c r="G3095" s="74" t="s">
        <v>3</v>
      </c>
      <c r="H3095" s="153">
        <f>H3096</f>
        <v>1.2000000000000002E-2</v>
      </c>
      <c r="I3095" s="72"/>
      <c r="J3095" s="73"/>
      <c r="K3095" s="671"/>
      <c r="L3095" s="73"/>
      <c r="M3095" s="73"/>
      <c r="N3095" s="74"/>
      <c r="O3095" s="153"/>
    </row>
    <row r="3096" spans="1:15" customFormat="1" x14ac:dyDescent="0.25">
      <c r="A3096" s="661"/>
      <c r="B3096" s="73"/>
      <c r="C3096" s="77" t="s">
        <v>401</v>
      </c>
      <c r="D3096" s="77"/>
      <c r="E3096" s="77"/>
      <c r="F3096" s="77"/>
      <c r="G3096" s="74" t="s">
        <v>3</v>
      </c>
      <c r="H3096" s="153">
        <f>0.2*0.025*2*1.2</f>
        <v>1.2000000000000002E-2</v>
      </c>
      <c r="I3096" s="72"/>
      <c r="J3096" s="73"/>
      <c r="K3096" s="671"/>
      <c r="L3096" s="73"/>
      <c r="M3096" s="73"/>
      <c r="N3096" s="74"/>
      <c r="O3096" s="153"/>
    </row>
    <row r="3097" spans="1:15" customFormat="1" x14ac:dyDescent="0.25">
      <c r="A3097" s="661"/>
      <c r="B3097" s="73"/>
      <c r="C3097" s="77" t="s">
        <v>12</v>
      </c>
      <c r="D3097" s="77"/>
      <c r="E3097" s="77"/>
      <c r="F3097" s="77"/>
      <c r="G3097" s="74" t="s">
        <v>3</v>
      </c>
      <c r="H3097" s="153">
        <f>0.3*(H3096+H3095+H3094)</f>
        <v>1.0800000000000001E-2</v>
      </c>
      <c r="I3097" s="72"/>
      <c r="J3097" s="73"/>
      <c r="K3097" s="671"/>
      <c r="L3097" s="73"/>
      <c r="M3097" s="73"/>
      <c r="N3097" s="74"/>
      <c r="O3097" s="153"/>
    </row>
    <row r="3098" spans="1:15" customFormat="1" x14ac:dyDescent="0.25">
      <c r="A3098" s="661"/>
      <c r="B3098" s="73"/>
      <c r="C3098" s="77"/>
      <c r="D3098" s="78" t="s">
        <v>1249</v>
      </c>
      <c r="E3098" s="77"/>
      <c r="F3098" s="77"/>
      <c r="G3098" s="73"/>
      <c r="H3098" s="74"/>
      <c r="I3098" s="72"/>
      <c r="J3098" s="73"/>
      <c r="K3098" s="671"/>
      <c r="L3098" s="73"/>
      <c r="M3098" s="73"/>
      <c r="N3098" s="74"/>
      <c r="O3098" s="153"/>
    </row>
    <row r="3099" spans="1:15" customFormat="1" x14ac:dyDescent="0.25">
      <c r="A3099" s="661"/>
      <c r="B3099" s="73"/>
      <c r="C3099" s="77"/>
      <c r="D3099" s="77" t="s">
        <v>1250</v>
      </c>
      <c r="E3099" s="77"/>
      <c r="F3099" s="77"/>
      <c r="G3099" s="74" t="s">
        <v>3</v>
      </c>
      <c r="H3099" s="153">
        <v>8.7999999999999995E-2</v>
      </c>
      <c r="I3099" s="72"/>
      <c r="J3099" t="s">
        <v>2938</v>
      </c>
      <c r="K3099" s="671"/>
      <c r="L3099" s="73"/>
      <c r="M3099" s="73"/>
      <c r="N3099" s="74"/>
      <c r="O3099" s="153"/>
    </row>
    <row r="3100" spans="1:15" customFormat="1" x14ac:dyDescent="0.25">
      <c r="A3100" s="661"/>
      <c r="B3100" s="73"/>
      <c r="C3100" s="75" t="s">
        <v>8240</v>
      </c>
      <c r="D3100" s="77"/>
      <c r="E3100" s="77"/>
      <c r="F3100" s="77"/>
      <c r="G3100" s="74"/>
      <c r="H3100" s="153"/>
      <c r="I3100" s="72"/>
      <c r="K3100" s="671"/>
      <c r="L3100" s="73"/>
      <c r="M3100" s="73"/>
      <c r="N3100" s="74"/>
      <c r="O3100" s="153"/>
    </row>
    <row r="3101" spans="1:15" customFormat="1" x14ac:dyDescent="0.25">
      <c r="A3101" s="661"/>
      <c r="B3101" s="73"/>
      <c r="C3101" s="77" t="s">
        <v>39</v>
      </c>
      <c r="D3101" s="73"/>
      <c r="E3101" s="73"/>
      <c r="F3101" s="73"/>
      <c r="G3101" s="74" t="s">
        <v>3</v>
      </c>
      <c r="H3101" s="153">
        <f>0.2*0.08*1.22</f>
        <v>1.9519999999999999E-2</v>
      </c>
      <c r="I3101" s="72"/>
      <c r="K3101" s="671"/>
      <c r="L3101" s="73"/>
      <c r="M3101" s="73"/>
      <c r="N3101" s="74"/>
      <c r="O3101" s="153"/>
    </row>
    <row r="3102" spans="1:15" customFormat="1" ht="17.25" x14ac:dyDescent="0.25">
      <c r="A3102" s="661"/>
      <c r="B3102" s="73"/>
      <c r="C3102" s="73" t="s">
        <v>1055</v>
      </c>
      <c r="D3102" s="73"/>
      <c r="E3102" s="73"/>
      <c r="F3102" s="73"/>
      <c r="G3102" s="74" t="s">
        <v>596</v>
      </c>
      <c r="H3102" s="153">
        <f>H3101</f>
        <v>1.9519999999999999E-2</v>
      </c>
      <c r="I3102" s="72"/>
      <c r="K3102" s="671"/>
      <c r="L3102" s="73"/>
      <c r="M3102" s="73"/>
      <c r="N3102" s="74"/>
      <c r="O3102" s="153"/>
    </row>
    <row r="3103" spans="1:15" customFormat="1" x14ac:dyDescent="0.25">
      <c r="A3103" s="661"/>
      <c r="B3103" s="73"/>
      <c r="C3103" s="77" t="s">
        <v>143</v>
      </c>
      <c r="D3103" s="77"/>
      <c r="E3103" s="77"/>
      <c r="F3103" s="77"/>
      <c r="G3103" s="74" t="s">
        <v>3</v>
      </c>
      <c r="H3103" s="153">
        <f>H3104</f>
        <v>9.75E-3</v>
      </c>
      <c r="I3103" s="72"/>
      <c r="K3103" s="671"/>
      <c r="L3103" s="73"/>
      <c r="M3103" s="73"/>
      <c r="N3103" s="74"/>
      <c r="O3103" s="153"/>
    </row>
    <row r="3104" spans="1:15" customFormat="1" x14ac:dyDescent="0.25">
      <c r="A3104" s="661"/>
      <c r="B3104" s="73"/>
      <c r="C3104" s="77" t="s">
        <v>8</v>
      </c>
      <c r="D3104" s="77"/>
      <c r="E3104" s="77"/>
      <c r="F3104" s="77"/>
      <c r="G3104" s="74" t="s">
        <v>3</v>
      </c>
      <c r="H3104" s="153">
        <f>H3105</f>
        <v>9.75E-3</v>
      </c>
      <c r="I3104" s="72"/>
      <c r="K3104" s="671"/>
      <c r="L3104" s="73"/>
      <c r="M3104" s="73"/>
      <c r="N3104" s="74"/>
      <c r="O3104" s="153"/>
    </row>
    <row r="3105" spans="1:15" customFormat="1" x14ac:dyDescent="0.25">
      <c r="A3105" s="661"/>
      <c r="B3105" s="73"/>
      <c r="C3105" s="77" t="s">
        <v>401</v>
      </c>
      <c r="D3105" s="77"/>
      <c r="E3105" s="77"/>
      <c r="F3105" s="77"/>
      <c r="G3105" s="74" t="s">
        <v>3</v>
      </c>
      <c r="H3105" s="153">
        <f>0.15*0.025*2*1.3</f>
        <v>9.75E-3</v>
      </c>
      <c r="I3105" s="72"/>
      <c r="K3105" s="671"/>
      <c r="L3105" s="73"/>
      <c r="M3105" s="73"/>
      <c r="N3105" s="74"/>
      <c r="O3105" s="153"/>
    </row>
    <row r="3106" spans="1:15" customFormat="1" x14ac:dyDescent="0.25">
      <c r="A3106" s="661"/>
      <c r="B3106" s="73"/>
      <c r="C3106" s="77" t="s">
        <v>12</v>
      </c>
      <c r="D3106" s="77"/>
      <c r="E3106" s="77"/>
      <c r="F3106" s="77"/>
      <c r="G3106" s="74" t="s">
        <v>3</v>
      </c>
      <c r="H3106" s="153">
        <f>0.3*(H3105+H3104+H3103)</f>
        <v>8.7749999999999998E-3</v>
      </c>
      <c r="I3106" s="72"/>
      <c r="K3106" s="671"/>
      <c r="L3106" s="73"/>
      <c r="M3106" s="73"/>
      <c r="N3106" s="74"/>
      <c r="O3106" s="153"/>
    </row>
    <row r="3107" spans="1:15" customFormat="1" x14ac:dyDescent="0.25">
      <c r="A3107" s="661"/>
      <c r="B3107" s="73"/>
      <c r="C3107" s="77"/>
      <c r="D3107" s="78" t="s">
        <v>1253</v>
      </c>
      <c r="E3107" s="77"/>
      <c r="F3107" s="77"/>
      <c r="G3107" s="74"/>
      <c r="H3107" s="153"/>
      <c r="I3107" s="72"/>
      <c r="K3107" s="671"/>
      <c r="L3107" s="73"/>
      <c r="M3107" s="73"/>
      <c r="N3107" s="74"/>
      <c r="O3107" s="153"/>
    </row>
    <row r="3108" spans="1:15" customFormat="1" x14ac:dyDescent="0.25">
      <c r="A3108" s="661"/>
      <c r="B3108" s="73"/>
      <c r="C3108" s="77"/>
      <c r="D3108" s="77" t="s">
        <v>227</v>
      </c>
      <c r="E3108" s="77"/>
      <c r="F3108" s="77"/>
      <c r="G3108" s="74" t="s">
        <v>3</v>
      </c>
      <c r="H3108" s="153">
        <f>0.08*0.06*5*8*1.0958</f>
        <v>0.21039359999999999</v>
      </c>
      <c r="I3108" s="72"/>
      <c r="K3108" s="671"/>
      <c r="L3108" s="73"/>
      <c r="M3108" s="73"/>
      <c r="N3108" s="74"/>
      <c r="O3108" s="153"/>
    </row>
    <row r="3109" spans="1:15" customFormat="1" x14ac:dyDescent="0.25">
      <c r="A3109" s="661"/>
      <c r="B3109" s="73"/>
      <c r="C3109" s="78" t="s">
        <v>8239</v>
      </c>
      <c r="D3109" s="77"/>
      <c r="E3109" s="77"/>
      <c r="F3109" s="77"/>
      <c r="G3109" s="73"/>
      <c r="H3109" s="74"/>
      <c r="I3109" s="72"/>
      <c r="J3109" s="73"/>
      <c r="K3109" s="671"/>
      <c r="L3109" s="73"/>
      <c r="M3109" s="73"/>
      <c r="N3109" s="74"/>
      <c r="O3109" s="153"/>
    </row>
    <row r="3110" spans="1:15" customFormat="1" x14ac:dyDescent="0.25">
      <c r="A3110" s="661"/>
      <c r="B3110" s="73"/>
      <c r="C3110" s="77" t="s">
        <v>1260</v>
      </c>
      <c r="D3110" s="77"/>
      <c r="E3110" s="77"/>
      <c r="F3110" s="77"/>
      <c r="G3110" s="74" t="s">
        <v>195</v>
      </c>
      <c r="H3110" s="153">
        <v>0.55000000000000004</v>
      </c>
      <c r="I3110" s="72"/>
      <c r="J3110" t="s">
        <v>6486</v>
      </c>
      <c r="K3110" s="671"/>
      <c r="L3110" s="73"/>
      <c r="M3110" s="73"/>
      <c r="N3110" s="74"/>
      <c r="O3110" s="153"/>
    </row>
    <row r="3111" spans="1:15" customFormat="1" x14ac:dyDescent="0.25">
      <c r="A3111" s="661"/>
      <c r="B3111" s="73"/>
      <c r="C3111" s="78" t="s">
        <v>8238</v>
      </c>
      <c r="D3111" s="77"/>
      <c r="E3111" s="77"/>
      <c r="F3111" s="77"/>
      <c r="G3111" s="73"/>
      <c r="H3111" s="74"/>
      <c r="I3111" s="72"/>
      <c r="J3111" s="73"/>
      <c r="K3111" s="671"/>
      <c r="L3111" s="73"/>
      <c r="M3111" s="73"/>
      <c r="N3111" s="74"/>
      <c r="O3111" s="153"/>
    </row>
    <row r="3112" spans="1:15" customFormat="1" x14ac:dyDescent="0.25">
      <c r="A3112" s="661"/>
      <c r="B3112" s="73"/>
      <c r="C3112" s="77" t="s">
        <v>1260</v>
      </c>
      <c r="D3112" s="77"/>
      <c r="E3112" s="77"/>
      <c r="F3112" s="77"/>
      <c r="G3112" s="74" t="s">
        <v>195</v>
      </c>
      <c r="H3112" s="153">
        <v>0.75</v>
      </c>
      <c r="I3112" s="72"/>
      <c r="J3112" t="s">
        <v>8237</v>
      </c>
      <c r="K3112" s="671"/>
      <c r="L3112" s="73"/>
      <c r="M3112" s="73"/>
      <c r="N3112" s="74"/>
      <c r="O3112" s="153"/>
    </row>
    <row r="3113" spans="1:15" customFormat="1" x14ac:dyDescent="0.25">
      <c r="A3113" s="661"/>
      <c r="B3113" s="73"/>
      <c r="C3113" s="77"/>
      <c r="D3113" s="77"/>
      <c r="E3113" s="77"/>
      <c r="F3113" s="77"/>
      <c r="G3113" s="74"/>
      <c r="H3113" s="153"/>
      <c r="I3113" s="72"/>
      <c r="K3113" s="671"/>
      <c r="L3113" s="73"/>
      <c r="M3113" s="73"/>
      <c r="N3113" s="74"/>
      <c r="O3113" s="153"/>
    </row>
    <row r="3114" spans="1:15" customFormat="1" x14ac:dyDescent="0.25">
      <c r="A3114" s="678"/>
      <c r="B3114" s="75" t="s">
        <v>8236</v>
      </c>
      <c r="C3114" s="73"/>
      <c r="D3114" s="73"/>
      <c r="E3114" s="73"/>
      <c r="F3114" s="73"/>
      <c r="G3114" s="74"/>
      <c r="H3114" s="153"/>
      <c r="I3114" s="72"/>
      <c r="K3114" s="658"/>
    </row>
    <row r="3115" spans="1:15" customFormat="1" x14ac:dyDescent="0.25">
      <c r="A3115" s="661"/>
      <c r="B3115" s="77" t="s">
        <v>39</v>
      </c>
      <c r="C3115" s="73"/>
      <c r="D3115" s="73"/>
      <c r="E3115" s="73"/>
      <c r="F3115" s="73"/>
      <c r="G3115" s="74" t="s">
        <v>3</v>
      </c>
      <c r="H3115" s="153">
        <f>0.1*0.08*1.2</f>
        <v>9.5999999999999992E-3</v>
      </c>
      <c r="I3115" s="72"/>
      <c r="K3115" s="658"/>
    </row>
    <row r="3116" spans="1:15" customFormat="1" ht="17.25" x14ac:dyDescent="0.25">
      <c r="A3116" s="661"/>
      <c r="B3116" s="73" t="s">
        <v>1055</v>
      </c>
      <c r="C3116" s="73"/>
      <c r="D3116" s="73"/>
      <c r="E3116" s="73"/>
      <c r="F3116" s="73"/>
      <c r="G3116" s="74" t="s">
        <v>596</v>
      </c>
      <c r="H3116" s="153">
        <f>H3115</f>
        <v>9.5999999999999992E-3</v>
      </c>
      <c r="I3116" s="72"/>
      <c r="K3116" s="658"/>
    </row>
    <row r="3117" spans="1:15" customFormat="1" x14ac:dyDescent="0.25">
      <c r="A3117" s="661"/>
      <c r="B3117" s="73" t="s">
        <v>8235</v>
      </c>
      <c r="C3117" s="73"/>
      <c r="D3117" s="73"/>
      <c r="E3117" s="73"/>
      <c r="F3117" s="73"/>
      <c r="G3117" s="74" t="s">
        <v>3</v>
      </c>
      <c r="H3117" s="153">
        <f>0.4*0.04*0.2*1.5</f>
        <v>4.8000000000000004E-3</v>
      </c>
      <c r="I3117" s="72"/>
      <c r="K3117" s="658"/>
    </row>
    <row r="3118" spans="1:15" customFormat="1" x14ac:dyDescent="0.25">
      <c r="A3118" s="661"/>
      <c r="B3118" s="73"/>
      <c r="C3118" s="75" t="s">
        <v>8234</v>
      </c>
      <c r="D3118" s="73"/>
      <c r="E3118" s="73"/>
      <c r="F3118" s="73"/>
      <c r="G3118" s="74"/>
      <c r="H3118" s="153"/>
      <c r="I3118" s="72"/>
      <c r="K3118" s="658"/>
    </row>
    <row r="3119" spans="1:15" customFormat="1" x14ac:dyDescent="0.25">
      <c r="A3119" s="661"/>
      <c r="B3119" s="73"/>
      <c r="C3119" s="73" t="s">
        <v>1708</v>
      </c>
      <c r="D3119" s="73"/>
      <c r="E3119" s="73"/>
      <c r="F3119" s="73"/>
      <c r="G3119" s="74" t="s">
        <v>3</v>
      </c>
      <c r="H3119" s="153">
        <f>0.645*0.04*2*8*1.15</f>
        <v>0.47471999999999998</v>
      </c>
      <c r="I3119" s="72"/>
      <c r="K3119" s="658"/>
    </row>
    <row r="3120" spans="1:15" customFormat="1" x14ac:dyDescent="0.25">
      <c r="A3120" s="661"/>
      <c r="B3120" s="73"/>
      <c r="C3120" s="77"/>
      <c r="D3120" s="77"/>
      <c r="E3120" s="77"/>
      <c r="F3120" s="77"/>
      <c r="G3120" s="74"/>
      <c r="H3120" s="153"/>
      <c r="I3120" s="72"/>
      <c r="K3120" s="671"/>
      <c r="L3120" s="73"/>
      <c r="M3120" s="73"/>
      <c r="N3120" s="74"/>
      <c r="O3120" s="153"/>
    </row>
    <row r="3121" spans="1:15" customFormat="1" x14ac:dyDescent="0.25">
      <c r="A3121" s="678"/>
      <c r="B3121" s="75" t="s">
        <v>8233</v>
      </c>
      <c r="C3121" s="73"/>
      <c r="D3121" s="73"/>
      <c r="E3121" s="73"/>
      <c r="F3121" s="73"/>
      <c r="G3121" s="74"/>
      <c r="H3121" s="153"/>
      <c r="I3121" s="72"/>
      <c r="K3121" s="658"/>
    </row>
    <row r="3122" spans="1:15" customFormat="1" x14ac:dyDescent="0.25">
      <c r="A3122" s="661"/>
      <c r="B3122" s="73" t="s">
        <v>140</v>
      </c>
      <c r="C3122" s="73"/>
      <c r="D3122" s="73"/>
      <c r="E3122" s="73"/>
      <c r="F3122" s="73"/>
      <c r="G3122" s="74" t="s">
        <v>3</v>
      </c>
      <c r="H3122" s="153">
        <f>0.006*3.14*4*0.08*1.2</f>
        <v>7.234560000000001E-3</v>
      </c>
      <c r="I3122" s="72"/>
      <c r="K3122" s="658"/>
    </row>
    <row r="3123" spans="1:15" customFormat="1" ht="17.25" x14ac:dyDescent="0.25">
      <c r="A3123" s="661"/>
      <c r="B3123" s="73" t="s">
        <v>23</v>
      </c>
      <c r="C3123" s="73"/>
      <c r="D3123" s="73"/>
      <c r="E3123" s="73"/>
      <c r="F3123" s="73"/>
      <c r="G3123" s="74" t="s">
        <v>596</v>
      </c>
      <c r="H3123" s="153">
        <f>H3122*2</f>
        <v>1.4469120000000002E-2</v>
      </c>
      <c r="I3123" s="72"/>
      <c r="K3123" s="658"/>
    </row>
    <row r="3124" spans="1:15" customFormat="1" x14ac:dyDescent="0.25">
      <c r="A3124" s="661"/>
      <c r="B3124" s="73" t="s">
        <v>142</v>
      </c>
      <c r="C3124" s="73"/>
      <c r="D3124" s="73"/>
      <c r="E3124" s="73"/>
      <c r="F3124" s="73"/>
      <c r="G3124" s="74" t="s">
        <v>3</v>
      </c>
      <c r="H3124" s="153">
        <f>H3122/4</f>
        <v>1.8086400000000002E-3</v>
      </c>
      <c r="I3124" s="72"/>
      <c r="K3124" s="658"/>
    </row>
    <row r="3125" spans="1:15" customFormat="1" x14ac:dyDescent="0.25">
      <c r="A3125" s="661"/>
      <c r="B3125" s="77" t="s">
        <v>143</v>
      </c>
      <c r="C3125" s="77"/>
      <c r="D3125" s="77"/>
      <c r="E3125" s="77"/>
      <c r="F3125" s="73"/>
      <c r="G3125" s="74" t="s">
        <v>3</v>
      </c>
      <c r="H3125" s="153">
        <f>H3126</f>
        <v>5.963099999999999E-2</v>
      </c>
      <c r="I3125" s="72"/>
      <c r="K3125" s="658"/>
    </row>
    <row r="3126" spans="1:15" customFormat="1" x14ac:dyDescent="0.25">
      <c r="A3126" s="661"/>
      <c r="B3126" s="77" t="s">
        <v>8</v>
      </c>
      <c r="C3126" s="77"/>
      <c r="D3126" s="77"/>
      <c r="E3126" s="77"/>
      <c r="F3126" s="73"/>
      <c r="G3126" s="74" t="s">
        <v>3</v>
      </c>
      <c r="H3126" s="153">
        <f>H3127*0.858</f>
        <v>5.963099999999999E-2</v>
      </c>
      <c r="I3126" s="72"/>
      <c r="K3126" s="658"/>
    </row>
    <row r="3127" spans="1:15" customFormat="1" x14ac:dyDescent="0.25">
      <c r="A3127" s="661"/>
      <c r="B3127" s="77" t="s">
        <v>8232</v>
      </c>
      <c r="C3127" s="77"/>
      <c r="D3127" s="77"/>
      <c r="E3127" s="77"/>
      <c r="F3127" s="73"/>
      <c r="G3127" s="74" t="s">
        <v>3</v>
      </c>
      <c r="H3127" s="153">
        <f>2.5*0.011*2*1.3-0.002</f>
        <v>6.9499999999999992E-2</v>
      </c>
      <c r="I3127" s="72"/>
      <c r="K3127" s="658"/>
    </row>
    <row r="3128" spans="1:15" customFormat="1" x14ac:dyDescent="0.25">
      <c r="A3128" s="661"/>
      <c r="B3128" s="77" t="s">
        <v>12</v>
      </c>
      <c r="C3128" s="77"/>
      <c r="D3128" s="77"/>
      <c r="E3128" s="77"/>
      <c r="F3128" s="73"/>
      <c r="G3128" s="74" t="s">
        <v>3</v>
      </c>
      <c r="H3128" s="153">
        <f>0.3*(H3127+H3126+H3125)</f>
        <v>5.6628599999999994E-2</v>
      </c>
      <c r="I3128" s="72"/>
      <c r="K3128" s="658"/>
    </row>
    <row r="3129" spans="1:15" customFormat="1" x14ac:dyDescent="0.25">
      <c r="A3129" s="661"/>
      <c r="B3129" s="73"/>
      <c r="C3129" s="75" t="s">
        <v>8231</v>
      </c>
      <c r="D3129" s="73"/>
      <c r="E3129" s="73"/>
      <c r="F3129" s="73"/>
      <c r="G3129" s="74"/>
      <c r="H3129" s="153"/>
      <c r="I3129" s="72"/>
      <c r="J3129" s="650"/>
      <c r="K3129" s="658"/>
    </row>
    <row r="3130" spans="1:15" customFormat="1" x14ac:dyDescent="0.25">
      <c r="A3130" s="661"/>
      <c r="B3130" s="73"/>
      <c r="C3130" s="73" t="s">
        <v>8226</v>
      </c>
      <c r="D3130" s="73"/>
      <c r="E3130" s="73"/>
      <c r="F3130" s="73"/>
      <c r="G3130" s="74" t="s">
        <v>3</v>
      </c>
      <c r="H3130" s="153">
        <v>3.6999999999999998E-2</v>
      </c>
      <c r="I3130" s="72"/>
      <c r="J3130" t="s">
        <v>8230</v>
      </c>
      <c r="K3130" s="658"/>
    </row>
    <row r="3131" spans="1:15" customFormat="1" x14ac:dyDescent="0.25">
      <c r="A3131" s="661"/>
      <c r="B3131" s="73"/>
      <c r="C3131" s="75" t="s">
        <v>8229</v>
      </c>
      <c r="D3131" s="73"/>
      <c r="E3131" s="73"/>
      <c r="F3131" s="73"/>
      <c r="G3131" s="74"/>
      <c r="H3131" s="153"/>
      <c r="I3131" s="72"/>
      <c r="K3131" s="658"/>
    </row>
    <row r="3132" spans="1:15" customFormat="1" x14ac:dyDescent="0.25">
      <c r="A3132" s="661"/>
      <c r="B3132" s="73"/>
      <c r="C3132" s="73" t="s">
        <v>8226</v>
      </c>
      <c r="D3132" s="73"/>
      <c r="E3132" s="73"/>
      <c r="F3132" s="73"/>
      <c r="G3132" s="74" t="s">
        <v>3</v>
      </c>
      <c r="H3132" s="153">
        <v>0.17</v>
      </c>
      <c r="I3132" s="72"/>
      <c r="J3132" t="s">
        <v>8228</v>
      </c>
      <c r="K3132" s="658"/>
    </row>
    <row r="3133" spans="1:15" customFormat="1" x14ac:dyDescent="0.25">
      <c r="A3133" s="661"/>
      <c r="B3133" s="73"/>
      <c r="C3133" s="75" t="s">
        <v>8227</v>
      </c>
      <c r="D3133" s="73"/>
      <c r="E3133" s="73"/>
      <c r="F3133" s="73"/>
      <c r="G3133" s="74"/>
      <c r="H3133" s="153"/>
      <c r="I3133" s="72"/>
      <c r="K3133" s="658"/>
    </row>
    <row r="3134" spans="1:15" customFormat="1" x14ac:dyDescent="0.25">
      <c r="A3134" s="661"/>
      <c r="B3134" s="73"/>
      <c r="C3134" s="73" t="s">
        <v>8226</v>
      </c>
      <c r="D3134" s="73"/>
      <c r="E3134" s="73"/>
      <c r="F3134" s="73"/>
      <c r="G3134" s="74" t="s">
        <v>3</v>
      </c>
      <c r="H3134" s="153">
        <v>0.17</v>
      </c>
      <c r="I3134" s="72"/>
      <c r="J3134" t="s">
        <v>8225</v>
      </c>
      <c r="K3134" s="658"/>
    </row>
    <row r="3135" spans="1:15" customFormat="1" x14ac:dyDescent="0.25">
      <c r="A3135" s="661"/>
      <c r="B3135" s="73"/>
      <c r="C3135" s="77"/>
      <c r="D3135" s="77"/>
      <c r="E3135" s="77"/>
      <c r="F3135" s="77"/>
      <c r="G3135" s="74"/>
      <c r="H3135" s="153"/>
      <c r="I3135" s="72"/>
      <c r="K3135" s="671"/>
      <c r="L3135" s="73"/>
      <c r="M3135" s="73"/>
      <c r="N3135" s="74"/>
      <c r="O3135" s="153"/>
    </row>
    <row r="3136" spans="1:15" customFormat="1" x14ac:dyDescent="0.25">
      <c r="A3136" s="678"/>
      <c r="B3136" s="75" t="s">
        <v>8224</v>
      </c>
      <c r="C3136" s="73"/>
      <c r="D3136" s="73"/>
      <c r="E3136" s="73"/>
      <c r="F3136" s="73"/>
      <c r="G3136" s="74"/>
      <c r="H3136" s="153"/>
      <c r="I3136" s="72"/>
      <c r="K3136" s="658"/>
    </row>
    <row r="3137" spans="1:11" customFormat="1" x14ac:dyDescent="0.25">
      <c r="A3137" s="661"/>
      <c r="B3137" s="77" t="s">
        <v>39</v>
      </c>
      <c r="C3137" s="73"/>
      <c r="D3137" s="73"/>
      <c r="E3137" s="73"/>
      <c r="F3137" s="73"/>
      <c r="G3137" s="74" t="s">
        <v>3</v>
      </c>
      <c r="H3137" s="153">
        <v>0.5</v>
      </c>
      <c r="I3137" s="72"/>
      <c r="K3137" s="658"/>
    </row>
    <row r="3138" spans="1:11" customFormat="1" ht="17.25" x14ac:dyDescent="0.25">
      <c r="A3138" s="661"/>
      <c r="B3138" s="73" t="s">
        <v>1055</v>
      </c>
      <c r="C3138" s="73"/>
      <c r="D3138" s="73"/>
      <c r="E3138" s="73"/>
      <c r="F3138" s="73"/>
      <c r="G3138" s="74" t="s">
        <v>596</v>
      </c>
      <c r="H3138" s="153">
        <f>H3137</f>
        <v>0.5</v>
      </c>
      <c r="I3138" s="72"/>
      <c r="K3138" s="658"/>
    </row>
    <row r="3139" spans="1:11" customFormat="1" x14ac:dyDescent="0.25">
      <c r="A3139" s="661"/>
      <c r="B3139" s="73" t="s">
        <v>14</v>
      </c>
      <c r="C3139" s="73"/>
      <c r="D3139" s="73"/>
      <c r="E3139" s="73"/>
      <c r="F3139" s="73"/>
      <c r="G3139" s="74" t="s">
        <v>3</v>
      </c>
      <c r="H3139" s="153">
        <v>0.25</v>
      </c>
      <c r="I3139" s="72"/>
      <c r="K3139" s="658"/>
    </row>
    <row r="3140" spans="1:11" customFormat="1" x14ac:dyDescent="0.25">
      <c r="A3140" s="661"/>
      <c r="B3140" s="73" t="s">
        <v>12</v>
      </c>
      <c r="C3140" s="73"/>
      <c r="D3140" s="73"/>
      <c r="E3140" s="73"/>
      <c r="F3140" s="73"/>
      <c r="G3140" s="74" t="s">
        <v>3</v>
      </c>
      <c r="H3140" s="153">
        <f>0.5*H3139</f>
        <v>0.125</v>
      </c>
      <c r="I3140" s="72"/>
      <c r="K3140" s="658"/>
    </row>
    <row r="3141" spans="1:11" customFormat="1" x14ac:dyDescent="0.25">
      <c r="A3141" s="661"/>
      <c r="B3141" s="73" t="s">
        <v>72</v>
      </c>
      <c r="C3141" s="73"/>
      <c r="D3141" s="73"/>
      <c r="E3141" s="73"/>
      <c r="F3141" s="73"/>
      <c r="G3141" s="74" t="s">
        <v>3</v>
      </c>
      <c r="H3141" s="153">
        <v>0.3</v>
      </c>
      <c r="I3141" s="72"/>
      <c r="K3141" s="658"/>
    </row>
    <row r="3142" spans="1:11" customFormat="1" x14ac:dyDescent="0.25">
      <c r="A3142" s="661"/>
      <c r="B3142" s="73" t="s">
        <v>444</v>
      </c>
      <c r="C3142" s="73"/>
      <c r="D3142" s="73"/>
      <c r="E3142" s="73"/>
      <c r="F3142" s="73"/>
      <c r="G3142" s="74" t="s">
        <v>3</v>
      </c>
      <c r="H3142" s="153">
        <f>0.3*H3141</f>
        <v>0.09</v>
      </c>
      <c r="I3142" s="72"/>
      <c r="K3142" s="658"/>
    </row>
    <row r="3143" spans="1:11" customFormat="1" x14ac:dyDescent="0.25">
      <c r="A3143" s="661"/>
      <c r="B3143" s="73" t="s">
        <v>13</v>
      </c>
      <c r="C3143" s="73"/>
      <c r="D3143" s="73"/>
      <c r="E3143" s="73"/>
      <c r="F3143" s="73"/>
      <c r="G3143" s="74" t="s">
        <v>3</v>
      </c>
      <c r="H3143" s="153">
        <v>0.2</v>
      </c>
      <c r="I3143" s="72"/>
      <c r="K3143" s="658"/>
    </row>
    <row r="3144" spans="1:11" customFormat="1" x14ac:dyDescent="0.25">
      <c r="A3144" s="661"/>
      <c r="B3144" s="73"/>
      <c r="C3144" s="75" t="s">
        <v>8223</v>
      </c>
      <c r="D3144" s="73"/>
      <c r="E3144" s="73"/>
      <c r="F3144" s="73"/>
      <c r="G3144" s="74"/>
      <c r="H3144" s="153"/>
      <c r="I3144" s="72"/>
      <c r="K3144" s="658"/>
    </row>
    <row r="3145" spans="1:11" customFormat="1" x14ac:dyDescent="0.25">
      <c r="A3145" s="661"/>
      <c r="B3145" s="73"/>
      <c r="C3145" s="73" t="s">
        <v>2313</v>
      </c>
      <c r="D3145" s="73"/>
      <c r="E3145" s="73"/>
      <c r="F3145" s="73"/>
      <c r="G3145" s="74" t="s">
        <v>3</v>
      </c>
      <c r="H3145" s="153">
        <f>0.83*0.025*5*8*1.15</f>
        <v>0.95450000000000002</v>
      </c>
      <c r="I3145" s="72"/>
      <c r="K3145" s="658"/>
    </row>
    <row r="3146" spans="1:11" customFormat="1" x14ac:dyDescent="0.25">
      <c r="A3146" s="661"/>
      <c r="B3146" s="73"/>
      <c r="C3146" s="75" t="s">
        <v>8222</v>
      </c>
      <c r="D3146" s="73"/>
      <c r="E3146" s="73"/>
      <c r="F3146" s="73"/>
      <c r="G3146" s="74"/>
      <c r="H3146" s="153"/>
      <c r="I3146" s="72"/>
      <c r="K3146" s="658"/>
    </row>
    <row r="3147" spans="1:11" customFormat="1" x14ac:dyDescent="0.25">
      <c r="A3147" s="661"/>
      <c r="B3147" s="73"/>
      <c r="C3147" s="73" t="s">
        <v>2313</v>
      </c>
      <c r="D3147" s="73"/>
      <c r="E3147" s="73"/>
      <c r="F3147" s="73"/>
      <c r="G3147" s="74" t="s">
        <v>3</v>
      </c>
      <c r="H3147" s="153">
        <f>1.065*0.025*5*8*1.127</f>
        <v>1.2002549999999998</v>
      </c>
      <c r="I3147" s="72"/>
      <c r="K3147" s="658"/>
    </row>
    <row r="3148" spans="1:11" customFormat="1" x14ac:dyDescent="0.25">
      <c r="A3148" s="661"/>
      <c r="B3148" s="73"/>
      <c r="C3148" s="75" t="s">
        <v>8221</v>
      </c>
      <c r="D3148" s="73"/>
      <c r="E3148" s="73"/>
      <c r="F3148" s="73"/>
      <c r="G3148" s="74"/>
      <c r="H3148" s="153"/>
      <c r="I3148" s="72"/>
      <c r="K3148" s="658"/>
    </row>
    <row r="3149" spans="1:11" customFormat="1" x14ac:dyDescent="0.25">
      <c r="A3149" s="661"/>
      <c r="B3149" s="73"/>
      <c r="C3149" s="73" t="s">
        <v>2313</v>
      </c>
      <c r="D3149" s="73"/>
      <c r="E3149" s="73"/>
      <c r="F3149" s="73"/>
      <c r="G3149" s="74" t="s">
        <v>3</v>
      </c>
      <c r="H3149" s="153">
        <f>0.15*0.025*5*8*1.135</f>
        <v>0.17024999999999998</v>
      </c>
      <c r="I3149" s="72"/>
      <c r="K3149" s="658"/>
    </row>
    <row r="3150" spans="1:11" customFormat="1" x14ac:dyDescent="0.25">
      <c r="A3150" s="661"/>
      <c r="B3150" s="73"/>
      <c r="C3150" s="75" t="s">
        <v>8220</v>
      </c>
      <c r="D3150" s="73"/>
      <c r="E3150" s="73"/>
      <c r="F3150" s="73"/>
      <c r="G3150" s="74"/>
      <c r="H3150" s="153"/>
      <c r="I3150" s="72"/>
      <c r="K3150" s="658"/>
    </row>
    <row r="3151" spans="1:11" customFormat="1" x14ac:dyDescent="0.25">
      <c r="A3151" s="661"/>
      <c r="B3151" s="73"/>
      <c r="C3151" s="100" t="s">
        <v>5771</v>
      </c>
      <c r="D3151" s="73"/>
      <c r="E3151" s="73"/>
      <c r="F3151" s="73"/>
      <c r="G3151" s="74" t="s">
        <v>3</v>
      </c>
      <c r="H3151" s="153">
        <f>(0.42*0.73+0.37*0.5+0.56*0.46)*2*8*1.15</f>
        <v>13.78528</v>
      </c>
      <c r="I3151" s="72"/>
      <c r="K3151" s="658"/>
    </row>
    <row r="3152" spans="1:11" customFormat="1" x14ac:dyDescent="0.25">
      <c r="A3152" s="661"/>
      <c r="B3152" s="73"/>
      <c r="C3152" s="77" t="s">
        <v>39</v>
      </c>
      <c r="D3152" s="73"/>
      <c r="E3152" s="73"/>
      <c r="F3152" s="73"/>
      <c r="G3152" s="74" t="s">
        <v>3</v>
      </c>
      <c r="H3152" s="153">
        <f>1*0.08*1.25</f>
        <v>0.1</v>
      </c>
      <c r="I3152" s="72"/>
      <c r="K3152" s="658"/>
    </row>
    <row r="3153" spans="1:15" customFormat="1" ht="17.25" x14ac:dyDescent="0.25">
      <c r="A3153" s="661"/>
      <c r="B3153" s="73"/>
      <c r="C3153" s="73" t="s">
        <v>1055</v>
      </c>
      <c r="D3153" s="73"/>
      <c r="E3153" s="73"/>
      <c r="F3153" s="73"/>
      <c r="G3153" s="74" t="s">
        <v>596</v>
      </c>
      <c r="H3153" s="153">
        <f>H3152</f>
        <v>0.1</v>
      </c>
      <c r="I3153" s="72"/>
      <c r="K3153" s="658"/>
    </row>
    <row r="3154" spans="1:15" customFormat="1" x14ac:dyDescent="0.25">
      <c r="A3154" s="661"/>
      <c r="B3154" s="73"/>
      <c r="C3154" s="75" t="s">
        <v>8219</v>
      </c>
      <c r="D3154" s="73"/>
      <c r="E3154" s="73"/>
      <c r="F3154" s="73"/>
      <c r="G3154" s="74"/>
      <c r="H3154" s="153"/>
      <c r="I3154" s="72"/>
      <c r="K3154" s="658"/>
    </row>
    <row r="3155" spans="1:15" customFormat="1" x14ac:dyDescent="0.25">
      <c r="A3155" s="661"/>
      <c r="B3155" s="73"/>
      <c r="C3155" s="73" t="s">
        <v>8218</v>
      </c>
      <c r="D3155" s="73"/>
      <c r="E3155" s="73"/>
      <c r="F3155" s="73"/>
      <c r="G3155" s="74" t="s">
        <v>3</v>
      </c>
      <c r="H3155" s="153">
        <v>2.5000000000000001E-2</v>
      </c>
      <c r="I3155" s="72"/>
      <c r="K3155" s="658"/>
    </row>
    <row r="3156" spans="1:15" customFormat="1" x14ac:dyDescent="0.25">
      <c r="A3156" s="661"/>
      <c r="B3156" s="73"/>
      <c r="C3156" s="75" t="s">
        <v>8217</v>
      </c>
      <c r="D3156" s="73"/>
      <c r="E3156" s="73"/>
      <c r="F3156" s="73"/>
      <c r="G3156" s="74"/>
      <c r="H3156" s="153"/>
      <c r="I3156" s="72"/>
      <c r="K3156" s="658"/>
    </row>
    <row r="3157" spans="1:15" customFormat="1" x14ac:dyDescent="0.25">
      <c r="A3157" s="661"/>
      <c r="B3157" s="73"/>
      <c r="C3157" s="73" t="s">
        <v>828</v>
      </c>
      <c r="D3157" s="73"/>
      <c r="E3157" s="73"/>
      <c r="F3157" s="73"/>
      <c r="G3157" s="74" t="s">
        <v>3</v>
      </c>
      <c r="H3157" s="153">
        <f>0.08*0.475*3*8*1.12</f>
        <v>1.0214399999999999</v>
      </c>
      <c r="I3157" s="72"/>
      <c r="K3157" s="658"/>
    </row>
    <row r="3158" spans="1:15" customFormat="1" x14ac:dyDescent="0.25">
      <c r="A3158" s="661"/>
      <c r="B3158" s="73"/>
      <c r="C3158" s="75" t="s">
        <v>8216</v>
      </c>
      <c r="D3158" s="73"/>
      <c r="E3158" s="73"/>
      <c r="F3158" s="73"/>
      <c r="G3158" s="74"/>
      <c r="H3158" s="153"/>
      <c r="I3158" s="72"/>
      <c r="K3158" s="658"/>
    </row>
    <row r="3159" spans="1:15" customFormat="1" x14ac:dyDescent="0.25">
      <c r="A3159" s="661"/>
      <c r="B3159" s="73"/>
      <c r="C3159" s="73" t="s">
        <v>6253</v>
      </c>
      <c r="D3159" s="73"/>
      <c r="E3159" s="73"/>
      <c r="F3159" s="73"/>
      <c r="G3159" s="74" t="s">
        <v>3</v>
      </c>
      <c r="H3159" s="153">
        <f>0.045*0.02*4*8*1.12</f>
        <v>3.2256E-2</v>
      </c>
      <c r="I3159" s="72"/>
      <c r="K3159" s="658"/>
    </row>
    <row r="3160" spans="1:15" customFormat="1" ht="15.75" thickBot="1" x14ac:dyDescent="0.3">
      <c r="A3160" s="660"/>
      <c r="B3160" s="68"/>
      <c r="C3160" s="170"/>
      <c r="D3160" s="170"/>
      <c r="E3160" s="170"/>
      <c r="F3160" s="170"/>
      <c r="G3160" s="82"/>
      <c r="H3160" s="89"/>
      <c r="I3160" s="83"/>
      <c r="K3160" s="671"/>
      <c r="L3160" s="73"/>
      <c r="M3160" s="73"/>
      <c r="N3160" s="74"/>
      <c r="O3160" s="153"/>
    </row>
    <row r="3161" spans="1:15" customFormat="1" x14ac:dyDescent="0.25">
      <c r="A3161" s="662"/>
      <c r="B3161" s="93"/>
      <c r="C3161" s="65"/>
      <c r="D3161" s="65"/>
      <c r="E3161" s="65"/>
      <c r="F3161" s="65"/>
      <c r="G3161" s="160"/>
      <c r="H3161" s="182" t="s">
        <v>8215</v>
      </c>
      <c r="I3161" s="176"/>
      <c r="K3161" s="671"/>
      <c r="L3161" s="73"/>
      <c r="M3161" s="73"/>
      <c r="N3161" s="74"/>
      <c r="O3161" s="153"/>
    </row>
    <row r="3162" spans="1:15" customFormat="1" ht="18.75" x14ac:dyDescent="0.3">
      <c r="A3162" s="661"/>
      <c r="B3162" s="73"/>
      <c r="C3162" s="73"/>
      <c r="D3162" s="77"/>
      <c r="E3162" s="202" t="s">
        <v>8214</v>
      </c>
      <c r="F3162" s="77"/>
      <c r="G3162" s="74"/>
      <c r="H3162" s="153"/>
      <c r="I3162" s="72"/>
      <c r="K3162" s="671"/>
      <c r="L3162" s="73"/>
      <c r="M3162" s="73"/>
      <c r="N3162" s="74"/>
      <c r="O3162" s="153"/>
    </row>
    <row r="3163" spans="1:15" customFormat="1" x14ac:dyDescent="0.25">
      <c r="A3163" s="661"/>
      <c r="B3163" s="73"/>
      <c r="C3163" s="77"/>
      <c r="D3163" s="77"/>
      <c r="E3163" s="77"/>
      <c r="F3163" s="77"/>
      <c r="G3163" s="74"/>
      <c r="H3163" s="153"/>
      <c r="I3163" s="72"/>
      <c r="K3163" s="671"/>
      <c r="L3163" s="73"/>
      <c r="M3163" s="73"/>
      <c r="N3163" s="74"/>
      <c r="O3163" s="153"/>
    </row>
    <row r="3164" spans="1:15" customFormat="1" x14ac:dyDescent="0.25">
      <c r="A3164" s="661"/>
      <c r="B3164" s="73"/>
      <c r="C3164" s="77"/>
      <c r="D3164" s="77"/>
      <c r="E3164" s="77"/>
      <c r="F3164" s="77"/>
      <c r="G3164" s="74"/>
      <c r="H3164" s="153"/>
      <c r="I3164" s="72"/>
      <c r="K3164" s="671"/>
      <c r="L3164" s="73"/>
      <c r="M3164" s="73"/>
      <c r="N3164" s="74"/>
      <c r="O3164" s="153"/>
    </row>
    <row r="3165" spans="1:15" customFormat="1" x14ac:dyDescent="0.25">
      <c r="A3165" s="661"/>
      <c r="B3165" s="75" t="s">
        <v>8213</v>
      </c>
      <c r="C3165" s="77"/>
      <c r="D3165" s="77"/>
      <c r="E3165" s="77"/>
      <c r="F3165" s="77"/>
      <c r="G3165" s="74"/>
      <c r="H3165" s="153"/>
      <c r="I3165" s="72"/>
      <c r="K3165" s="671"/>
      <c r="L3165" s="73"/>
      <c r="M3165" s="73"/>
      <c r="N3165" s="74"/>
      <c r="O3165" s="153"/>
    </row>
    <row r="3166" spans="1:15" customFormat="1" x14ac:dyDescent="0.25">
      <c r="A3166" s="661"/>
      <c r="B3166" s="73"/>
      <c r="C3166" s="77" t="s">
        <v>8212</v>
      </c>
      <c r="D3166" s="77"/>
      <c r="E3166" s="77"/>
      <c r="F3166" s="77"/>
      <c r="G3166" s="74" t="s">
        <v>3</v>
      </c>
      <c r="H3166" s="153">
        <f>0.08*0.08*1.5*8*1.04</f>
        <v>7.9872000000000012E-2</v>
      </c>
      <c r="I3166" s="72"/>
      <c r="K3166" s="671"/>
      <c r="L3166" s="73"/>
      <c r="M3166" s="73"/>
      <c r="N3166" s="74"/>
      <c r="O3166" s="153"/>
    </row>
    <row r="3167" spans="1:15" customFormat="1" x14ac:dyDescent="0.25">
      <c r="A3167" s="661"/>
      <c r="B3167" s="73"/>
      <c r="C3167" s="77"/>
      <c r="D3167" s="77"/>
      <c r="E3167" s="77"/>
      <c r="F3167" s="77"/>
      <c r="G3167" s="74"/>
      <c r="H3167" s="153"/>
      <c r="I3167" s="72"/>
      <c r="K3167" s="671"/>
      <c r="L3167" s="73"/>
      <c r="M3167" s="73"/>
      <c r="N3167" s="74"/>
      <c r="O3167" s="153"/>
    </row>
    <row r="3168" spans="1:15" customFormat="1" x14ac:dyDescent="0.25">
      <c r="A3168" s="661"/>
      <c r="B3168" s="75" t="s">
        <v>8211</v>
      </c>
      <c r="C3168" s="77"/>
      <c r="D3168" s="77"/>
      <c r="E3168" s="77"/>
      <c r="F3168" s="77"/>
      <c r="G3168" s="74"/>
      <c r="H3168" s="153"/>
      <c r="I3168" s="72"/>
      <c r="K3168" s="671"/>
      <c r="L3168" s="73"/>
      <c r="M3168" s="73"/>
      <c r="N3168" s="74"/>
      <c r="O3168" s="153"/>
    </row>
    <row r="3169" spans="1:15" customFormat="1" x14ac:dyDescent="0.25">
      <c r="A3169" s="661"/>
      <c r="B3169" s="73"/>
      <c r="C3169" s="77" t="s">
        <v>8210</v>
      </c>
      <c r="D3169" s="77"/>
      <c r="E3169" s="77"/>
      <c r="F3169" s="77"/>
      <c r="G3169" s="74" t="s">
        <v>3</v>
      </c>
      <c r="H3169" s="153">
        <f>0.07*0.07*4*8*1.05</f>
        <v>0.16464000000000004</v>
      </c>
      <c r="I3169" s="72"/>
      <c r="K3169" s="671"/>
      <c r="L3169" s="73"/>
      <c r="M3169" s="73"/>
      <c r="N3169" s="74"/>
      <c r="O3169" s="153"/>
    </row>
    <row r="3170" spans="1:15" customFormat="1" ht="15.75" thickBot="1" x14ac:dyDescent="0.3">
      <c r="A3170" s="660"/>
      <c r="B3170" s="68"/>
      <c r="C3170" s="170"/>
      <c r="D3170" s="170"/>
      <c r="E3170" s="170"/>
      <c r="F3170" s="170"/>
      <c r="G3170" s="82"/>
      <c r="H3170" s="89"/>
      <c r="I3170" s="83"/>
      <c r="K3170" s="671"/>
      <c r="L3170" s="73"/>
      <c r="M3170" s="73"/>
      <c r="N3170" s="74"/>
      <c r="O3170" s="153"/>
    </row>
    <row r="3171" spans="1:15" customFormat="1" x14ac:dyDescent="0.25">
      <c r="A3171" s="662"/>
      <c r="B3171" s="93"/>
      <c r="C3171" s="65"/>
      <c r="D3171" s="65"/>
      <c r="E3171" s="65"/>
      <c r="F3171" s="65"/>
      <c r="G3171" s="160"/>
      <c r="H3171" s="161"/>
      <c r="I3171" s="90"/>
      <c r="K3171" s="671"/>
      <c r="L3171" s="73"/>
      <c r="M3171" s="73"/>
      <c r="N3171" s="74"/>
      <c r="O3171" s="153"/>
    </row>
    <row r="3172" spans="1:15" customFormat="1" x14ac:dyDescent="0.25">
      <c r="A3172" s="661"/>
      <c r="B3172" s="75" t="s">
        <v>1301</v>
      </c>
      <c r="C3172" s="77"/>
      <c r="D3172" s="77"/>
      <c r="E3172" s="77"/>
      <c r="F3172" s="77"/>
      <c r="G3172" s="74"/>
      <c r="H3172" s="153"/>
      <c r="I3172" s="72"/>
      <c r="K3172" s="671"/>
      <c r="L3172" s="73"/>
      <c r="M3172" s="73"/>
      <c r="N3172" s="74"/>
      <c r="O3172" s="153"/>
    </row>
    <row r="3173" spans="1:15" customFormat="1" x14ac:dyDescent="0.25">
      <c r="A3173" s="661"/>
      <c r="B3173" s="73"/>
      <c r="C3173" s="75" t="s">
        <v>1302</v>
      </c>
      <c r="D3173" s="77"/>
      <c r="E3173" s="77"/>
      <c r="F3173" s="77"/>
      <c r="G3173" s="74"/>
      <c r="H3173" s="153"/>
      <c r="I3173" s="72"/>
      <c r="K3173" s="671"/>
      <c r="L3173" s="73"/>
      <c r="M3173" s="73"/>
      <c r="N3173" s="74"/>
      <c r="O3173" s="153"/>
    </row>
    <row r="3174" spans="1:15" customFormat="1" x14ac:dyDescent="0.25">
      <c r="A3174" s="661"/>
      <c r="B3174" s="73"/>
      <c r="C3174" s="77" t="s">
        <v>8209</v>
      </c>
      <c r="D3174" s="77"/>
      <c r="E3174" s="77"/>
      <c r="F3174" s="77"/>
      <c r="G3174" s="74" t="s">
        <v>3</v>
      </c>
      <c r="H3174" s="153">
        <v>0.03</v>
      </c>
      <c r="I3174" s="72"/>
      <c r="K3174" s="671"/>
      <c r="L3174" s="73"/>
      <c r="M3174" s="73"/>
      <c r="N3174" s="74"/>
      <c r="O3174" s="153"/>
    </row>
    <row r="3175" spans="1:15" customFormat="1" x14ac:dyDescent="0.25">
      <c r="A3175" s="661"/>
      <c r="B3175" s="73"/>
      <c r="C3175" s="75" t="s">
        <v>1303</v>
      </c>
      <c r="D3175" s="77"/>
      <c r="E3175" s="77"/>
      <c r="F3175" s="77"/>
      <c r="G3175" s="74"/>
      <c r="H3175" s="153"/>
      <c r="I3175" s="72"/>
      <c r="K3175" s="671"/>
      <c r="L3175" s="73"/>
      <c r="M3175" s="73"/>
      <c r="N3175" s="74"/>
      <c r="O3175" s="153"/>
    </row>
    <row r="3176" spans="1:15" customFormat="1" x14ac:dyDescent="0.25">
      <c r="A3176" s="661"/>
      <c r="B3176" s="73"/>
      <c r="C3176" s="77" t="s">
        <v>8208</v>
      </c>
      <c r="D3176" s="77"/>
      <c r="E3176" s="77"/>
      <c r="F3176" s="77"/>
      <c r="G3176" s="74" t="s">
        <v>3</v>
      </c>
      <c r="H3176" s="153">
        <v>0.08</v>
      </c>
      <c r="I3176" s="72"/>
      <c r="K3176" s="671"/>
      <c r="L3176" s="73"/>
      <c r="M3176" s="73"/>
      <c r="N3176" s="74"/>
      <c r="O3176" s="153"/>
    </row>
    <row r="3177" spans="1:15" customFormat="1" x14ac:dyDescent="0.25">
      <c r="A3177" s="661"/>
      <c r="B3177" s="73"/>
      <c r="C3177" s="77"/>
      <c r="D3177" s="77"/>
      <c r="E3177" s="77"/>
      <c r="F3177" s="77"/>
      <c r="G3177" s="74"/>
      <c r="H3177" s="153"/>
      <c r="I3177" s="72"/>
      <c r="K3177" s="671"/>
      <c r="L3177" s="73"/>
      <c r="M3177" s="73"/>
      <c r="N3177" s="74"/>
      <c r="O3177" s="153"/>
    </row>
    <row r="3178" spans="1:15" customFormat="1" x14ac:dyDescent="0.25">
      <c r="A3178" s="661"/>
      <c r="B3178" s="75" t="s">
        <v>8207</v>
      </c>
      <c r="C3178" s="77"/>
      <c r="D3178" s="77"/>
      <c r="E3178" s="77"/>
      <c r="F3178" s="77"/>
      <c r="G3178" s="74"/>
      <c r="H3178" s="153"/>
      <c r="I3178" s="72"/>
      <c r="K3178" s="671"/>
      <c r="L3178" s="73"/>
      <c r="M3178" s="73"/>
      <c r="N3178" s="74"/>
      <c r="O3178" s="153"/>
    </row>
    <row r="3179" spans="1:15" customFormat="1" x14ac:dyDescent="0.25">
      <c r="A3179" s="661"/>
      <c r="B3179" s="73" t="s">
        <v>6914</v>
      </c>
      <c r="C3179" s="77"/>
      <c r="D3179" s="77"/>
      <c r="E3179" s="77"/>
      <c r="F3179" s="77"/>
      <c r="G3179" s="74" t="s">
        <v>3</v>
      </c>
      <c r="H3179" s="153">
        <f>0.045*0.045*2*8.5*1.03</f>
        <v>3.5457749999999996E-2</v>
      </c>
      <c r="I3179" s="72"/>
      <c r="K3179" s="671"/>
      <c r="L3179" s="73"/>
      <c r="M3179" s="73"/>
      <c r="N3179" s="74"/>
      <c r="O3179" s="153"/>
    </row>
    <row r="3180" spans="1:15" customFormat="1" ht="15.75" thickBot="1" x14ac:dyDescent="0.3">
      <c r="A3180" s="660"/>
      <c r="B3180" s="68"/>
      <c r="C3180" s="170"/>
      <c r="D3180" s="170"/>
      <c r="E3180" s="170"/>
      <c r="F3180" s="170"/>
      <c r="G3180" s="82"/>
      <c r="H3180" s="89"/>
      <c r="I3180" s="83"/>
      <c r="K3180" s="671"/>
      <c r="L3180" s="73"/>
      <c r="M3180" s="73"/>
      <c r="N3180" s="74"/>
      <c r="O3180" s="153"/>
    </row>
    <row r="3181" spans="1:15" customFormat="1" x14ac:dyDescent="0.25">
      <c r="A3181" s="662"/>
      <c r="B3181" s="93"/>
      <c r="C3181" s="65"/>
      <c r="D3181" s="65"/>
      <c r="E3181" s="65" t="s">
        <v>8206</v>
      </c>
      <c r="F3181" s="65"/>
      <c r="G3181" s="160"/>
      <c r="H3181" s="182" t="s">
        <v>8205</v>
      </c>
      <c r="I3181" s="176"/>
      <c r="K3181" s="671"/>
      <c r="L3181" s="73"/>
      <c r="M3181" s="73"/>
      <c r="N3181" s="74"/>
      <c r="O3181" s="153"/>
    </row>
    <row r="3182" spans="1:15" customFormat="1" x14ac:dyDescent="0.25">
      <c r="A3182" s="661"/>
      <c r="B3182" s="73"/>
      <c r="C3182" s="77"/>
      <c r="D3182" s="77"/>
      <c r="E3182" s="77"/>
      <c r="F3182" s="77"/>
      <c r="G3182" s="74"/>
      <c r="H3182" s="153"/>
      <c r="I3182" s="72"/>
      <c r="K3182" s="671"/>
      <c r="L3182" s="73"/>
      <c r="M3182" s="73"/>
      <c r="N3182" s="74"/>
      <c r="O3182" s="153"/>
    </row>
    <row r="3183" spans="1:15" customFormat="1" x14ac:dyDescent="0.25">
      <c r="A3183" s="661"/>
      <c r="B3183" s="78" t="s">
        <v>8204</v>
      </c>
      <c r="C3183" s="77"/>
      <c r="D3183" s="77"/>
      <c r="E3183" s="77"/>
      <c r="F3183" s="77"/>
      <c r="G3183" s="74"/>
      <c r="H3183" s="153"/>
      <c r="I3183" s="72"/>
      <c r="K3183" s="671"/>
      <c r="L3183" s="73"/>
      <c r="M3183" s="73"/>
      <c r="N3183" s="74"/>
      <c r="O3183" s="153"/>
    </row>
    <row r="3184" spans="1:15" customFormat="1" x14ac:dyDescent="0.25">
      <c r="A3184" s="661"/>
      <c r="B3184" s="77"/>
      <c r="C3184" s="77" t="s">
        <v>8203</v>
      </c>
      <c r="D3184" s="77"/>
      <c r="E3184" s="77"/>
      <c r="F3184" s="77"/>
      <c r="G3184" s="74" t="s">
        <v>3</v>
      </c>
      <c r="H3184" s="153">
        <v>2.5000000000000001E-2</v>
      </c>
      <c r="I3184" s="72"/>
      <c r="K3184" s="671"/>
      <c r="L3184" s="73"/>
      <c r="M3184" s="73"/>
      <c r="N3184" s="74"/>
      <c r="O3184" s="153"/>
    </row>
    <row r="3185" spans="1:15" customFormat="1" x14ac:dyDescent="0.25">
      <c r="A3185" s="661"/>
      <c r="B3185" s="77"/>
      <c r="C3185" s="77"/>
      <c r="D3185" s="77"/>
      <c r="E3185" s="77"/>
      <c r="F3185" s="77"/>
      <c r="G3185" s="74"/>
      <c r="H3185" s="153"/>
      <c r="I3185" s="72"/>
      <c r="K3185" s="671"/>
      <c r="L3185" s="73"/>
      <c r="M3185" s="73"/>
      <c r="N3185" s="74"/>
      <c r="O3185" s="153"/>
    </row>
    <row r="3186" spans="1:15" customFormat="1" x14ac:dyDescent="0.25">
      <c r="A3186" s="661"/>
      <c r="B3186" s="78" t="s">
        <v>8202</v>
      </c>
      <c r="C3186" s="77"/>
      <c r="D3186" s="77"/>
      <c r="E3186" s="77"/>
      <c r="F3186" s="77"/>
      <c r="G3186" s="74"/>
      <c r="H3186" s="153"/>
      <c r="I3186" s="72"/>
      <c r="K3186" s="671"/>
      <c r="L3186" s="73"/>
      <c r="M3186" s="73"/>
      <c r="N3186" s="74"/>
      <c r="O3186" s="153"/>
    </row>
    <row r="3187" spans="1:15" customFormat="1" x14ac:dyDescent="0.25">
      <c r="A3187" s="661"/>
      <c r="B3187" s="77"/>
      <c r="C3187" s="77" t="s">
        <v>8201</v>
      </c>
      <c r="D3187" s="77"/>
      <c r="E3187" s="77"/>
      <c r="F3187" s="77"/>
      <c r="G3187" s="74" t="s">
        <v>3</v>
      </c>
      <c r="H3187" s="153">
        <f>0.025*1.063</f>
        <v>2.6575000000000001E-2</v>
      </c>
      <c r="I3187" s="72"/>
      <c r="K3187" s="671"/>
      <c r="L3187" s="73"/>
      <c r="M3187" s="73"/>
      <c r="N3187" s="74"/>
      <c r="O3187" s="153"/>
    </row>
    <row r="3188" spans="1:15" customFormat="1" x14ac:dyDescent="0.25">
      <c r="A3188" s="661"/>
      <c r="B3188" s="77"/>
      <c r="C3188" s="77"/>
      <c r="D3188" s="77"/>
      <c r="E3188" s="77"/>
      <c r="F3188" s="77"/>
      <c r="G3188" s="74"/>
      <c r="H3188" s="153"/>
      <c r="I3188" s="72"/>
      <c r="K3188" s="671"/>
      <c r="L3188" s="73"/>
      <c r="M3188" s="73"/>
      <c r="N3188" s="74"/>
      <c r="O3188" s="153"/>
    </row>
    <row r="3189" spans="1:15" customFormat="1" x14ac:dyDescent="0.25">
      <c r="A3189" s="661"/>
      <c r="B3189" s="78" t="s">
        <v>8200</v>
      </c>
      <c r="C3189" s="77"/>
      <c r="D3189" s="77"/>
      <c r="E3189" s="77"/>
      <c r="F3189" s="77"/>
      <c r="G3189" s="74"/>
      <c r="H3189" s="153"/>
      <c r="I3189" s="72"/>
      <c r="K3189" s="671"/>
      <c r="L3189" s="73"/>
      <c r="M3189" s="73"/>
      <c r="N3189" s="74"/>
      <c r="O3189" s="153"/>
    </row>
    <row r="3190" spans="1:15" customFormat="1" x14ac:dyDescent="0.25">
      <c r="A3190" s="661"/>
      <c r="B3190" s="77"/>
      <c r="C3190" s="77" t="s">
        <v>8194</v>
      </c>
      <c r="D3190" s="77"/>
      <c r="E3190" s="77"/>
      <c r="F3190" s="77"/>
      <c r="G3190" s="74" t="s">
        <v>3</v>
      </c>
      <c r="H3190" s="153">
        <f>0.025/2</f>
        <v>1.2500000000000001E-2</v>
      </c>
      <c r="I3190" s="72"/>
      <c r="K3190" s="671"/>
      <c r="L3190" s="73"/>
      <c r="M3190" s="73"/>
      <c r="N3190" s="74"/>
      <c r="O3190" s="153"/>
    </row>
    <row r="3191" spans="1:15" customFormat="1" x14ac:dyDescent="0.25">
      <c r="A3191" s="661"/>
      <c r="B3191" s="77"/>
      <c r="C3191" s="77"/>
      <c r="D3191" s="77"/>
      <c r="E3191" s="77"/>
      <c r="F3191" s="77"/>
      <c r="G3191" s="74"/>
      <c r="H3191" s="153"/>
      <c r="I3191" s="72"/>
      <c r="K3191" s="671"/>
      <c r="L3191" s="73"/>
      <c r="M3191" s="73"/>
      <c r="N3191" s="74"/>
      <c r="O3191" s="153"/>
    </row>
    <row r="3192" spans="1:15" customFormat="1" x14ac:dyDescent="0.25">
      <c r="A3192" s="661"/>
      <c r="B3192" s="78" t="s">
        <v>8199</v>
      </c>
      <c r="C3192" s="77"/>
      <c r="D3192" s="77"/>
      <c r="E3192" s="77"/>
      <c r="F3192" s="77"/>
      <c r="G3192" s="74"/>
      <c r="H3192" s="153"/>
      <c r="I3192" s="72"/>
      <c r="K3192" s="671"/>
      <c r="L3192" s="73"/>
      <c r="M3192" s="73"/>
      <c r="N3192" s="74"/>
      <c r="O3192" s="153"/>
    </row>
    <row r="3193" spans="1:15" customFormat="1" x14ac:dyDescent="0.25">
      <c r="A3193" s="661"/>
      <c r="B3193" s="77"/>
      <c r="C3193" s="73" t="s">
        <v>8198</v>
      </c>
      <c r="D3193" s="77"/>
      <c r="E3193" s="77"/>
      <c r="F3193" s="77"/>
      <c r="G3193" s="74" t="s">
        <v>3</v>
      </c>
      <c r="H3193" s="153">
        <v>5.0000000000000001E-4</v>
      </c>
      <c r="I3193" s="72"/>
      <c r="K3193" s="671"/>
      <c r="L3193" s="73"/>
      <c r="M3193" s="73"/>
      <c r="N3193" s="74"/>
      <c r="O3193" s="153"/>
    </row>
    <row r="3194" spans="1:15" customFormat="1" x14ac:dyDescent="0.25">
      <c r="A3194" s="661"/>
      <c r="B3194" s="77"/>
      <c r="C3194" s="77"/>
      <c r="D3194" s="77"/>
      <c r="E3194" s="77"/>
      <c r="F3194" s="77"/>
      <c r="G3194" s="74"/>
      <c r="H3194" s="153"/>
      <c r="I3194" s="72"/>
      <c r="K3194" s="671"/>
      <c r="L3194" s="73"/>
      <c r="M3194" s="73"/>
      <c r="N3194" s="74"/>
      <c r="O3194" s="153"/>
    </row>
    <row r="3195" spans="1:15" customFormat="1" x14ac:dyDescent="0.25">
      <c r="A3195" s="661"/>
      <c r="B3195" s="78" t="s">
        <v>8197</v>
      </c>
      <c r="C3195" s="77"/>
      <c r="D3195" s="77"/>
      <c r="E3195" s="77"/>
      <c r="F3195" s="77"/>
      <c r="G3195" s="74"/>
      <c r="H3195" s="153"/>
      <c r="I3195" s="72"/>
      <c r="K3195" s="671"/>
      <c r="L3195" s="73"/>
      <c r="M3195" s="73"/>
      <c r="N3195" s="74"/>
      <c r="O3195" s="153"/>
    </row>
    <row r="3196" spans="1:15" customFormat="1" x14ac:dyDescent="0.25">
      <c r="A3196" s="661"/>
      <c r="B3196" s="77"/>
      <c r="C3196" s="77" t="s">
        <v>8196</v>
      </c>
      <c r="D3196" s="77"/>
      <c r="E3196" s="77"/>
      <c r="F3196" s="77"/>
      <c r="G3196" s="74" t="s">
        <v>3</v>
      </c>
      <c r="H3196" s="153">
        <v>3.1E-2</v>
      </c>
      <c r="I3196" s="72"/>
      <c r="K3196" s="671"/>
      <c r="L3196" s="73"/>
      <c r="M3196" s="73"/>
      <c r="N3196" s="74"/>
      <c r="O3196" s="153"/>
    </row>
    <row r="3197" spans="1:15" customFormat="1" x14ac:dyDescent="0.25">
      <c r="A3197" s="661"/>
      <c r="B3197" s="77"/>
      <c r="C3197" s="77"/>
      <c r="D3197" s="77"/>
      <c r="E3197" s="77"/>
      <c r="F3197" s="77"/>
      <c r="G3197" s="74"/>
      <c r="H3197" s="153"/>
      <c r="I3197" s="72"/>
      <c r="K3197" s="671"/>
      <c r="L3197" s="73"/>
      <c r="M3197" s="73"/>
      <c r="N3197" s="74"/>
      <c r="O3197" s="153"/>
    </row>
    <row r="3198" spans="1:15" customFormat="1" x14ac:dyDescent="0.25">
      <c r="A3198" s="661"/>
      <c r="B3198" s="78" t="s">
        <v>8195</v>
      </c>
      <c r="C3198" s="77"/>
      <c r="D3198" s="77"/>
      <c r="E3198" s="77"/>
      <c r="F3198" s="77"/>
      <c r="G3198" s="74"/>
      <c r="H3198" s="153"/>
      <c r="I3198" s="72"/>
      <c r="K3198" s="671"/>
      <c r="L3198" s="73"/>
      <c r="M3198" s="73"/>
      <c r="N3198" s="74"/>
      <c r="O3198" s="153"/>
    </row>
    <row r="3199" spans="1:15" customFormat="1" x14ac:dyDescent="0.25">
      <c r="A3199" s="661"/>
      <c r="B3199" s="77"/>
      <c r="C3199" s="77" t="s">
        <v>8194</v>
      </c>
      <c r="D3199" s="77"/>
      <c r="E3199" s="77"/>
      <c r="F3199" s="77"/>
      <c r="G3199" s="74" t="s">
        <v>3</v>
      </c>
      <c r="H3199" s="153">
        <f>0.046*0.032*1*8*1.15</f>
        <v>1.35424E-2</v>
      </c>
      <c r="I3199" s="72"/>
      <c r="K3199" s="671"/>
      <c r="L3199" s="73"/>
      <c r="M3199" s="73"/>
      <c r="N3199" s="74"/>
      <c r="O3199" s="153"/>
    </row>
    <row r="3200" spans="1:15" customFormat="1" x14ac:dyDescent="0.25">
      <c r="A3200" s="661"/>
      <c r="B3200" s="77"/>
      <c r="C3200" s="77"/>
      <c r="D3200" s="77"/>
      <c r="E3200" s="77"/>
      <c r="F3200" s="77"/>
      <c r="G3200" s="74"/>
      <c r="H3200" s="153"/>
      <c r="I3200" s="72"/>
      <c r="K3200" s="671"/>
      <c r="L3200" s="73"/>
      <c r="M3200" s="73"/>
      <c r="N3200" s="74"/>
      <c r="O3200" s="153"/>
    </row>
    <row r="3201" spans="1:15" customFormat="1" x14ac:dyDescent="0.25">
      <c r="A3201" s="677"/>
      <c r="B3201" s="78" t="s">
        <v>8193</v>
      </c>
      <c r="C3201" s="77"/>
      <c r="D3201" s="77"/>
      <c r="E3201" s="77"/>
      <c r="F3201" s="77"/>
      <c r="G3201" s="74"/>
      <c r="H3201" s="153"/>
      <c r="I3201" s="72"/>
      <c r="J3201" t="s">
        <v>99</v>
      </c>
      <c r="K3201" s="676" t="s">
        <v>8192</v>
      </c>
      <c r="L3201" s="73"/>
      <c r="M3201" s="73"/>
      <c r="N3201" s="74"/>
      <c r="O3201" s="153"/>
    </row>
    <row r="3202" spans="1:15" customFormat="1" x14ac:dyDescent="0.25">
      <c r="A3202" s="661"/>
      <c r="B3202" s="77" t="s">
        <v>8191</v>
      </c>
      <c r="C3202" s="77"/>
      <c r="D3202" s="77"/>
      <c r="E3202" s="77"/>
      <c r="F3202" s="77"/>
      <c r="G3202" s="74" t="s">
        <v>3</v>
      </c>
      <c r="H3202" s="153">
        <f>0.006</f>
        <v>6.0000000000000001E-3</v>
      </c>
      <c r="I3202" s="72"/>
      <c r="K3202" s="671"/>
      <c r="L3202" s="73"/>
      <c r="M3202" s="73"/>
      <c r="N3202" s="74"/>
      <c r="O3202" s="153"/>
    </row>
    <row r="3203" spans="1:15" customFormat="1" x14ac:dyDescent="0.25">
      <c r="A3203" s="661"/>
      <c r="B3203" s="77" t="s">
        <v>115</v>
      </c>
      <c r="C3203" s="77"/>
      <c r="D3203" s="77"/>
      <c r="E3203" s="77"/>
      <c r="F3203" s="77"/>
      <c r="G3203" s="74" t="s">
        <v>3</v>
      </c>
      <c r="H3203" s="153">
        <f>0.15*0.05*2*0.15*2*1.3</f>
        <v>5.8500000000000002E-3</v>
      </c>
      <c r="I3203" s="72"/>
      <c r="K3203" s="671"/>
      <c r="L3203" s="73"/>
      <c r="M3203" s="73"/>
      <c r="N3203" s="74"/>
      <c r="O3203" s="153"/>
    </row>
    <row r="3204" spans="1:15" customFormat="1" x14ac:dyDescent="0.25">
      <c r="A3204" s="661"/>
      <c r="B3204" s="77" t="s">
        <v>12</v>
      </c>
      <c r="C3204" s="77"/>
      <c r="D3204" s="77"/>
      <c r="E3204" s="77"/>
      <c r="F3204" s="77"/>
      <c r="G3204" s="74" t="s">
        <v>3</v>
      </c>
      <c r="H3204" s="153">
        <f>0.3*(H3203+H3202)</f>
        <v>3.5549999999999996E-3</v>
      </c>
      <c r="I3204" s="72"/>
      <c r="K3204" s="671"/>
      <c r="L3204" s="73"/>
      <c r="M3204" s="73"/>
      <c r="N3204" s="74"/>
      <c r="O3204" s="153"/>
    </row>
    <row r="3205" spans="1:15" customFormat="1" x14ac:dyDescent="0.25">
      <c r="A3205" s="661"/>
      <c r="B3205" s="77"/>
      <c r="C3205" s="78" t="s">
        <v>8190</v>
      </c>
      <c r="D3205" s="77"/>
      <c r="E3205" s="77"/>
      <c r="F3205" s="77"/>
      <c r="G3205" s="74"/>
      <c r="H3205" s="153"/>
      <c r="I3205" s="72"/>
      <c r="K3205" s="671"/>
      <c r="L3205" s="73"/>
      <c r="M3205" s="73"/>
      <c r="N3205" s="74"/>
      <c r="O3205" s="153"/>
    </row>
    <row r="3206" spans="1:15" customFormat="1" x14ac:dyDescent="0.25">
      <c r="A3206" s="661"/>
      <c r="B3206" s="77"/>
      <c r="C3206" s="77" t="s">
        <v>415</v>
      </c>
      <c r="D3206" s="77"/>
      <c r="E3206" s="77"/>
      <c r="F3206" s="77"/>
      <c r="G3206" s="74" t="s">
        <v>3</v>
      </c>
      <c r="H3206" s="153">
        <f>0.265*0.035*1.5*8*1.17</f>
        <v>0.13022100000000003</v>
      </c>
      <c r="I3206" s="72"/>
      <c r="K3206" s="671"/>
      <c r="L3206" s="73"/>
      <c r="M3206" s="73"/>
      <c r="N3206" s="74"/>
      <c r="O3206" s="153"/>
    </row>
    <row r="3207" spans="1:15" customFormat="1" x14ac:dyDescent="0.25">
      <c r="A3207" s="661"/>
      <c r="B3207" s="77"/>
      <c r="C3207" s="73"/>
      <c r="D3207" s="77"/>
      <c r="E3207" s="77"/>
      <c r="F3207" s="77"/>
      <c r="G3207" s="74"/>
      <c r="H3207" s="153"/>
      <c r="I3207" s="72"/>
      <c r="K3207" s="671"/>
      <c r="L3207" s="73"/>
      <c r="M3207" s="73"/>
      <c r="N3207" s="74"/>
      <c r="O3207" s="153"/>
    </row>
    <row r="3208" spans="1:15" customFormat="1" x14ac:dyDescent="0.25">
      <c r="A3208" s="661"/>
      <c r="B3208" s="78" t="s">
        <v>8012</v>
      </c>
      <c r="C3208" s="73"/>
      <c r="D3208" s="73"/>
      <c r="E3208" s="73"/>
      <c r="F3208" s="73"/>
      <c r="G3208" s="74"/>
      <c r="H3208" s="153"/>
      <c r="I3208" s="72"/>
      <c r="J3208" s="73"/>
      <c r="K3208" s="658"/>
      <c r="N3208" s="85"/>
    </row>
    <row r="3209" spans="1:15" customFormat="1" x14ac:dyDescent="0.25">
      <c r="A3209" s="661"/>
      <c r="B3209" s="77" t="s">
        <v>1054</v>
      </c>
      <c r="C3209" s="73"/>
      <c r="D3209" s="73"/>
      <c r="E3209" s="73"/>
      <c r="F3209" s="73"/>
      <c r="G3209" s="74" t="s">
        <v>3</v>
      </c>
      <c r="H3209" s="153">
        <v>5.0000000000000001E-3</v>
      </c>
      <c r="I3209" s="72"/>
      <c r="J3209" s="73"/>
      <c r="K3209" s="658"/>
    </row>
    <row r="3210" spans="1:15" customFormat="1" ht="17.25" x14ac:dyDescent="0.25">
      <c r="A3210" s="661"/>
      <c r="B3210" s="77" t="s">
        <v>1055</v>
      </c>
      <c r="C3210" s="73"/>
      <c r="D3210" s="73"/>
      <c r="E3210" s="73"/>
      <c r="F3210" s="73"/>
      <c r="G3210" s="74" t="s">
        <v>596</v>
      </c>
      <c r="H3210" s="153">
        <f>H3209</f>
        <v>5.0000000000000001E-3</v>
      </c>
      <c r="I3210" s="72"/>
      <c r="J3210" s="73"/>
      <c r="K3210" s="658"/>
    </row>
    <row r="3211" spans="1:15" customFormat="1" x14ac:dyDescent="0.25">
      <c r="A3211" s="661"/>
      <c r="B3211" s="186" t="s">
        <v>163</v>
      </c>
      <c r="C3211" s="77"/>
      <c r="D3211" s="77"/>
      <c r="E3211" s="73"/>
      <c r="F3211" s="73"/>
      <c r="G3211" s="74" t="s">
        <v>3</v>
      </c>
      <c r="H3211" s="153">
        <f>0.515*0.515*2*0.18*1.31</f>
        <v>0.12508010999999999</v>
      </c>
      <c r="I3211" s="72"/>
      <c r="J3211" s="73"/>
      <c r="K3211" s="658"/>
    </row>
    <row r="3212" spans="1:15" customFormat="1" x14ac:dyDescent="0.25">
      <c r="A3212" s="661"/>
      <c r="B3212" s="186" t="s">
        <v>164</v>
      </c>
      <c r="C3212" s="77"/>
      <c r="D3212" s="77"/>
      <c r="E3212" s="73"/>
      <c r="F3212" s="73"/>
      <c r="G3212" s="74" t="s">
        <v>3</v>
      </c>
      <c r="H3212" s="153">
        <f>0.3*H3211</f>
        <v>3.7524032999999998E-2</v>
      </c>
      <c r="I3212" s="72"/>
      <c r="J3212" s="73"/>
      <c r="K3212" s="658"/>
    </row>
    <row r="3213" spans="1:15" customFormat="1" x14ac:dyDescent="0.25">
      <c r="A3213" s="661"/>
      <c r="B3213" s="186" t="s">
        <v>115</v>
      </c>
      <c r="C3213" s="77"/>
      <c r="D3213" s="77"/>
      <c r="E3213" s="73"/>
      <c r="F3213" s="73"/>
      <c r="G3213" s="74" t="s">
        <v>3</v>
      </c>
      <c r="H3213" s="153">
        <f>0.515*0.515*2*0.15*2*1.2-0.001</f>
        <v>0.18996199999999999</v>
      </c>
      <c r="I3213" s="72"/>
      <c r="J3213" s="73"/>
      <c r="K3213" s="658"/>
    </row>
    <row r="3214" spans="1:15" customFormat="1" x14ac:dyDescent="0.25">
      <c r="A3214" s="661"/>
      <c r="B3214" s="186" t="s">
        <v>12</v>
      </c>
      <c r="C3214" s="77"/>
      <c r="D3214" s="77"/>
      <c r="E3214" s="73"/>
      <c r="F3214" s="73"/>
      <c r="G3214" s="74" t="s">
        <v>3</v>
      </c>
      <c r="H3214" s="153">
        <f>0.3*H3213</f>
        <v>5.6988599999999993E-2</v>
      </c>
      <c r="I3214" s="72"/>
      <c r="J3214" s="73"/>
      <c r="K3214" s="658"/>
    </row>
    <row r="3215" spans="1:15" customFormat="1" x14ac:dyDescent="0.25">
      <c r="A3215" s="661"/>
      <c r="B3215" s="186" t="s">
        <v>8189</v>
      </c>
      <c r="C3215" s="77"/>
      <c r="D3215" s="77"/>
      <c r="E3215" s="73"/>
      <c r="F3215" s="73"/>
      <c r="G3215" s="74" t="s">
        <v>1516</v>
      </c>
      <c r="H3215" s="675">
        <v>4</v>
      </c>
      <c r="I3215" s="72"/>
      <c r="J3215" s="73"/>
      <c r="K3215" s="658"/>
    </row>
    <row r="3216" spans="1:15" customFormat="1" x14ac:dyDescent="0.25">
      <c r="A3216" s="661"/>
      <c r="B3216" s="77" t="s">
        <v>8188</v>
      </c>
      <c r="C3216" s="77"/>
      <c r="D3216" s="77"/>
      <c r="E3216" s="73"/>
      <c r="F3216" s="73"/>
      <c r="G3216" s="74" t="s">
        <v>1516</v>
      </c>
      <c r="H3216" s="675">
        <v>4</v>
      </c>
      <c r="I3216" s="72"/>
      <c r="J3216" s="73"/>
      <c r="K3216" s="658"/>
    </row>
    <row r="3217" spans="1:18" customFormat="1" x14ac:dyDescent="0.25">
      <c r="A3217" s="661"/>
      <c r="B3217" s="77" t="s">
        <v>8187</v>
      </c>
      <c r="C3217" s="77"/>
      <c r="D3217" s="77"/>
      <c r="E3217" s="73"/>
      <c r="F3217" s="73"/>
      <c r="G3217" s="74" t="s">
        <v>1516</v>
      </c>
      <c r="H3217" s="675">
        <v>34</v>
      </c>
      <c r="I3217" s="72"/>
      <c r="J3217" s="73"/>
      <c r="K3217" s="658"/>
    </row>
    <row r="3218" spans="1:18" customFormat="1" x14ac:dyDescent="0.25">
      <c r="A3218" s="661"/>
      <c r="B3218" s="77"/>
      <c r="C3218" s="75" t="s">
        <v>8010</v>
      </c>
      <c r="D3218" s="73"/>
      <c r="E3218" s="73"/>
      <c r="F3218" s="73"/>
      <c r="G3218" s="74"/>
      <c r="H3218" s="153"/>
      <c r="I3218" s="72"/>
      <c r="J3218" s="73"/>
      <c r="K3218" s="658"/>
    </row>
    <row r="3219" spans="1:18" customFormat="1" x14ac:dyDescent="0.25">
      <c r="A3219" s="661"/>
      <c r="B3219" s="77"/>
      <c r="C3219" s="77" t="s">
        <v>1054</v>
      </c>
      <c r="D3219" s="73"/>
      <c r="E3219" s="73"/>
      <c r="F3219" s="73"/>
      <c r="G3219" s="74" t="s">
        <v>3</v>
      </c>
      <c r="H3219" s="153">
        <f>0.06*0.07*1.2</f>
        <v>5.0400000000000002E-3</v>
      </c>
      <c r="I3219" s="72"/>
      <c r="J3219" s="73"/>
      <c r="K3219" s="658"/>
    </row>
    <row r="3220" spans="1:18" customFormat="1" ht="17.25" x14ac:dyDescent="0.25">
      <c r="A3220" s="661"/>
      <c r="B3220" s="77"/>
      <c r="C3220" s="77" t="s">
        <v>1055</v>
      </c>
      <c r="D3220" s="73"/>
      <c r="E3220" s="73"/>
      <c r="F3220" s="73"/>
      <c r="G3220" s="74" t="s">
        <v>596</v>
      </c>
      <c r="H3220" s="153">
        <f>H3219</f>
        <v>5.0400000000000002E-3</v>
      </c>
      <c r="I3220" s="72"/>
      <c r="J3220" s="73"/>
      <c r="K3220" s="658"/>
    </row>
    <row r="3221" spans="1:18" customFormat="1" x14ac:dyDescent="0.25">
      <c r="A3221" s="661"/>
      <c r="B3221" s="77"/>
      <c r="C3221" s="75"/>
      <c r="D3221" s="75" t="s">
        <v>8009</v>
      </c>
      <c r="E3221" s="73"/>
      <c r="F3221" s="73"/>
      <c r="G3221" s="74"/>
      <c r="H3221" s="153"/>
      <c r="I3221" s="72"/>
      <c r="J3221" s="73"/>
      <c r="K3221" s="658"/>
    </row>
    <row r="3222" spans="1:18" customFormat="1" x14ac:dyDescent="0.25">
      <c r="A3222" s="661"/>
      <c r="B3222" s="77"/>
      <c r="C3222" s="75"/>
      <c r="D3222" s="73" t="s">
        <v>8008</v>
      </c>
      <c r="E3222" s="73"/>
      <c r="F3222" s="73"/>
      <c r="G3222" s="74" t="s">
        <v>3</v>
      </c>
      <c r="H3222" s="153">
        <v>0.02</v>
      </c>
      <c r="I3222" s="72"/>
      <c r="J3222" s="73"/>
      <c r="K3222" s="658"/>
    </row>
    <row r="3223" spans="1:18" customFormat="1" x14ac:dyDescent="0.25">
      <c r="A3223" s="661"/>
      <c r="B3223" s="77"/>
      <c r="C3223" s="73"/>
      <c r="D3223" s="75" t="s">
        <v>8007</v>
      </c>
      <c r="E3223" s="73"/>
      <c r="F3223" s="73"/>
      <c r="G3223" s="74"/>
      <c r="H3223" s="153"/>
      <c r="I3223" s="72"/>
      <c r="J3223" s="73"/>
      <c r="K3223" s="658"/>
    </row>
    <row r="3224" spans="1:18" customFormat="1" x14ac:dyDescent="0.25">
      <c r="A3224" s="661"/>
      <c r="B3224" s="77"/>
      <c r="C3224" s="73"/>
      <c r="D3224" s="73" t="s">
        <v>275</v>
      </c>
      <c r="E3224" s="73"/>
      <c r="F3224" s="73"/>
      <c r="G3224" s="74" t="s">
        <v>3</v>
      </c>
      <c r="H3224" s="153">
        <f>0.106*0.03*1.5*8*1.1</f>
        <v>4.1975999999999999E-2</v>
      </c>
      <c r="I3224" s="72"/>
      <c r="J3224" s="99"/>
      <c r="K3224" s="658"/>
    </row>
    <row r="3225" spans="1:18" customFormat="1" x14ac:dyDescent="0.25">
      <c r="A3225" s="661"/>
      <c r="B3225" s="77"/>
      <c r="C3225" s="75" t="s">
        <v>8006</v>
      </c>
      <c r="D3225" s="73"/>
      <c r="E3225" s="73"/>
      <c r="F3225" s="73"/>
      <c r="G3225" s="74"/>
      <c r="H3225" s="153"/>
      <c r="I3225" s="72"/>
      <c r="J3225" s="73"/>
      <c r="K3225" s="658"/>
    </row>
    <row r="3226" spans="1:18" customFormat="1" x14ac:dyDescent="0.25">
      <c r="A3226" s="661"/>
      <c r="B3226" s="77"/>
      <c r="C3226" s="77" t="s">
        <v>1054</v>
      </c>
      <c r="D3226" s="73"/>
      <c r="E3226" s="73"/>
      <c r="F3226" s="73"/>
      <c r="G3226" s="74" t="s">
        <v>3</v>
      </c>
      <c r="H3226" s="153">
        <v>4.0000000000000001E-3</v>
      </c>
      <c r="I3226" s="72"/>
      <c r="J3226" s="73"/>
      <c r="K3226" s="658"/>
    </row>
    <row r="3227" spans="1:18" customFormat="1" ht="17.25" x14ac:dyDescent="0.25">
      <c r="A3227" s="661"/>
      <c r="B3227" s="77"/>
      <c r="C3227" s="77" t="s">
        <v>1055</v>
      </c>
      <c r="D3227" s="73"/>
      <c r="E3227" s="73"/>
      <c r="F3227" s="73"/>
      <c r="G3227" s="74" t="s">
        <v>596</v>
      </c>
      <c r="H3227" s="153">
        <f>H3226</f>
        <v>4.0000000000000001E-3</v>
      </c>
      <c r="I3227" s="72"/>
      <c r="J3227" s="73"/>
      <c r="K3227" s="658"/>
    </row>
    <row r="3228" spans="1:18" customFormat="1" x14ac:dyDescent="0.25">
      <c r="A3228" s="661"/>
      <c r="B3228" s="77"/>
      <c r="C3228" s="73"/>
      <c r="D3228" s="75" t="s">
        <v>8005</v>
      </c>
      <c r="E3228" s="73"/>
      <c r="F3228" s="73"/>
      <c r="G3228" s="74"/>
      <c r="H3228" s="153"/>
      <c r="I3228" s="72"/>
      <c r="J3228" s="73"/>
      <c r="K3228" s="658"/>
    </row>
    <row r="3229" spans="1:18" customFormat="1" x14ac:dyDescent="0.25">
      <c r="A3229" s="661"/>
      <c r="B3229" s="77"/>
      <c r="C3229" s="73"/>
      <c r="D3229" s="73" t="s">
        <v>272</v>
      </c>
      <c r="E3229" s="73"/>
      <c r="F3229" s="73"/>
      <c r="G3229" s="74" t="s">
        <v>3</v>
      </c>
      <c r="H3229" s="153">
        <f>0.05*0.022*2*8*1.1</f>
        <v>1.9360000000000002E-2</v>
      </c>
      <c r="I3229" s="72"/>
      <c r="J3229" s="73"/>
      <c r="K3229" s="658"/>
    </row>
    <row r="3230" spans="1:18" customFormat="1" x14ac:dyDescent="0.25">
      <c r="A3230" s="661"/>
      <c r="B3230" s="77"/>
      <c r="C3230" s="75" t="s">
        <v>8186</v>
      </c>
      <c r="D3230" s="73"/>
      <c r="E3230" s="73"/>
      <c r="F3230" s="73"/>
      <c r="G3230" s="74"/>
      <c r="H3230" s="153"/>
      <c r="I3230" s="72"/>
      <c r="J3230" s="73"/>
      <c r="K3230" s="658"/>
      <c r="L3230" t="s">
        <v>8002</v>
      </c>
    </row>
    <row r="3231" spans="1:18" customFormat="1" x14ac:dyDescent="0.25">
      <c r="A3231" s="661"/>
      <c r="B3231" s="77"/>
      <c r="C3231" s="73" t="s">
        <v>855</v>
      </c>
      <c r="D3231" s="73"/>
      <c r="E3231" s="73"/>
      <c r="F3231" s="73"/>
      <c r="G3231" s="74" t="s">
        <v>3</v>
      </c>
      <c r="H3231" s="153">
        <f>0.525*0.575*1.5*2.7*1.129</f>
        <v>1.3803083437500001</v>
      </c>
      <c r="I3231" s="80"/>
      <c r="J3231" s="77"/>
      <c r="K3231" s="674"/>
      <c r="L3231" s="8"/>
      <c r="M3231" s="8"/>
      <c r="N3231" s="8"/>
      <c r="O3231" s="8"/>
      <c r="P3231" s="8"/>
      <c r="Q3231" s="8"/>
      <c r="R3231" s="8"/>
    </row>
    <row r="3232" spans="1:18" customFormat="1" x14ac:dyDescent="0.25">
      <c r="A3232" s="661"/>
      <c r="B3232" s="77"/>
      <c r="C3232" s="75" t="s">
        <v>8000</v>
      </c>
      <c r="D3232" s="73"/>
      <c r="E3232" s="73"/>
      <c r="F3232" s="73"/>
      <c r="G3232" s="74"/>
      <c r="H3232" s="153"/>
      <c r="I3232" s="72"/>
      <c r="J3232" s="73"/>
      <c r="K3232" s="658"/>
    </row>
    <row r="3233" spans="1:15" customFormat="1" x14ac:dyDescent="0.25">
      <c r="A3233" s="661"/>
      <c r="B3233" s="77"/>
      <c r="C3233" s="73" t="s">
        <v>275</v>
      </c>
      <c r="D3233" s="73"/>
      <c r="E3233" s="73"/>
      <c r="F3233" s="73"/>
      <c r="G3233" s="74" t="s">
        <v>3</v>
      </c>
      <c r="H3233" s="153">
        <f>0.02*0.1*1.5*8*1.1</f>
        <v>2.6400000000000003E-2</v>
      </c>
      <c r="I3233" s="72"/>
      <c r="J3233" s="73"/>
      <c r="K3233" s="658"/>
    </row>
    <row r="3234" spans="1:15" customFormat="1" x14ac:dyDescent="0.25">
      <c r="A3234" s="661"/>
      <c r="B3234" s="77"/>
      <c r="C3234" s="100" t="s">
        <v>8</v>
      </c>
      <c r="D3234" s="73"/>
      <c r="E3234" s="73"/>
      <c r="F3234" s="73"/>
      <c r="G3234" s="74" t="s">
        <v>3</v>
      </c>
      <c r="H3234" s="153">
        <v>5.0000000000000001E-3</v>
      </c>
      <c r="I3234" s="72"/>
      <c r="J3234" s="73"/>
      <c r="K3234" s="658"/>
    </row>
    <row r="3235" spans="1:15" customFormat="1" x14ac:dyDescent="0.25">
      <c r="A3235" s="661"/>
      <c r="B3235" s="77"/>
      <c r="C3235" s="100" t="s">
        <v>115</v>
      </c>
      <c r="D3235" s="73"/>
      <c r="E3235" s="73"/>
      <c r="F3235" s="73"/>
      <c r="G3235" s="74" t="s">
        <v>3</v>
      </c>
      <c r="H3235" s="153">
        <v>5.0000000000000001E-3</v>
      </c>
      <c r="I3235" s="72"/>
      <c r="J3235" s="73"/>
      <c r="K3235" s="658"/>
    </row>
    <row r="3236" spans="1:15" customFormat="1" x14ac:dyDescent="0.25">
      <c r="A3236" s="661"/>
      <c r="B3236" s="77"/>
      <c r="C3236" s="100" t="s">
        <v>12</v>
      </c>
      <c r="D3236" s="73"/>
      <c r="E3236" s="73"/>
      <c r="F3236" s="73"/>
      <c r="G3236" s="74" t="s">
        <v>3</v>
      </c>
      <c r="H3236" s="153">
        <f>0.3*(H3235+H3234)</f>
        <v>3.0000000000000001E-3</v>
      </c>
      <c r="I3236" s="72"/>
      <c r="J3236" s="73"/>
      <c r="K3236" s="658"/>
    </row>
    <row r="3237" spans="1:15" customFormat="1" x14ac:dyDescent="0.25">
      <c r="A3237" s="661"/>
      <c r="B3237" s="77"/>
      <c r="C3237" s="75" t="s">
        <v>7999</v>
      </c>
      <c r="D3237" s="73"/>
      <c r="E3237" s="73"/>
      <c r="F3237" s="73"/>
      <c r="G3237" s="74"/>
      <c r="H3237" s="153"/>
      <c r="I3237" s="72"/>
      <c r="J3237" s="73"/>
      <c r="K3237" s="658"/>
    </row>
    <row r="3238" spans="1:15" customFormat="1" x14ac:dyDescent="0.25">
      <c r="A3238" s="661"/>
      <c r="B3238" s="77"/>
      <c r="C3238" s="100" t="s">
        <v>7998</v>
      </c>
      <c r="D3238" s="73"/>
      <c r="E3238" s="73"/>
      <c r="F3238" s="73"/>
      <c r="G3238" s="74" t="s">
        <v>3</v>
      </c>
      <c r="H3238" s="153">
        <v>2.5999999999999999E-2</v>
      </c>
      <c r="I3238" s="72"/>
      <c r="J3238" s="73"/>
      <c r="K3238" s="658"/>
    </row>
    <row r="3239" spans="1:15" customFormat="1" x14ac:dyDescent="0.25">
      <c r="A3239" s="661"/>
      <c r="B3239" s="77"/>
      <c r="C3239" s="75" t="s">
        <v>7997</v>
      </c>
      <c r="D3239" s="73"/>
      <c r="E3239" s="73"/>
      <c r="F3239" s="73"/>
      <c r="G3239" s="74"/>
      <c r="H3239" s="153"/>
      <c r="I3239" s="72"/>
      <c r="J3239" s="73"/>
      <c r="K3239" s="658"/>
    </row>
    <row r="3240" spans="1:15" customFormat="1" x14ac:dyDescent="0.25">
      <c r="A3240" s="661"/>
      <c r="B3240" s="77"/>
      <c r="C3240" s="100" t="s">
        <v>7996</v>
      </c>
      <c r="D3240" s="73"/>
      <c r="E3240" s="73"/>
      <c r="F3240" s="73"/>
      <c r="G3240" s="74" t="s">
        <v>3</v>
      </c>
      <c r="H3240" s="153">
        <v>2.5000000000000001E-2</v>
      </c>
      <c r="I3240" s="72"/>
      <c r="J3240" s="73"/>
      <c r="K3240" s="658"/>
    </row>
    <row r="3241" spans="1:15" customFormat="1" x14ac:dyDescent="0.25">
      <c r="A3241" s="661"/>
      <c r="B3241" s="77"/>
      <c r="C3241" s="77"/>
      <c r="D3241" s="77"/>
      <c r="E3241" s="77"/>
      <c r="F3241" s="77"/>
      <c r="G3241" s="74"/>
      <c r="H3241" s="153"/>
      <c r="I3241" s="72"/>
      <c r="J3241" s="73"/>
      <c r="K3241" s="671"/>
      <c r="L3241" s="73"/>
      <c r="M3241" s="73"/>
      <c r="N3241" s="74"/>
      <c r="O3241" s="153"/>
    </row>
    <row r="3242" spans="1:15" customFormat="1" x14ac:dyDescent="0.25">
      <c r="A3242" s="661"/>
      <c r="B3242" s="78" t="s">
        <v>8185</v>
      </c>
      <c r="C3242" s="77"/>
      <c r="D3242" s="77"/>
      <c r="E3242" s="77"/>
      <c r="F3242" s="77"/>
      <c r="G3242" s="74"/>
      <c r="H3242" s="153"/>
      <c r="I3242" s="72"/>
      <c r="J3242" s="73"/>
      <c r="K3242" s="671"/>
      <c r="L3242" s="73"/>
      <c r="M3242" s="73"/>
      <c r="N3242" s="74"/>
      <c r="O3242" s="153"/>
    </row>
    <row r="3243" spans="1:15" customFormat="1" x14ac:dyDescent="0.25">
      <c r="A3243" s="661"/>
      <c r="B3243" s="77" t="s">
        <v>1054</v>
      </c>
      <c r="C3243" s="73"/>
      <c r="D3243" s="73"/>
      <c r="E3243" s="73"/>
      <c r="F3243" s="77"/>
      <c r="G3243" s="152" t="s">
        <v>3</v>
      </c>
      <c r="H3243" s="153">
        <f>0.2*0.08*1.2</f>
        <v>1.9199999999999998E-2</v>
      </c>
      <c r="I3243" s="72"/>
      <c r="J3243" s="73"/>
      <c r="K3243" s="671"/>
      <c r="L3243" s="73"/>
      <c r="M3243" s="73"/>
      <c r="N3243" s="74"/>
      <c r="O3243" s="153"/>
    </row>
    <row r="3244" spans="1:15" customFormat="1" ht="17.25" x14ac:dyDescent="0.25">
      <c r="A3244" s="661"/>
      <c r="B3244" s="77" t="s">
        <v>1055</v>
      </c>
      <c r="C3244" s="73"/>
      <c r="D3244" s="73"/>
      <c r="E3244" s="73"/>
      <c r="F3244" s="77"/>
      <c r="G3244" s="152" t="s">
        <v>596</v>
      </c>
      <c r="H3244" s="153">
        <f>H3243</f>
        <v>1.9199999999999998E-2</v>
      </c>
      <c r="I3244" s="72"/>
      <c r="J3244" s="73"/>
      <c r="K3244" s="671"/>
      <c r="L3244" s="73"/>
      <c r="M3244" s="73"/>
      <c r="N3244" s="74"/>
      <c r="O3244" s="153"/>
    </row>
    <row r="3245" spans="1:15" customFormat="1" x14ac:dyDescent="0.25">
      <c r="A3245" s="661"/>
      <c r="B3245" s="186" t="s">
        <v>8</v>
      </c>
      <c r="C3245" s="73"/>
      <c r="D3245" s="73"/>
      <c r="E3245" s="73"/>
      <c r="F3245" s="77"/>
      <c r="G3245" s="74" t="s">
        <v>3</v>
      </c>
      <c r="H3245" s="153">
        <v>0.01</v>
      </c>
      <c r="I3245" s="72"/>
      <c r="J3245" s="73"/>
      <c r="K3245" s="671"/>
      <c r="L3245" s="73"/>
      <c r="M3245" s="73"/>
      <c r="N3245" s="74"/>
      <c r="O3245" s="153"/>
    </row>
    <row r="3246" spans="1:15" customFormat="1" x14ac:dyDescent="0.25">
      <c r="A3246" s="661"/>
      <c r="B3246" s="186" t="s">
        <v>12</v>
      </c>
      <c r="C3246" s="73"/>
      <c r="D3246" s="73"/>
      <c r="E3246" s="73"/>
      <c r="F3246" s="77"/>
      <c r="G3246" s="74" t="s">
        <v>3</v>
      </c>
      <c r="H3246" s="153">
        <f>0.3*H3245</f>
        <v>3.0000000000000001E-3</v>
      </c>
      <c r="I3246" s="72"/>
      <c r="J3246" s="73"/>
      <c r="K3246" s="671"/>
      <c r="L3246" s="73"/>
      <c r="M3246" s="73"/>
      <c r="N3246" s="74"/>
      <c r="O3246" s="153"/>
    </row>
    <row r="3247" spans="1:15" customFormat="1" x14ac:dyDescent="0.25">
      <c r="A3247" s="661"/>
      <c r="B3247" s="186" t="s">
        <v>72</v>
      </c>
      <c r="C3247" s="73"/>
      <c r="D3247" s="73"/>
      <c r="E3247" s="73"/>
      <c r="F3247" s="77"/>
      <c r="G3247" s="74" t="s">
        <v>3</v>
      </c>
      <c r="H3247" s="153">
        <f>(0.045*0.065+0.04*0.051+0.13*0.025)*2*0.18*2*1.7</f>
        <v>1.0055159999999999E-2</v>
      </c>
      <c r="I3247" s="72"/>
      <c r="J3247" s="73"/>
      <c r="K3247" s="671"/>
      <c r="L3247" s="73"/>
      <c r="M3247" s="73"/>
      <c r="N3247" s="74"/>
      <c r="O3247" s="153"/>
    </row>
    <row r="3248" spans="1:15" customFormat="1" x14ac:dyDescent="0.25">
      <c r="A3248" s="661"/>
      <c r="B3248" s="186" t="s">
        <v>11</v>
      </c>
      <c r="C3248" s="73"/>
      <c r="D3248" s="73"/>
      <c r="E3248" s="73"/>
      <c r="F3248" s="77"/>
      <c r="G3248" s="74" t="s">
        <v>3</v>
      </c>
      <c r="H3248" s="153">
        <f>0.3*H3247</f>
        <v>3.0165479999999995E-3</v>
      </c>
      <c r="I3248" s="72"/>
      <c r="J3248" s="73"/>
      <c r="K3248" s="671"/>
      <c r="L3248" s="73"/>
      <c r="M3248" s="73"/>
      <c r="N3248" s="74"/>
      <c r="O3248" s="153"/>
    </row>
    <row r="3249" spans="1:15" customFormat="1" x14ac:dyDescent="0.25">
      <c r="A3249" s="661"/>
      <c r="B3249" s="77"/>
      <c r="C3249" s="78" t="s">
        <v>8184</v>
      </c>
      <c r="D3249" s="77"/>
      <c r="E3249" s="77"/>
      <c r="F3249" s="77"/>
      <c r="G3249" s="74"/>
      <c r="H3249" s="153"/>
      <c r="I3249" s="72"/>
      <c r="J3249" s="73"/>
      <c r="K3249" s="671"/>
      <c r="L3249" s="73"/>
      <c r="M3249" s="73"/>
      <c r="N3249" s="74"/>
      <c r="O3249" s="153"/>
    </row>
    <row r="3250" spans="1:15" customFormat="1" x14ac:dyDescent="0.25">
      <c r="A3250" s="661"/>
      <c r="B3250" s="77"/>
      <c r="C3250" s="77" t="s">
        <v>8180</v>
      </c>
      <c r="D3250" s="77"/>
      <c r="E3250" s="77"/>
      <c r="F3250" s="77"/>
      <c r="G3250" s="74" t="s">
        <v>3</v>
      </c>
      <c r="H3250" s="153">
        <f>0.043*0.062*1.25*8*1.12</f>
        <v>2.9859200000000002E-2</v>
      </c>
      <c r="I3250" s="72"/>
      <c r="J3250" s="73"/>
      <c r="K3250" s="671"/>
      <c r="L3250" s="73"/>
      <c r="M3250" s="73"/>
      <c r="N3250" s="74"/>
      <c r="O3250" s="153"/>
    </row>
    <row r="3251" spans="1:15" customFormat="1" x14ac:dyDescent="0.25">
      <c r="A3251" s="661"/>
      <c r="B3251" s="77"/>
      <c r="C3251" s="78" t="s">
        <v>8183</v>
      </c>
      <c r="D3251" s="77"/>
      <c r="E3251" s="77"/>
      <c r="F3251" s="77"/>
      <c r="G3251" s="74"/>
      <c r="H3251" s="153"/>
      <c r="I3251" s="72"/>
      <c r="J3251" s="73"/>
      <c r="K3251" s="671"/>
      <c r="L3251" s="73"/>
      <c r="M3251" s="73"/>
      <c r="N3251" s="74"/>
      <c r="O3251" s="153"/>
    </row>
    <row r="3252" spans="1:15" customFormat="1" x14ac:dyDescent="0.25">
      <c r="A3252" s="661"/>
      <c r="B3252" s="77"/>
      <c r="C3252" s="77" t="s">
        <v>8182</v>
      </c>
      <c r="D3252" s="77"/>
      <c r="E3252" s="77"/>
      <c r="F3252" s="77"/>
      <c r="G3252" s="74" t="s">
        <v>3</v>
      </c>
      <c r="H3252" s="153">
        <f>0.13*0.02*4*8*1.14</f>
        <v>9.4848000000000002E-2</v>
      </c>
      <c r="I3252" s="72"/>
      <c r="J3252" s="73"/>
      <c r="K3252" s="671"/>
      <c r="L3252" s="73"/>
      <c r="M3252" s="73"/>
      <c r="N3252" s="74"/>
      <c r="O3252" s="153"/>
    </row>
    <row r="3253" spans="1:15" customFormat="1" x14ac:dyDescent="0.25">
      <c r="A3253" s="661"/>
      <c r="B3253" s="77"/>
      <c r="C3253" s="78" t="s">
        <v>8181</v>
      </c>
      <c r="D3253" s="77"/>
      <c r="E3253" s="77"/>
      <c r="F3253" s="77"/>
      <c r="G3253" s="74"/>
      <c r="H3253" s="153"/>
      <c r="I3253" s="72"/>
      <c r="J3253" s="73"/>
      <c r="K3253" s="671"/>
      <c r="L3253" s="73"/>
      <c r="M3253" s="73"/>
      <c r="N3253" s="74"/>
      <c r="O3253" s="153"/>
    </row>
    <row r="3254" spans="1:15" customFormat="1" x14ac:dyDescent="0.25">
      <c r="A3254" s="661"/>
      <c r="B3254" s="77"/>
      <c r="C3254" s="77" t="s">
        <v>8180</v>
      </c>
      <c r="D3254" s="77"/>
      <c r="E3254" s="77"/>
      <c r="F3254" s="77"/>
      <c r="G3254" s="74" t="s">
        <v>3</v>
      </c>
      <c r="H3254" s="153">
        <f>0.04*0.052*1.5*8*1.12</f>
        <v>2.7955199999999999E-2</v>
      </c>
      <c r="I3254" s="72"/>
      <c r="J3254" s="73"/>
      <c r="K3254" s="671"/>
      <c r="L3254" s="73"/>
      <c r="M3254" s="73"/>
      <c r="N3254" s="74"/>
      <c r="O3254" s="153"/>
    </row>
    <row r="3255" spans="1:15" customFormat="1" x14ac:dyDescent="0.25">
      <c r="A3255" s="661"/>
      <c r="B3255" s="77"/>
      <c r="C3255" s="77"/>
      <c r="D3255" s="77"/>
      <c r="E3255" s="77"/>
      <c r="F3255" s="77"/>
      <c r="G3255" s="74"/>
      <c r="H3255" s="153"/>
      <c r="I3255" s="72"/>
      <c r="J3255" s="73"/>
      <c r="K3255" s="671"/>
      <c r="L3255" s="73"/>
      <c r="M3255" s="73"/>
      <c r="N3255" s="74"/>
      <c r="O3255" s="153"/>
    </row>
    <row r="3256" spans="1:15" customFormat="1" x14ac:dyDescent="0.25">
      <c r="A3256" s="661"/>
      <c r="B3256" s="78" t="s">
        <v>8179</v>
      </c>
      <c r="C3256" s="73"/>
      <c r="D3256" s="77"/>
      <c r="E3256" s="77"/>
      <c r="F3256" s="77"/>
      <c r="G3256" s="74"/>
      <c r="H3256" s="153"/>
      <c r="I3256" s="72"/>
      <c r="J3256" s="73"/>
      <c r="K3256" s="671"/>
      <c r="L3256" s="73"/>
      <c r="M3256" s="73"/>
      <c r="N3256" s="74"/>
      <c r="O3256" s="153"/>
    </row>
    <row r="3257" spans="1:15" customFormat="1" x14ac:dyDescent="0.25">
      <c r="A3257" s="661"/>
      <c r="B3257" s="77" t="s">
        <v>8</v>
      </c>
      <c r="C3257" s="73"/>
      <c r="D3257" s="77"/>
      <c r="E3257" s="77"/>
      <c r="F3257" s="77"/>
      <c r="G3257" s="74" t="s">
        <v>3</v>
      </c>
      <c r="H3257" s="153">
        <f>0.18*0.44*2*0.18*1.24</f>
        <v>3.5354879999999991E-2</v>
      </c>
      <c r="I3257" s="72"/>
      <c r="J3257" s="73"/>
      <c r="K3257" s="671"/>
      <c r="L3257" s="73"/>
      <c r="M3257" s="73"/>
      <c r="N3257" s="74"/>
      <c r="O3257" s="153"/>
    </row>
    <row r="3258" spans="1:15" customFormat="1" x14ac:dyDescent="0.25">
      <c r="A3258" s="661"/>
      <c r="B3258" s="77" t="s">
        <v>12</v>
      </c>
      <c r="C3258" s="77"/>
      <c r="D3258" s="77"/>
      <c r="E3258" s="77"/>
      <c r="F3258" s="77"/>
      <c r="G3258" s="74" t="s">
        <v>3</v>
      </c>
      <c r="H3258" s="153">
        <f>0.3*H3257</f>
        <v>1.0606463999999998E-2</v>
      </c>
      <c r="I3258" s="72"/>
      <c r="J3258" s="73"/>
      <c r="K3258" s="671"/>
      <c r="L3258" s="73"/>
      <c r="M3258" s="73"/>
      <c r="N3258" s="74"/>
      <c r="O3258" s="153"/>
    </row>
    <row r="3259" spans="1:15" customFormat="1" x14ac:dyDescent="0.25">
      <c r="A3259" s="661"/>
      <c r="B3259" s="77" t="s">
        <v>72</v>
      </c>
      <c r="C3259" s="77"/>
      <c r="D3259" s="77"/>
      <c r="E3259" s="77"/>
      <c r="F3259" s="77"/>
      <c r="G3259" s="74" t="s">
        <v>3</v>
      </c>
      <c r="H3259" s="153">
        <f>0.18*0.44*2*0.15*2*1.06</f>
        <v>5.0371199999999998E-2</v>
      </c>
      <c r="I3259" s="72"/>
      <c r="J3259" s="73"/>
      <c r="K3259" s="671"/>
      <c r="L3259" s="73"/>
      <c r="M3259" s="73"/>
      <c r="N3259" s="74"/>
      <c r="O3259" s="153"/>
    </row>
    <row r="3260" spans="1:15" customFormat="1" x14ac:dyDescent="0.25">
      <c r="A3260" s="661"/>
      <c r="B3260" s="77" t="s">
        <v>11</v>
      </c>
      <c r="C3260" s="77"/>
      <c r="D3260" s="77"/>
      <c r="E3260" s="77"/>
      <c r="F3260" s="77"/>
      <c r="G3260" s="74" t="s">
        <v>3</v>
      </c>
      <c r="H3260" s="153">
        <f>0.3*H3259</f>
        <v>1.5111359999999999E-2</v>
      </c>
      <c r="I3260" s="72"/>
      <c r="J3260" s="73"/>
      <c r="K3260" s="671"/>
      <c r="L3260" s="73"/>
      <c r="M3260" s="73"/>
      <c r="N3260" s="74"/>
      <c r="O3260" s="153"/>
    </row>
    <row r="3261" spans="1:15" customFormat="1" x14ac:dyDescent="0.25">
      <c r="A3261" s="661"/>
      <c r="B3261" s="77"/>
      <c r="C3261" s="78" t="s">
        <v>8178</v>
      </c>
      <c r="D3261" s="77"/>
      <c r="E3261" s="77"/>
      <c r="F3261" s="77"/>
      <c r="G3261" s="74"/>
      <c r="H3261" s="153"/>
      <c r="I3261" s="72"/>
      <c r="J3261" s="73"/>
      <c r="K3261" s="671"/>
      <c r="L3261" s="73"/>
      <c r="M3261" s="73"/>
      <c r="N3261" s="74"/>
      <c r="O3261" s="153"/>
    </row>
    <row r="3262" spans="1:15" customFormat="1" ht="17.25" x14ac:dyDescent="0.25">
      <c r="A3262" s="661"/>
      <c r="B3262" s="77"/>
      <c r="C3262" s="77" t="s">
        <v>8177</v>
      </c>
      <c r="D3262" s="77"/>
      <c r="E3262" s="77"/>
      <c r="F3262" s="77"/>
      <c r="G3262" s="74" t="s">
        <v>677</v>
      </c>
      <c r="H3262" s="153">
        <f>0.44*0.18*1.14</f>
        <v>9.0287999999999979E-2</v>
      </c>
      <c r="I3262" s="72"/>
      <c r="J3262" s="73"/>
      <c r="K3262" s="671"/>
      <c r="L3262" s="73"/>
      <c r="M3262" s="73"/>
      <c r="N3262" s="74"/>
      <c r="O3262" s="153"/>
    </row>
    <row r="3263" spans="1:15" customFormat="1" x14ac:dyDescent="0.25">
      <c r="A3263" s="661"/>
      <c r="B3263" s="77"/>
      <c r="C3263" s="78" t="s">
        <v>8176</v>
      </c>
      <c r="D3263" s="77"/>
      <c r="E3263" s="77"/>
      <c r="F3263" s="77"/>
      <c r="G3263" s="74"/>
      <c r="H3263" s="153"/>
      <c r="I3263" s="72"/>
      <c r="J3263" s="73"/>
      <c r="K3263" s="671"/>
      <c r="L3263" s="73"/>
      <c r="M3263" s="73"/>
      <c r="N3263" s="74"/>
      <c r="O3263" s="153"/>
    </row>
    <row r="3264" spans="1:15" customFormat="1" x14ac:dyDescent="0.25">
      <c r="A3264" s="661"/>
      <c r="B3264" s="77"/>
      <c r="C3264" s="77" t="s">
        <v>177</v>
      </c>
      <c r="D3264" s="77"/>
      <c r="E3264" s="77"/>
      <c r="F3264" s="77"/>
      <c r="G3264" s="74" t="s">
        <v>3</v>
      </c>
      <c r="H3264" s="153">
        <f>0.18*0.03*1*8*1.15</f>
        <v>4.9679999999999988E-2</v>
      </c>
      <c r="I3264" s="72"/>
      <c r="J3264" s="73"/>
      <c r="K3264" s="671"/>
      <c r="L3264" s="73"/>
      <c r="M3264" s="73"/>
      <c r="N3264" s="74"/>
      <c r="O3264" s="153"/>
    </row>
    <row r="3265" spans="1:15" customFormat="1" x14ac:dyDescent="0.25">
      <c r="A3265" s="661"/>
      <c r="B3265" s="77"/>
      <c r="C3265" s="78" t="s">
        <v>8175</v>
      </c>
      <c r="D3265" s="77"/>
      <c r="E3265" s="77"/>
      <c r="F3265" s="77"/>
      <c r="G3265" s="74"/>
      <c r="H3265" s="153"/>
      <c r="I3265" s="72"/>
      <c r="J3265" s="73"/>
      <c r="K3265" s="671"/>
      <c r="L3265" s="73"/>
      <c r="M3265" s="73"/>
      <c r="N3265" s="74"/>
      <c r="O3265" s="153"/>
    </row>
    <row r="3266" spans="1:15" customFormat="1" x14ac:dyDescent="0.25">
      <c r="A3266" s="661"/>
      <c r="B3266" s="77"/>
      <c r="C3266" s="77" t="s">
        <v>177</v>
      </c>
      <c r="D3266" s="77"/>
      <c r="E3266" s="77"/>
      <c r="F3266" s="77"/>
      <c r="G3266" s="74" t="s">
        <v>3</v>
      </c>
      <c r="H3266" s="153">
        <f>0.38*0.01*1*8*1.15</f>
        <v>3.4959999999999998E-2</v>
      </c>
      <c r="I3266" s="72"/>
      <c r="J3266" s="73"/>
      <c r="K3266" s="671"/>
      <c r="L3266" s="73"/>
      <c r="M3266" s="73"/>
      <c r="N3266" s="74"/>
      <c r="O3266" s="153"/>
    </row>
    <row r="3267" spans="1:15" customFormat="1" x14ac:dyDescent="0.25">
      <c r="A3267" s="661"/>
      <c r="B3267" s="77"/>
      <c r="C3267" s="77"/>
      <c r="D3267" s="77"/>
      <c r="E3267" s="77"/>
      <c r="F3267" s="77"/>
      <c r="G3267" s="74"/>
      <c r="H3267" s="153"/>
      <c r="I3267" s="72"/>
      <c r="J3267" s="73"/>
      <c r="K3267" s="671"/>
      <c r="L3267" s="73"/>
      <c r="M3267" s="73"/>
      <c r="N3267" s="74"/>
      <c r="O3267" s="153"/>
    </row>
    <row r="3268" spans="1:15" customFormat="1" x14ac:dyDescent="0.25">
      <c r="A3268" s="661"/>
      <c r="B3268" s="78" t="s">
        <v>8174</v>
      </c>
      <c r="C3268" s="77"/>
      <c r="D3268" s="77"/>
      <c r="E3268" s="77"/>
      <c r="F3268" s="77"/>
      <c r="G3268" s="74"/>
      <c r="H3268" s="153"/>
      <c r="I3268" s="72"/>
      <c r="J3268" s="73"/>
      <c r="K3268" s="671"/>
      <c r="L3268" s="73"/>
      <c r="M3268" s="73"/>
      <c r="N3268" s="74"/>
      <c r="O3268" s="153"/>
    </row>
    <row r="3269" spans="1:15" customFormat="1" x14ac:dyDescent="0.25">
      <c r="A3269" s="661"/>
      <c r="B3269" s="77" t="s">
        <v>8116</v>
      </c>
      <c r="C3269" s="77"/>
      <c r="D3269" s="77"/>
      <c r="E3269" s="77"/>
      <c r="F3269" s="77"/>
      <c r="G3269" s="74" t="s">
        <v>1516</v>
      </c>
      <c r="H3269" s="153">
        <v>2</v>
      </c>
      <c r="I3269" s="72"/>
      <c r="J3269" s="73"/>
      <c r="K3269" s="671"/>
      <c r="L3269" s="73"/>
      <c r="M3269" s="73"/>
      <c r="N3269" s="74"/>
      <c r="O3269" s="153"/>
    </row>
    <row r="3270" spans="1:15" customFormat="1" x14ac:dyDescent="0.25">
      <c r="A3270" s="661"/>
      <c r="B3270" s="77" t="s">
        <v>8115</v>
      </c>
      <c r="C3270" s="77"/>
      <c r="D3270" s="77"/>
      <c r="E3270" s="77"/>
      <c r="F3270" s="77"/>
      <c r="G3270" s="74" t="s">
        <v>195</v>
      </c>
      <c r="H3270" s="153">
        <v>2.1</v>
      </c>
      <c r="I3270" s="72"/>
      <c r="J3270" s="73"/>
      <c r="K3270" s="671"/>
      <c r="L3270" s="73"/>
      <c r="M3270" s="73"/>
      <c r="N3270" s="74"/>
      <c r="O3270" s="153"/>
    </row>
    <row r="3271" spans="1:15" customFormat="1" x14ac:dyDescent="0.25">
      <c r="A3271" s="661"/>
      <c r="B3271" s="77" t="s">
        <v>8114</v>
      </c>
      <c r="C3271" s="77"/>
      <c r="D3271" s="77"/>
      <c r="E3271" s="77"/>
      <c r="F3271" s="77"/>
      <c r="G3271" s="74" t="s">
        <v>195</v>
      </c>
      <c r="H3271" s="153">
        <v>1.1000000000000001</v>
      </c>
      <c r="I3271" s="72"/>
      <c r="J3271" s="73"/>
      <c r="K3271" s="671"/>
      <c r="L3271" s="73"/>
      <c r="M3271" s="73"/>
      <c r="N3271" s="74"/>
      <c r="O3271" s="153"/>
    </row>
    <row r="3272" spans="1:15" customFormat="1" x14ac:dyDescent="0.25">
      <c r="A3272" s="661"/>
      <c r="B3272" s="77" t="s">
        <v>8113</v>
      </c>
      <c r="C3272" s="77"/>
      <c r="D3272" s="77"/>
      <c r="E3272" s="77"/>
      <c r="F3272" s="77"/>
      <c r="G3272" s="74" t="s">
        <v>3</v>
      </c>
      <c r="H3272" s="153">
        <v>1.4999999999999999E-2</v>
      </c>
      <c r="I3272" s="72"/>
      <c r="J3272" s="73"/>
      <c r="K3272" s="671"/>
      <c r="L3272" s="73"/>
      <c r="M3272" s="73"/>
      <c r="N3272" s="74"/>
      <c r="O3272" s="153"/>
    </row>
    <row r="3273" spans="1:15" customFormat="1" x14ac:dyDescent="0.25">
      <c r="A3273" s="661"/>
      <c r="B3273" s="77"/>
      <c r="C3273" s="78" t="s">
        <v>8173</v>
      </c>
      <c r="D3273" s="77"/>
      <c r="E3273" s="77"/>
      <c r="F3273" s="77"/>
      <c r="G3273" s="74"/>
      <c r="H3273" s="153"/>
      <c r="I3273" s="72"/>
      <c r="J3273" s="73"/>
      <c r="K3273" s="671"/>
      <c r="L3273" s="73"/>
      <c r="M3273" s="73"/>
      <c r="N3273" s="74"/>
      <c r="O3273" s="153"/>
    </row>
    <row r="3274" spans="1:15" customFormat="1" x14ac:dyDescent="0.25">
      <c r="A3274" s="661"/>
      <c r="B3274" s="77"/>
      <c r="C3274" s="73" t="s">
        <v>8113</v>
      </c>
      <c r="D3274" s="77"/>
      <c r="E3274" s="77"/>
      <c r="F3274" s="77"/>
      <c r="G3274" s="74" t="s">
        <v>3</v>
      </c>
      <c r="H3274" s="153">
        <v>1.4999999999999999E-2</v>
      </c>
      <c r="I3274" s="72"/>
      <c r="J3274" s="73"/>
      <c r="K3274" s="671"/>
      <c r="L3274" s="73"/>
      <c r="M3274" s="73"/>
      <c r="N3274" s="74"/>
      <c r="O3274" s="153"/>
    </row>
    <row r="3275" spans="1:15" customFormat="1" x14ac:dyDescent="0.25">
      <c r="A3275" s="661"/>
      <c r="B3275" s="77"/>
      <c r="C3275" s="77"/>
      <c r="D3275" s="78" t="s">
        <v>8172</v>
      </c>
      <c r="E3275" s="77"/>
      <c r="F3275" s="77"/>
      <c r="G3275" s="74"/>
      <c r="H3275" s="153"/>
      <c r="I3275" s="72"/>
      <c r="J3275" s="73"/>
      <c r="K3275" s="671"/>
      <c r="L3275" s="73"/>
      <c r="M3275" s="73"/>
      <c r="N3275" s="74"/>
      <c r="O3275" s="153"/>
    </row>
    <row r="3276" spans="1:15" customFormat="1" x14ac:dyDescent="0.25">
      <c r="A3276" s="661"/>
      <c r="B3276" s="77"/>
      <c r="C3276" s="77"/>
      <c r="D3276" s="77" t="s">
        <v>8171</v>
      </c>
      <c r="E3276" s="77"/>
      <c r="F3276" s="77"/>
      <c r="G3276" s="74" t="s">
        <v>3</v>
      </c>
      <c r="H3276" s="153">
        <f>0.16*0.025*0.2*9*1.12</f>
        <v>8.0640000000000017E-3</v>
      </c>
      <c r="I3276" s="72"/>
      <c r="J3276" s="73"/>
      <c r="K3276" s="671"/>
      <c r="L3276" s="73"/>
      <c r="M3276" s="73"/>
      <c r="N3276" s="74"/>
      <c r="O3276" s="153"/>
    </row>
    <row r="3277" spans="1:15" customFormat="1" x14ac:dyDescent="0.25">
      <c r="A3277" s="661"/>
      <c r="B3277" s="77"/>
      <c r="C3277" s="78" t="s">
        <v>8170</v>
      </c>
      <c r="D3277" s="77"/>
      <c r="E3277" s="77"/>
      <c r="F3277" s="77"/>
      <c r="G3277" s="74"/>
      <c r="H3277" s="153"/>
      <c r="I3277" s="72"/>
      <c r="J3277" s="73"/>
      <c r="K3277" s="671"/>
      <c r="L3277" s="73"/>
      <c r="M3277" s="73"/>
      <c r="N3277" s="74"/>
      <c r="O3277" s="153"/>
    </row>
    <row r="3278" spans="1:15" customFormat="1" x14ac:dyDescent="0.25">
      <c r="A3278" s="661"/>
      <c r="B3278" s="77"/>
      <c r="C3278" s="77" t="s">
        <v>8169</v>
      </c>
      <c r="D3278" s="77"/>
      <c r="E3278" s="77"/>
      <c r="F3278" s="77"/>
      <c r="G3278" s="74" t="s">
        <v>3</v>
      </c>
      <c r="H3278" s="153">
        <f>0.135*0.025*3*9*1.15</f>
        <v>0.10479375</v>
      </c>
      <c r="I3278" s="72"/>
      <c r="K3278" s="671"/>
      <c r="L3278" s="73"/>
      <c r="M3278" s="73"/>
      <c r="N3278" s="74"/>
      <c r="O3278" s="153"/>
    </row>
    <row r="3279" spans="1:15" customFormat="1" x14ac:dyDescent="0.25">
      <c r="A3279" s="661"/>
      <c r="B3279" s="77"/>
      <c r="C3279" s="77"/>
      <c r="D3279" s="77"/>
      <c r="E3279" s="77"/>
      <c r="F3279" s="77"/>
      <c r="G3279" s="74"/>
      <c r="H3279" s="153"/>
      <c r="I3279" s="72"/>
      <c r="K3279" s="671"/>
      <c r="L3279" s="73"/>
      <c r="M3279" s="73"/>
      <c r="N3279" s="74"/>
      <c r="O3279" s="153"/>
    </row>
    <row r="3280" spans="1:15" customFormat="1" x14ac:dyDescent="0.25">
      <c r="A3280" s="661"/>
      <c r="B3280" s="78" t="s">
        <v>8168</v>
      </c>
      <c r="C3280" s="77"/>
      <c r="D3280" s="77"/>
      <c r="E3280" s="77"/>
      <c r="F3280" s="77"/>
      <c r="G3280" s="74"/>
      <c r="H3280" s="153"/>
      <c r="I3280" s="72"/>
      <c r="K3280" s="671"/>
      <c r="L3280" s="73"/>
      <c r="M3280" s="73"/>
      <c r="N3280" s="74"/>
      <c r="O3280" s="153"/>
    </row>
    <row r="3281" spans="1:15" customFormat="1" x14ac:dyDescent="0.25">
      <c r="A3281" s="661"/>
      <c r="B3281" s="77" t="s">
        <v>8167</v>
      </c>
      <c r="C3281" s="77"/>
      <c r="D3281" s="77"/>
      <c r="E3281" s="77"/>
      <c r="F3281" s="77"/>
      <c r="G3281" s="74" t="s">
        <v>1516</v>
      </c>
      <c r="H3281" s="153">
        <v>2</v>
      </c>
      <c r="I3281" s="72"/>
      <c r="K3281" s="671"/>
      <c r="L3281" s="73"/>
      <c r="M3281" s="73"/>
      <c r="N3281" s="74"/>
      <c r="O3281" s="153"/>
    </row>
    <row r="3282" spans="1:15" customFormat="1" x14ac:dyDescent="0.25">
      <c r="A3282" s="661"/>
      <c r="B3282" s="77"/>
      <c r="C3282" s="77"/>
      <c r="D3282" s="77"/>
      <c r="E3282" s="77"/>
      <c r="F3282" s="77"/>
      <c r="G3282" s="74"/>
      <c r="H3282" s="153"/>
      <c r="I3282" s="72"/>
      <c r="K3282" s="671"/>
      <c r="L3282" s="73"/>
      <c r="M3282" s="73"/>
      <c r="N3282" s="74"/>
      <c r="O3282" s="153"/>
    </row>
    <row r="3283" spans="1:15" customFormat="1" x14ac:dyDescent="0.25">
      <c r="A3283" s="661"/>
      <c r="B3283" s="78" t="s">
        <v>8166</v>
      </c>
      <c r="C3283" s="77"/>
      <c r="D3283" s="77"/>
      <c r="E3283" s="77"/>
      <c r="F3283" s="77"/>
      <c r="G3283" s="74"/>
      <c r="H3283" s="153"/>
      <c r="I3283" s="72"/>
      <c r="K3283" s="671"/>
      <c r="L3283" s="73"/>
      <c r="M3283" s="73"/>
      <c r="N3283" s="74"/>
      <c r="O3283" s="153"/>
    </row>
    <row r="3284" spans="1:15" customFormat="1" x14ac:dyDescent="0.25">
      <c r="A3284" s="661"/>
      <c r="B3284" s="77" t="s">
        <v>1730</v>
      </c>
      <c r="C3284" s="77"/>
      <c r="D3284" s="77"/>
      <c r="E3284" s="77"/>
      <c r="F3284" s="77"/>
      <c r="G3284" s="74" t="s">
        <v>3</v>
      </c>
      <c r="H3284" s="153">
        <f>0.035/2.5</f>
        <v>1.4000000000000002E-2</v>
      </c>
      <c r="I3284" s="72"/>
      <c r="K3284" s="671"/>
      <c r="L3284" s="73"/>
      <c r="M3284" s="73"/>
      <c r="N3284" s="74"/>
      <c r="O3284" s="153"/>
    </row>
    <row r="3285" spans="1:15" customFormat="1" x14ac:dyDescent="0.25">
      <c r="A3285" s="661"/>
      <c r="B3285" s="77"/>
      <c r="C3285" s="77"/>
      <c r="D3285" s="77"/>
      <c r="E3285" s="77"/>
      <c r="F3285" s="77"/>
      <c r="G3285" s="74"/>
      <c r="H3285" s="153"/>
      <c r="I3285" s="72"/>
      <c r="K3285" s="671"/>
      <c r="L3285" s="73"/>
      <c r="M3285" s="73"/>
      <c r="N3285" s="74"/>
      <c r="O3285" s="153"/>
    </row>
    <row r="3286" spans="1:15" customFormat="1" x14ac:dyDescent="0.25">
      <c r="A3286" s="661"/>
      <c r="B3286" s="78" t="s">
        <v>1606</v>
      </c>
      <c r="C3286" s="77"/>
      <c r="D3286" s="77"/>
      <c r="E3286" s="77"/>
      <c r="F3286" s="77"/>
      <c r="G3286" s="74"/>
      <c r="H3286" s="153"/>
      <c r="I3286" s="72"/>
      <c r="K3286" s="671"/>
      <c r="L3286" s="73"/>
      <c r="M3286" s="73"/>
      <c r="N3286" s="74"/>
      <c r="O3286" s="153"/>
    </row>
    <row r="3287" spans="1:15" customFormat="1" x14ac:dyDescent="0.25">
      <c r="A3287" s="661"/>
      <c r="B3287" s="77" t="s">
        <v>8165</v>
      </c>
      <c r="C3287" s="77"/>
      <c r="D3287" s="77"/>
      <c r="E3287" s="77"/>
      <c r="F3287" s="77"/>
      <c r="G3287" s="74" t="s">
        <v>3</v>
      </c>
      <c r="H3287" s="153">
        <f>0.15*0.02*0.8*8*1.15</f>
        <v>2.2079999999999999E-2</v>
      </c>
      <c r="I3287" s="72"/>
      <c r="K3287" s="671"/>
      <c r="L3287" s="73"/>
      <c r="M3287" s="73"/>
      <c r="N3287" s="74"/>
      <c r="O3287" s="153"/>
    </row>
    <row r="3288" spans="1:15" customFormat="1" x14ac:dyDescent="0.25">
      <c r="A3288" s="661"/>
      <c r="B3288" s="77"/>
      <c r="C3288" s="77"/>
      <c r="D3288" s="77"/>
      <c r="E3288" s="77"/>
      <c r="F3288" s="77"/>
      <c r="G3288" s="74"/>
      <c r="H3288" s="153"/>
      <c r="I3288" s="72"/>
      <c r="K3288" s="671"/>
      <c r="L3288" s="73"/>
      <c r="M3288" s="73"/>
      <c r="N3288" s="74"/>
      <c r="O3288" s="153"/>
    </row>
    <row r="3289" spans="1:15" customFormat="1" x14ac:dyDescent="0.25">
      <c r="A3289" s="661"/>
      <c r="B3289" s="78" t="s">
        <v>8164</v>
      </c>
      <c r="C3289" s="77"/>
      <c r="D3289" s="77"/>
      <c r="E3289" s="77"/>
      <c r="F3289" s="77"/>
      <c r="G3289" s="74"/>
      <c r="H3289" s="153"/>
      <c r="I3289" s="72"/>
      <c r="K3289" s="671"/>
      <c r="L3289" s="73"/>
      <c r="M3289" s="73"/>
      <c r="N3289" s="74"/>
      <c r="O3289" s="153"/>
    </row>
    <row r="3290" spans="1:15" customFormat="1" x14ac:dyDescent="0.25">
      <c r="A3290" s="661"/>
      <c r="B3290" s="77" t="s">
        <v>722</v>
      </c>
      <c r="C3290" s="77"/>
      <c r="D3290" s="77"/>
      <c r="E3290" s="77"/>
      <c r="F3290" s="77"/>
      <c r="G3290" s="74" t="s">
        <v>3</v>
      </c>
      <c r="H3290" s="153">
        <f>0.295*0.025*1.5*8*1.15</f>
        <v>0.10177499999999999</v>
      </c>
      <c r="I3290" s="72"/>
      <c r="K3290" s="671"/>
      <c r="L3290" s="73"/>
      <c r="M3290" s="73"/>
      <c r="N3290" s="74"/>
      <c r="O3290" s="153"/>
    </row>
    <row r="3291" spans="1:15" customFormat="1" x14ac:dyDescent="0.25">
      <c r="A3291" s="661"/>
      <c r="B3291" s="77"/>
      <c r="C3291" s="77"/>
      <c r="D3291" s="77"/>
      <c r="E3291" s="77"/>
      <c r="F3291" s="77"/>
      <c r="G3291" s="74"/>
      <c r="H3291" s="153"/>
      <c r="I3291" s="72"/>
      <c r="K3291" s="671"/>
      <c r="L3291" s="73"/>
      <c r="M3291" s="73"/>
      <c r="N3291" s="74"/>
      <c r="O3291" s="153"/>
    </row>
    <row r="3292" spans="1:15" customFormat="1" x14ac:dyDescent="0.25">
      <c r="A3292" s="661"/>
      <c r="B3292" s="78" t="s">
        <v>8163</v>
      </c>
      <c r="C3292" s="77"/>
      <c r="D3292" s="77"/>
      <c r="E3292" s="77"/>
      <c r="F3292" s="77"/>
      <c r="G3292" s="74"/>
      <c r="H3292" s="153"/>
      <c r="I3292" s="72"/>
      <c r="K3292" s="671"/>
      <c r="L3292" s="73"/>
      <c r="M3292" s="73"/>
      <c r="N3292" s="74"/>
      <c r="O3292" s="153"/>
    </row>
    <row r="3293" spans="1:15" customFormat="1" x14ac:dyDescent="0.25">
      <c r="A3293" s="661"/>
      <c r="B3293" s="77" t="s">
        <v>722</v>
      </c>
      <c r="C3293" s="77"/>
      <c r="D3293" s="77"/>
      <c r="E3293" s="77"/>
      <c r="F3293" s="77"/>
      <c r="G3293" s="74" t="s">
        <v>3</v>
      </c>
      <c r="H3293" s="153">
        <f>0.295*0.025*1.5*1.15</f>
        <v>1.2721874999999999E-2</v>
      </c>
      <c r="I3293" s="72"/>
      <c r="K3293" s="671"/>
      <c r="L3293" s="73"/>
      <c r="M3293" s="73"/>
      <c r="N3293" s="74"/>
      <c r="O3293" s="153"/>
    </row>
    <row r="3294" spans="1:15" customFormat="1" x14ac:dyDescent="0.25">
      <c r="A3294" s="661"/>
      <c r="B3294" s="77"/>
      <c r="C3294" s="77"/>
      <c r="D3294" s="77"/>
      <c r="E3294" s="77"/>
      <c r="F3294" s="77"/>
      <c r="G3294" s="74"/>
      <c r="H3294" s="153"/>
      <c r="I3294" s="72"/>
      <c r="K3294" s="671"/>
      <c r="L3294" s="73"/>
      <c r="M3294" s="73"/>
      <c r="N3294" s="74"/>
      <c r="O3294" s="153"/>
    </row>
    <row r="3295" spans="1:15" customFormat="1" x14ac:dyDescent="0.25">
      <c r="A3295" s="661"/>
      <c r="B3295" s="78" t="s">
        <v>8162</v>
      </c>
      <c r="C3295" s="77"/>
      <c r="D3295" s="77"/>
      <c r="E3295" s="77"/>
      <c r="F3295" s="77"/>
      <c r="G3295" s="74"/>
      <c r="H3295" s="153"/>
      <c r="I3295" s="72"/>
      <c r="K3295" s="671"/>
      <c r="L3295" s="73"/>
      <c r="M3295" s="73"/>
      <c r="N3295" s="74"/>
      <c r="O3295" s="153"/>
    </row>
    <row r="3296" spans="1:15" customFormat="1" x14ac:dyDescent="0.25">
      <c r="A3296" s="661"/>
      <c r="B3296" s="77" t="s">
        <v>984</v>
      </c>
      <c r="C3296" s="77"/>
      <c r="D3296" s="77"/>
      <c r="E3296" s="77"/>
      <c r="F3296" s="77"/>
      <c r="G3296" s="74" t="s">
        <v>3</v>
      </c>
      <c r="H3296" s="153">
        <f>0.045*0.032*1*8*1.2</f>
        <v>1.3823999999999998E-2</v>
      </c>
      <c r="I3296" s="72"/>
      <c r="K3296" s="671"/>
      <c r="L3296" s="73"/>
      <c r="M3296" s="73"/>
      <c r="N3296" s="74"/>
      <c r="O3296" s="153"/>
    </row>
    <row r="3297" spans="1:15" customFormat="1" x14ac:dyDescent="0.25">
      <c r="A3297" s="661"/>
      <c r="B3297" s="77"/>
      <c r="C3297" s="77"/>
      <c r="D3297" s="77"/>
      <c r="E3297" s="77"/>
      <c r="F3297" s="77"/>
      <c r="G3297" s="74"/>
      <c r="H3297" s="153"/>
      <c r="I3297" s="72"/>
      <c r="K3297" s="671"/>
      <c r="L3297" s="73"/>
      <c r="M3297" s="73"/>
      <c r="N3297" s="74"/>
      <c r="O3297" s="153"/>
    </row>
    <row r="3298" spans="1:15" customFormat="1" x14ac:dyDescent="0.25">
      <c r="A3298" s="661"/>
      <c r="B3298" s="78" t="s">
        <v>8161</v>
      </c>
      <c r="C3298" s="77"/>
      <c r="D3298" s="77"/>
      <c r="E3298" s="77"/>
      <c r="F3298" s="77"/>
      <c r="G3298" s="74"/>
      <c r="H3298" s="153"/>
      <c r="I3298" s="72"/>
      <c r="K3298" s="671"/>
      <c r="L3298" s="73"/>
      <c r="M3298" s="73"/>
      <c r="N3298" s="74"/>
      <c r="O3298" s="153"/>
    </row>
    <row r="3299" spans="1:15" customFormat="1" x14ac:dyDescent="0.25">
      <c r="A3299" s="661"/>
      <c r="B3299" s="77" t="s">
        <v>8159</v>
      </c>
      <c r="C3299" s="77"/>
      <c r="D3299" s="77"/>
      <c r="E3299" s="77"/>
      <c r="F3299" s="77"/>
      <c r="G3299" s="74" t="s">
        <v>3</v>
      </c>
      <c r="H3299" s="153">
        <f>0.155*0.02*1.5*8*1.12</f>
        <v>4.1664E-2</v>
      </c>
      <c r="I3299" s="72"/>
      <c r="K3299" s="671"/>
      <c r="L3299" s="73"/>
      <c r="M3299" s="73"/>
      <c r="N3299" s="74"/>
      <c r="O3299" s="153"/>
    </row>
    <row r="3300" spans="1:15" customFormat="1" x14ac:dyDescent="0.25">
      <c r="A3300" s="661"/>
      <c r="B3300" s="77"/>
      <c r="C3300" s="77"/>
      <c r="D3300" s="77"/>
      <c r="E3300" s="77"/>
      <c r="F3300" s="77"/>
      <c r="G3300" s="74"/>
      <c r="H3300" s="153"/>
      <c r="I3300" s="72"/>
      <c r="K3300" s="671"/>
      <c r="L3300" s="73"/>
      <c r="M3300" s="73"/>
      <c r="N3300" s="74"/>
      <c r="O3300" s="153"/>
    </row>
    <row r="3301" spans="1:15" customFormat="1" x14ac:dyDescent="0.25">
      <c r="A3301" s="661"/>
      <c r="B3301" s="78" t="s">
        <v>8160</v>
      </c>
      <c r="C3301" s="77"/>
      <c r="D3301" s="77"/>
      <c r="E3301" s="77"/>
      <c r="F3301" s="77"/>
      <c r="G3301" s="74"/>
      <c r="H3301" s="153"/>
      <c r="I3301" s="72"/>
      <c r="K3301" s="671"/>
      <c r="L3301" s="73"/>
      <c r="M3301" s="73"/>
      <c r="N3301" s="74"/>
      <c r="O3301" s="153"/>
    </row>
    <row r="3302" spans="1:15" customFormat="1" x14ac:dyDescent="0.25">
      <c r="A3302" s="661"/>
      <c r="B3302" s="77" t="s">
        <v>8159</v>
      </c>
      <c r="C3302" s="77"/>
      <c r="D3302" s="77"/>
      <c r="E3302" s="77"/>
      <c r="F3302" s="77"/>
      <c r="G3302" s="74" t="s">
        <v>3</v>
      </c>
      <c r="H3302" s="153">
        <f>(0.017*3.14*0.75+0.016+0.06)*0.02*1.5*8*1.12</f>
        <v>3.1190208000000004E-2</v>
      </c>
      <c r="I3302" s="72"/>
      <c r="K3302" s="671"/>
      <c r="L3302" s="73"/>
      <c r="M3302" s="73"/>
      <c r="N3302" s="74"/>
      <c r="O3302" s="153"/>
    </row>
    <row r="3303" spans="1:15" customFormat="1" x14ac:dyDescent="0.25">
      <c r="A3303" s="661"/>
      <c r="B3303" s="77"/>
      <c r="C3303" s="77"/>
      <c r="D3303" s="77"/>
      <c r="E3303" s="77"/>
      <c r="F3303" s="77"/>
      <c r="G3303" s="74"/>
      <c r="H3303" s="153"/>
      <c r="I3303" s="72"/>
      <c r="K3303" s="671"/>
      <c r="L3303" s="73"/>
      <c r="M3303" s="73"/>
      <c r="N3303" s="74"/>
      <c r="O3303" s="153"/>
    </row>
    <row r="3304" spans="1:15" customFormat="1" x14ac:dyDescent="0.25">
      <c r="A3304" s="661"/>
      <c r="B3304" s="78" t="s">
        <v>8158</v>
      </c>
      <c r="C3304" s="77"/>
      <c r="D3304" s="77"/>
      <c r="E3304" s="77"/>
      <c r="F3304" s="77"/>
      <c r="G3304" s="74"/>
      <c r="H3304" s="153"/>
      <c r="I3304" s="72"/>
      <c r="K3304" s="671"/>
      <c r="L3304" s="73"/>
      <c r="M3304" s="73"/>
      <c r="N3304" s="74"/>
      <c r="O3304" s="153"/>
    </row>
    <row r="3305" spans="1:15" customFormat="1" x14ac:dyDescent="0.25">
      <c r="A3305" s="661"/>
      <c r="B3305" s="77" t="s">
        <v>415</v>
      </c>
      <c r="C3305" s="77"/>
      <c r="D3305" s="77"/>
      <c r="E3305" s="77"/>
      <c r="F3305" s="77"/>
      <c r="G3305" s="74" t="s">
        <v>3</v>
      </c>
      <c r="H3305" s="153">
        <f>0.035*0.035*1.5*8*1.08</f>
        <v>1.5876000000000001E-2</v>
      </c>
      <c r="I3305" s="72"/>
      <c r="K3305" s="671"/>
      <c r="L3305" s="73"/>
      <c r="M3305" s="73"/>
      <c r="N3305" s="74"/>
      <c r="O3305" s="153"/>
    </row>
    <row r="3306" spans="1:15" customFormat="1" x14ac:dyDescent="0.25">
      <c r="A3306" s="661"/>
      <c r="B3306" s="77"/>
      <c r="C3306" s="77"/>
      <c r="D3306" s="77"/>
      <c r="E3306" s="77"/>
      <c r="F3306" s="77"/>
      <c r="G3306" s="74"/>
      <c r="H3306" s="153"/>
      <c r="I3306" s="72"/>
      <c r="K3306" s="671"/>
      <c r="L3306" s="73"/>
      <c r="M3306" s="73"/>
      <c r="N3306" s="74"/>
      <c r="O3306" s="153"/>
    </row>
    <row r="3307" spans="1:15" customFormat="1" x14ac:dyDescent="0.25">
      <c r="A3307" s="661"/>
      <c r="B3307" s="78" t="s">
        <v>8157</v>
      </c>
      <c r="C3307" s="77"/>
      <c r="D3307" s="77"/>
      <c r="E3307" s="77"/>
      <c r="F3307" s="77"/>
      <c r="G3307" s="74"/>
      <c r="H3307" s="153"/>
      <c r="I3307" s="72"/>
      <c r="K3307" s="671"/>
      <c r="L3307" s="73"/>
      <c r="M3307" s="73"/>
      <c r="N3307" s="74"/>
      <c r="O3307" s="153"/>
    </row>
    <row r="3308" spans="1:15" customFormat="1" x14ac:dyDescent="0.25">
      <c r="A3308" s="661"/>
      <c r="B3308" s="77" t="s">
        <v>8138</v>
      </c>
      <c r="C3308" s="77"/>
      <c r="D3308" s="77"/>
      <c r="E3308" s="77"/>
      <c r="F3308" s="77"/>
      <c r="G3308" s="74" t="s">
        <v>3</v>
      </c>
      <c r="H3308" s="153">
        <f>0.092*0.016*0.8*8*1.15</f>
        <v>1.0833919999999999E-2</v>
      </c>
      <c r="I3308" s="72"/>
      <c r="K3308" s="671"/>
      <c r="L3308" s="73"/>
      <c r="M3308" s="73"/>
      <c r="N3308" s="74"/>
      <c r="O3308" s="153"/>
    </row>
    <row r="3309" spans="1:15" customFormat="1" x14ac:dyDescent="0.25">
      <c r="A3309" s="661"/>
      <c r="B3309" s="77"/>
      <c r="C3309" s="77"/>
      <c r="D3309" s="77"/>
      <c r="E3309" s="77"/>
      <c r="F3309" s="77"/>
      <c r="G3309" s="74"/>
      <c r="H3309" s="153"/>
      <c r="I3309" s="72"/>
      <c r="K3309" s="671"/>
      <c r="L3309" s="73"/>
      <c r="M3309" s="73"/>
      <c r="N3309" s="74"/>
      <c r="O3309" s="153"/>
    </row>
    <row r="3310" spans="1:15" customFormat="1" x14ac:dyDescent="0.25">
      <c r="A3310" s="661"/>
      <c r="B3310" s="78" t="s">
        <v>8156</v>
      </c>
      <c r="C3310" s="77"/>
      <c r="D3310" s="77"/>
      <c r="E3310" s="77"/>
      <c r="F3310" s="77"/>
      <c r="G3310" s="74"/>
      <c r="H3310" s="153"/>
      <c r="I3310" s="72"/>
      <c r="K3310" s="671"/>
      <c r="L3310" s="73"/>
      <c r="M3310" s="73"/>
      <c r="N3310" s="74"/>
      <c r="O3310" s="153"/>
    </row>
    <row r="3311" spans="1:15" customFormat="1" x14ac:dyDescent="0.25">
      <c r="A3311" s="661"/>
      <c r="B3311" s="77" t="s">
        <v>8138</v>
      </c>
      <c r="C3311" s="77"/>
      <c r="D3311" s="77"/>
      <c r="E3311" s="77"/>
      <c r="F3311" s="77"/>
      <c r="G3311" s="74" t="s">
        <v>3</v>
      </c>
      <c r="H3311" s="153">
        <f>0.1*0.016*0.8*8*1.1</f>
        <v>1.1264000000000001E-2</v>
      </c>
      <c r="I3311" s="72"/>
      <c r="K3311" s="671"/>
      <c r="L3311" s="73"/>
      <c r="M3311" s="73"/>
      <c r="N3311" s="74"/>
      <c r="O3311" s="153"/>
    </row>
    <row r="3312" spans="1:15" customFormat="1" x14ac:dyDescent="0.25">
      <c r="A3312" s="661"/>
      <c r="B3312" s="77"/>
      <c r="C3312" s="77"/>
      <c r="D3312" s="77"/>
      <c r="E3312" s="77"/>
      <c r="F3312" s="77"/>
      <c r="G3312" s="74"/>
      <c r="H3312" s="153"/>
      <c r="I3312" s="72"/>
      <c r="K3312" s="671"/>
      <c r="L3312" s="73"/>
      <c r="M3312" s="73"/>
      <c r="N3312" s="74"/>
      <c r="O3312" s="153"/>
    </row>
    <row r="3313" spans="1:15" customFormat="1" x14ac:dyDescent="0.25">
      <c r="A3313" s="661"/>
      <c r="B3313" s="78" t="s">
        <v>8155</v>
      </c>
      <c r="C3313" s="77"/>
      <c r="D3313" s="77"/>
      <c r="E3313" s="77"/>
      <c r="F3313" s="77"/>
      <c r="G3313" s="74"/>
      <c r="H3313" s="153"/>
      <c r="I3313" s="72"/>
      <c r="K3313" s="671"/>
      <c r="L3313" s="73"/>
      <c r="M3313" s="73"/>
      <c r="N3313" s="74"/>
      <c r="O3313" s="153"/>
    </row>
    <row r="3314" spans="1:15" customFormat="1" x14ac:dyDescent="0.25">
      <c r="A3314" s="661"/>
      <c r="B3314" s="77" t="s">
        <v>8154</v>
      </c>
      <c r="C3314" s="77"/>
      <c r="D3314" s="77"/>
      <c r="E3314" s="77"/>
      <c r="F3314" s="77"/>
      <c r="G3314" s="74" t="s">
        <v>3</v>
      </c>
      <c r="H3314" s="153">
        <f>0.045*0.045*2.5*8*1.03</f>
        <v>4.1714999999999995E-2</v>
      </c>
      <c r="I3314" s="72"/>
      <c r="K3314" s="671"/>
      <c r="L3314" s="73"/>
      <c r="M3314" s="73"/>
      <c r="N3314" s="74"/>
      <c r="O3314" s="153"/>
    </row>
    <row r="3315" spans="1:15" customFormat="1" x14ac:dyDescent="0.25">
      <c r="A3315" s="661"/>
      <c r="B3315" s="77"/>
      <c r="C3315" s="77"/>
      <c r="D3315" s="77"/>
      <c r="E3315" s="77"/>
      <c r="F3315" s="77"/>
      <c r="G3315" s="74"/>
      <c r="H3315" s="153"/>
      <c r="I3315" s="72"/>
      <c r="K3315" s="671"/>
      <c r="L3315" s="73"/>
      <c r="M3315" s="73"/>
      <c r="N3315" s="74"/>
      <c r="O3315" s="153"/>
    </row>
    <row r="3316" spans="1:15" customFormat="1" x14ac:dyDescent="0.25">
      <c r="A3316" s="661"/>
      <c r="B3316" s="78" t="s">
        <v>8153</v>
      </c>
      <c r="C3316" s="77"/>
      <c r="D3316" s="77"/>
      <c r="E3316" s="77"/>
      <c r="F3316" s="77"/>
      <c r="G3316" s="74"/>
      <c r="H3316" s="153"/>
      <c r="I3316" s="72"/>
      <c r="K3316" s="671"/>
      <c r="L3316" s="73"/>
      <c r="M3316" s="73"/>
      <c r="N3316" s="74"/>
      <c r="O3316" s="153"/>
    </row>
    <row r="3317" spans="1:15" customFormat="1" x14ac:dyDescent="0.25">
      <c r="A3317" s="661"/>
      <c r="B3317" s="77" t="s">
        <v>722</v>
      </c>
      <c r="C3317" s="77"/>
      <c r="D3317" s="77"/>
      <c r="E3317" s="77"/>
      <c r="F3317" s="77"/>
      <c r="G3317" s="74" t="s">
        <v>3</v>
      </c>
      <c r="H3317" s="153">
        <f>0.022*1.12</f>
        <v>2.4640000000000002E-2</v>
      </c>
      <c r="I3317" s="72"/>
      <c r="K3317" s="671"/>
      <c r="L3317" s="73"/>
      <c r="M3317" s="73"/>
      <c r="N3317" s="74"/>
      <c r="O3317" s="153"/>
    </row>
    <row r="3318" spans="1:15" customFormat="1" x14ac:dyDescent="0.25">
      <c r="A3318" s="661"/>
      <c r="B3318" s="77"/>
      <c r="C3318" s="77"/>
      <c r="D3318" s="77"/>
      <c r="E3318" s="77"/>
      <c r="F3318" s="77"/>
      <c r="G3318" s="74"/>
      <c r="H3318" s="153"/>
      <c r="I3318" s="72"/>
      <c r="K3318" s="671"/>
      <c r="L3318" s="73"/>
      <c r="M3318" s="73"/>
      <c r="N3318" s="74"/>
      <c r="O3318" s="153"/>
    </row>
    <row r="3319" spans="1:15" customFormat="1" x14ac:dyDescent="0.25">
      <c r="A3319" s="661"/>
      <c r="B3319" s="78" t="s">
        <v>8152</v>
      </c>
      <c r="C3319" s="77"/>
      <c r="D3319" s="77"/>
      <c r="E3319" s="77"/>
      <c r="F3319" s="77"/>
      <c r="G3319" s="74"/>
      <c r="H3319" s="153"/>
      <c r="I3319" s="72"/>
      <c r="K3319" s="671"/>
      <c r="L3319" s="73"/>
      <c r="M3319" s="73"/>
      <c r="N3319" s="74"/>
      <c r="O3319" s="153"/>
    </row>
    <row r="3320" spans="1:15" customFormat="1" x14ac:dyDescent="0.25">
      <c r="A3320" s="661"/>
      <c r="B3320" s="77" t="s">
        <v>272</v>
      </c>
      <c r="C3320" s="77"/>
      <c r="D3320" s="77"/>
      <c r="E3320" s="77"/>
      <c r="F3320" s="77"/>
      <c r="G3320" s="74" t="s">
        <v>3</v>
      </c>
      <c r="H3320" s="153">
        <f>(0.034*3.14*0.75+0.055+0.05)*0.02*2*8*1.1</f>
        <v>6.5144640000000018E-2</v>
      </c>
      <c r="I3320" s="72"/>
      <c r="K3320" s="671"/>
      <c r="L3320" s="73"/>
      <c r="M3320" s="73"/>
      <c r="N3320" s="74"/>
      <c r="O3320" s="153"/>
    </row>
    <row r="3321" spans="1:15" customFormat="1" x14ac:dyDescent="0.25">
      <c r="A3321" s="661"/>
      <c r="B3321" s="77"/>
      <c r="C3321" s="77"/>
      <c r="D3321" s="77"/>
      <c r="E3321" s="77"/>
      <c r="F3321" s="77"/>
      <c r="G3321" s="74"/>
      <c r="H3321" s="153"/>
      <c r="I3321" s="72"/>
      <c r="K3321" s="671"/>
      <c r="L3321" s="73"/>
      <c r="M3321" s="73"/>
      <c r="N3321" s="74"/>
      <c r="O3321" s="153"/>
    </row>
    <row r="3322" spans="1:15" customFormat="1" x14ac:dyDescent="0.25">
      <c r="A3322" s="661"/>
      <c r="B3322" s="78" t="s">
        <v>1608</v>
      </c>
      <c r="C3322" s="186"/>
      <c r="D3322" s="73"/>
      <c r="E3322" s="74"/>
      <c r="F3322" s="153"/>
      <c r="G3322" s="74"/>
      <c r="H3322" s="153"/>
      <c r="I3322" s="72"/>
      <c r="K3322" s="671"/>
      <c r="L3322" s="73"/>
      <c r="M3322" s="73"/>
      <c r="N3322" s="74"/>
      <c r="O3322" s="153"/>
    </row>
    <row r="3323" spans="1:15" customFormat="1" x14ac:dyDescent="0.25">
      <c r="A3323" s="661"/>
      <c r="B3323" s="77" t="s">
        <v>8151</v>
      </c>
      <c r="C3323" s="73"/>
      <c r="D3323" s="73"/>
      <c r="E3323" s="73"/>
      <c r="F3323" s="73"/>
      <c r="G3323" s="74" t="s">
        <v>3</v>
      </c>
      <c r="H3323" s="153">
        <f>0.28*0.03*0.25*8*1.12</f>
        <v>1.8816000000000003E-2</v>
      </c>
      <c r="I3323" s="72"/>
      <c r="K3323" s="671"/>
      <c r="L3323" s="73"/>
      <c r="M3323" s="73"/>
      <c r="N3323" s="74"/>
      <c r="O3323" s="153"/>
    </row>
    <row r="3324" spans="1:15" customFormat="1" x14ac:dyDescent="0.25">
      <c r="A3324" s="661"/>
      <c r="B3324" s="77"/>
      <c r="C3324" s="186"/>
      <c r="D3324" s="73"/>
      <c r="E3324" s="74"/>
      <c r="F3324" s="153"/>
      <c r="G3324" s="74"/>
      <c r="H3324" s="153"/>
      <c r="I3324" s="72"/>
      <c r="K3324" s="671"/>
      <c r="L3324" s="73"/>
      <c r="M3324" s="73"/>
      <c r="N3324" s="74"/>
      <c r="O3324" s="153"/>
    </row>
    <row r="3325" spans="1:15" customFormat="1" x14ac:dyDescent="0.25">
      <c r="A3325" s="661"/>
      <c r="B3325" s="78" t="s">
        <v>1610</v>
      </c>
      <c r="C3325" s="186"/>
      <c r="D3325" s="73"/>
      <c r="E3325" s="74"/>
      <c r="F3325" s="153"/>
      <c r="G3325" s="74"/>
      <c r="H3325" s="153"/>
      <c r="I3325" s="72"/>
      <c r="K3325" s="671"/>
      <c r="L3325" s="73"/>
      <c r="M3325" s="73"/>
      <c r="N3325" s="74"/>
      <c r="O3325" s="153"/>
    </row>
    <row r="3326" spans="1:15" customFormat="1" x14ac:dyDescent="0.25">
      <c r="A3326" s="661"/>
      <c r="B3326" s="77" t="s">
        <v>8150</v>
      </c>
      <c r="C3326" s="73"/>
      <c r="D3326" s="73"/>
      <c r="E3326" s="73"/>
      <c r="F3326" s="73"/>
      <c r="G3326" s="74" t="s">
        <v>3</v>
      </c>
      <c r="H3326" s="153">
        <f>0.28*0.03*0.5*8*1.12</f>
        <v>3.7632000000000006E-2</v>
      </c>
      <c r="I3326" s="72"/>
      <c r="K3326" s="671"/>
      <c r="L3326" s="73"/>
      <c r="M3326" s="73"/>
      <c r="N3326" s="74"/>
      <c r="O3326" s="153"/>
    </row>
    <row r="3327" spans="1:15" customFormat="1" x14ac:dyDescent="0.25">
      <c r="A3327" s="661"/>
      <c r="B3327" s="77"/>
      <c r="C3327" s="186"/>
      <c r="D3327" s="73"/>
      <c r="E3327" s="74"/>
      <c r="F3327" s="153"/>
      <c r="G3327" s="74"/>
      <c r="H3327" s="153"/>
      <c r="I3327" s="72"/>
      <c r="K3327" s="671"/>
      <c r="L3327" s="73"/>
      <c r="M3327" s="73"/>
      <c r="N3327" s="74"/>
      <c r="O3327" s="153"/>
    </row>
    <row r="3328" spans="1:15" customFormat="1" x14ac:dyDescent="0.25">
      <c r="A3328" s="661"/>
      <c r="B3328" s="78" t="s">
        <v>1609</v>
      </c>
      <c r="C3328" s="186"/>
      <c r="D3328" s="73"/>
      <c r="E3328" s="74"/>
      <c r="F3328" s="153"/>
      <c r="G3328" s="74"/>
      <c r="H3328" s="153"/>
      <c r="I3328" s="72"/>
      <c r="K3328" s="671"/>
      <c r="L3328" s="73"/>
      <c r="M3328" s="73"/>
      <c r="N3328" s="74"/>
      <c r="O3328" s="153"/>
    </row>
    <row r="3329" spans="1:15" customFormat="1" x14ac:dyDescent="0.25">
      <c r="A3329" s="661"/>
      <c r="B3329" s="77" t="s">
        <v>1801</v>
      </c>
      <c r="C3329" s="73"/>
      <c r="D3329" s="73"/>
      <c r="E3329" s="73"/>
      <c r="F3329" s="73"/>
      <c r="G3329" s="74" t="s">
        <v>3</v>
      </c>
      <c r="H3329" s="153">
        <f>0.28*0.03*1*8*1.12</f>
        <v>7.5264000000000011E-2</v>
      </c>
      <c r="I3329" s="72"/>
      <c r="K3329" s="671"/>
      <c r="L3329" s="73"/>
      <c r="M3329" s="73"/>
      <c r="N3329" s="74"/>
      <c r="O3329" s="153"/>
    </row>
    <row r="3330" spans="1:15" customFormat="1" x14ac:dyDescent="0.25">
      <c r="A3330" s="661"/>
      <c r="B3330" s="73"/>
      <c r="C3330" s="77"/>
      <c r="D3330" s="77"/>
      <c r="E3330" s="77"/>
      <c r="F3330" s="77"/>
      <c r="G3330" s="74"/>
      <c r="H3330" s="153"/>
      <c r="I3330" s="72"/>
      <c r="K3330" s="671"/>
      <c r="L3330" s="73"/>
      <c r="M3330" s="73"/>
      <c r="N3330" s="74"/>
      <c r="O3330" s="153"/>
    </row>
    <row r="3331" spans="1:15" customFormat="1" x14ac:dyDescent="0.25">
      <c r="A3331" s="661"/>
      <c r="B3331" s="78" t="s">
        <v>1611</v>
      </c>
      <c r="C3331" s="186"/>
      <c r="D3331" s="73"/>
      <c r="E3331" s="74"/>
      <c r="F3331" s="77"/>
      <c r="G3331" s="74"/>
      <c r="H3331" s="153"/>
      <c r="I3331" s="72"/>
      <c r="K3331" s="671"/>
      <c r="L3331" s="73"/>
      <c r="M3331" s="73"/>
      <c r="N3331" s="74"/>
      <c r="O3331" s="153"/>
    </row>
    <row r="3332" spans="1:15" customFormat="1" x14ac:dyDescent="0.25">
      <c r="A3332" s="661"/>
      <c r="B3332" s="77" t="s">
        <v>8149</v>
      </c>
      <c r="C3332" s="73"/>
      <c r="D3332" s="73"/>
      <c r="E3332" s="73"/>
      <c r="F3332" s="73"/>
      <c r="G3332" s="74" t="s">
        <v>3</v>
      </c>
      <c r="H3332" s="153">
        <f>0.28*0.03*2*8*1.115</f>
        <v>0.14985600000000002</v>
      </c>
      <c r="I3332" s="72"/>
      <c r="K3332" s="671"/>
      <c r="L3332" s="73"/>
      <c r="M3332" s="73"/>
      <c r="N3332" s="74"/>
      <c r="O3332" s="153"/>
    </row>
    <row r="3333" spans="1:15" customFormat="1" x14ac:dyDescent="0.25">
      <c r="A3333" s="661"/>
      <c r="B3333" s="73"/>
      <c r="C3333" s="77"/>
      <c r="D3333" s="77"/>
      <c r="E3333" s="77"/>
      <c r="F3333" s="77"/>
      <c r="G3333" s="74"/>
      <c r="H3333" s="153"/>
      <c r="I3333" s="72"/>
      <c r="K3333" s="671"/>
      <c r="L3333" s="73"/>
      <c r="M3333" s="73"/>
      <c r="N3333" s="74"/>
      <c r="O3333" s="153"/>
    </row>
    <row r="3334" spans="1:15" customFormat="1" x14ac:dyDescent="0.25">
      <c r="A3334" s="661"/>
      <c r="B3334" s="75" t="s">
        <v>8148</v>
      </c>
      <c r="C3334" s="77"/>
      <c r="D3334" s="77"/>
      <c r="E3334" s="77"/>
      <c r="F3334" s="77"/>
      <c r="G3334" s="74"/>
      <c r="H3334" s="153"/>
      <c r="I3334" s="72"/>
      <c r="K3334" s="671"/>
      <c r="L3334" s="73"/>
      <c r="M3334" s="73"/>
      <c r="N3334" s="74"/>
      <c r="O3334" s="153"/>
    </row>
    <row r="3335" spans="1:15" customFormat="1" x14ac:dyDescent="0.25">
      <c r="A3335" s="661"/>
      <c r="B3335" s="73" t="s">
        <v>300</v>
      </c>
      <c r="C3335" s="77"/>
      <c r="D3335" s="77"/>
      <c r="E3335" s="77"/>
      <c r="F3335" s="77"/>
      <c r="G3335" s="74" t="s">
        <v>3</v>
      </c>
      <c r="H3335" s="153">
        <f>0.15*0.06*3*8*1.135</f>
        <v>0.24515999999999996</v>
      </c>
      <c r="I3335" s="72"/>
      <c r="K3335" s="671"/>
      <c r="L3335" s="73"/>
      <c r="M3335" s="73"/>
      <c r="N3335" s="74"/>
      <c r="O3335" s="153"/>
    </row>
    <row r="3336" spans="1:15" customFormat="1" x14ac:dyDescent="0.25">
      <c r="A3336" s="661"/>
      <c r="B3336" s="73"/>
      <c r="C3336" s="77"/>
      <c r="D3336" s="77"/>
      <c r="E3336" s="77"/>
      <c r="F3336" s="77"/>
      <c r="G3336" s="74"/>
      <c r="H3336" s="153"/>
      <c r="I3336" s="72"/>
      <c r="K3336" s="671"/>
      <c r="L3336" s="73"/>
      <c r="M3336" s="73"/>
      <c r="N3336" s="74"/>
      <c r="O3336" s="153"/>
    </row>
    <row r="3337" spans="1:15" customFormat="1" x14ac:dyDescent="0.25">
      <c r="A3337" s="661"/>
      <c r="B3337" s="75" t="s">
        <v>8147</v>
      </c>
      <c r="C3337" s="77"/>
      <c r="D3337" s="77"/>
      <c r="E3337" s="77"/>
      <c r="F3337" s="77"/>
      <c r="G3337" s="74"/>
      <c r="H3337" s="153"/>
      <c r="I3337" s="72"/>
      <c r="K3337" s="671"/>
      <c r="L3337" s="73"/>
      <c r="M3337" s="73"/>
      <c r="N3337" s="74"/>
      <c r="O3337" s="153"/>
    </row>
    <row r="3338" spans="1:15" customFormat="1" x14ac:dyDescent="0.25">
      <c r="A3338" s="661"/>
      <c r="B3338" s="73" t="s">
        <v>177</v>
      </c>
      <c r="C3338" s="77"/>
      <c r="D3338" s="77"/>
      <c r="E3338" s="77"/>
      <c r="F3338" s="77"/>
      <c r="G3338" s="74" t="s">
        <v>3</v>
      </c>
      <c r="H3338" s="153">
        <f>0.22*0.03*1*8*1.13</f>
        <v>5.9663999999999995E-2</v>
      </c>
      <c r="I3338" s="72"/>
      <c r="K3338" s="671"/>
      <c r="L3338" s="73"/>
      <c r="M3338" s="73"/>
      <c r="N3338" s="74"/>
      <c r="O3338" s="153"/>
    </row>
    <row r="3339" spans="1:15" customFormat="1" x14ac:dyDescent="0.25">
      <c r="A3339" s="661"/>
      <c r="B3339" s="73"/>
      <c r="C3339" s="77"/>
      <c r="D3339" s="77"/>
      <c r="E3339" s="77"/>
      <c r="F3339" s="77"/>
      <c r="G3339" s="74"/>
      <c r="H3339" s="153"/>
      <c r="I3339" s="72"/>
      <c r="K3339" s="671"/>
      <c r="L3339" s="73"/>
      <c r="M3339" s="73"/>
      <c r="N3339" s="74"/>
      <c r="O3339" s="153"/>
    </row>
    <row r="3340" spans="1:15" customFormat="1" x14ac:dyDescent="0.25">
      <c r="A3340" s="661"/>
      <c r="B3340" s="75" t="s">
        <v>8146</v>
      </c>
      <c r="C3340" s="77"/>
      <c r="D3340" s="77"/>
      <c r="E3340" s="77"/>
      <c r="F3340" s="77"/>
      <c r="G3340" s="74"/>
      <c r="H3340" s="153"/>
      <c r="I3340" s="72"/>
      <c r="K3340" s="671"/>
      <c r="L3340" s="73"/>
      <c r="M3340" s="73"/>
      <c r="N3340" s="74"/>
      <c r="O3340" s="153"/>
    </row>
    <row r="3341" spans="1:15" customFormat="1" x14ac:dyDescent="0.25">
      <c r="A3341" s="661"/>
      <c r="B3341" s="73" t="s">
        <v>55</v>
      </c>
      <c r="C3341" s="77"/>
      <c r="D3341" s="77"/>
      <c r="E3341" s="77"/>
      <c r="F3341" s="77"/>
      <c r="G3341" s="74" t="s">
        <v>3</v>
      </c>
      <c r="H3341" s="153">
        <f>(0.018*3.14/2+0.05)*0.03*3*8*1.15</f>
        <v>6.4799279999999987E-2</v>
      </c>
      <c r="I3341" s="72"/>
      <c r="K3341" s="671"/>
      <c r="L3341" s="73"/>
      <c r="M3341" s="73"/>
      <c r="N3341" s="74"/>
      <c r="O3341" s="153"/>
    </row>
    <row r="3342" spans="1:15" customFormat="1" x14ac:dyDescent="0.25">
      <c r="A3342" s="661"/>
      <c r="B3342" s="73"/>
      <c r="C3342" s="77"/>
      <c r="D3342" s="77"/>
      <c r="E3342" s="77"/>
      <c r="F3342" s="77"/>
      <c r="G3342" s="74"/>
      <c r="H3342" s="153"/>
      <c r="I3342" s="72"/>
      <c r="K3342" s="671"/>
      <c r="L3342" s="73"/>
      <c r="M3342" s="73"/>
      <c r="N3342" s="74"/>
      <c r="O3342" s="153"/>
    </row>
    <row r="3343" spans="1:15" customFormat="1" x14ac:dyDescent="0.25">
      <c r="A3343" s="661"/>
      <c r="B3343" s="75" t="s">
        <v>8145</v>
      </c>
      <c r="C3343" s="77"/>
      <c r="D3343" s="77"/>
      <c r="E3343" s="77"/>
      <c r="F3343" s="77"/>
      <c r="G3343" s="74"/>
      <c r="H3343" s="153"/>
      <c r="I3343" s="72"/>
      <c r="K3343" s="671"/>
      <c r="L3343" s="73"/>
      <c r="M3343" s="73"/>
      <c r="N3343" s="74"/>
      <c r="O3343" s="153"/>
    </row>
    <row r="3344" spans="1:15" customFormat="1" x14ac:dyDescent="0.25">
      <c r="A3344" s="661"/>
      <c r="B3344" s="73" t="s">
        <v>415</v>
      </c>
      <c r="C3344" s="77"/>
      <c r="D3344" s="77"/>
      <c r="E3344" s="77"/>
      <c r="F3344" s="77"/>
      <c r="G3344" s="74" t="s">
        <v>3</v>
      </c>
      <c r="H3344" s="153">
        <f>(0.035*3.14+0.075)*0.02*1.5*8*1.08</f>
        <v>4.792608000000001E-2</v>
      </c>
      <c r="I3344" s="72"/>
      <c r="K3344" s="671"/>
      <c r="L3344" s="73"/>
      <c r="M3344" s="73"/>
      <c r="N3344" s="74"/>
      <c r="O3344" s="153"/>
    </row>
    <row r="3345" spans="1:15" customFormat="1" x14ac:dyDescent="0.25">
      <c r="A3345" s="661"/>
      <c r="B3345" s="73"/>
      <c r="C3345" s="77"/>
      <c r="D3345" s="77"/>
      <c r="E3345" s="77"/>
      <c r="F3345" s="77"/>
      <c r="G3345" s="74"/>
      <c r="H3345" s="153"/>
      <c r="I3345" s="72"/>
      <c r="K3345" s="671"/>
      <c r="L3345" s="73"/>
      <c r="M3345" s="73"/>
      <c r="N3345" s="74"/>
      <c r="O3345" s="153"/>
    </row>
    <row r="3346" spans="1:15" customFormat="1" x14ac:dyDescent="0.25">
      <c r="A3346" s="661"/>
      <c r="B3346" s="75" t="s">
        <v>8144</v>
      </c>
      <c r="C3346" s="77"/>
      <c r="D3346" s="77"/>
      <c r="E3346" s="77"/>
      <c r="F3346" s="77"/>
      <c r="G3346" s="74"/>
      <c r="H3346" s="153"/>
      <c r="I3346" s="72"/>
      <c r="K3346" s="671"/>
      <c r="L3346" s="73"/>
      <c r="M3346" s="73"/>
      <c r="N3346" s="74"/>
      <c r="O3346" s="153"/>
    </row>
    <row r="3347" spans="1:15" customFormat="1" x14ac:dyDescent="0.25">
      <c r="A3347" s="661"/>
      <c r="B3347" s="73" t="s">
        <v>2669</v>
      </c>
      <c r="C3347" s="77"/>
      <c r="D3347" s="77"/>
      <c r="E3347" s="77"/>
      <c r="F3347" s="77"/>
      <c r="G3347" s="74" t="s">
        <v>3</v>
      </c>
      <c r="H3347" s="153">
        <f>0.25*0.04*1.5*8*1.21</f>
        <v>0.1452</v>
      </c>
      <c r="I3347" s="72"/>
      <c r="K3347" s="671"/>
      <c r="L3347" s="73"/>
      <c r="M3347" s="73"/>
      <c r="N3347" s="74"/>
      <c r="O3347" s="153"/>
    </row>
    <row r="3348" spans="1:15" customFormat="1" x14ac:dyDescent="0.25">
      <c r="A3348" s="661"/>
      <c r="B3348" s="73"/>
      <c r="C3348" s="77"/>
      <c r="D3348" s="77"/>
      <c r="E3348" s="77"/>
      <c r="F3348" s="77"/>
      <c r="G3348" s="74"/>
      <c r="H3348" s="153"/>
      <c r="I3348" s="72"/>
      <c r="K3348" s="671"/>
      <c r="L3348" s="73"/>
      <c r="M3348" s="73"/>
      <c r="N3348" s="74"/>
      <c r="O3348" s="153"/>
    </row>
    <row r="3349" spans="1:15" customFormat="1" x14ac:dyDescent="0.25">
      <c r="A3349" s="661"/>
      <c r="B3349" s="75" t="s">
        <v>8143</v>
      </c>
      <c r="C3349" s="77"/>
      <c r="D3349" s="77"/>
      <c r="E3349" s="77"/>
      <c r="F3349" s="77"/>
      <c r="G3349" s="74"/>
      <c r="H3349" s="153"/>
      <c r="I3349" s="72"/>
      <c r="K3349" s="671"/>
      <c r="L3349" s="73"/>
      <c r="M3349" s="73"/>
      <c r="N3349" s="74"/>
      <c r="O3349" s="153"/>
    </row>
    <row r="3350" spans="1:15" customFormat="1" x14ac:dyDescent="0.25">
      <c r="A3350" s="661"/>
      <c r="B3350" s="73" t="s">
        <v>1138</v>
      </c>
      <c r="C3350" s="77"/>
      <c r="D3350" s="77"/>
      <c r="E3350" s="77"/>
      <c r="F3350" s="77"/>
      <c r="G3350" s="74" t="s">
        <v>3</v>
      </c>
      <c r="H3350" s="153">
        <f>0.1*0.02*4*2.7*1.15</f>
        <v>2.4840000000000001E-2</v>
      </c>
      <c r="I3350" s="72"/>
      <c r="K3350" s="671"/>
      <c r="L3350" s="73"/>
      <c r="M3350" s="73"/>
      <c r="N3350" s="74"/>
      <c r="O3350" s="153"/>
    </row>
    <row r="3351" spans="1:15" customFormat="1" x14ac:dyDescent="0.25">
      <c r="A3351" s="661"/>
      <c r="B3351" s="73"/>
      <c r="C3351" s="77"/>
      <c r="D3351" s="77"/>
      <c r="E3351" s="77"/>
      <c r="F3351" s="77"/>
      <c r="G3351" s="74"/>
      <c r="H3351" s="153"/>
      <c r="I3351" s="72"/>
      <c r="K3351" s="671"/>
      <c r="L3351" s="73"/>
      <c r="M3351" s="73"/>
      <c r="N3351" s="74"/>
      <c r="O3351" s="153"/>
    </row>
    <row r="3352" spans="1:15" customFormat="1" x14ac:dyDescent="0.25">
      <c r="A3352" s="661"/>
      <c r="B3352" s="75" t="s">
        <v>8142</v>
      </c>
      <c r="C3352" s="77"/>
      <c r="D3352" s="77"/>
      <c r="E3352" s="77"/>
      <c r="F3352" s="77"/>
      <c r="G3352" s="74"/>
      <c r="H3352" s="153"/>
      <c r="I3352" s="72"/>
      <c r="K3352" s="671"/>
      <c r="L3352" s="73"/>
      <c r="M3352" s="73"/>
      <c r="N3352" s="74"/>
      <c r="O3352" s="153"/>
    </row>
    <row r="3353" spans="1:15" customFormat="1" x14ac:dyDescent="0.25">
      <c r="A3353" s="661"/>
      <c r="B3353" s="73" t="s">
        <v>984</v>
      </c>
      <c r="C3353" s="77"/>
      <c r="D3353" s="77"/>
      <c r="E3353" s="77"/>
      <c r="F3353" s="77"/>
      <c r="G3353" s="74" t="s">
        <v>3</v>
      </c>
      <c r="H3353" s="153">
        <f>0.024*1.12</f>
        <v>2.6880000000000005E-2</v>
      </c>
      <c r="I3353" s="72"/>
      <c r="K3353" s="671"/>
      <c r="L3353" s="73"/>
      <c r="M3353" s="73"/>
      <c r="N3353" s="74"/>
      <c r="O3353" s="153"/>
    </row>
    <row r="3354" spans="1:15" customFormat="1" x14ac:dyDescent="0.25">
      <c r="A3354" s="661"/>
      <c r="B3354" s="73"/>
      <c r="C3354" s="77"/>
      <c r="D3354" s="77"/>
      <c r="E3354" s="77"/>
      <c r="F3354" s="77"/>
      <c r="G3354" s="74"/>
      <c r="H3354" s="153"/>
      <c r="I3354" s="72"/>
      <c r="K3354" s="671"/>
      <c r="L3354" s="73"/>
      <c r="M3354" s="73"/>
      <c r="N3354" s="74"/>
      <c r="O3354" s="153"/>
    </row>
    <row r="3355" spans="1:15" customFormat="1" x14ac:dyDescent="0.25">
      <c r="A3355" s="661"/>
      <c r="B3355" s="75" t="s">
        <v>8141</v>
      </c>
      <c r="C3355" s="77"/>
      <c r="D3355" s="77"/>
      <c r="E3355" s="77"/>
      <c r="F3355" s="77"/>
      <c r="G3355" s="74"/>
      <c r="H3355" s="153"/>
      <c r="I3355" s="72"/>
      <c r="K3355" s="671"/>
      <c r="L3355" s="73"/>
      <c r="M3355" s="73"/>
      <c r="N3355" s="74"/>
      <c r="O3355" s="153"/>
    </row>
    <row r="3356" spans="1:15" customFormat="1" x14ac:dyDescent="0.25">
      <c r="A3356" s="661"/>
      <c r="B3356" s="73" t="s">
        <v>984</v>
      </c>
      <c r="C3356" s="77"/>
      <c r="D3356" s="77"/>
      <c r="E3356" s="77"/>
      <c r="F3356" s="77"/>
      <c r="G3356" s="74" t="s">
        <v>3</v>
      </c>
      <c r="H3356" s="153">
        <f>0.055*1.095</f>
        <v>6.0225000000000001E-2</v>
      </c>
      <c r="I3356" s="72"/>
      <c r="K3356" s="671"/>
      <c r="L3356" s="73"/>
      <c r="M3356" s="73"/>
      <c r="N3356" s="74"/>
      <c r="O3356" s="153"/>
    </row>
    <row r="3357" spans="1:15" customFormat="1" x14ac:dyDescent="0.25">
      <c r="A3357" s="661"/>
      <c r="B3357" s="73"/>
      <c r="C3357" s="77"/>
      <c r="D3357" s="77"/>
      <c r="E3357" s="77"/>
      <c r="F3357" s="77"/>
      <c r="G3357" s="74"/>
      <c r="H3357" s="153"/>
      <c r="I3357" s="72"/>
      <c r="K3357" s="671"/>
      <c r="L3357" s="73"/>
      <c r="M3357" s="73"/>
      <c r="N3357" s="74"/>
      <c r="O3357" s="153"/>
    </row>
    <row r="3358" spans="1:15" customFormat="1" x14ac:dyDescent="0.25">
      <c r="A3358" s="661"/>
      <c r="B3358" s="75" t="s">
        <v>2943</v>
      </c>
      <c r="C3358" s="77"/>
      <c r="D3358" s="77"/>
      <c r="E3358" s="77"/>
      <c r="F3358" s="77"/>
      <c r="G3358" s="74"/>
      <c r="H3358" s="153"/>
      <c r="I3358" s="72"/>
      <c r="K3358" s="671"/>
      <c r="L3358" s="73"/>
      <c r="M3358" s="73"/>
      <c r="N3358" s="74"/>
      <c r="O3358" s="153"/>
    </row>
    <row r="3359" spans="1:15" customFormat="1" x14ac:dyDescent="0.25">
      <c r="A3359" s="661"/>
      <c r="B3359" s="73" t="s">
        <v>984</v>
      </c>
      <c r="C3359" s="77"/>
      <c r="D3359" s="77"/>
      <c r="E3359" s="77"/>
      <c r="F3359" s="77"/>
      <c r="G3359" s="74" t="s">
        <v>3</v>
      </c>
      <c r="H3359" s="153">
        <f>0.05*1.1</f>
        <v>5.5000000000000007E-2</v>
      </c>
      <c r="I3359" s="72"/>
      <c r="K3359" s="671"/>
      <c r="L3359" s="73"/>
      <c r="M3359" s="73"/>
      <c r="N3359" s="74"/>
      <c r="O3359" s="153"/>
    </row>
    <row r="3360" spans="1:15" customFormat="1" x14ac:dyDescent="0.25">
      <c r="A3360" s="661"/>
      <c r="B3360" s="73"/>
      <c r="C3360" s="77"/>
      <c r="D3360" s="77"/>
      <c r="E3360" s="77"/>
      <c r="F3360" s="77"/>
      <c r="G3360" s="74"/>
      <c r="H3360" s="153"/>
      <c r="I3360" s="72"/>
      <c r="K3360" s="671"/>
      <c r="L3360" s="73"/>
      <c r="M3360" s="73"/>
      <c r="N3360" s="74"/>
      <c r="O3360" s="153"/>
    </row>
    <row r="3361" spans="1:15" customFormat="1" x14ac:dyDescent="0.25">
      <c r="A3361" s="661"/>
      <c r="B3361" s="75" t="s">
        <v>8140</v>
      </c>
      <c r="C3361" s="77"/>
      <c r="D3361" s="77"/>
      <c r="E3361" s="77"/>
      <c r="F3361" s="77"/>
      <c r="G3361" s="74"/>
      <c r="H3361" s="153"/>
      <c r="I3361" s="72"/>
      <c r="K3361" s="671"/>
      <c r="L3361" s="73"/>
      <c r="M3361" s="73"/>
      <c r="N3361" s="74"/>
      <c r="O3361" s="153"/>
    </row>
    <row r="3362" spans="1:15" customFormat="1" x14ac:dyDescent="0.25">
      <c r="A3362" s="661"/>
      <c r="B3362" s="73" t="s">
        <v>984</v>
      </c>
      <c r="C3362" s="77"/>
      <c r="D3362" s="77"/>
      <c r="E3362" s="77"/>
      <c r="F3362" s="77"/>
      <c r="G3362" s="74" t="s">
        <v>3</v>
      </c>
      <c r="H3362" s="153">
        <f>(0.025*3.14+0.05)*0.02*1.5*8*1.1</f>
        <v>3.3924000000000003E-2</v>
      </c>
      <c r="I3362" s="72"/>
      <c r="K3362" s="671"/>
      <c r="L3362" s="73"/>
      <c r="M3362" s="73"/>
      <c r="N3362" s="74"/>
      <c r="O3362" s="153"/>
    </row>
    <row r="3363" spans="1:15" customFormat="1" x14ac:dyDescent="0.25">
      <c r="A3363" s="661"/>
      <c r="B3363" s="73"/>
      <c r="C3363" s="77"/>
      <c r="D3363" s="77"/>
      <c r="E3363" s="77"/>
      <c r="F3363" s="77"/>
      <c r="G3363" s="74"/>
      <c r="H3363" s="153"/>
      <c r="I3363" s="72"/>
      <c r="K3363" s="671"/>
      <c r="L3363" s="73"/>
      <c r="M3363" s="73"/>
      <c r="N3363" s="74"/>
      <c r="O3363" s="153"/>
    </row>
    <row r="3364" spans="1:15" customFormat="1" x14ac:dyDescent="0.25">
      <c r="A3364" s="661"/>
      <c r="B3364" s="75" t="s">
        <v>8139</v>
      </c>
      <c r="C3364" s="77"/>
      <c r="D3364" s="77"/>
      <c r="E3364" s="77"/>
      <c r="F3364" s="77"/>
      <c r="G3364" s="74"/>
      <c r="H3364" s="153"/>
      <c r="I3364" s="72"/>
      <c r="K3364" s="671"/>
      <c r="L3364" s="73"/>
      <c r="M3364" s="73"/>
      <c r="N3364" s="74"/>
      <c r="O3364" s="153"/>
    </row>
    <row r="3365" spans="1:15" customFormat="1" x14ac:dyDescent="0.25">
      <c r="A3365" s="661"/>
      <c r="B3365" s="77" t="s">
        <v>8138</v>
      </c>
      <c r="C3365" s="77"/>
      <c r="D3365" s="77"/>
      <c r="E3365" s="77"/>
      <c r="F3365" s="77"/>
      <c r="G3365" s="74" t="s">
        <v>3</v>
      </c>
      <c r="H3365" s="153">
        <f>0.015*1.15</f>
        <v>1.7249999999999998E-2</v>
      </c>
      <c r="I3365" s="72"/>
      <c r="K3365" s="671"/>
      <c r="L3365" s="73"/>
      <c r="M3365" s="73"/>
      <c r="N3365" s="74"/>
      <c r="O3365" s="153"/>
    </row>
    <row r="3366" spans="1:15" customFormat="1" x14ac:dyDescent="0.25">
      <c r="A3366" s="661"/>
      <c r="B3366" s="73"/>
      <c r="C3366" s="77"/>
      <c r="D3366" s="77"/>
      <c r="E3366" s="77"/>
      <c r="F3366" s="77"/>
      <c r="G3366" s="74"/>
      <c r="H3366" s="153"/>
      <c r="I3366" s="72"/>
      <c r="K3366" s="671"/>
      <c r="L3366" s="73"/>
      <c r="M3366" s="73"/>
      <c r="N3366" s="74"/>
      <c r="O3366" s="153"/>
    </row>
    <row r="3367" spans="1:15" customFormat="1" x14ac:dyDescent="0.25">
      <c r="A3367" s="661"/>
      <c r="B3367" s="75" t="s">
        <v>8137</v>
      </c>
      <c r="C3367" s="77"/>
      <c r="D3367" s="77"/>
      <c r="E3367" s="77"/>
      <c r="F3367" s="77"/>
      <c r="G3367" s="74"/>
      <c r="H3367" s="153"/>
      <c r="I3367" s="72"/>
      <c r="K3367" s="671"/>
      <c r="L3367" s="73"/>
      <c r="M3367" s="73"/>
      <c r="N3367" s="74"/>
      <c r="O3367" s="153"/>
    </row>
    <row r="3368" spans="1:15" customFormat="1" x14ac:dyDescent="0.25">
      <c r="A3368" s="661"/>
      <c r="B3368" s="73" t="s">
        <v>8136</v>
      </c>
      <c r="C3368" s="77"/>
      <c r="D3368" s="77"/>
      <c r="E3368" s="77"/>
      <c r="F3368" s="77"/>
      <c r="G3368" s="74" t="s">
        <v>3</v>
      </c>
      <c r="H3368" s="153">
        <f>0.0042*1.12</f>
        <v>4.7039999999999998E-3</v>
      </c>
      <c r="I3368" s="72"/>
      <c r="K3368" s="671"/>
      <c r="L3368" s="73"/>
      <c r="M3368" s="73"/>
      <c r="N3368" s="74"/>
      <c r="O3368" s="153"/>
    </row>
    <row r="3369" spans="1:15" customFormat="1" x14ac:dyDescent="0.25">
      <c r="A3369" s="661"/>
      <c r="B3369" s="73"/>
      <c r="C3369" s="77"/>
      <c r="D3369" s="77"/>
      <c r="E3369" s="77"/>
      <c r="F3369" s="77"/>
      <c r="G3369" s="74"/>
      <c r="H3369" s="153"/>
      <c r="I3369" s="72"/>
      <c r="K3369" s="671"/>
      <c r="L3369" s="73"/>
      <c r="M3369" s="73"/>
      <c r="N3369" s="74"/>
      <c r="O3369" s="153"/>
    </row>
    <row r="3370" spans="1:15" customFormat="1" x14ac:dyDescent="0.25">
      <c r="A3370" s="661"/>
      <c r="B3370" s="75" t="s">
        <v>8135</v>
      </c>
      <c r="C3370" s="77"/>
      <c r="D3370" s="77"/>
      <c r="E3370" s="77"/>
      <c r="F3370" s="77"/>
      <c r="G3370" s="74"/>
      <c r="H3370" s="153"/>
      <c r="I3370" s="72"/>
      <c r="K3370" s="671"/>
      <c r="L3370" s="73"/>
      <c r="M3370" s="73"/>
      <c r="N3370" s="74"/>
      <c r="O3370" s="153"/>
    </row>
    <row r="3371" spans="1:15" customFormat="1" x14ac:dyDescent="0.25">
      <c r="A3371" s="661"/>
      <c r="B3371" s="73" t="s">
        <v>412</v>
      </c>
      <c r="C3371" s="77"/>
      <c r="D3371" s="77"/>
      <c r="E3371" s="77"/>
      <c r="F3371" s="77"/>
      <c r="G3371" s="74" t="s">
        <v>3</v>
      </c>
      <c r="H3371" s="153">
        <f>0.026*1.15</f>
        <v>2.9899999999999996E-2</v>
      </c>
      <c r="I3371" s="72"/>
      <c r="K3371" s="671"/>
      <c r="L3371" s="73"/>
      <c r="M3371" s="73"/>
      <c r="N3371" s="74"/>
      <c r="O3371" s="153"/>
    </row>
    <row r="3372" spans="1:15" customFormat="1" x14ac:dyDescent="0.25">
      <c r="A3372" s="661"/>
      <c r="B3372" s="73"/>
      <c r="C3372" s="77"/>
      <c r="D3372" s="77"/>
      <c r="E3372" s="77"/>
      <c r="F3372" s="77"/>
      <c r="G3372" s="74"/>
      <c r="H3372" s="153"/>
      <c r="I3372" s="72"/>
      <c r="K3372" s="671"/>
      <c r="L3372" s="73"/>
      <c r="M3372" s="73"/>
      <c r="N3372" s="74"/>
      <c r="O3372" s="153"/>
    </row>
    <row r="3373" spans="1:15" customFormat="1" x14ac:dyDescent="0.25">
      <c r="A3373" s="661"/>
      <c r="B3373" s="75" t="s">
        <v>8134</v>
      </c>
      <c r="C3373" s="77"/>
      <c r="D3373" s="77"/>
      <c r="E3373" s="77"/>
      <c r="F3373" s="77"/>
      <c r="G3373" s="74"/>
      <c r="H3373" s="153"/>
      <c r="I3373" s="72"/>
      <c r="K3373" s="671"/>
      <c r="L3373" s="73"/>
      <c r="M3373" s="73"/>
      <c r="N3373" s="74"/>
      <c r="O3373" s="153"/>
    </row>
    <row r="3374" spans="1:15" customFormat="1" x14ac:dyDescent="0.25">
      <c r="A3374" s="661"/>
      <c r="B3374" s="73" t="s">
        <v>412</v>
      </c>
      <c r="C3374" s="77"/>
      <c r="D3374" s="77"/>
      <c r="E3374" s="77"/>
      <c r="F3374" s="77"/>
      <c r="G3374" s="74" t="s">
        <v>3</v>
      </c>
      <c r="H3374" s="153">
        <f>0.075*0.02*2*8*1.05</f>
        <v>2.52E-2</v>
      </c>
      <c r="I3374" s="72"/>
      <c r="K3374" s="671"/>
      <c r="L3374" s="73"/>
      <c r="M3374" s="73"/>
      <c r="N3374" s="74"/>
      <c r="O3374" s="153"/>
    </row>
    <row r="3375" spans="1:15" customFormat="1" x14ac:dyDescent="0.25">
      <c r="A3375" s="661"/>
      <c r="B3375" s="73"/>
      <c r="C3375" s="77"/>
      <c r="D3375" s="77"/>
      <c r="E3375" s="77"/>
      <c r="F3375" s="77"/>
      <c r="G3375" s="74"/>
      <c r="H3375" s="153"/>
      <c r="I3375" s="72"/>
      <c r="K3375" s="671"/>
      <c r="L3375" s="73"/>
      <c r="M3375" s="73"/>
      <c r="N3375" s="74"/>
      <c r="O3375" s="153"/>
    </row>
    <row r="3376" spans="1:15" customFormat="1" x14ac:dyDescent="0.25">
      <c r="A3376" s="661"/>
      <c r="B3376" s="75" t="s">
        <v>8133</v>
      </c>
      <c r="C3376" s="77"/>
      <c r="D3376" s="77"/>
      <c r="E3376" s="77"/>
      <c r="F3376" s="77"/>
      <c r="G3376" s="74"/>
      <c r="H3376" s="153"/>
      <c r="I3376" s="72"/>
      <c r="K3376" s="671"/>
      <c r="L3376" s="73"/>
      <c r="M3376" s="73"/>
      <c r="N3376" s="74"/>
      <c r="O3376" s="153"/>
    </row>
    <row r="3377" spans="1:15" customFormat="1" x14ac:dyDescent="0.25">
      <c r="A3377" s="661"/>
      <c r="B3377" s="73" t="s">
        <v>412</v>
      </c>
      <c r="C3377" s="77"/>
      <c r="D3377" s="77"/>
      <c r="E3377" s="77"/>
      <c r="F3377" s="77"/>
      <c r="G3377" s="74" t="s">
        <v>3</v>
      </c>
      <c r="H3377" s="153">
        <f>0.07*0.02*2*8*1.1</f>
        <v>2.4640000000000006E-2</v>
      </c>
      <c r="I3377" s="72"/>
      <c r="K3377" s="671"/>
      <c r="L3377" s="73"/>
      <c r="M3377" s="73"/>
      <c r="N3377" s="74"/>
      <c r="O3377" s="153"/>
    </row>
    <row r="3378" spans="1:15" customFormat="1" x14ac:dyDescent="0.25">
      <c r="A3378" s="661"/>
      <c r="B3378" s="73"/>
      <c r="C3378" s="77"/>
      <c r="D3378" s="77"/>
      <c r="E3378" s="77"/>
      <c r="F3378" s="77"/>
      <c r="G3378" s="74"/>
      <c r="H3378" s="153"/>
      <c r="I3378" s="72"/>
      <c r="K3378" s="671"/>
      <c r="L3378" s="73"/>
      <c r="M3378" s="73"/>
      <c r="N3378" s="74"/>
      <c r="O3378" s="153"/>
    </row>
    <row r="3379" spans="1:15" customFormat="1" x14ac:dyDescent="0.25">
      <c r="A3379" s="661"/>
      <c r="B3379" s="75" t="s">
        <v>8132</v>
      </c>
      <c r="C3379" s="77"/>
      <c r="D3379" s="77"/>
      <c r="E3379" s="77"/>
      <c r="F3379" s="77"/>
      <c r="G3379" s="74"/>
      <c r="H3379" s="153"/>
      <c r="I3379" s="72"/>
      <c r="K3379" s="671"/>
      <c r="L3379" s="73"/>
      <c r="M3379" s="73"/>
      <c r="N3379" s="74"/>
      <c r="O3379" s="153"/>
    </row>
    <row r="3380" spans="1:15" customFormat="1" x14ac:dyDescent="0.25">
      <c r="A3380" s="661"/>
      <c r="B3380" s="73" t="s">
        <v>1143</v>
      </c>
      <c r="C3380" s="77"/>
      <c r="D3380" s="77"/>
      <c r="E3380" s="77"/>
      <c r="F3380" s="77"/>
      <c r="G3380" s="74" t="s">
        <v>3</v>
      </c>
      <c r="H3380" s="153">
        <f>0.093*0.02*3*8*1.11</f>
        <v>4.9550400000000001E-2</v>
      </c>
      <c r="I3380" s="72"/>
      <c r="K3380" s="671"/>
      <c r="L3380" s="73"/>
      <c r="M3380" s="73"/>
      <c r="N3380" s="74"/>
      <c r="O3380" s="153"/>
    </row>
    <row r="3381" spans="1:15" customFormat="1" x14ac:dyDescent="0.25">
      <c r="A3381" s="661"/>
      <c r="B3381" s="73"/>
      <c r="C3381" s="77"/>
      <c r="D3381" s="77"/>
      <c r="E3381" s="77"/>
      <c r="F3381" s="77"/>
      <c r="G3381" s="74"/>
      <c r="H3381" s="153"/>
      <c r="I3381" s="72"/>
      <c r="K3381" s="671"/>
      <c r="L3381" s="73"/>
      <c r="M3381" s="73"/>
      <c r="N3381" s="74"/>
      <c r="O3381" s="153"/>
    </row>
    <row r="3382" spans="1:15" customFormat="1" x14ac:dyDescent="0.25">
      <c r="A3382" s="661"/>
      <c r="B3382" s="75" t="s">
        <v>8131</v>
      </c>
      <c r="C3382" s="77"/>
      <c r="D3382" s="77"/>
      <c r="E3382" s="77"/>
      <c r="F3382" s="77"/>
      <c r="G3382" s="74"/>
      <c r="H3382" s="153"/>
      <c r="I3382" s="72"/>
      <c r="K3382" s="671"/>
      <c r="L3382" s="73"/>
      <c r="M3382" s="73"/>
      <c r="N3382" s="74"/>
      <c r="O3382" s="153"/>
    </row>
    <row r="3383" spans="1:15" customFormat="1" x14ac:dyDescent="0.25">
      <c r="A3383" s="661"/>
      <c r="B3383" s="73" t="s">
        <v>55</v>
      </c>
      <c r="C3383" s="77"/>
      <c r="D3383" s="77"/>
      <c r="E3383" s="77"/>
      <c r="F3383" s="77"/>
      <c r="G3383" s="74" t="s">
        <v>3</v>
      </c>
      <c r="H3383" s="153">
        <f>0.1*0.02*3*8*1.09</f>
        <v>5.2320000000000005E-2</v>
      </c>
      <c r="I3383" s="72"/>
      <c r="K3383" s="671"/>
      <c r="L3383" s="73"/>
      <c r="M3383" s="73"/>
      <c r="N3383" s="74"/>
      <c r="O3383" s="153"/>
    </row>
    <row r="3384" spans="1:15" customFormat="1" x14ac:dyDescent="0.25">
      <c r="A3384" s="661"/>
      <c r="B3384" s="73"/>
      <c r="C3384" s="77"/>
      <c r="D3384" s="77"/>
      <c r="E3384" s="77"/>
      <c r="F3384" s="77"/>
      <c r="G3384" s="74"/>
      <c r="H3384" s="153"/>
      <c r="I3384" s="72"/>
      <c r="K3384" s="671"/>
      <c r="L3384" s="73"/>
      <c r="M3384" s="73"/>
      <c r="N3384" s="74"/>
      <c r="O3384" s="153"/>
    </row>
    <row r="3385" spans="1:15" customFormat="1" x14ac:dyDescent="0.25">
      <c r="A3385" s="661"/>
      <c r="B3385" s="75" t="s">
        <v>8130</v>
      </c>
      <c r="C3385" s="77"/>
      <c r="D3385" s="77"/>
      <c r="E3385" s="77"/>
      <c r="F3385" s="77"/>
      <c r="G3385" s="74"/>
      <c r="H3385" s="153"/>
      <c r="I3385" s="72"/>
      <c r="K3385" s="671"/>
      <c r="L3385" s="73"/>
      <c r="M3385" s="73"/>
      <c r="N3385" s="74"/>
      <c r="O3385" s="153"/>
    </row>
    <row r="3386" spans="1:15" customFormat="1" x14ac:dyDescent="0.25">
      <c r="A3386" s="661"/>
      <c r="B3386" s="73" t="s">
        <v>55</v>
      </c>
      <c r="C3386" s="77"/>
      <c r="D3386" s="77"/>
      <c r="E3386" s="77"/>
      <c r="F3386" s="77"/>
      <c r="G3386" s="74" t="s">
        <v>3</v>
      </c>
      <c r="H3386" s="153">
        <f>0.11*0.02*3*8*1.129</f>
        <v>5.9611200000000003E-2</v>
      </c>
      <c r="I3386" s="72"/>
      <c r="K3386" s="671"/>
      <c r="L3386" s="73"/>
      <c r="M3386" s="73"/>
      <c r="N3386" s="74"/>
      <c r="O3386" s="153"/>
    </row>
    <row r="3387" spans="1:15" customFormat="1" x14ac:dyDescent="0.25">
      <c r="A3387" s="661"/>
      <c r="B3387" s="73"/>
      <c r="C3387" s="77"/>
      <c r="D3387" s="77"/>
      <c r="E3387" s="77"/>
      <c r="F3387" s="77"/>
      <c r="G3387" s="74"/>
      <c r="H3387" s="153"/>
      <c r="I3387" s="72"/>
      <c r="K3387" s="671"/>
      <c r="L3387" s="73"/>
      <c r="M3387" s="73"/>
      <c r="N3387" s="74"/>
      <c r="O3387" s="153"/>
    </row>
    <row r="3388" spans="1:15" customFormat="1" x14ac:dyDescent="0.25">
      <c r="A3388" s="661"/>
      <c r="B3388" s="75" t="s">
        <v>8129</v>
      </c>
      <c r="C3388" s="77"/>
      <c r="D3388" s="77"/>
      <c r="E3388" s="77"/>
      <c r="F3388" s="77"/>
      <c r="G3388" s="74"/>
      <c r="H3388" s="153"/>
      <c r="I3388" s="72"/>
      <c r="K3388" s="671"/>
      <c r="L3388" s="73"/>
      <c r="M3388" s="73"/>
      <c r="N3388" s="74"/>
      <c r="O3388" s="153"/>
    </row>
    <row r="3389" spans="1:15" customFormat="1" x14ac:dyDescent="0.25">
      <c r="A3389" s="661"/>
      <c r="B3389" s="73" t="s">
        <v>984</v>
      </c>
      <c r="C3389" s="77"/>
      <c r="D3389" s="77"/>
      <c r="E3389" s="77"/>
      <c r="F3389" s="77"/>
      <c r="G3389" s="74" t="s">
        <v>3</v>
      </c>
      <c r="H3389" s="153">
        <f>0.015*1.15</f>
        <v>1.7249999999999998E-2</v>
      </c>
      <c r="I3389" s="72"/>
      <c r="K3389" s="671"/>
      <c r="L3389" s="73"/>
      <c r="M3389" s="73"/>
      <c r="N3389" s="74"/>
      <c r="O3389" s="153"/>
    </row>
    <row r="3390" spans="1:15" customFormat="1" x14ac:dyDescent="0.25">
      <c r="A3390" s="661"/>
      <c r="B3390" s="73"/>
      <c r="C3390" s="77"/>
      <c r="D3390" s="77"/>
      <c r="E3390" s="77"/>
      <c r="F3390" s="77"/>
      <c r="G3390" s="74"/>
      <c r="H3390" s="153"/>
      <c r="I3390" s="72"/>
      <c r="K3390" s="671"/>
      <c r="L3390" s="73"/>
      <c r="M3390" s="73"/>
      <c r="N3390" s="74"/>
      <c r="O3390" s="153"/>
    </row>
    <row r="3391" spans="1:15" customFormat="1" x14ac:dyDescent="0.25">
      <c r="A3391" s="661"/>
      <c r="B3391" s="75" t="s">
        <v>8128</v>
      </c>
      <c r="C3391" s="77"/>
      <c r="D3391" s="77"/>
      <c r="E3391" s="77"/>
      <c r="F3391" s="77"/>
      <c r="G3391" s="74"/>
      <c r="H3391" s="153"/>
      <c r="I3391" s="72"/>
      <c r="K3391" s="671"/>
      <c r="L3391" s="73"/>
      <c r="M3391" s="73"/>
      <c r="N3391" s="74"/>
      <c r="O3391" s="153"/>
    </row>
    <row r="3392" spans="1:15" customFormat="1" x14ac:dyDescent="0.25">
      <c r="A3392" s="661"/>
      <c r="B3392" s="73" t="s">
        <v>177</v>
      </c>
      <c r="C3392" s="77"/>
      <c r="D3392" s="77"/>
      <c r="E3392" s="77"/>
      <c r="F3392" s="77"/>
      <c r="G3392" s="74" t="s">
        <v>3</v>
      </c>
      <c r="H3392" s="153">
        <f>0.06*0.022*1*8</f>
        <v>1.0559999999999998E-2</v>
      </c>
      <c r="I3392" s="72"/>
      <c r="K3392" s="671"/>
      <c r="L3392" s="73"/>
      <c r="M3392" s="73"/>
      <c r="N3392" s="74"/>
      <c r="O3392" s="153"/>
    </row>
    <row r="3393" spans="1:15" customFormat="1" x14ac:dyDescent="0.25">
      <c r="A3393" s="661"/>
      <c r="B3393" s="73"/>
      <c r="C3393" s="77"/>
      <c r="D3393" s="77"/>
      <c r="E3393" s="77"/>
      <c r="F3393" s="77"/>
      <c r="G3393" s="74"/>
      <c r="H3393" s="153"/>
      <c r="I3393" s="72"/>
      <c r="K3393" s="671"/>
      <c r="L3393" s="73"/>
      <c r="M3393" s="73"/>
      <c r="N3393" s="74"/>
      <c r="O3393" s="153"/>
    </row>
    <row r="3394" spans="1:15" customFormat="1" x14ac:dyDescent="0.25">
      <c r="A3394" s="661"/>
      <c r="B3394" s="75" t="s">
        <v>8127</v>
      </c>
      <c r="C3394" s="77"/>
      <c r="D3394" s="77"/>
      <c r="E3394" s="77"/>
      <c r="F3394" s="77"/>
      <c r="G3394" s="74"/>
      <c r="H3394" s="153"/>
      <c r="I3394" s="72"/>
      <c r="K3394" s="671"/>
      <c r="L3394" s="73"/>
      <c r="M3394" s="73"/>
      <c r="N3394" s="74"/>
      <c r="O3394" s="153"/>
    </row>
    <row r="3395" spans="1:15" customFormat="1" x14ac:dyDescent="0.25">
      <c r="A3395" s="661"/>
      <c r="B3395" s="73" t="s">
        <v>8126</v>
      </c>
      <c r="C3395" s="77"/>
      <c r="D3395" s="77"/>
      <c r="E3395" s="77"/>
      <c r="F3395" s="77"/>
      <c r="G3395" s="74" t="s">
        <v>3</v>
      </c>
      <c r="H3395" s="153">
        <f>0.075*0.075*1*8*1.05</f>
        <v>4.725E-2</v>
      </c>
      <c r="I3395" s="72"/>
      <c r="K3395" s="671"/>
      <c r="L3395" s="73"/>
      <c r="M3395" s="73"/>
      <c r="N3395" s="74"/>
      <c r="O3395" s="153"/>
    </row>
    <row r="3396" spans="1:15" customFormat="1" x14ac:dyDescent="0.25">
      <c r="A3396" s="661"/>
      <c r="B3396" s="73"/>
      <c r="C3396" s="77"/>
      <c r="D3396" s="77"/>
      <c r="E3396" s="77"/>
      <c r="F3396" s="77"/>
      <c r="G3396" s="74"/>
      <c r="H3396" s="153"/>
      <c r="I3396" s="72"/>
      <c r="K3396" s="671"/>
      <c r="L3396" s="73"/>
      <c r="M3396" s="73"/>
      <c r="N3396" s="74"/>
      <c r="O3396" s="153"/>
    </row>
    <row r="3397" spans="1:15" customFormat="1" x14ac:dyDescent="0.25">
      <c r="A3397" s="661"/>
      <c r="B3397" s="75" t="s">
        <v>8125</v>
      </c>
      <c r="C3397" s="77"/>
      <c r="D3397" s="77"/>
      <c r="E3397" s="77"/>
      <c r="F3397" s="77"/>
      <c r="G3397" s="74"/>
      <c r="H3397" s="153"/>
      <c r="I3397" s="72"/>
      <c r="K3397" s="671"/>
      <c r="L3397" s="73"/>
      <c r="M3397" s="73"/>
      <c r="N3397" s="74"/>
      <c r="O3397" s="153"/>
    </row>
    <row r="3398" spans="1:15" customFormat="1" x14ac:dyDescent="0.25">
      <c r="A3398" s="661"/>
      <c r="B3398" s="73" t="s">
        <v>8124</v>
      </c>
      <c r="C3398" s="77"/>
      <c r="D3398" s="77"/>
      <c r="E3398" s="77"/>
      <c r="F3398" s="77"/>
      <c r="G3398" s="74" t="s">
        <v>3</v>
      </c>
      <c r="H3398" s="153">
        <f>(0.018*3.14+0.065)*0.02*1.5*8*1.1</f>
        <v>3.2081280000000004E-2</v>
      </c>
      <c r="I3398" s="72"/>
      <c r="K3398" s="671"/>
      <c r="L3398" s="73"/>
      <c r="M3398" s="73"/>
      <c r="N3398" s="74"/>
      <c r="O3398" s="153"/>
    </row>
    <row r="3399" spans="1:15" customFormat="1" x14ac:dyDescent="0.25">
      <c r="A3399" s="661"/>
      <c r="B3399" s="73"/>
      <c r="C3399" s="77"/>
      <c r="D3399" s="77"/>
      <c r="E3399" s="77"/>
      <c r="F3399" s="77"/>
      <c r="G3399" s="74"/>
      <c r="H3399" s="153"/>
      <c r="I3399" s="72"/>
      <c r="K3399" s="671"/>
      <c r="L3399" s="73"/>
      <c r="M3399" s="73"/>
      <c r="N3399" s="74"/>
      <c r="O3399" s="153"/>
    </row>
    <row r="3400" spans="1:15" customFormat="1" x14ac:dyDescent="0.25">
      <c r="A3400" s="661"/>
      <c r="B3400" s="75" t="s">
        <v>8123</v>
      </c>
      <c r="C3400" s="77"/>
      <c r="D3400" s="77"/>
      <c r="E3400" s="77"/>
      <c r="F3400" s="77"/>
      <c r="G3400" s="74"/>
      <c r="H3400" s="153"/>
      <c r="I3400" s="72"/>
      <c r="K3400" s="671"/>
      <c r="L3400" s="73"/>
      <c r="M3400" s="73"/>
      <c r="N3400" s="74"/>
      <c r="O3400" s="153"/>
    </row>
    <row r="3401" spans="1:15" customFormat="1" x14ac:dyDescent="0.25">
      <c r="A3401" s="661"/>
      <c r="B3401" s="73" t="s">
        <v>8122</v>
      </c>
      <c r="C3401" s="77"/>
      <c r="D3401" s="77"/>
      <c r="E3401" s="77"/>
      <c r="F3401" s="77"/>
      <c r="G3401" s="74" t="s">
        <v>3</v>
      </c>
      <c r="H3401" s="153">
        <f>(0.02*3.14*0.75+0.08)*0.017*1.5*8*1.11</f>
        <v>2.8780524000000009E-2</v>
      </c>
      <c r="I3401" s="72"/>
      <c r="K3401" s="671"/>
      <c r="L3401" s="73"/>
      <c r="M3401" s="73"/>
      <c r="N3401" s="74"/>
      <c r="O3401" s="153"/>
    </row>
    <row r="3402" spans="1:15" customFormat="1" ht="12.75" customHeight="1" x14ac:dyDescent="0.25">
      <c r="A3402" s="661"/>
      <c r="B3402" s="73"/>
      <c r="C3402" s="77"/>
      <c r="D3402" s="77"/>
      <c r="E3402" s="77"/>
      <c r="F3402" s="77"/>
      <c r="G3402" s="74"/>
      <c r="H3402" s="153"/>
      <c r="I3402" s="72"/>
      <c r="K3402" s="671"/>
      <c r="L3402" s="73"/>
      <c r="M3402" s="73"/>
      <c r="N3402" s="74"/>
      <c r="O3402" s="153"/>
    </row>
    <row r="3403" spans="1:15" customFormat="1" x14ac:dyDescent="0.25">
      <c r="A3403" s="661"/>
      <c r="B3403" s="75" t="s">
        <v>8121</v>
      </c>
      <c r="C3403" s="77"/>
      <c r="D3403" s="77"/>
      <c r="E3403" s="77"/>
      <c r="F3403" s="77"/>
      <c r="G3403" s="74"/>
      <c r="H3403" s="153"/>
      <c r="I3403" s="72"/>
      <c r="K3403" s="671"/>
      <c r="L3403" s="73"/>
      <c r="M3403" s="73"/>
      <c r="N3403" s="74"/>
      <c r="O3403" s="153"/>
    </row>
    <row r="3404" spans="1:15" customFormat="1" x14ac:dyDescent="0.25">
      <c r="A3404" s="661"/>
      <c r="B3404" s="73" t="s">
        <v>1119</v>
      </c>
      <c r="C3404" s="77"/>
      <c r="D3404" s="77"/>
      <c r="E3404" s="77"/>
      <c r="F3404" s="77"/>
      <c r="G3404" s="74" t="s">
        <v>3</v>
      </c>
      <c r="H3404" s="153">
        <f>0.12*0.12*0.5*8*1.05</f>
        <v>6.0479999999999999E-2</v>
      </c>
      <c r="I3404" s="72"/>
      <c r="K3404" s="671"/>
      <c r="L3404" s="73"/>
      <c r="M3404" s="73"/>
      <c r="N3404" s="74"/>
      <c r="O3404" s="153"/>
    </row>
    <row r="3405" spans="1:15" customFormat="1" ht="10.5" customHeight="1" x14ac:dyDescent="0.25">
      <c r="A3405" s="661"/>
      <c r="B3405" s="73"/>
      <c r="C3405" s="77"/>
      <c r="D3405" s="77"/>
      <c r="E3405" s="77"/>
      <c r="F3405" s="77"/>
      <c r="G3405" s="74"/>
      <c r="H3405" s="153"/>
      <c r="I3405" s="72"/>
      <c r="K3405" s="671"/>
      <c r="L3405" s="73"/>
      <c r="M3405" s="73"/>
      <c r="N3405" s="74"/>
      <c r="O3405" s="153"/>
    </row>
    <row r="3406" spans="1:15" customFormat="1" x14ac:dyDescent="0.25">
      <c r="A3406" s="661"/>
      <c r="B3406" s="75" t="s">
        <v>8120</v>
      </c>
      <c r="C3406" s="77"/>
      <c r="D3406" s="77"/>
      <c r="E3406" s="77"/>
      <c r="F3406" s="77"/>
      <c r="G3406" s="74"/>
      <c r="H3406" s="153"/>
      <c r="I3406" s="72"/>
      <c r="K3406" s="671"/>
      <c r="L3406" s="73"/>
      <c r="M3406" s="73"/>
      <c r="N3406" s="74"/>
      <c r="O3406" s="153"/>
    </row>
    <row r="3407" spans="1:15" customFormat="1" x14ac:dyDescent="0.25">
      <c r="A3407" s="661"/>
      <c r="B3407" s="73" t="s">
        <v>275</v>
      </c>
      <c r="C3407" s="77"/>
      <c r="D3407" s="77"/>
      <c r="E3407" s="77"/>
      <c r="F3407" s="77"/>
      <c r="G3407" s="74" t="s">
        <v>3</v>
      </c>
      <c r="H3407" s="153">
        <f>0.06*0.035*1.5*8*1.1</f>
        <v>2.7720000000000005E-2</v>
      </c>
      <c r="I3407" s="72"/>
      <c r="K3407" s="671"/>
      <c r="L3407" s="73"/>
      <c r="M3407" s="73"/>
      <c r="N3407" s="74"/>
      <c r="O3407" s="153"/>
    </row>
    <row r="3408" spans="1:15" customFormat="1" x14ac:dyDescent="0.25">
      <c r="A3408" s="661"/>
      <c r="B3408" s="73"/>
      <c r="C3408" s="77"/>
      <c r="D3408" s="77"/>
      <c r="E3408" s="77"/>
      <c r="F3408" s="77"/>
      <c r="G3408" s="74"/>
      <c r="H3408" s="153"/>
      <c r="I3408" s="72"/>
      <c r="K3408" s="671"/>
      <c r="L3408" s="73"/>
      <c r="M3408" s="73"/>
      <c r="N3408" s="74"/>
      <c r="O3408" s="153"/>
    </row>
    <row r="3409" spans="1:15" customFormat="1" x14ac:dyDescent="0.25">
      <c r="A3409" s="661"/>
      <c r="B3409" s="75" t="s">
        <v>8119</v>
      </c>
      <c r="C3409" s="77"/>
      <c r="D3409" s="77"/>
      <c r="E3409" s="77"/>
      <c r="F3409" s="77"/>
      <c r="G3409" s="74"/>
      <c r="H3409" s="153"/>
      <c r="I3409" s="72"/>
      <c r="K3409" s="671"/>
      <c r="L3409" s="73"/>
      <c r="M3409" s="73"/>
      <c r="N3409" s="74"/>
      <c r="O3409" s="153"/>
    </row>
    <row r="3410" spans="1:15" customFormat="1" x14ac:dyDescent="0.25">
      <c r="A3410" s="661"/>
      <c r="B3410" s="73" t="s">
        <v>8118</v>
      </c>
      <c r="C3410" s="77"/>
      <c r="D3410" s="77"/>
      <c r="E3410" s="77"/>
      <c r="F3410" s="77"/>
      <c r="G3410" s="74" t="s">
        <v>3</v>
      </c>
      <c r="H3410" s="153">
        <f>0.09/3*4</f>
        <v>0.12</v>
      </c>
      <c r="I3410" s="72"/>
      <c r="K3410" s="671"/>
      <c r="L3410" s="73"/>
      <c r="M3410" s="73"/>
      <c r="N3410" s="74"/>
      <c r="O3410" s="153"/>
    </row>
    <row r="3411" spans="1:15" customFormat="1" x14ac:dyDescent="0.25">
      <c r="A3411" s="661"/>
      <c r="B3411" s="73"/>
      <c r="C3411" s="77"/>
      <c r="D3411" s="77"/>
      <c r="E3411" s="77"/>
      <c r="F3411" s="77"/>
      <c r="G3411" s="74"/>
      <c r="H3411" s="153"/>
      <c r="I3411" s="72"/>
      <c r="K3411" s="671"/>
      <c r="L3411" s="73"/>
      <c r="M3411" s="73"/>
      <c r="N3411" s="74"/>
      <c r="O3411" s="153"/>
    </row>
    <row r="3412" spans="1:15" customFormat="1" x14ac:dyDescent="0.25">
      <c r="A3412" s="661"/>
      <c r="B3412" s="75" t="s">
        <v>8117</v>
      </c>
      <c r="C3412" s="77"/>
      <c r="D3412" s="77"/>
      <c r="E3412" s="77"/>
      <c r="F3412" s="77"/>
      <c r="G3412" s="74"/>
      <c r="H3412" s="153"/>
      <c r="I3412" s="72"/>
      <c r="K3412" s="671"/>
      <c r="L3412" s="73"/>
      <c r="M3412" s="73"/>
      <c r="N3412" s="74"/>
      <c r="O3412" s="153"/>
    </row>
    <row r="3413" spans="1:15" customFormat="1" x14ac:dyDescent="0.25">
      <c r="A3413" s="661"/>
      <c r="B3413" s="77" t="s">
        <v>8116</v>
      </c>
      <c r="C3413" s="77"/>
      <c r="D3413" s="77"/>
      <c r="E3413" s="77"/>
      <c r="F3413" s="77"/>
      <c r="G3413" s="74" t="s">
        <v>1516</v>
      </c>
      <c r="H3413" s="153">
        <v>2</v>
      </c>
      <c r="I3413" s="72"/>
      <c r="K3413" s="671"/>
      <c r="L3413" s="73"/>
      <c r="M3413" s="73"/>
      <c r="N3413" s="74"/>
      <c r="O3413" s="153"/>
    </row>
    <row r="3414" spans="1:15" customFormat="1" x14ac:dyDescent="0.25">
      <c r="A3414" s="661"/>
      <c r="B3414" s="77" t="s">
        <v>8115</v>
      </c>
      <c r="C3414" s="77"/>
      <c r="D3414" s="77"/>
      <c r="E3414" s="77"/>
      <c r="F3414" s="77"/>
      <c r="G3414" s="74" t="s">
        <v>195</v>
      </c>
      <c r="H3414" s="153">
        <v>1.6</v>
      </c>
      <c r="I3414" s="72"/>
      <c r="K3414" s="671"/>
      <c r="L3414" s="73"/>
      <c r="M3414" s="73"/>
      <c r="N3414" s="74"/>
      <c r="O3414" s="153"/>
    </row>
    <row r="3415" spans="1:15" customFormat="1" x14ac:dyDescent="0.25">
      <c r="A3415" s="661"/>
      <c r="B3415" s="77" t="s">
        <v>8114</v>
      </c>
      <c r="C3415" s="77"/>
      <c r="D3415" s="77"/>
      <c r="E3415" s="77"/>
      <c r="F3415" s="77"/>
      <c r="G3415" s="74" t="s">
        <v>195</v>
      </c>
      <c r="H3415" s="153">
        <v>0.55000000000000004</v>
      </c>
      <c r="I3415" s="72"/>
      <c r="K3415" s="671"/>
      <c r="L3415" s="73"/>
      <c r="M3415" s="73"/>
      <c r="N3415" s="74"/>
      <c r="O3415" s="153"/>
    </row>
    <row r="3416" spans="1:15" customFormat="1" x14ac:dyDescent="0.25">
      <c r="A3416" s="661"/>
      <c r="B3416" s="77" t="s">
        <v>8113</v>
      </c>
      <c r="C3416" s="77"/>
      <c r="D3416" s="77"/>
      <c r="E3416" s="77"/>
      <c r="F3416" s="77"/>
      <c r="G3416" s="74" t="s">
        <v>3</v>
      </c>
      <c r="H3416" s="153">
        <v>2E-3</v>
      </c>
      <c r="I3416" s="72"/>
      <c r="K3416" s="671"/>
      <c r="L3416" s="73"/>
      <c r="M3416" s="73"/>
      <c r="N3416" s="74"/>
      <c r="O3416" s="153"/>
    </row>
    <row r="3417" spans="1:15" customFormat="1" x14ac:dyDescent="0.25">
      <c r="A3417" s="661"/>
      <c r="B3417" s="73"/>
      <c r="C3417" s="77"/>
      <c r="D3417" s="77"/>
      <c r="E3417" s="77"/>
      <c r="F3417" s="77"/>
      <c r="G3417" s="74"/>
      <c r="H3417" s="153"/>
      <c r="I3417" s="72"/>
      <c r="K3417" s="671"/>
      <c r="L3417" s="73"/>
      <c r="M3417" s="73"/>
      <c r="N3417" s="74"/>
      <c r="O3417" s="153"/>
    </row>
    <row r="3418" spans="1:15" customFormat="1" x14ac:dyDescent="0.25">
      <c r="A3418" s="661"/>
      <c r="B3418" s="75" t="s">
        <v>8112</v>
      </c>
      <c r="C3418" s="77"/>
      <c r="D3418" s="77"/>
      <c r="E3418" s="77"/>
      <c r="F3418" s="77"/>
      <c r="G3418" s="74"/>
      <c r="H3418" s="153"/>
      <c r="I3418" s="72"/>
      <c r="K3418" s="671"/>
      <c r="L3418" s="73"/>
      <c r="M3418" s="73"/>
      <c r="N3418" s="74"/>
      <c r="O3418" s="153"/>
    </row>
    <row r="3419" spans="1:15" customFormat="1" x14ac:dyDescent="0.25">
      <c r="A3419" s="661"/>
      <c r="B3419" s="73" t="s">
        <v>1275</v>
      </c>
      <c r="C3419" s="77"/>
      <c r="D3419" s="77"/>
      <c r="E3419" s="77"/>
      <c r="F3419" s="77"/>
      <c r="G3419" s="74" t="s">
        <v>3</v>
      </c>
      <c r="H3419" s="153">
        <v>1E-3</v>
      </c>
      <c r="I3419" s="72"/>
      <c r="K3419" s="671"/>
      <c r="L3419" s="73"/>
      <c r="M3419" s="73"/>
      <c r="N3419" s="74"/>
      <c r="O3419" s="153"/>
    </row>
    <row r="3420" spans="1:15" customFormat="1" x14ac:dyDescent="0.25">
      <c r="A3420" s="661"/>
      <c r="B3420" s="73"/>
      <c r="C3420" s="77"/>
      <c r="D3420" s="77"/>
      <c r="E3420" s="77"/>
      <c r="F3420" s="77"/>
      <c r="G3420" s="74"/>
      <c r="H3420" s="153"/>
      <c r="I3420" s="72"/>
      <c r="K3420" s="671"/>
      <c r="L3420" s="73"/>
      <c r="M3420" s="73"/>
      <c r="N3420" s="74"/>
      <c r="O3420" s="153"/>
    </row>
    <row r="3421" spans="1:15" customFormat="1" x14ac:dyDescent="0.25">
      <c r="A3421" s="661"/>
      <c r="B3421" s="75" t="s">
        <v>8111</v>
      </c>
      <c r="C3421" s="77"/>
      <c r="D3421" s="77"/>
      <c r="E3421" s="77"/>
      <c r="F3421" s="77"/>
      <c r="G3421" s="74"/>
      <c r="H3421" s="153"/>
      <c r="I3421" s="72"/>
      <c r="K3421" s="671"/>
      <c r="L3421" s="73"/>
      <c r="M3421" s="73"/>
      <c r="N3421" s="74"/>
      <c r="O3421" s="153"/>
    </row>
    <row r="3422" spans="1:15" customFormat="1" x14ac:dyDescent="0.25">
      <c r="A3422" s="661"/>
      <c r="B3422" s="73" t="s">
        <v>8110</v>
      </c>
      <c r="C3422" s="77"/>
      <c r="D3422" s="77"/>
      <c r="E3422" s="77"/>
      <c r="F3422" s="77"/>
      <c r="G3422" s="74" t="s">
        <v>3</v>
      </c>
      <c r="H3422" s="153">
        <f>0.135*0.05*3.9*8*1.14</f>
        <v>0.24008399999999999</v>
      </c>
      <c r="I3422" s="72"/>
      <c r="K3422" s="671"/>
      <c r="L3422" s="73"/>
      <c r="M3422" s="73"/>
      <c r="N3422" s="74"/>
      <c r="O3422" s="153"/>
    </row>
    <row r="3423" spans="1:15" customFormat="1" x14ac:dyDescent="0.25">
      <c r="A3423" s="661"/>
      <c r="B3423" s="73"/>
      <c r="C3423" s="77"/>
      <c r="D3423" s="77"/>
      <c r="E3423" s="77"/>
      <c r="F3423" s="77"/>
      <c r="G3423" s="74"/>
      <c r="H3423" s="153"/>
      <c r="I3423" s="72"/>
      <c r="K3423" s="671"/>
      <c r="L3423" s="73"/>
      <c r="M3423" s="73"/>
      <c r="N3423" s="74"/>
      <c r="O3423" s="153"/>
    </row>
    <row r="3424" spans="1:15" customFormat="1" x14ac:dyDescent="0.25">
      <c r="A3424" s="661"/>
      <c r="B3424" s="75" t="s">
        <v>8109</v>
      </c>
      <c r="C3424" s="77"/>
      <c r="D3424" s="77"/>
      <c r="E3424" s="77"/>
      <c r="F3424" s="77"/>
      <c r="G3424" s="74"/>
      <c r="H3424" s="153"/>
      <c r="I3424" s="72"/>
      <c r="K3424" s="671"/>
      <c r="L3424" s="73"/>
      <c r="M3424" s="73"/>
      <c r="N3424" s="74"/>
      <c r="O3424" s="153"/>
    </row>
    <row r="3425" spans="1:15" customFormat="1" x14ac:dyDescent="0.25">
      <c r="A3425" s="661"/>
      <c r="B3425" s="73" t="s">
        <v>6317</v>
      </c>
      <c r="C3425" s="77"/>
      <c r="D3425" s="77"/>
      <c r="E3425" s="77"/>
      <c r="F3425" s="77"/>
      <c r="G3425" s="74" t="s">
        <v>3</v>
      </c>
      <c r="H3425" s="153">
        <f>0.09*0.09*1.6*8*1.11</f>
        <v>0.1150848</v>
      </c>
      <c r="I3425" s="72"/>
      <c r="K3425" s="671"/>
      <c r="L3425" s="73"/>
      <c r="M3425" s="73"/>
      <c r="N3425" s="74"/>
      <c r="O3425" s="153"/>
    </row>
    <row r="3426" spans="1:15" customFormat="1" x14ac:dyDescent="0.25">
      <c r="A3426" s="661"/>
      <c r="B3426" s="73"/>
      <c r="C3426" s="77"/>
      <c r="D3426" s="77"/>
      <c r="E3426" s="77"/>
      <c r="F3426" s="77"/>
      <c r="G3426" s="74"/>
      <c r="H3426" s="153"/>
      <c r="I3426" s="72"/>
      <c r="K3426" s="671"/>
      <c r="L3426" s="73"/>
      <c r="M3426" s="73"/>
      <c r="N3426" s="74"/>
      <c r="O3426" s="153"/>
    </row>
    <row r="3427" spans="1:15" customFormat="1" x14ac:dyDescent="0.25">
      <c r="A3427" s="661"/>
      <c r="B3427" s="75" t="s">
        <v>8108</v>
      </c>
      <c r="C3427" s="77"/>
      <c r="D3427" s="77"/>
      <c r="E3427" s="77"/>
      <c r="F3427" s="77"/>
      <c r="G3427" s="74"/>
      <c r="H3427" s="153"/>
      <c r="I3427" s="72"/>
      <c r="K3427" s="671"/>
      <c r="L3427" s="73"/>
      <c r="M3427" s="73"/>
      <c r="N3427" s="74"/>
      <c r="O3427" s="153"/>
    </row>
    <row r="3428" spans="1:15" customFormat="1" x14ac:dyDescent="0.25">
      <c r="A3428" s="661"/>
      <c r="B3428" s="73" t="s">
        <v>920</v>
      </c>
      <c r="C3428" s="77"/>
      <c r="D3428" s="77"/>
      <c r="E3428" s="77"/>
      <c r="F3428" s="77"/>
      <c r="G3428" s="74" t="s">
        <v>3</v>
      </c>
      <c r="H3428" s="153">
        <f>0.03*0.03*4*8*1.12</f>
        <v>3.2256E-2</v>
      </c>
      <c r="I3428" s="72"/>
      <c r="K3428" s="671"/>
      <c r="L3428" s="73"/>
      <c r="M3428" s="73"/>
      <c r="N3428" s="74"/>
      <c r="O3428" s="153"/>
    </row>
    <row r="3429" spans="1:15" customFormat="1" x14ac:dyDescent="0.25">
      <c r="A3429" s="661"/>
      <c r="B3429" s="73"/>
      <c r="C3429" s="77"/>
      <c r="D3429" s="77"/>
      <c r="E3429" s="77"/>
      <c r="F3429" s="77"/>
      <c r="G3429" s="74"/>
      <c r="H3429" s="153"/>
      <c r="I3429" s="72"/>
      <c r="K3429" s="671"/>
      <c r="L3429" s="73"/>
      <c r="M3429" s="73"/>
      <c r="N3429" s="74"/>
      <c r="O3429" s="153"/>
    </row>
    <row r="3430" spans="1:15" customFormat="1" x14ac:dyDescent="0.25">
      <c r="A3430" s="661"/>
      <c r="B3430" s="75" t="s">
        <v>8107</v>
      </c>
      <c r="C3430" s="77"/>
      <c r="D3430" s="77"/>
      <c r="E3430" s="77"/>
      <c r="F3430" s="77"/>
      <c r="G3430" s="74"/>
      <c r="H3430" s="153"/>
      <c r="I3430" s="72"/>
      <c r="K3430" s="671"/>
      <c r="L3430" s="73"/>
      <c r="M3430" s="73"/>
      <c r="N3430" s="74"/>
      <c r="O3430" s="153"/>
    </row>
    <row r="3431" spans="1:15" customFormat="1" x14ac:dyDescent="0.25">
      <c r="A3431" s="661"/>
      <c r="B3431" s="73" t="s">
        <v>5257</v>
      </c>
      <c r="C3431" s="77"/>
      <c r="D3431" s="77"/>
      <c r="E3431" s="77"/>
      <c r="F3431" s="77"/>
      <c r="G3431" s="74" t="s">
        <v>3</v>
      </c>
      <c r="H3431" s="153">
        <f>0.025*0.025*1*8*1.12</f>
        <v>5.6000000000000017E-3</v>
      </c>
      <c r="I3431" s="72"/>
      <c r="K3431" s="671"/>
      <c r="L3431" s="73"/>
      <c r="M3431" s="73"/>
      <c r="N3431" s="74"/>
      <c r="O3431" s="153"/>
    </row>
    <row r="3432" spans="1:15" customFormat="1" x14ac:dyDescent="0.25">
      <c r="A3432" s="661"/>
      <c r="B3432" s="73"/>
      <c r="C3432" s="77"/>
      <c r="D3432" s="77"/>
      <c r="E3432" s="77"/>
      <c r="F3432" s="77"/>
      <c r="G3432" s="74"/>
      <c r="H3432" s="153"/>
      <c r="I3432" s="72"/>
      <c r="K3432" s="671"/>
      <c r="L3432" s="73"/>
      <c r="M3432" s="73"/>
      <c r="N3432" s="74"/>
      <c r="O3432" s="153"/>
    </row>
    <row r="3433" spans="1:15" customFormat="1" x14ac:dyDescent="0.25">
      <c r="A3433" s="661"/>
      <c r="B3433" s="75" t="s">
        <v>8106</v>
      </c>
      <c r="C3433" s="77"/>
      <c r="D3433" s="77"/>
      <c r="E3433" s="77"/>
      <c r="F3433" s="77"/>
      <c r="G3433" s="74"/>
      <c r="H3433" s="153"/>
      <c r="I3433" s="72"/>
      <c r="K3433" s="671"/>
      <c r="L3433" s="73"/>
      <c r="M3433" s="73"/>
      <c r="N3433" s="74"/>
      <c r="O3433" s="153"/>
    </row>
    <row r="3434" spans="1:15" customFormat="1" x14ac:dyDescent="0.25">
      <c r="A3434" s="661"/>
      <c r="B3434" s="73" t="s">
        <v>8100</v>
      </c>
      <c r="C3434" s="77"/>
      <c r="D3434" s="77"/>
      <c r="E3434" s="77"/>
      <c r="F3434" s="77"/>
      <c r="G3434" s="74" t="s">
        <v>3</v>
      </c>
      <c r="H3434" s="153">
        <f>0.025*0.025*0.5*8*1.1</f>
        <v>2.7500000000000007E-3</v>
      </c>
      <c r="I3434" s="72"/>
      <c r="K3434" s="671"/>
      <c r="L3434" s="73"/>
      <c r="M3434" s="73"/>
      <c r="N3434" s="74"/>
      <c r="O3434" s="153"/>
    </row>
    <row r="3435" spans="1:15" customFormat="1" x14ac:dyDescent="0.25">
      <c r="A3435" s="661"/>
      <c r="B3435" s="73"/>
      <c r="C3435" s="77"/>
      <c r="D3435" s="77"/>
      <c r="E3435" s="77"/>
      <c r="F3435" s="77"/>
      <c r="G3435" s="74"/>
      <c r="H3435" s="153"/>
      <c r="I3435" s="72"/>
      <c r="K3435" s="671"/>
      <c r="L3435" s="73"/>
      <c r="M3435" s="73"/>
      <c r="N3435" s="74"/>
      <c r="O3435" s="153"/>
    </row>
    <row r="3436" spans="1:15" customFormat="1" x14ac:dyDescent="0.25">
      <c r="A3436" s="661"/>
      <c r="B3436" s="75" t="s">
        <v>8105</v>
      </c>
      <c r="C3436" s="73"/>
      <c r="D3436" s="77"/>
      <c r="E3436" s="77"/>
      <c r="F3436" s="77"/>
      <c r="G3436" s="73"/>
      <c r="H3436" s="153"/>
      <c r="I3436" s="72"/>
      <c r="K3436" s="671"/>
      <c r="L3436" s="73"/>
      <c r="M3436" s="73"/>
      <c r="N3436" s="74"/>
      <c r="O3436" s="153"/>
    </row>
    <row r="3437" spans="1:15" customFormat="1" x14ac:dyDescent="0.25">
      <c r="A3437" s="661"/>
      <c r="B3437" s="73" t="s">
        <v>5257</v>
      </c>
      <c r="C3437" s="73"/>
      <c r="D3437" s="77"/>
      <c r="E3437" s="77"/>
      <c r="F3437" s="77"/>
      <c r="G3437" s="74" t="s">
        <v>3</v>
      </c>
      <c r="H3437" s="153">
        <f>0.025*0.025*1*8*1.12</f>
        <v>5.6000000000000017E-3</v>
      </c>
      <c r="I3437" s="72"/>
      <c r="K3437" s="671"/>
      <c r="L3437" s="73"/>
      <c r="M3437" s="73"/>
      <c r="N3437" s="74"/>
      <c r="O3437" s="153"/>
    </row>
    <row r="3438" spans="1:15" customFormat="1" x14ac:dyDescent="0.25">
      <c r="A3438" s="661"/>
      <c r="B3438" s="73"/>
      <c r="C3438" s="73"/>
      <c r="D3438" s="77"/>
      <c r="E3438" s="77"/>
      <c r="F3438" s="77"/>
      <c r="G3438" s="73"/>
      <c r="H3438" s="153"/>
      <c r="I3438" s="72"/>
      <c r="K3438" s="671"/>
      <c r="L3438" s="73"/>
      <c r="M3438" s="73"/>
      <c r="N3438" s="74"/>
      <c r="O3438" s="153"/>
    </row>
    <row r="3439" spans="1:15" customFormat="1" x14ac:dyDescent="0.25">
      <c r="A3439" s="661"/>
      <c r="B3439" s="75" t="s">
        <v>8104</v>
      </c>
      <c r="C3439" s="73"/>
      <c r="D3439" s="77"/>
      <c r="E3439" s="77"/>
      <c r="F3439" s="77"/>
      <c r="G3439" s="73"/>
      <c r="H3439" s="153"/>
      <c r="I3439" s="72"/>
      <c r="K3439" s="671"/>
      <c r="L3439" s="73"/>
      <c r="M3439" s="73"/>
      <c r="N3439" s="74"/>
      <c r="O3439" s="153"/>
    </row>
    <row r="3440" spans="1:15" customFormat="1" x14ac:dyDescent="0.25">
      <c r="A3440" s="661"/>
      <c r="B3440" s="73" t="s">
        <v>8103</v>
      </c>
      <c r="C3440" s="73"/>
      <c r="D3440" s="77"/>
      <c r="E3440" s="77"/>
      <c r="F3440" s="77"/>
      <c r="G3440" s="74" t="s">
        <v>3</v>
      </c>
      <c r="H3440" s="153">
        <f>0.025*0.025*1.5*8*1.15</f>
        <v>8.6250000000000007E-3</v>
      </c>
      <c r="I3440" s="72"/>
      <c r="K3440" s="671"/>
      <c r="L3440" s="73"/>
      <c r="M3440" s="73"/>
      <c r="N3440" s="74"/>
      <c r="O3440" s="153"/>
    </row>
    <row r="3441" spans="1:15" customFormat="1" x14ac:dyDescent="0.25">
      <c r="A3441" s="661"/>
      <c r="B3441" s="73"/>
      <c r="C3441" s="73"/>
      <c r="D3441" s="77"/>
      <c r="E3441" s="77"/>
      <c r="F3441" s="77"/>
      <c r="G3441" s="73"/>
      <c r="H3441" s="153"/>
      <c r="I3441" s="72"/>
      <c r="K3441" s="671"/>
      <c r="L3441" s="73"/>
      <c r="M3441" s="73"/>
      <c r="N3441" s="74"/>
      <c r="O3441" s="153"/>
    </row>
    <row r="3442" spans="1:15" customFormat="1" x14ac:dyDescent="0.25">
      <c r="A3442" s="661"/>
      <c r="B3442" s="75" t="s">
        <v>8102</v>
      </c>
      <c r="C3442" s="73"/>
      <c r="D3442" s="77"/>
      <c r="E3442" s="77"/>
      <c r="F3442" s="77"/>
      <c r="G3442" s="73"/>
      <c r="H3442" s="153"/>
      <c r="I3442" s="72"/>
      <c r="K3442" s="671"/>
      <c r="L3442" s="73"/>
      <c r="M3442" s="73"/>
      <c r="N3442" s="74"/>
      <c r="O3442" s="153"/>
    </row>
    <row r="3443" spans="1:15" customFormat="1" x14ac:dyDescent="0.25">
      <c r="A3443" s="661"/>
      <c r="B3443" s="73" t="s">
        <v>8100</v>
      </c>
      <c r="C3443" s="77"/>
      <c r="D3443" s="77"/>
      <c r="E3443" s="77"/>
      <c r="F3443" s="77"/>
      <c r="G3443" s="74" t="s">
        <v>3</v>
      </c>
      <c r="H3443" s="153">
        <f>0.03*0.03*1.5*8*1.1</f>
        <v>1.1880000000000002E-2</v>
      </c>
      <c r="I3443" s="72"/>
      <c r="K3443" s="671"/>
      <c r="L3443" s="73"/>
      <c r="M3443" s="73"/>
      <c r="N3443" s="74"/>
      <c r="O3443" s="153"/>
    </row>
    <row r="3444" spans="1:15" customFormat="1" x14ac:dyDescent="0.25">
      <c r="A3444" s="661"/>
      <c r="B3444" s="73"/>
      <c r="C3444" s="77"/>
      <c r="D3444" s="77"/>
      <c r="E3444" s="77"/>
      <c r="F3444" s="77"/>
      <c r="G3444" s="74"/>
      <c r="H3444" s="153"/>
      <c r="I3444" s="72"/>
      <c r="K3444" s="671"/>
      <c r="L3444" s="73"/>
      <c r="M3444" s="73"/>
      <c r="N3444" s="74"/>
      <c r="O3444" s="153"/>
    </row>
    <row r="3445" spans="1:15" customFormat="1" x14ac:dyDescent="0.25">
      <c r="A3445" s="661"/>
      <c r="B3445" s="75" t="s">
        <v>8101</v>
      </c>
      <c r="C3445" s="77"/>
      <c r="D3445" s="77"/>
      <c r="E3445" s="77"/>
      <c r="F3445" s="77"/>
      <c r="G3445" s="74"/>
      <c r="H3445" s="153"/>
      <c r="I3445" s="72"/>
      <c r="K3445" s="671"/>
      <c r="L3445" s="73"/>
      <c r="M3445" s="73"/>
      <c r="N3445" s="74"/>
      <c r="O3445" s="153"/>
    </row>
    <row r="3446" spans="1:15" customFormat="1" x14ac:dyDescent="0.25">
      <c r="A3446" s="661"/>
      <c r="B3446" s="73" t="s">
        <v>8100</v>
      </c>
      <c r="C3446" s="77"/>
      <c r="D3446" s="77"/>
      <c r="E3446" s="77"/>
      <c r="F3446" s="77"/>
      <c r="G3446" s="74" t="s">
        <v>3</v>
      </c>
      <c r="H3446" s="153">
        <f>0.04*0.035*1*8*1.1</f>
        <v>1.2320000000000003E-2</v>
      </c>
      <c r="I3446" s="72"/>
      <c r="K3446" s="671"/>
      <c r="L3446" s="73"/>
      <c r="M3446" s="73"/>
      <c r="N3446" s="74"/>
      <c r="O3446" s="153"/>
    </row>
    <row r="3447" spans="1:15" customFormat="1" x14ac:dyDescent="0.25">
      <c r="A3447" s="661"/>
      <c r="B3447" s="73"/>
      <c r="C3447" s="77"/>
      <c r="D3447" s="77"/>
      <c r="E3447" s="77"/>
      <c r="F3447" s="77"/>
      <c r="G3447" s="74"/>
      <c r="H3447" s="428"/>
      <c r="I3447" s="72"/>
      <c r="K3447" s="671"/>
      <c r="L3447" s="73"/>
      <c r="M3447" s="73"/>
      <c r="N3447" s="74"/>
      <c r="O3447" s="153"/>
    </row>
    <row r="3448" spans="1:15" customFormat="1" x14ac:dyDescent="0.25">
      <c r="A3448" s="661"/>
      <c r="B3448" s="75" t="s">
        <v>8099</v>
      </c>
      <c r="C3448" s="77"/>
      <c r="D3448" s="77"/>
      <c r="E3448" s="77"/>
      <c r="F3448" s="77"/>
      <c r="G3448" s="74"/>
      <c r="H3448" s="153"/>
      <c r="I3448" s="72"/>
      <c r="K3448" s="671"/>
      <c r="L3448" s="73"/>
      <c r="M3448" s="73"/>
      <c r="N3448" s="74"/>
      <c r="O3448" s="153"/>
    </row>
    <row r="3449" spans="1:15" customFormat="1" x14ac:dyDescent="0.25">
      <c r="A3449" s="661"/>
      <c r="B3449" s="73" t="s">
        <v>8097</v>
      </c>
      <c r="C3449" s="77"/>
      <c r="D3449" s="77"/>
      <c r="E3449" s="77"/>
      <c r="F3449" s="77"/>
      <c r="G3449" s="74" t="s">
        <v>3</v>
      </c>
      <c r="H3449" s="153">
        <f>0.055*0.045*1*8*1.1</f>
        <v>2.1780000000000001E-2</v>
      </c>
      <c r="I3449" s="72"/>
      <c r="K3449" s="671"/>
      <c r="L3449" s="73"/>
      <c r="M3449" s="73"/>
      <c r="N3449" s="74"/>
      <c r="O3449" s="153"/>
    </row>
    <row r="3450" spans="1:15" customFormat="1" x14ac:dyDescent="0.25">
      <c r="A3450" s="661"/>
      <c r="B3450" s="73"/>
      <c r="C3450" s="77"/>
      <c r="D3450" s="77"/>
      <c r="E3450" s="77"/>
      <c r="F3450" s="77"/>
      <c r="G3450" s="74"/>
      <c r="H3450" s="153"/>
      <c r="I3450" s="72"/>
      <c r="K3450" s="671"/>
      <c r="L3450" s="73"/>
      <c r="M3450" s="73"/>
      <c r="N3450" s="74"/>
      <c r="O3450" s="153"/>
    </row>
    <row r="3451" spans="1:15" customFormat="1" x14ac:dyDescent="0.25">
      <c r="A3451" s="661"/>
      <c r="B3451" s="75" t="s">
        <v>8098</v>
      </c>
      <c r="C3451" s="77"/>
      <c r="D3451" s="77"/>
      <c r="E3451" s="77"/>
      <c r="F3451" s="77"/>
      <c r="G3451" s="74"/>
      <c r="H3451" s="153"/>
      <c r="I3451" s="72"/>
      <c r="K3451" s="671"/>
      <c r="L3451" s="73"/>
      <c r="M3451" s="73"/>
      <c r="N3451" s="74"/>
      <c r="O3451" s="153"/>
    </row>
    <row r="3452" spans="1:15" customFormat="1" x14ac:dyDescent="0.25">
      <c r="A3452" s="661"/>
      <c r="B3452" s="73" t="s">
        <v>8097</v>
      </c>
      <c r="C3452" s="77"/>
      <c r="D3452" s="77"/>
      <c r="E3452" s="77"/>
      <c r="F3452" s="77"/>
      <c r="G3452" s="74" t="s">
        <v>3</v>
      </c>
      <c r="H3452" s="153">
        <f>0.06*0.05*1*8*1.12</f>
        <v>2.6880000000000005E-2</v>
      </c>
      <c r="I3452" s="72"/>
      <c r="K3452" s="671"/>
      <c r="L3452" s="73"/>
      <c r="M3452" s="73"/>
      <c r="N3452" s="74"/>
      <c r="O3452" s="153"/>
    </row>
    <row r="3453" spans="1:15" customFormat="1" x14ac:dyDescent="0.25">
      <c r="A3453" s="661"/>
      <c r="B3453" s="73"/>
      <c r="C3453" s="77"/>
      <c r="D3453" s="77"/>
      <c r="E3453" s="77"/>
      <c r="F3453" s="77"/>
      <c r="G3453" s="74"/>
      <c r="H3453" s="153"/>
      <c r="I3453" s="72"/>
      <c r="K3453" s="671"/>
      <c r="L3453" s="73"/>
      <c r="M3453" s="73"/>
      <c r="N3453" s="74"/>
      <c r="O3453" s="153"/>
    </row>
    <row r="3454" spans="1:15" customFormat="1" x14ac:dyDescent="0.25">
      <c r="A3454" s="661"/>
      <c r="B3454" s="75" t="s">
        <v>8096</v>
      </c>
      <c r="C3454" s="77"/>
      <c r="D3454" s="77"/>
      <c r="E3454" s="77"/>
      <c r="F3454" s="77"/>
      <c r="G3454" s="74"/>
      <c r="H3454" s="153"/>
      <c r="I3454" s="72"/>
      <c r="K3454" s="671"/>
      <c r="L3454" s="73"/>
      <c r="M3454" s="73"/>
      <c r="N3454" s="74"/>
      <c r="O3454" s="153"/>
    </row>
    <row r="3455" spans="1:15" customFormat="1" x14ac:dyDescent="0.25">
      <c r="A3455" s="661"/>
      <c r="B3455" s="73" t="s">
        <v>177</v>
      </c>
      <c r="C3455" s="77"/>
      <c r="D3455" s="77"/>
      <c r="E3455" s="77"/>
      <c r="F3455" s="77"/>
      <c r="G3455" s="74" t="s">
        <v>3</v>
      </c>
      <c r="H3455" s="153">
        <f>0.028*0.025*1*8*1.1</f>
        <v>6.1600000000000014E-3</v>
      </c>
      <c r="I3455" s="72"/>
      <c r="K3455" s="671"/>
      <c r="L3455" s="73"/>
      <c r="M3455" s="73"/>
      <c r="N3455" s="74"/>
      <c r="O3455" s="153"/>
    </row>
    <row r="3456" spans="1:15" customFormat="1" x14ac:dyDescent="0.25">
      <c r="A3456" s="661"/>
      <c r="B3456" s="73"/>
      <c r="C3456" s="77"/>
      <c r="D3456" s="77"/>
      <c r="E3456" s="77"/>
      <c r="F3456" s="77"/>
      <c r="G3456" s="74"/>
      <c r="H3456" s="153"/>
      <c r="I3456" s="72"/>
      <c r="K3456" s="671"/>
      <c r="L3456" s="73"/>
      <c r="M3456" s="73"/>
      <c r="N3456" s="74"/>
      <c r="O3456" s="153"/>
    </row>
    <row r="3457" spans="1:15" customFormat="1" x14ac:dyDescent="0.25">
      <c r="A3457" s="661"/>
      <c r="B3457" s="75" t="s">
        <v>8095</v>
      </c>
      <c r="C3457" s="77"/>
      <c r="D3457" s="77"/>
      <c r="E3457" s="77"/>
      <c r="F3457" s="77"/>
      <c r="G3457" s="74"/>
      <c r="H3457" s="153"/>
      <c r="I3457" s="72"/>
      <c r="K3457" s="671"/>
      <c r="L3457" s="73"/>
      <c r="M3457" s="73"/>
      <c r="N3457" s="74"/>
      <c r="O3457" s="153"/>
    </row>
    <row r="3458" spans="1:15" customFormat="1" x14ac:dyDescent="0.25">
      <c r="A3458" s="661"/>
      <c r="B3458" s="73" t="s">
        <v>984</v>
      </c>
      <c r="C3458" s="77"/>
      <c r="D3458" s="77"/>
      <c r="E3458" s="77"/>
      <c r="F3458" s="77"/>
      <c r="G3458" s="74" t="s">
        <v>3</v>
      </c>
      <c r="H3458" s="153">
        <f>0.025*0.025*1*8*1.1</f>
        <v>5.5000000000000014E-3</v>
      </c>
      <c r="I3458" s="72"/>
      <c r="K3458" s="671"/>
      <c r="L3458" s="73"/>
      <c r="M3458" s="73"/>
      <c r="N3458" s="74"/>
      <c r="O3458" s="153"/>
    </row>
    <row r="3459" spans="1:15" customFormat="1" x14ac:dyDescent="0.25">
      <c r="A3459" s="661"/>
      <c r="B3459" s="73"/>
      <c r="C3459" s="77"/>
      <c r="D3459" s="77"/>
      <c r="E3459" s="77"/>
      <c r="F3459" s="77"/>
      <c r="G3459" s="74"/>
      <c r="H3459" s="153"/>
      <c r="I3459" s="72"/>
      <c r="K3459" s="671"/>
      <c r="L3459" s="73"/>
      <c r="M3459" s="73"/>
      <c r="N3459" s="74"/>
      <c r="O3459" s="153"/>
    </row>
    <row r="3460" spans="1:15" customFormat="1" x14ac:dyDescent="0.25">
      <c r="A3460" s="661"/>
      <c r="B3460" s="75" t="s">
        <v>8094</v>
      </c>
      <c r="C3460" s="73"/>
      <c r="D3460" s="77"/>
      <c r="E3460" s="77"/>
      <c r="F3460" s="73"/>
      <c r="G3460" s="74"/>
      <c r="H3460" s="153"/>
      <c r="I3460" s="72"/>
      <c r="K3460" s="671"/>
      <c r="L3460" s="73"/>
      <c r="M3460" s="73"/>
      <c r="N3460" s="74"/>
      <c r="O3460" s="153"/>
    </row>
    <row r="3461" spans="1:15" customFormat="1" x14ac:dyDescent="0.25">
      <c r="A3461" s="661"/>
      <c r="B3461" s="73" t="s">
        <v>412</v>
      </c>
      <c r="C3461" s="73"/>
      <c r="D3461" s="77"/>
      <c r="E3461" s="77"/>
      <c r="F3461" s="73"/>
      <c r="G3461" s="74" t="s">
        <v>3</v>
      </c>
      <c r="H3461" s="153">
        <f>0.05*0.05*2*8</f>
        <v>4.0000000000000008E-2</v>
      </c>
      <c r="I3461" s="72"/>
      <c r="K3461" s="671"/>
      <c r="L3461" s="73"/>
      <c r="M3461" s="73"/>
      <c r="N3461" s="74"/>
      <c r="O3461" s="153"/>
    </row>
    <row r="3462" spans="1:15" customFormat="1" x14ac:dyDescent="0.25">
      <c r="A3462" s="661"/>
      <c r="B3462" s="73"/>
      <c r="C3462" s="77"/>
      <c r="D3462" s="77"/>
      <c r="E3462" s="77"/>
      <c r="F3462" s="77"/>
      <c r="G3462" s="74"/>
      <c r="H3462" s="153"/>
      <c r="I3462" s="72"/>
      <c r="K3462" s="671"/>
      <c r="L3462" s="73"/>
      <c r="M3462" s="73"/>
      <c r="N3462" s="74"/>
      <c r="O3462" s="153"/>
    </row>
    <row r="3463" spans="1:15" customFormat="1" x14ac:dyDescent="0.25">
      <c r="A3463" s="661"/>
      <c r="B3463" s="75" t="s">
        <v>8093</v>
      </c>
      <c r="C3463" s="77"/>
      <c r="D3463" s="77"/>
      <c r="E3463" s="77"/>
      <c r="F3463" s="77"/>
      <c r="G3463" s="74"/>
      <c r="H3463" s="153"/>
      <c r="I3463" s="72"/>
      <c r="K3463" s="671"/>
      <c r="L3463" s="73"/>
      <c r="M3463" s="73"/>
      <c r="N3463" s="74"/>
      <c r="O3463" s="153"/>
    </row>
    <row r="3464" spans="1:15" customFormat="1" ht="15.75" thickBot="1" x14ac:dyDescent="0.3">
      <c r="A3464" s="660"/>
      <c r="B3464" s="68" t="s">
        <v>415</v>
      </c>
      <c r="C3464" s="170"/>
      <c r="D3464" s="170"/>
      <c r="E3464" s="170"/>
      <c r="F3464" s="170"/>
      <c r="G3464" s="82" t="s">
        <v>3</v>
      </c>
      <c r="H3464" s="89">
        <f>0.032*0.032*1.5*8</f>
        <v>1.2288E-2</v>
      </c>
      <c r="I3464" s="83"/>
      <c r="K3464" s="671"/>
      <c r="L3464" s="73"/>
      <c r="M3464" s="73"/>
      <c r="N3464" s="74"/>
      <c r="O3464" s="153"/>
    </row>
    <row r="3465" spans="1:15" customFormat="1" x14ac:dyDescent="0.25">
      <c r="A3465" s="662"/>
      <c r="B3465" s="93"/>
      <c r="C3465" s="65"/>
      <c r="D3465" s="65"/>
      <c r="E3465" s="65"/>
      <c r="F3465" s="65"/>
      <c r="G3465" s="160"/>
      <c r="H3465" s="161"/>
      <c r="I3465" s="90"/>
      <c r="K3465" s="671"/>
      <c r="L3465" s="73"/>
      <c r="M3465" s="73"/>
      <c r="N3465" s="74"/>
      <c r="O3465" s="153"/>
    </row>
    <row r="3466" spans="1:15" customFormat="1" x14ac:dyDescent="0.25">
      <c r="A3466" s="661"/>
      <c r="B3466" s="75" t="s">
        <v>1568</v>
      </c>
      <c r="C3466" s="73"/>
      <c r="D3466" s="77"/>
      <c r="E3466" s="77"/>
      <c r="F3466" s="73"/>
      <c r="G3466" s="74"/>
      <c r="H3466" s="153"/>
      <c r="I3466" s="72"/>
      <c r="K3466" s="671"/>
      <c r="L3466" s="73"/>
      <c r="M3466" s="73"/>
      <c r="N3466" s="74"/>
      <c r="O3466" s="153"/>
    </row>
    <row r="3467" spans="1:15" customFormat="1" x14ac:dyDescent="0.25">
      <c r="A3467" s="661"/>
      <c r="B3467" s="100" t="s">
        <v>957</v>
      </c>
      <c r="C3467" s="73"/>
      <c r="D3467" s="77"/>
      <c r="E3467" s="77"/>
      <c r="F3467" s="73"/>
      <c r="G3467" s="74" t="s">
        <v>3</v>
      </c>
      <c r="H3467" s="153">
        <f>0.04*0.025*1*8.5</f>
        <v>8.5000000000000006E-3</v>
      </c>
      <c r="I3467" s="72"/>
      <c r="K3467" s="671"/>
      <c r="L3467" s="73"/>
      <c r="M3467" s="73"/>
      <c r="N3467" s="74"/>
      <c r="O3467" s="153"/>
    </row>
    <row r="3468" spans="1:15" customFormat="1" x14ac:dyDescent="0.25">
      <c r="A3468" s="661"/>
      <c r="B3468" s="75"/>
      <c r="C3468" s="73"/>
      <c r="D3468" s="77"/>
      <c r="E3468" s="77"/>
      <c r="F3468" s="73"/>
      <c r="G3468" s="74"/>
      <c r="H3468" s="153"/>
      <c r="I3468" s="72"/>
      <c r="K3468" s="671"/>
      <c r="L3468" s="73"/>
      <c r="M3468" s="73"/>
      <c r="N3468" s="74"/>
      <c r="O3468" s="153"/>
    </row>
    <row r="3469" spans="1:15" customFormat="1" x14ac:dyDescent="0.25">
      <c r="A3469" s="661"/>
      <c r="B3469" s="75" t="s">
        <v>8092</v>
      </c>
      <c r="C3469" s="73"/>
      <c r="D3469" s="77"/>
      <c r="E3469" s="77"/>
      <c r="F3469" s="73"/>
      <c r="G3469" s="74"/>
      <c r="H3469" s="153"/>
      <c r="I3469" s="72"/>
      <c r="K3469" s="671"/>
      <c r="L3469" s="73"/>
      <c r="M3469" s="73"/>
      <c r="N3469" s="74"/>
      <c r="O3469" s="153"/>
    </row>
    <row r="3470" spans="1:15" customFormat="1" x14ac:dyDescent="0.25">
      <c r="A3470" s="661"/>
      <c r="B3470" s="73" t="s">
        <v>2584</v>
      </c>
      <c r="C3470" s="73"/>
      <c r="D3470" s="77"/>
      <c r="E3470" s="77"/>
      <c r="F3470" s="73"/>
      <c r="G3470" s="74" t="s">
        <v>3</v>
      </c>
      <c r="H3470" s="153">
        <f>0.06*0.04*1.5*8.5</f>
        <v>3.0599999999999999E-2</v>
      </c>
      <c r="I3470" s="72"/>
      <c r="K3470" s="671"/>
      <c r="L3470" s="73"/>
      <c r="M3470" s="73"/>
      <c r="N3470" s="74"/>
      <c r="O3470" s="153"/>
    </row>
    <row r="3471" spans="1:15" customFormat="1" x14ac:dyDescent="0.25">
      <c r="A3471" s="661"/>
      <c r="B3471" s="75"/>
      <c r="C3471" s="73"/>
      <c r="D3471" s="77"/>
      <c r="E3471" s="77"/>
      <c r="F3471" s="73"/>
      <c r="G3471" s="74"/>
      <c r="H3471" s="153"/>
      <c r="I3471" s="72"/>
      <c r="K3471" s="671"/>
      <c r="L3471" s="73"/>
      <c r="M3471" s="73"/>
      <c r="N3471" s="74"/>
      <c r="O3471" s="153"/>
    </row>
    <row r="3472" spans="1:15" customFormat="1" x14ac:dyDescent="0.25">
      <c r="A3472" s="661"/>
      <c r="B3472" s="75" t="s">
        <v>8091</v>
      </c>
      <c r="C3472" s="73"/>
      <c r="D3472" s="77"/>
      <c r="E3472" s="77"/>
      <c r="F3472" s="73"/>
      <c r="G3472" s="74"/>
      <c r="H3472" s="153"/>
      <c r="I3472" s="72"/>
      <c r="K3472" s="671"/>
      <c r="L3472" s="73"/>
      <c r="M3472" s="73"/>
      <c r="N3472" s="74"/>
      <c r="O3472" s="153"/>
    </row>
    <row r="3473" spans="1:15" customFormat="1" x14ac:dyDescent="0.25">
      <c r="A3473" s="661"/>
      <c r="B3473" s="73" t="s">
        <v>8089</v>
      </c>
      <c r="C3473" s="73"/>
      <c r="D3473" s="77"/>
      <c r="E3473" s="77"/>
      <c r="F3473" s="73"/>
      <c r="G3473" s="74" t="s">
        <v>3</v>
      </c>
      <c r="H3473" s="153">
        <f>0.09*0.06*3*8.5*1.05</f>
        <v>0.14458499999999999</v>
      </c>
      <c r="I3473" s="72"/>
      <c r="K3473" s="671"/>
      <c r="L3473" s="73"/>
      <c r="M3473" s="73"/>
      <c r="N3473" s="74"/>
      <c r="O3473" s="153"/>
    </row>
    <row r="3474" spans="1:15" customFormat="1" x14ac:dyDescent="0.25">
      <c r="A3474" s="661"/>
      <c r="B3474" s="75"/>
      <c r="C3474" s="73"/>
      <c r="D3474" s="77"/>
      <c r="E3474" s="77"/>
      <c r="F3474" s="73"/>
      <c r="G3474" s="74"/>
      <c r="H3474" s="153"/>
      <c r="I3474" s="72"/>
      <c r="K3474" s="671"/>
      <c r="L3474" s="73"/>
      <c r="M3474" s="73"/>
      <c r="N3474" s="74"/>
      <c r="O3474" s="153"/>
    </row>
    <row r="3475" spans="1:15" customFormat="1" x14ac:dyDescent="0.25">
      <c r="A3475" s="661"/>
      <c r="B3475" s="75" t="s">
        <v>8090</v>
      </c>
      <c r="C3475" s="73"/>
      <c r="D3475" s="77"/>
      <c r="E3475" s="77"/>
      <c r="F3475" s="73"/>
      <c r="G3475" s="74"/>
      <c r="H3475" s="153"/>
      <c r="I3475" s="72"/>
      <c r="K3475" s="671"/>
      <c r="L3475" s="73"/>
      <c r="M3475" s="73"/>
      <c r="N3475" s="74"/>
      <c r="O3475" s="153"/>
    </row>
    <row r="3476" spans="1:15" customFormat="1" x14ac:dyDescent="0.25">
      <c r="A3476" s="661"/>
      <c r="B3476" s="73" t="s">
        <v>8089</v>
      </c>
      <c r="C3476" s="73"/>
      <c r="D3476" s="77"/>
      <c r="E3476" s="77"/>
      <c r="F3476" s="73"/>
      <c r="G3476" s="74" t="s">
        <v>3</v>
      </c>
      <c r="H3476" s="153">
        <f>0.09*0.06*3*8.5*1.05</f>
        <v>0.14458499999999999</v>
      </c>
      <c r="I3476" s="72"/>
      <c r="K3476" s="671"/>
      <c r="L3476" s="73"/>
      <c r="M3476" s="73"/>
      <c r="N3476" s="74"/>
      <c r="O3476" s="153"/>
    </row>
    <row r="3477" spans="1:15" customFormat="1" x14ac:dyDescent="0.25">
      <c r="A3477" s="661"/>
      <c r="B3477" s="75"/>
      <c r="C3477" s="73"/>
      <c r="D3477" s="77"/>
      <c r="E3477" s="77"/>
      <c r="F3477" s="73"/>
      <c r="G3477" s="74"/>
      <c r="H3477" s="153"/>
      <c r="I3477" s="72"/>
      <c r="K3477" s="671"/>
      <c r="L3477" s="73"/>
      <c r="M3477" s="73"/>
      <c r="N3477" s="74"/>
      <c r="O3477" s="153"/>
    </row>
    <row r="3478" spans="1:15" customFormat="1" x14ac:dyDescent="0.25">
      <c r="A3478" s="661"/>
      <c r="B3478" s="75" t="s">
        <v>8088</v>
      </c>
      <c r="C3478" s="73"/>
      <c r="D3478" s="77"/>
      <c r="E3478" s="77"/>
      <c r="F3478" s="73"/>
      <c r="G3478" s="74"/>
      <c r="H3478" s="153"/>
      <c r="I3478" s="72"/>
      <c r="K3478" s="671"/>
      <c r="L3478" s="73"/>
      <c r="M3478" s="73"/>
      <c r="N3478" s="74"/>
      <c r="O3478" s="153"/>
    </row>
    <row r="3479" spans="1:15" customFormat="1" x14ac:dyDescent="0.25">
      <c r="A3479" s="661"/>
      <c r="B3479" s="100" t="s">
        <v>8087</v>
      </c>
      <c r="C3479" s="77"/>
      <c r="D3479" s="77"/>
      <c r="E3479" s="77"/>
      <c r="F3479" s="77"/>
      <c r="G3479" s="74" t="s">
        <v>3</v>
      </c>
      <c r="H3479" s="153">
        <f>0.025*0.03*0.8*8.5*1.2</f>
        <v>6.1200000000000004E-3</v>
      </c>
      <c r="I3479" s="72"/>
      <c r="K3479" s="671"/>
      <c r="L3479" s="73"/>
      <c r="M3479" s="73"/>
      <c r="N3479" s="74"/>
      <c r="O3479" s="153"/>
    </row>
    <row r="3480" spans="1:15" customFormat="1" x14ac:dyDescent="0.25">
      <c r="A3480" s="661"/>
      <c r="B3480" s="73"/>
      <c r="C3480" s="77"/>
      <c r="D3480" s="77"/>
      <c r="E3480" s="77"/>
      <c r="F3480" s="77"/>
      <c r="G3480" s="74"/>
      <c r="H3480" s="153"/>
      <c r="I3480" s="72"/>
      <c r="K3480" s="671"/>
      <c r="L3480" s="73"/>
      <c r="M3480" s="73"/>
      <c r="N3480" s="74"/>
      <c r="O3480" s="153"/>
    </row>
    <row r="3481" spans="1:15" customFormat="1" x14ac:dyDescent="0.25">
      <c r="A3481" s="661"/>
      <c r="B3481" s="75" t="s">
        <v>8086</v>
      </c>
      <c r="C3481" s="77"/>
      <c r="D3481" s="77"/>
      <c r="E3481" s="77"/>
      <c r="F3481" s="77"/>
      <c r="G3481" s="74"/>
      <c r="H3481" s="153"/>
      <c r="I3481" s="72"/>
      <c r="K3481" s="671"/>
      <c r="L3481" s="73"/>
      <c r="M3481" s="73"/>
      <c r="N3481" s="74"/>
      <c r="O3481" s="153"/>
    </row>
    <row r="3482" spans="1:15" customFormat="1" x14ac:dyDescent="0.25">
      <c r="A3482" s="661"/>
      <c r="B3482" s="100" t="s">
        <v>1865</v>
      </c>
      <c r="C3482" s="77"/>
      <c r="D3482" s="77"/>
      <c r="E3482" s="77"/>
      <c r="F3482" s="77"/>
      <c r="G3482" s="74" t="s">
        <v>3</v>
      </c>
      <c r="H3482" s="153">
        <f>0.024*1.15</f>
        <v>2.76E-2</v>
      </c>
      <c r="I3482" s="72"/>
      <c r="K3482" s="671"/>
      <c r="L3482" s="73"/>
      <c r="M3482" s="73"/>
      <c r="N3482" s="74"/>
      <c r="O3482" s="153"/>
    </row>
    <row r="3483" spans="1:15" customFormat="1" x14ac:dyDescent="0.25">
      <c r="A3483" s="661"/>
      <c r="B3483" s="73"/>
      <c r="C3483" s="77"/>
      <c r="D3483" s="77"/>
      <c r="E3483" s="77"/>
      <c r="F3483" s="77"/>
      <c r="G3483" s="74"/>
      <c r="H3483" s="153"/>
      <c r="I3483" s="72"/>
      <c r="K3483" s="671"/>
      <c r="L3483" s="73"/>
      <c r="M3483" s="73"/>
      <c r="N3483" s="74"/>
      <c r="O3483" s="153"/>
    </row>
    <row r="3484" spans="1:15" customFormat="1" x14ac:dyDescent="0.25">
      <c r="A3484" s="661"/>
      <c r="B3484" s="75" t="s">
        <v>1716</v>
      </c>
      <c r="C3484" s="77"/>
      <c r="D3484" s="77"/>
      <c r="E3484" s="77"/>
      <c r="F3484" s="77"/>
      <c r="G3484" s="74"/>
      <c r="H3484" s="153"/>
      <c r="I3484" s="72"/>
      <c r="K3484" s="671"/>
      <c r="L3484" s="73"/>
      <c r="M3484" s="73"/>
      <c r="N3484" s="74"/>
      <c r="O3484" s="153"/>
    </row>
    <row r="3485" spans="1:15" customFormat="1" x14ac:dyDescent="0.25">
      <c r="A3485" s="661"/>
      <c r="B3485" s="100" t="s">
        <v>272</v>
      </c>
      <c r="C3485" s="77"/>
      <c r="D3485" s="77"/>
      <c r="E3485" s="77"/>
      <c r="F3485" s="77"/>
      <c r="G3485" s="74" t="s">
        <v>3</v>
      </c>
      <c r="H3485" s="153">
        <f>0.09*0.07*2*8*1.05</f>
        <v>0.10584</v>
      </c>
      <c r="I3485" s="72"/>
      <c r="K3485" s="671"/>
      <c r="L3485" s="73"/>
      <c r="M3485" s="73"/>
      <c r="N3485" s="74"/>
      <c r="O3485" s="153"/>
    </row>
    <row r="3486" spans="1:15" customFormat="1" x14ac:dyDescent="0.25">
      <c r="A3486" s="661"/>
      <c r="B3486" s="73"/>
      <c r="C3486" s="77"/>
      <c r="D3486" s="77"/>
      <c r="E3486" s="77"/>
      <c r="F3486" s="77"/>
      <c r="G3486" s="74"/>
      <c r="H3486" s="153"/>
      <c r="I3486" s="72"/>
      <c r="K3486" s="671"/>
      <c r="L3486" s="73"/>
      <c r="M3486" s="73"/>
      <c r="N3486" s="74"/>
      <c r="O3486" s="153"/>
    </row>
    <row r="3487" spans="1:15" customFormat="1" x14ac:dyDescent="0.25">
      <c r="A3487" s="661"/>
      <c r="B3487" s="75" t="s">
        <v>8085</v>
      </c>
      <c r="C3487" s="77"/>
      <c r="D3487" s="77"/>
      <c r="E3487" s="77"/>
      <c r="F3487" s="77"/>
      <c r="G3487" s="74"/>
      <c r="H3487" s="153"/>
      <c r="I3487" s="72"/>
      <c r="K3487" s="671"/>
      <c r="L3487" s="73"/>
      <c r="M3487" s="73"/>
      <c r="N3487" s="74"/>
      <c r="O3487" s="153"/>
    </row>
    <row r="3488" spans="1:15" customFormat="1" x14ac:dyDescent="0.25">
      <c r="A3488" s="661"/>
      <c r="B3488" s="100" t="s">
        <v>177</v>
      </c>
      <c r="C3488" s="77"/>
      <c r="D3488" s="77"/>
      <c r="E3488" s="77"/>
      <c r="F3488" s="77"/>
      <c r="G3488" s="74" t="s">
        <v>3</v>
      </c>
      <c r="H3488" s="153">
        <f>0.12*3.14*0.01*1*8*1.12</f>
        <v>3.3761280000000005E-2</v>
      </c>
      <c r="I3488" s="72"/>
      <c r="K3488" s="671"/>
      <c r="L3488" s="73"/>
      <c r="M3488" s="73"/>
      <c r="N3488" s="74"/>
      <c r="O3488" s="153"/>
    </row>
    <row r="3489" spans="1:15" customFormat="1" x14ac:dyDescent="0.25">
      <c r="A3489" s="661"/>
      <c r="B3489" s="73"/>
      <c r="C3489" s="77"/>
      <c r="D3489" s="77"/>
      <c r="E3489" s="77"/>
      <c r="F3489" s="77"/>
      <c r="G3489" s="74"/>
      <c r="H3489" s="153"/>
      <c r="I3489" s="72"/>
      <c r="K3489" s="671"/>
      <c r="L3489" s="73"/>
      <c r="M3489" s="73"/>
      <c r="N3489" s="74"/>
      <c r="O3489" s="153"/>
    </row>
    <row r="3490" spans="1:15" customFormat="1" x14ac:dyDescent="0.25">
      <c r="A3490" s="661"/>
      <c r="B3490" s="75" t="s">
        <v>8084</v>
      </c>
      <c r="C3490" s="77"/>
      <c r="D3490" s="77"/>
      <c r="E3490" s="77"/>
      <c r="F3490" s="77"/>
      <c r="G3490" s="74"/>
      <c r="H3490" s="153"/>
      <c r="I3490" s="72"/>
      <c r="K3490" s="671"/>
      <c r="L3490" s="73"/>
      <c r="M3490" s="73"/>
      <c r="N3490" s="74"/>
      <c r="O3490" s="153"/>
    </row>
    <row r="3491" spans="1:15" customFormat="1" x14ac:dyDescent="0.25">
      <c r="A3491" s="661"/>
      <c r="B3491" s="100" t="s">
        <v>8083</v>
      </c>
      <c r="C3491" s="77"/>
      <c r="D3491" s="77"/>
      <c r="E3491" s="77"/>
      <c r="F3491" s="77"/>
      <c r="G3491" s="74" t="s">
        <v>3</v>
      </c>
      <c r="H3491" s="153">
        <f>0.03*0.03*0.25*8</f>
        <v>1.8E-3</v>
      </c>
      <c r="I3491" s="72"/>
      <c r="K3491" s="671"/>
      <c r="L3491" s="73"/>
      <c r="M3491" s="73"/>
      <c r="N3491" s="74"/>
      <c r="O3491" s="153"/>
    </row>
    <row r="3492" spans="1:15" customFormat="1" x14ac:dyDescent="0.25">
      <c r="A3492" s="661"/>
      <c r="B3492" s="73"/>
      <c r="C3492" s="77"/>
      <c r="D3492" s="77"/>
      <c r="E3492" s="77"/>
      <c r="F3492" s="77"/>
      <c r="G3492" s="74"/>
      <c r="H3492" s="153"/>
      <c r="I3492" s="72"/>
      <c r="K3492" s="671"/>
      <c r="L3492" s="73"/>
      <c r="M3492" s="73"/>
      <c r="N3492" s="74"/>
      <c r="O3492" s="153"/>
    </row>
    <row r="3493" spans="1:15" customFormat="1" x14ac:dyDescent="0.25">
      <c r="A3493" s="661"/>
      <c r="B3493" s="75" t="s">
        <v>8082</v>
      </c>
      <c r="C3493" s="77"/>
      <c r="D3493" s="77"/>
      <c r="E3493" s="77"/>
      <c r="F3493" s="77"/>
      <c r="G3493" s="74"/>
      <c r="H3493" s="640" t="s">
        <v>99</v>
      </c>
      <c r="I3493" s="72"/>
      <c r="K3493" s="671"/>
      <c r="L3493" s="73"/>
      <c r="M3493" s="73"/>
      <c r="N3493" s="74"/>
      <c r="O3493" s="153"/>
    </row>
    <row r="3494" spans="1:15" customFormat="1" x14ac:dyDescent="0.25">
      <c r="A3494" s="661"/>
      <c r="B3494" s="73" t="s">
        <v>8081</v>
      </c>
      <c r="C3494" s="77"/>
      <c r="D3494" s="77"/>
      <c r="E3494" s="77"/>
      <c r="F3494" s="77"/>
      <c r="G3494" s="74" t="s">
        <v>3</v>
      </c>
      <c r="H3494" s="153">
        <v>3.0000000000000001E-3</v>
      </c>
      <c r="I3494" s="72"/>
      <c r="K3494" s="671"/>
      <c r="L3494" s="73"/>
      <c r="M3494" s="73"/>
      <c r="N3494" s="74"/>
      <c r="O3494" s="153"/>
    </row>
    <row r="3495" spans="1:15" customFormat="1" x14ac:dyDescent="0.25">
      <c r="A3495" s="661"/>
      <c r="B3495" s="73"/>
      <c r="C3495" s="77"/>
      <c r="D3495" s="77"/>
      <c r="E3495" s="77"/>
      <c r="F3495" s="77"/>
      <c r="G3495" s="74"/>
      <c r="H3495" s="153"/>
      <c r="I3495" s="72"/>
      <c r="K3495" s="671"/>
      <c r="L3495" s="73"/>
      <c r="M3495" s="73"/>
      <c r="N3495" s="74"/>
      <c r="O3495" s="153"/>
    </row>
    <row r="3496" spans="1:15" customFormat="1" x14ac:dyDescent="0.25">
      <c r="A3496" s="661"/>
      <c r="B3496" s="75" t="s">
        <v>8080</v>
      </c>
      <c r="C3496" s="78"/>
      <c r="D3496" s="77"/>
      <c r="E3496" s="77"/>
      <c r="F3496" s="77"/>
      <c r="G3496" s="74"/>
      <c r="H3496" s="153"/>
      <c r="I3496" s="72"/>
      <c r="K3496" s="671"/>
      <c r="L3496" s="73"/>
      <c r="M3496" s="73"/>
      <c r="N3496" s="74"/>
      <c r="O3496" s="153"/>
    </row>
    <row r="3497" spans="1:15" customFormat="1" x14ac:dyDescent="0.25">
      <c r="A3497" s="661"/>
      <c r="B3497" s="100" t="s">
        <v>1865</v>
      </c>
      <c r="C3497" s="78"/>
      <c r="D3497" s="77"/>
      <c r="E3497" s="77"/>
      <c r="F3497" s="77"/>
      <c r="G3497" s="74" t="s">
        <v>3</v>
      </c>
      <c r="H3497" s="153">
        <f>0.56*0.035*1*8*1.12</f>
        <v>0.17561600000000005</v>
      </c>
      <c r="I3497" s="72"/>
      <c r="K3497" s="671"/>
      <c r="L3497" s="73"/>
      <c r="M3497" s="73"/>
      <c r="N3497" s="74"/>
      <c r="O3497" s="153"/>
    </row>
    <row r="3498" spans="1:15" customFormat="1" x14ac:dyDescent="0.25">
      <c r="A3498" s="661"/>
      <c r="B3498" s="73"/>
      <c r="C3498" s="77"/>
      <c r="D3498" s="77"/>
      <c r="E3498" s="77"/>
      <c r="F3498" s="77"/>
      <c r="G3498" s="74"/>
      <c r="H3498" s="153"/>
      <c r="I3498" s="72"/>
      <c r="K3498" s="671"/>
      <c r="L3498" s="73"/>
      <c r="M3498" s="73"/>
      <c r="N3498" s="74"/>
      <c r="O3498" s="153"/>
    </row>
    <row r="3499" spans="1:15" customFormat="1" x14ac:dyDescent="0.25">
      <c r="A3499" s="661"/>
      <c r="B3499" s="75" t="s">
        <v>8079</v>
      </c>
      <c r="C3499" s="77"/>
      <c r="D3499" s="77"/>
      <c r="E3499" s="77"/>
      <c r="F3499" s="77"/>
      <c r="G3499" s="74"/>
      <c r="H3499" s="153"/>
      <c r="I3499" s="72"/>
      <c r="K3499" s="671"/>
      <c r="L3499" s="73"/>
      <c r="M3499" s="73"/>
      <c r="N3499" s="74"/>
      <c r="O3499" s="153"/>
    </row>
    <row r="3500" spans="1:15" customFormat="1" x14ac:dyDescent="0.25">
      <c r="A3500" s="661"/>
      <c r="B3500" s="73" t="s">
        <v>8078</v>
      </c>
      <c r="C3500" s="77"/>
      <c r="D3500" s="77"/>
      <c r="E3500" s="77"/>
      <c r="F3500" s="77"/>
      <c r="G3500" s="74" t="s">
        <v>3</v>
      </c>
      <c r="H3500" s="153">
        <f>0.025*0.025*2*1.3*1.2</f>
        <v>1.9500000000000003E-3</v>
      </c>
      <c r="I3500" s="72"/>
      <c r="K3500" s="671"/>
      <c r="L3500" s="73"/>
      <c r="M3500" s="73"/>
      <c r="N3500" s="74"/>
      <c r="O3500" s="153"/>
    </row>
    <row r="3501" spans="1:15" customFormat="1" x14ac:dyDescent="0.25">
      <c r="A3501" s="661"/>
      <c r="B3501" s="73"/>
      <c r="C3501" s="77"/>
      <c r="D3501" s="77"/>
      <c r="E3501" s="77"/>
      <c r="F3501" s="77"/>
      <c r="G3501" s="74"/>
      <c r="H3501" s="153"/>
      <c r="I3501" s="72"/>
      <c r="K3501" s="671"/>
      <c r="L3501" s="73"/>
      <c r="M3501" s="73"/>
      <c r="N3501" s="74"/>
      <c r="O3501" s="153"/>
    </row>
    <row r="3502" spans="1:15" customFormat="1" x14ac:dyDescent="0.25">
      <c r="A3502" s="661"/>
      <c r="B3502" s="75" t="s">
        <v>8077</v>
      </c>
      <c r="C3502" s="77"/>
      <c r="D3502" s="77"/>
      <c r="E3502" s="77"/>
      <c r="F3502" s="77"/>
      <c r="G3502" s="74"/>
      <c r="H3502" s="183" t="s">
        <v>625</v>
      </c>
      <c r="I3502" s="72"/>
      <c r="K3502" s="671"/>
      <c r="L3502" s="73"/>
      <c r="M3502" s="73"/>
      <c r="N3502" s="74"/>
      <c r="O3502" s="153"/>
    </row>
    <row r="3503" spans="1:15" customFormat="1" x14ac:dyDescent="0.25">
      <c r="A3503" s="661"/>
      <c r="B3503" s="73" t="s">
        <v>8076</v>
      </c>
      <c r="C3503" s="77"/>
      <c r="D3503" s="77"/>
      <c r="E3503" s="77"/>
      <c r="F3503" s="77"/>
      <c r="G3503" s="74" t="s">
        <v>3</v>
      </c>
      <c r="H3503" s="153">
        <f>0.13*0.13*0.6*2*1.2</f>
        <v>2.4336000000000003E-2</v>
      </c>
      <c r="I3503" s="72"/>
      <c r="K3503" s="671"/>
      <c r="L3503" s="73"/>
      <c r="M3503" s="73">
        <f>8/1.15</f>
        <v>6.9565217391304355</v>
      </c>
      <c r="N3503" s="74"/>
      <c r="O3503" s="153"/>
    </row>
    <row r="3504" spans="1:15" customFormat="1" x14ac:dyDescent="0.25">
      <c r="A3504" s="661"/>
      <c r="B3504" s="73"/>
      <c r="C3504" s="77"/>
      <c r="D3504" s="77"/>
      <c r="E3504" s="77"/>
      <c r="F3504" s="77"/>
      <c r="G3504" s="74"/>
      <c r="H3504" s="153"/>
      <c r="I3504" s="72"/>
      <c r="K3504" s="671"/>
      <c r="L3504" s="73"/>
      <c r="M3504" s="73">
        <f>0.018/M3503</f>
        <v>2.5874999999999995E-3</v>
      </c>
      <c r="N3504" s="74"/>
      <c r="O3504" s="153"/>
    </row>
    <row r="3505" spans="1:15" customFormat="1" x14ac:dyDescent="0.25">
      <c r="A3505" s="661"/>
      <c r="B3505" s="75" t="s">
        <v>8075</v>
      </c>
      <c r="C3505" s="77"/>
      <c r="D3505" s="77"/>
      <c r="E3505" s="77"/>
      <c r="F3505" s="77"/>
      <c r="G3505" s="74"/>
      <c r="H3505" s="153"/>
      <c r="I3505" s="72"/>
      <c r="K3505" s="671"/>
      <c r="L3505" s="73"/>
      <c r="M3505" s="73"/>
      <c r="N3505" s="74"/>
      <c r="O3505" s="153"/>
    </row>
    <row r="3506" spans="1:15" customFormat="1" x14ac:dyDescent="0.25">
      <c r="A3506" s="661"/>
      <c r="B3506" s="73" t="s">
        <v>177</v>
      </c>
      <c r="C3506" s="77"/>
      <c r="D3506" s="77"/>
      <c r="E3506" s="77"/>
      <c r="F3506" s="77"/>
      <c r="G3506" s="74" t="s">
        <v>3</v>
      </c>
      <c r="H3506" s="153">
        <f>0.03*0.022*1*8*1.15</f>
        <v>6.0719999999999984E-3</v>
      </c>
      <c r="I3506" s="72"/>
      <c r="K3506" s="671"/>
      <c r="L3506" s="73"/>
      <c r="M3506" s="73"/>
      <c r="N3506" s="74"/>
      <c r="O3506" s="153"/>
    </row>
    <row r="3507" spans="1:15" customFormat="1" x14ac:dyDescent="0.25">
      <c r="A3507" s="661"/>
      <c r="B3507" s="73"/>
      <c r="C3507" s="77"/>
      <c r="D3507" s="77"/>
      <c r="E3507" s="77"/>
      <c r="F3507" s="77"/>
      <c r="G3507" s="74"/>
      <c r="H3507" s="153"/>
      <c r="I3507" s="72"/>
      <c r="K3507" s="671"/>
      <c r="L3507" s="73"/>
      <c r="M3507" s="73"/>
      <c r="N3507" s="74"/>
      <c r="O3507" s="153"/>
    </row>
    <row r="3508" spans="1:15" customFormat="1" x14ac:dyDescent="0.25">
      <c r="A3508" s="661"/>
      <c r="B3508" s="75" t="s">
        <v>8074</v>
      </c>
      <c r="C3508" s="77"/>
      <c r="D3508" s="77"/>
      <c r="E3508" s="77"/>
      <c r="F3508" s="77"/>
      <c r="G3508" s="74"/>
      <c r="H3508" s="153"/>
      <c r="I3508" s="72"/>
      <c r="K3508" s="671"/>
      <c r="L3508" s="73"/>
      <c r="M3508" s="73"/>
      <c r="N3508" s="74"/>
      <c r="O3508" s="153"/>
    </row>
    <row r="3509" spans="1:15" customFormat="1" x14ac:dyDescent="0.25">
      <c r="A3509" s="661"/>
      <c r="B3509" s="73" t="s">
        <v>984</v>
      </c>
      <c r="C3509" s="77"/>
      <c r="D3509" s="77"/>
      <c r="E3509" s="77"/>
      <c r="F3509" s="77"/>
      <c r="G3509" s="74" t="s">
        <v>3</v>
      </c>
      <c r="H3509" s="153">
        <f>0.025*0.0258*1*8*1.1</f>
        <v>5.6760000000000014E-3</v>
      </c>
      <c r="I3509" s="72"/>
      <c r="K3509" s="671"/>
      <c r="L3509" s="73"/>
      <c r="M3509" s="73"/>
      <c r="N3509" s="74"/>
      <c r="O3509" s="153"/>
    </row>
    <row r="3510" spans="1:15" customFormat="1" x14ac:dyDescent="0.25">
      <c r="A3510" s="661"/>
      <c r="B3510" s="73"/>
      <c r="C3510" s="77"/>
      <c r="D3510" s="77"/>
      <c r="E3510" s="77"/>
      <c r="F3510" s="77"/>
      <c r="G3510" s="74"/>
      <c r="H3510" s="153"/>
      <c r="I3510" s="72"/>
      <c r="K3510" s="671"/>
      <c r="L3510" s="73"/>
      <c r="M3510" s="73"/>
      <c r="N3510" s="74"/>
      <c r="O3510" s="153"/>
    </row>
    <row r="3511" spans="1:15" customFormat="1" x14ac:dyDescent="0.25">
      <c r="A3511" s="661"/>
      <c r="B3511" s="75" t="s">
        <v>8073</v>
      </c>
      <c r="C3511" s="77"/>
      <c r="D3511" s="77"/>
      <c r="E3511" s="77"/>
      <c r="F3511" s="77"/>
      <c r="G3511" s="74"/>
      <c r="H3511" s="153"/>
      <c r="I3511" s="72"/>
      <c r="K3511" s="671"/>
      <c r="L3511" s="73"/>
      <c r="M3511" s="73"/>
      <c r="N3511" s="74"/>
      <c r="O3511" s="153"/>
    </row>
    <row r="3512" spans="1:15" customFormat="1" x14ac:dyDescent="0.25">
      <c r="A3512" s="661"/>
      <c r="B3512" s="73" t="s">
        <v>272</v>
      </c>
      <c r="C3512" s="77"/>
      <c r="D3512" s="77"/>
      <c r="E3512" s="77"/>
      <c r="F3512" s="77"/>
      <c r="G3512" s="74" t="s">
        <v>3</v>
      </c>
      <c r="H3512" s="153">
        <f>0.105*0.04*2*8*1.08</f>
        <v>7.2576000000000002E-2</v>
      </c>
      <c r="I3512" s="72"/>
      <c r="K3512" s="671"/>
      <c r="L3512" s="73"/>
      <c r="M3512" s="73"/>
      <c r="N3512" s="74"/>
      <c r="O3512" s="153"/>
    </row>
    <row r="3513" spans="1:15" customFormat="1" x14ac:dyDescent="0.25">
      <c r="A3513" s="661"/>
      <c r="B3513" s="73"/>
      <c r="C3513" s="77"/>
      <c r="D3513" s="77"/>
      <c r="E3513" s="77"/>
      <c r="F3513" s="77"/>
      <c r="G3513" s="74"/>
      <c r="H3513" s="153"/>
      <c r="I3513" s="72"/>
      <c r="K3513" s="671"/>
      <c r="L3513" s="73"/>
      <c r="M3513" s="73"/>
      <c r="N3513" s="74"/>
      <c r="O3513" s="153"/>
    </row>
    <row r="3514" spans="1:15" customFormat="1" x14ac:dyDescent="0.25">
      <c r="A3514" s="661"/>
      <c r="B3514" s="75" t="s">
        <v>8072</v>
      </c>
      <c r="C3514" s="77"/>
      <c r="D3514" s="77"/>
      <c r="E3514" s="77"/>
      <c r="F3514" s="77"/>
      <c r="G3514" s="74"/>
      <c r="H3514" s="153"/>
      <c r="I3514" s="72"/>
      <c r="K3514" s="671"/>
      <c r="L3514" s="73"/>
      <c r="M3514" s="73"/>
      <c r="N3514" s="74"/>
      <c r="O3514" s="153"/>
    </row>
    <row r="3515" spans="1:15" customFormat="1" x14ac:dyDescent="0.25">
      <c r="A3515" s="661"/>
      <c r="B3515" s="73" t="s">
        <v>984</v>
      </c>
      <c r="C3515" s="77"/>
      <c r="D3515" s="77"/>
      <c r="E3515" s="77"/>
      <c r="F3515" s="77"/>
      <c r="G3515" s="74" t="s">
        <v>3</v>
      </c>
      <c r="H3515" s="153">
        <f>0.04*0.04*1*8*1.08</f>
        <v>1.3824000000000001E-2</v>
      </c>
      <c r="I3515" s="72"/>
      <c r="K3515" s="671"/>
      <c r="L3515" s="73"/>
      <c r="M3515" s="73"/>
      <c r="N3515" s="74"/>
      <c r="O3515" s="153"/>
    </row>
    <row r="3516" spans="1:15" customFormat="1" x14ac:dyDescent="0.25">
      <c r="A3516" s="661"/>
      <c r="B3516" s="73"/>
      <c r="C3516" s="77"/>
      <c r="D3516" s="77"/>
      <c r="E3516" s="77"/>
      <c r="F3516" s="77"/>
      <c r="G3516" s="74"/>
      <c r="H3516" s="153"/>
      <c r="I3516" s="72"/>
      <c r="K3516" s="671"/>
      <c r="L3516" s="73"/>
      <c r="M3516" s="73"/>
      <c r="N3516" s="74"/>
      <c r="O3516" s="153"/>
    </row>
    <row r="3517" spans="1:15" customFormat="1" x14ac:dyDescent="0.25">
      <c r="A3517" s="661"/>
      <c r="B3517" s="75" t="s">
        <v>8071</v>
      </c>
      <c r="C3517" s="77"/>
      <c r="D3517" s="77"/>
      <c r="E3517" s="77"/>
      <c r="F3517" s="77"/>
      <c r="G3517" s="74"/>
      <c r="H3517" s="153"/>
      <c r="I3517" s="72"/>
      <c r="K3517" s="671"/>
      <c r="L3517" s="73"/>
      <c r="M3517" s="73"/>
      <c r="N3517" s="74"/>
      <c r="O3517" s="153"/>
    </row>
    <row r="3518" spans="1:15" customFormat="1" x14ac:dyDescent="0.25">
      <c r="A3518" s="661"/>
      <c r="B3518" s="73" t="s">
        <v>8070</v>
      </c>
      <c r="C3518" s="77"/>
      <c r="D3518" s="77"/>
      <c r="E3518" s="77"/>
      <c r="F3518" s="77"/>
      <c r="G3518" s="74" t="s">
        <v>3</v>
      </c>
      <c r="H3518" s="153">
        <f>0.05*0.03*0.25*8</f>
        <v>3.0000000000000001E-3</v>
      </c>
      <c r="I3518" s="72"/>
      <c r="K3518" s="671"/>
      <c r="L3518" s="73"/>
      <c r="M3518" s="73"/>
      <c r="N3518" s="74"/>
      <c r="O3518" s="153"/>
    </row>
    <row r="3519" spans="1:15" customFormat="1" x14ac:dyDescent="0.25">
      <c r="A3519" s="661"/>
      <c r="B3519" s="73"/>
      <c r="C3519" s="77"/>
      <c r="D3519" s="77"/>
      <c r="E3519" s="77"/>
      <c r="F3519" s="77"/>
      <c r="G3519" s="74"/>
      <c r="H3519" s="153"/>
      <c r="I3519" s="72"/>
      <c r="K3519" s="671"/>
      <c r="L3519" s="73"/>
      <c r="M3519" s="73"/>
      <c r="N3519" s="74"/>
      <c r="O3519" s="153"/>
    </row>
    <row r="3520" spans="1:15" customFormat="1" x14ac:dyDescent="0.25">
      <c r="A3520" s="661"/>
      <c r="B3520" s="75" t="s">
        <v>1862</v>
      </c>
      <c r="C3520" s="77"/>
      <c r="D3520" s="77"/>
      <c r="E3520" s="77"/>
      <c r="F3520" s="77"/>
      <c r="G3520" s="74"/>
      <c r="H3520" s="153"/>
      <c r="I3520" s="72"/>
      <c r="K3520" s="671"/>
      <c r="L3520" s="73"/>
      <c r="M3520" s="73"/>
      <c r="N3520" s="74"/>
      <c r="O3520" s="153"/>
    </row>
    <row r="3521" spans="1:16" customFormat="1" x14ac:dyDescent="0.25">
      <c r="A3521" s="661"/>
      <c r="B3521" s="73" t="s">
        <v>1863</v>
      </c>
      <c r="C3521" s="77"/>
      <c r="D3521" s="77"/>
      <c r="E3521" s="77"/>
      <c r="F3521" s="77"/>
      <c r="G3521" s="74" t="s">
        <v>3</v>
      </c>
      <c r="H3521" s="153">
        <f>0.05*0.03*0.5*8</f>
        <v>6.0000000000000001E-3</v>
      </c>
      <c r="I3521" s="72"/>
      <c r="K3521" s="671"/>
      <c r="L3521" s="73"/>
      <c r="M3521" s="73"/>
      <c r="N3521" s="74"/>
      <c r="O3521" s="153"/>
    </row>
    <row r="3522" spans="1:16" customFormat="1" ht="9.75" customHeight="1" x14ac:dyDescent="0.25">
      <c r="A3522" s="661"/>
      <c r="B3522" s="73"/>
      <c r="C3522" s="77"/>
      <c r="D3522" s="77"/>
      <c r="E3522" s="77"/>
      <c r="F3522" s="77"/>
      <c r="G3522" s="74"/>
      <c r="H3522" s="153"/>
      <c r="I3522" s="72"/>
      <c r="K3522" s="671"/>
      <c r="L3522" s="73"/>
      <c r="M3522" s="73"/>
      <c r="N3522" s="74"/>
      <c r="O3522" s="153"/>
    </row>
    <row r="3523" spans="1:16" customFormat="1" x14ac:dyDescent="0.25">
      <c r="A3523" s="661"/>
      <c r="B3523" s="75" t="s">
        <v>1864</v>
      </c>
      <c r="C3523" s="77"/>
      <c r="D3523" s="77"/>
      <c r="E3523" s="77"/>
      <c r="F3523" s="77"/>
      <c r="G3523" s="74"/>
      <c r="H3523" s="153"/>
      <c r="I3523" s="72"/>
      <c r="K3523" s="671"/>
      <c r="L3523" s="73"/>
      <c r="M3523" s="73"/>
      <c r="N3523" s="74"/>
      <c r="O3523" s="153"/>
    </row>
    <row r="3524" spans="1:16" customFormat="1" ht="15.75" thickBot="1" x14ac:dyDescent="0.3">
      <c r="A3524" s="660"/>
      <c r="B3524" s="68" t="s">
        <v>1865</v>
      </c>
      <c r="C3524" s="170"/>
      <c r="D3524" s="170"/>
      <c r="E3524" s="170"/>
      <c r="F3524" s="170"/>
      <c r="G3524" s="82" t="s">
        <v>3</v>
      </c>
      <c r="H3524" s="89">
        <f>0.05*0.03*1*8</f>
        <v>1.2E-2</v>
      </c>
      <c r="I3524" s="83"/>
      <c r="K3524" s="671"/>
      <c r="L3524" s="73"/>
      <c r="M3524" s="73"/>
      <c r="N3524" s="74"/>
      <c r="O3524" s="153"/>
      <c r="P3524">
        <f>4700*0.3</f>
        <v>1410</v>
      </c>
    </row>
    <row r="3525" spans="1:16" customFormat="1" x14ac:dyDescent="0.25">
      <c r="A3525" s="167"/>
      <c r="B3525" s="93"/>
      <c r="C3525" s="65"/>
      <c r="D3525" s="65"/>
      <c r="E3525" s="65"/>
      <c r="F3525" s="65"/>
      <c r="G3525" s="160"/>
      <c r="H3525" s="161"/>
      <c r="I3525" s="90"/>
      <c r="K3525" s="671"/>
      <c r="L3525" s="73"/>
      <c r="M3525" s="73"/>
      <c r="N3525" s="74"/>
      <c r="O3525" s="153"/>
      <c r="P3525">
        <f>P3524*0.8</f>
        <v>1128</v>
      </c>
    </row>
    <row r="3526" spans="1:16" customFormat="1" x14ac:dyDescent="0.25">
      <c r="A3526" s="661"/>
      <c r="B3526" s="75" t="s">
        <v>8069</v>
      </c>
      <c r="C3526" s="77"/>
      <c r="D3526" s="77"/>
      <c r="E3526" s="77"/>
      <c r="F3526" s="77"/>
      <c r="G3526" s="673"/>
      <c r="H3526" s="261"/>
      <c r="I3526" s="72"/>
      <c r="K3526" s="671"/>
      <c r="L3526" s="73"/>
      <c r="M3526" s="73"/>
      <c r="N3526" s="74"/>
      <c r="O3526" s="153"/>
    </row>
    <row r="3527" spans="1:16" customFormat="1" x14ac:dyDescent="0.25">
      <c r="A3527" s="661"/>
      <c r="B3527" s="77" t="s">
        <v>1054</v>
      </c>
      <c r="C3527" s="73"/>
      <c r="D3527" s="73"/>
      <c r="E3527" s="73"/>
      <c r="F3527" s="73"/>
      <c r="G3527" s="74" t="s">
        <v>3</v>
      </c>
      <c r="H3527" s="153">
        <f>0.012*3.14*2*0.08*1.2</f>
        <v>7.234560000000001E-3</v>
      </c>
      <c r="I3527" s="72"/>
      <c r="K3527" s="671"/>
      <c r="L3527" s="73"/>
      <c r="M3527" s="73"/>
      <c r="N3527" s="74"/>
      <c r="O3527" s="153"/>
    </row>
    <row r="3528" spans="1:16" customFormat="1" ht="17.25" x14ac:dyDescent="0.25">
      <c r="A3528" s="661"/>
      <c r="B3528" s="77" t="s">
        <v>1055</v>
      </c>
      <c r="C3528" s="73"/>
      <c r="D3528" s="73"/>
      <c r="E3528" s="73"/>
      <c r="F3528" s="73"/>
      <c r="G3528" s="74" t="s">
        <v>596</v>
      </c>
      <c r="H3528" s="153">
        <f>H3527</f>
        <v>7.234560000000001E-3</v>
      </c>
      <c r="I3528" s="72"/>
      <c r="K3528" s="671"/>
      <c r="L3528" s="73"/>
      <c r="M3528" s="73"/>
      <c r="N3528" s="74"/>
      <c r="O3528" s="153"/>
    </row>
    <row r="3529" spans="1:16" customFormat="1" x14ac:dyDescent="0.25">
      <c r="A3529" s="661"/>
      <c r="B3529" s="73"/>
      <c r="C3529" s="77"/>
      <c r="D3529" s="77"/>
      <c r="E3529" s="77"/>
      <c r="F3529" s="77"/>
      <c r="G3529" s="74"/>
      <c r="H3529" s="153"/>
      <c r="I3529" s="72"/>
      <c r="K3529" s="671"/>
      <c r="L3529" s="73"/>
      <c r="M3529" s="73"/>
      <c r="N3529" s="74"/>
      <c r="O3529" s="153"/>
    </row>
    <row r="3530" spans="1:16" customFormat="1" x14ac:dyDescent="0.25">
      <c r="A3530" s="661"/>
      <c r="B3530" s="75" t="s">
        <v>8068</v>
      </c>
      <c r="C3530" s="77"/>
      <c r="D3530" s="77"/>
      <c r="E3530" s="77"/>
      <c r="F3530" s="77"/>
      <c r="G3530" s="74"/>
      <c r="H3530" s="153"/>
      <c r="I3530" s="72"/>
      <c r="K3530" s="671"/>
      <c r="L3530" s="73"/>
      <c r="M3530" s="73"/>
      <c r="N3530" s="74"/>
      <c r="O3530" s="153"/>
    </row>
    <row r="3531" spans="1:16" customFormat="1" x14ac:dyDescent="0.25">
      <c r="A3531" s="661"/>
      <c r="B3531" s="73" t="s">
        <v>114</v>
      </c>
      <c r="C3531" s="77"/>
      <c r="D3531" s="77"/>
      <c r="E3531" s="77"/>
      <c r="F3531" s="77"/>
      <c r="G3531" s="74" t="s">
        <v>3</v>
      </c>
      <c r="H3531" s="153">
        <f>0.006</f>
        <v>6.0000000000000001E-3</v>
      </c>
      <c r="I3531" s="72"/>
      <c r="K3531" s="671"/>
      <c r="L3531" s="73"/>
      <c r="M3531" s="73"/>
      <c r="N3531" s="74"/>
      <c r="O3531" s="153"/>
    </row>
    <row r="3532" spans="1:16" customFormat="1" x14ac:dyDescent="0.25">
      <c r="A3532" s="661"/>
      <c r="B3532" s="73" t="s">
        <v>163</v>
      </c>
      <c r="C3532" s="77"/>
      <c r="D3532" s="77"/>
      <c r="E3532" s="77"/>
      <c r="F3532" s="77"/>
      <c r="G3532" s="74" t="s">
        <v>3</v>
      </c>
      <c r="H3532" s="153">
        <v>6.0000000000000001E-3</v>
      </c>
      <c r="I3532" s="72"/>
      <c r="K3532" s="671"/>
      <c r="L3532" s="73"/>
      <c r="M3532" s="73"/>
      <c r="N3532" s="74"/>
      <c r="O3532" s="153"/>
    </row>
    <row r="3533" spans="1:16" customFormat="1" x14ac:dyDescent="0.25">
      <c r="A3533" s="661"/>
      <c r="B3533" s="106" t="s">
        <v>164</v>
      </c>
      <c r="C3533" s="77"/>
      <c r="D3533" s="77"/>
      <c r="E3533" s="77"/>
      <c r="F3533" s="77"/>
      <c r="G3533" s="74" t="s">
        <v>3</v>
      </c>
      <c r="H3533" s="153">
        <f>0.3*(H3532+H3531)</f>
        <v>3.5999999999999999E-3</v>
      </c>
      <c r="I3533" s="72"/>
      <c r="K3533" s="671"/>
      <c r="L3533" s="73"/>
      <c r="M3533" s="73"/>
      <c r="N3533" s="74"/>
      <c r="O3533" s="153"/>
    </row>
    <row r="3534" spans="1:16" customFormat="1" x14ac:dyDescent="0.25">
      <c r="A3534" s="661"/>
      <c r="B3534" s="73" t="s">
        <v>72</v>
      </c>
      <c r="C3534" s="77"/>
      <c r="D3534" s="77"/>
      <c r="E3534" s="77"/>
      <c r="F3534" s="77"/>
      <c r="G3534" s="74" t="s">
        <v>3</v>
      </c>
      <c r="H3534" s="153">
        <f>0.5*0.011*2*1.1</f>
        <v>1.21E-2</v>
      </c>
      <c r="I3534" s="72"/>
      <c r="K3534" s="671"/>
      <c r="L3534" s="73"/>
      <c r="M3534" s="73"/>
      <c r="N3534" s="74"/>
      <c r="O3534" s="153"/>
    </row>
    <row r="3535" spans="1:16" customFormat="1" x14ac:dyDescent="0.25">
      <c r="A3535" s="661"/>
      <c r="B3535" s="73" t="s">
        <v>11</v>
      </c>
      <c r="C3535" s="77"/>
      <c r="D3535" s="77"/>
      <c r="E3535" s="77"/>
      <c r="F3535" s="77"/>
      <c r="G3535" s="74" t="s">
        <v>3</v>
      </c>
      <c r="H3535" s="153">
        <f>0.3*H3534</f>
        <v>3.6299999999999995E-3</v>
      </c>
      <c r="I3535" s="72"/>
      <c r="K3535" s="671"/>
      <c r="L3535" s="73"/>
      <c r="M3535" s="73"/>
      <c r="N3535" s="74"/>
      <c r="O3535" s="153"/>
    </row>
    <row r="3536" spans="1:16" customFormat="1" x14ac:dyDescent="0.25">
      <c r="A3536" s="661"/>
      <c r="B3536" s="73"/>
      <c r="C3536" s="78" t="s">
        <v>8067</v>
      </c>
      <c r="D3536" s="77"/>
      <c r="E3536" s="77"/>
      <c r="F3536" s="77"/>
      <c r="G3536" s="74"/>
      <c r="H3536" s="153"/>
      <c r="I3536" s="72"/>
      <c r="K3536" s="671"/>
      <c r="L3536" s="73"/>
      <c r="M3536" s="73"/>
      <c r="N3536" s="74"/>
      <c r="O3536" s="153"/>
    </row>
    <row r="3537" spans="1:15" customFormat="1" x14ac:dyDescent="0.25">
      <c r="A3537" s="661"/>
      <c r="B3537" s="73"/>
      <c r="C3537" s="77" t="s">
        <v>1484</v>
      </c>
      <c r="D3537" s="77"/>
      <c r="E3537" s="77"/>
      <c r="F3537" s="77"/>
      <c r="G3537" s="74" t="s">
        <v>3</v>
      </c>
      <c r="H3537" s="153">
        <v>0.17</v>
      </c>
      <c r="I3537" s="72"/>
      <c r="K3537" s="671"/>
      <c r="L3537" s="73"/>
      <c r="M3537" s="73"/>
      <c r="N3537" s="74"/>
      <c r="O3537" s="153"/>
    </row>
    <row r="3538" spans="1:15" customFormat="1" x14ac:dyDescent="0.25">
      <c r="A3538" s="661"/>
      <c r="B3538" s="73"/>
      <c r="C3538" s="77"/>
      <c r="D3538" s="77"/>
      <c r="E3538" s="77"/>
      <c r="F3538" s="77"/>
      <c r="G3538" s="74"/>
      <c r="H3538" s="153"/>
      <c r="I3538" s="72"/>
      <c r="K3538" s="671"/>
      <c r="L3538" s="73"/>
      <c r="M3538" s="73"/>
      <c r="N3538" s="74"/>
      <c r="O3538" s="153"/>
    </row>
    <row r="3539" spans="1:15" customFormat="1" x14ac:dyDescent="0.25">
      <c r="A3539" s="661"/>
      <c r="B3539" s="75" t="s">
        <v>8066</v>
      </c>
      <c r="C3539" s="77"/>
      <c r="D3539" s="77"/>
      <c r="E3539" s="77"/>
      <c r="F3539" s="77"/>
      <c r="G3539" s="74"/>
      <c r="H3539" s="153"/>
      <c r="I3539" s="72"/>
      <c r="K3539" s="671"/>
      <c r="L3539" s="73"/>
      <c r="M3539" s="73"/>
      <c r="N3539" s="74"/>
      <c r="O3539" s="153"/>
    </row>
    <row r="3540" spans="1:15" customFormat="1" x14ac:dyDescent="0.25">
      <c r="A3540" s="661"/>
      <c r="B3540" s="77" t="s">
        <v>1054</v>
      </c>
      <c r="C3540" s="73"/>
      <c r="D3540" s="73"/>
      <c r="E3540" s="73"/>
      <c r="F3540" s="73"/>
      <c r="G3540" s="74" t="s">
        <v>3</v>
      </c>
      <c r="H3540" s="153">
        <f>0.04*0.08*1.2</f>
        <v>3.8400000000000001E-3</v>
      </c>
      <c r="I3540" s="72"/>
      <c r="K3540" s="671"/>
      <c r="L3540" s="73"/>
      <c r="M3540" s="73"/>
      <c r="N3540" s="74"/>
      <c r="O3540" s="153"/>
    </row>
    <row r="3541" spans="1:15" customFormat="1" ht="17.25" x14ac:dyDescent="0.25">
      <c r="A3541" s="661"/>
      <c r="B3541" s="77" t="s">
        <v>1055</v>
      </c>
      <c r="C3541" s="73"/>
      <c r="D3541" s="73"/>
      <c r="E3541" s="73"/>
      <c r="F3541" s="73"/>
      <c r="G3541" s="74" t="s">
        <v>596</v>
      </c>
      <c r="H3541" s="153">
        <f>H3540</f>
        <v>3.8400000000000001E-3</v>
      </c>
      <c r="I3541" s="72"/>
      <c r="K3541" s="671"/>
      <c r="L3541" s="73"/>
      <c r="M3541" s="73"/>
      <c r="N3541" s="74"/>
      <c r="O3541" s="153"/>
    </row>
    <row r="3542" spans="1:15" customFormat="1" x14ac:dyDescent="0.25">
      <c r="A3542" s="661"/>
      <c r="B3542" s="77" t="s">
        <v>8065</v>
      </c>
      <c r="C3542" s="77"/>
      <c r="D3542" s="77"/>
      <c r="E3542" s="77"/>
      <c r="F3542" s="77"/>
      <c r="G3542" s="74" t="s">
        <v>3</v>
      </c>
      <c r="H3542" s="153">
        <f>0.01</f>
        <v>0.01</v>
      </c>
      <c r="I3542" s="72"/>
      <c r="K3542" s="671"/>
      <c r="L3542" s="73"/>
      <c r="M3542" s="73"/>
      <c r="N3542" s="74"/>
      <c r="O3542" s="153"/>
    </row>
    <row r="3543" spans="1:15" customFormat="1" x14ac:dyDescent="0.25">
      <c r="A3543" s="661"/>
      <c r="B3543" s="77" t="s">
        <v>8064</v>
      </c>
      <c r="C3543" s="77"/>
      <c r="D3543" s="77"/>
      <c r="E3543" s="77"/>
      <c r="F3543" s="77"/>
      <c r="G3543" s="74" t="s">
        <v>3</v>
      </c>
      <c r="H3543" s="153">
        <f>0.32*0.05*2*0.18*2*1.1</f>
        <v>1.2671999999999999E-2</v>
      </c>
      <c r="I3543" s="72"/>
      <c r="K3543" s="671"/>
      <c r="L3543" s="73"/>
      <c r="M3543" s="73"/>
      <c r="N3543" s="74"/>
      <c r="O3543" s="153"/>
    </row>
    <row r="3544" spans="1:15" customFormat="1" x14ac:dyDescent="0.25">
      <c r="A3544" s="661"/>
      <c r="B3544" s="77" t="s">
        <v>12</v>
      </c>
      <c r="C3544" s="77"/>
      <c r="D3544" s="77"/>
      <c r="E3544" s="77"/>
      <c r="F3544" s="77"/>
      <c r="G3544" s="74" t="s">
        <v>3</v>
      </c>
      <c r="H3544" s="153">
        <f>0.3*(H3543+H3542)</f>
        <v>6.8015999999999988E-3</v>
      </c>
      <c r="I3544" s="72"/>
      <c r="K3544" s="671"/>
      <c r="L3544" s="73"/>
      <c r="M3544" s="73"/>
      <c r="N3544" s="74"/>
      <c r="O3544" s="153"/>
    </row>
    <row r="3545" spans="1:15" customFormat="1" x14ac:dyDescent="0.25">
      <c r="A3545" s="661"/>
      <c r="B3545" s="73"/>
      <c r="C3545" s="78" t="s">
        <v>8063</v>
      </c>
      <c r="D3545" s="77"/>
      <c r="E3545" s="77"/>
      <c r="F3545" s="77"/>
      <c r="G3545" s="74"/>
      <c r="H3545" s="153"/>
      <c r="I3545" s="72"/>
      <c r="K3545" s="671"/>
      <c r="L3545" s="73"/>
      <c r="M3545" s="73"/>
      <c r="N3545" s="74"/>
      <c r="O3545" s="153"/>
    </row>
    <row r="3546" spans="1:15" customFormat="1" x14ac:dyDescent="0.25">
      <c r="A3546" s="661"/>
      <c r="B3546" s="73"/>
      <c r="C3546" s="77" t="s">
        <v>1708</v>
      </c>
      <c r="D3546" s="77"/>
      <c r="E3546" s="77"/>
      <c r="F3546" s="77"/>
      <c r="G3546" s="74" t="s">
        <v>3</v>
      </c>
      <c r="H3546" s="153">
        <f>0.38*0.04*2*8*1.12</f>
        <v>0.27238400000000001</v>
      </c>
      <c r="I3546" s="72"/>
      <c r="K3546" s="671"/>
      <c r="L3546" s="73"/>
      <c r="M3546" s="73"/>
      <c r="N3546" s="74"/>
      <c r="O3546" s="153"/>
    </row>
    <row r="3547" spans="1:15" customFormat="1" x14ac:dyDescent="0.25">
      <c r="A3547" s="661"/>
      <c r="B3547" s="73"/>
      <c r="C3547" s="77"/>
      <c r="D3547" s="77"/>
      <c r="E3547" s="77"/>
      <c r="F3547" s="77"/>
      <c r="G3547" s="74"/>
      <c r="H3547" s="153"/>
      <c r="I3547" s="72"/>
      <c r="K3547" s="671"/>
      <c r="L3547" s="73"/>
      <c r="M3547" s="73"/>
      <c r="N3547" s="74"/>
      <c r="O3547" s="153"/>
    </row>
    <row r="3548" spans="1:15" customFormat="1" x14ac:dyDescent="0.25">
      <c r="A3548" s="661"/>
      <c r="B3548" s="75" t="s">
        <v>8062</v>
      </c>
      <c r="C3548" s="77"/>
      <c r="D3548" s="77"/>
      <c r="E3548" s="77"/>
      <c r="F3548" s="77"/>
      <c r="G3548" s="74"/>
      <c r="H3548" s="153"/>
      <c r="I3548" s="72"/>
      <c r="K3548" s="671"/>
      <c r="L3548" s="73"/>
      <c r="M3548" s="73"/>
      <c r="N3548" s="74"/>
      <c r="O3548" s="153"/>
    </row>
    <row r="3549" spans="1:15" customFormat="1" x14ac:dyDescent="0.25">
      <c r="A3549" s="661"/>
      <c r="B3549" s="73" t="s">
        <v>114</v>
      </c>
      <c r="C3549" s="77"/>
      <c r="D3549" s="77"/>
      <c r="E3549" s="77"/>
      <c r="F3549" s="77"/>
      <c r="G3549" s="74" t="s">
        <v>3</v>
      </c>
      <c r="H3549" s="153">
        <f>0.8*H3551</f>
        <v>3.1680000000000007E-2</v>
      </c>
      <c r="I3549" s="72"/>
      <c r="K3549" s="671"/>
      <c r="L3549" s="73"/>
      <c r="M3549" s="73"/>
      <c r="N3549" s="74"/>
      <c r="O3549" s="153"/>
    </row>
    <row r="3550" spans="1:15" customFormat="1" x14ac:dyDescent="0.25">
      <c r="A3550" s="661"/>
      <c r="B3550" s="73" t="s">
        <v>164</v>
      </c>
      <c r="C3550" s="77"/>
      <c r="D3550" s="77"/>
      <c r="E3550" s="77"/>
      <c r="F3550" s="77"/>
      <c r="G3550" s="74" t="s">
        <v>3</v>
      </c>
      <c r="H3550" s="153">
        <f>0.3*H3549</f>
        <v>9.504000000000002E-3</v>
      </c>
      <c r="I3550" s="72"/>
      <c r="K3550" s="671"/>
      <c r="L3550" s="73"/>
      <c r="M3550" s="73"/>
      <c r="N3550" s="74"/>
      <c r="O3550" s="153"/>
    </row>
    <row r="3551" spans="1:15" customFormat="1" x14ac:dyDescent="0.25">
      <c r="A3551" s="661"/>
      <c r="B3551" s="73" t="s">
        <v>115</v>
      </c>
      <c r="C3551" s="77"/>
      <c r="D3551" s="77"/>
      <c r="E3551" s="77"/>
      <c r="F3551" s="77"/>
      <c r="G3551" s="74" t="s">
        <v>3</v>
      </c>
      <c r="H3551" s="153">
        <f>1.5*0.011*2*1.2</f>
        <v>3.9600000000000003E-2</v>
      </c>
      <c r="I3551" s="72"/>
      <c r="K3551" s="671"/>
      <c r="L3551" s="73"/>
      <c r="M3551" s="73"/>
      <c r="N3551" s="74"/>
      <c r="O3551" s="153"/>
    </row>
    <row r="3552" spans="1:15" customFormat="1" x14ac:dyDescent="0.25">
      <c r="A3552" s="661"/>
      <c r="B3552" s="73" t="s">
        <v>12</v>
      </c>
      <c r="C3552" s="77"/>
      <c r="D3552" s="77"/>
      <c r="E3552" s="77"/>
      <c r="F3552" s="77"/>
      <c r="G3552" s="74" t="s">
        <v>3</v>
      </c>
      <c r="H3552" s="153">
        <f>0.3*H3551</f>
        <v>1.188E-2</v>
      </c>
      <c r="I3552" s="72"/>
      <c r="K3552" s="671"/>
      <c r="L3552" s="73"/>
      <c r="M3552" s="73"/>
      <c r="N3552" s="74"/>
      <c r="O3552" s="153"/>
    </row>
    <row r="3553" spans="1:15" customFormat="1" x14ac:dyDescent="0.25">
      <c r="A3553" s="661"/>
      <c r="B3553" s="73"/>
      <c r="C3553" s="78" t="s">
        <v>8061</v>
      </c>
      <c r="D3553" s="77"/>
      <c r="E3553" s="77"/>
      <c r="F3553" s="77"/>
      <c r="G3553" s="74"/>
      <c r="H3553" s="153"/>
      <c r="I3553" s="72"/>
      <c r="K3553" s="671"/>
      <c r="L3553" s="73"/>
      <c r="M3553" s="73"/>
      <c r="N3553" s="74"/>
      <c r="O3553" s="153"/>
    </row>
    <row r="3554" spans="1:15" customFormat="1" x14ac:dyDescent="0.25">
      <c r="A3554" s="661"/>
      <c r="B3554" s="73"/>
      <c r="C3554" s="77" t="s">
        <v>8060</v>
      </c>
      <c r="D3554" s="77"/>
      <c r="E3554" s="77"/>
      <c r="F3554" s="77"/>
      <c r="G3554" s="74" t="s">
        <v>3</v>
      </c>
      <c r="H3554" s="153">
        <v>0.45</v>
      </c>
      <c r="I3554" s="72"/>
      <c r="K3554" s="671"/>
      <c r="L3554" s="73"/>
      <c r="M3554" s="73"/>
      <c r="N3554" s="74"/>
      <c r="O3554" s="153"/>
    </row>
    <row r="3555" spans="1:15" customFormat="1" x14ac:dyDescent="0.25">
      <c r="A3555" s="661"/>
      <c r="B3555" s="73"/>
      <c r="C3555" s="77"/>
      <c r="D3555" s="77"/>
      <c r="E3555" s="77"/>
      <c r="F3555" s="77"/>
      <c r="G3555" s="74"/>
      <c r="H3555" s="153"/>
      <c r="I3555" s="72"/>
      <c r="K3555" s="671"/>
      <c r="L3555" s="73"/>
      <c r="M3555" s="73"/>
      <c r="N3555" s="74"/>
      <c r="O3555" s="153"/>
    </row>
    <row r="3556" spans="1:15" customFormat="1" x14ac:dyDescent="0.25">
      <c r="A3556" s="661"/>
      <c r="B3556" s="75" t="s">
        <v>8059</v>
      </c>
      <c r="C3556" s="77"/>
      <c r="D3556" s="77"/>
      <c r="E3556" s="77"/>
      <c r="F3556" s="77"/>
      <c r="G3556" s="74"/>
      <c r="H3556" s="153"/>
      <c r="I3556" s="72"/>
      <c r="K3556" s="671"/>
      <c r="L3556" s="73"/>
      <c r="M3556" s="73"/>
      <c r="N3556" s="74"/>
      <c r="O3556" s="153"/>
    </row>
    <row r="3557" spans="1:15" customFormat="1" x14ac:dyDescent="0.25">
      <c r="A3557" s="661"/>
      <c r="B3557" s="77" t="s">
        <v>124</v>
      </c>
      <c r="C3557" s="73"/>
      <c r="D3557" s="73"/>
      <c r="E3557" s="73"/>
      <c r="F3557" s="73"/>
      <c r="G3557" s="74" t="s">
        <v>3</v>
      </c>
      <c r="H3557" s="153">
        <v>5.0000000000000001E-3</v>
      </c>
      <c r="I3557" s="72"/>
      <c r="K3557" s="671"/>
      <c r="L3557" s="73"/>
      <c r="M3557" s="73"/>
      <c r="N3557" s="74"/>
      <c r="O3557" s="153"/>
    </row>
    <row r="3558" spans="1:15" customFormat="1" ht="18" thickBot="1" x14ac:dyDescent="0.3">
      <c r="A3558" s="660"/>
      <c r="B3558" s="170" t="s">
        <v>168</v>
      </c>
      <c r="C3558" s="68"/>
      <c r="D3558" s="68"/>
      <c r="E3558" s="68"/>
      <c r="F3558" s="68"/>
      <c r="G3558" s="82" t="s">
        <v>596</v>
      </c>
      <c r="H3558" s="89">
        <f>H3557*1.09</f>
        <v>5.4500000000000009E-3</v>
      </c>
      <c r="I3558" s="83"/>
      <c r="K3558" s="671"/>
      <c r="L3558" s="73"/>
      <c r="M3558" s="73"/>
      <c r="N3558" s="74"/>
      <c r="O3558" s="153"/>
    </row>
    <row r="3559" spans="1:15" customFormat="1" x14ac:dyDescent="0.25">
      <c r="A3559" s="662"/>
      <c r="B3559" s="93"/>
      <c r="C3559" s="65"/>
      <c r="D3559" s="65"/>
      <c r="E3559" s="65"/>
      <c r="F3559" s="65"/>
      <c r="G3559" s="219"/>
      <c r="H3559" s="182"/>
      <c r="I3559" s="72"/>
      <c r="K3559" s="671"/>
      <c r="L3559" s="73"/>
      <c r="M3559" s="73"/>
      <c r="N3559" s="74"/>
      <c r="O3559" s="153"/>
    </row>
    <row r="3560" spans="1:15" customFormat="1" x14ac:dyDescent="0.25">
      <c r="A3560" s="661"/>
      <c r="B3560" s="75" t="s">
        <v>8058</v>
      </c>
      <c r="C3560" s="77"/>
      <c r="D3560" s="77"/>
      <c r="E3560" s="77"/>
      <c r="F3560" s="77"/>
      <c r="G3560" s="74"/>
      <c r="H3560" s="153"/>
      <c r="I3560" s="72"/>
      <c r="K3560" s="671"/>
      <c r="L3560" s="73"/>
      <c r="M3560" s="73"/>
      <c r="N3560" s="74"/>
      <c r="O3560" s="153"/>
    </row>
    <row r="3561" spans="1:15" customFormat="1" x14ac:dyDescent="0.25">
      <c r="A3561" s="661"/>
      <c r="B3561" s="73" t="s">
        <v>8057</v>
      </c>
      <c r="C3561" s="77"/>
      <c r="D3561" s="77"/>
      <c r="E3561" s="77"/>
      <c r="F3561" s="77"/>
      <c r="G3561" s="74" t="s">
        <v>1516</v>
      </c>
      <c r="H3561" s="153">
        <v>16</v>
      </c>
      <c r="I3561" s="72"/>
      <c r="K3561" s="671"/>
      <c r="L3561" s="73"/>
      <c r="M3561" s="73"/>
      <c r="N3561" s="74"/>
      <c r="O3561" s="153"/>
    </row>
    <row r="3562" spans="1:15" customFormat="1" x14ac:dyDescent="0.25">
      <c r="A3562" s="661"/>
      <c r="B3562" s="73"/>
      <c r="C3562" s="78" t="s">
        <v>8056</v>
      </c>
      <c r="D3562" s="77"/>
      <c r="E3562" s="77"/>
      <c r="F3562" s="77"/>
      <c r="G3562" s="74"/>
      <c r="H3562" s="153"/>
      <c r="I3562" s="72"/>
      <c r="K3562" s="671"/>
      <c r="L3562" s="73"/>
      <c r="M3562" s="73"/>
      <c r="N3562" s="74"/>
      <c r="O3562" s="153"/>
    </row>
    <row r="3563" spans="1:15" customFormat="1" x14ac:dyDescent="0.25">
      <c r="A3563" s="661"/>
      <c r="B3563" s="73"/>
      <c r="C3563" s="77" t="s">
        <v>1054</v>
      </c>
      <c r="D3563" s="73"/>
      <c r="E3563" s="73"/>
      <c r="F3563" s="73"/>
      <c r="G3563" s="74" t="s">
        <v>3</v>
      </c>
      <c r="H3563" s="153">
        <f>0.1*0.08*1.2</f>
        <v>9.5999999999999992E-3</v>
      </c>
      <c r="I3563" s="72"/>
      <c r="K3563" s="671"/>
      <c r="L3563" s="73"/>
      <c r="M3563" s="73"/>
      <c r="N3563" s="74"/>
      <c r="O3563" s="153"/>
    </row>
    <row r="3564" spans="1:15" customFormat="1" ht="17.25" x14ac:dyDescent="0.25">
      <c r="A3564" s="661"/>
      <c r="B3564" s="73"/>
      <c r="C3564" s="77" t="s">
        <v>1055</v>
      </c>
      <c r="D3564" s="73"/>
      <c r="E3564" s="73"/>
      <c r="F3564" s="73"/>
      <c r="G3564" s="74" t="s">
        <v>596</v>
      </c>
      <c r="H3564" s="153">
        <f>H3563</f>
        <v>9.5999999999999992E-3</v>
      </c>
      <c r="I3564" s="72"/>
      <c r="K3564" s="671"/>
      <c r="L3564" s="73"/>
      <c r="M3564" s="73"/>
      <c r="N3564" s="74"/>
      <c r="O3564" s="153"/>
    </row>
    <row r="3565" spans="1:15" customFormat="1" x14ac:dyDescent="0.25">
      <c r="A3565" s="661"/>
      <c r="B3565" s="73"/>
      <c r="C3565" s="77"/>
      <c r="D3565" s="78" t="s">
        <v>8055</v>
      </c>
      <c r="E3565" s="77"/>
      <c r="F3565" s="77"/>
      <c r="G3565" s="74"/>
      <c r="H3565" s="153"/>
      <c r="I3565" s="72"/>
      <c r="K3565" s="671"/>
      <c r="L3565" s="73"/>
      <c r="M3565" s="73"/>
      <c r="N3565" s="74"/>
      <c r="O3565" s="153"/>
    </row>
    <row r="3566" spans="1:15" customFormat="1" x14ac:dyDescent="0.25">
      <c r="A3566" s="661"/>
      <c r="B3566" s="73"/>
      <c r="C3566" s="77"/>
      <c r="D3566" s="77" t="s">
        <v>8054</v>
      </c>
      <c r="E3566" s="77"/>
      <c r="F3566" s="77"/>
      <c r="G3566" s="74" t="s">
        <v>3</v>
      </c>
      <c r="H3566" s="153">
        <f>0.142*0.032*4*8*1.12</f>
        <v>0.16285696</v>
      </c>
      <c r="I3566" s="72"/>
      <c r="K3566" s="671"/>
      <c r="L3566" s="73"/>
      <c r="M3566" s="73"/>
      <c r="N3566" s="74"/>
      <c r="O3566" s="153"/>
    </row>
    <row r="3567" spans="1:15" customFormat="1" x14ac:dyDescent="0.25">
      <c r="A3567" s="661"/>
      <c r="B3567" s="73"/>
      <c r="C3567" s="77"/>
      <c r="D3567" s="78" t="s">
        <v>8053</v>
      </c>
      <c r="E3567" s="77"/>
      <c r="F3567" s="77"/>
      <c r="G3567" s="74"/>
      <c r="H3567" s="153"/>
      <c r="I3567" s="72"/>
      <c r="K3567" s="671"/>
      <c r="L3567" s="73"/>
      <c r="M3567" s="73"/>
      <c r="N3567" s="74"/>
      <c r="O3567" s="153"/>
    </row>
    <row r="3568" spans="1:15" customFormat="1" x14ac:dyDescent="0.25">
      <c r="A3568" s="661"/>
      <c r="B3568" s="73"/>
      <c r="C3568" s="77"/>
      <c r="D3568" s="77" t="s">
        <v>55</v>
      </c>
      <c r="E3568" s="77"/>
      <c r="F3568" s="77"/>
      <c r="G3568" s="74" t="s">
        <v>3</v>
      </c>
      <c r="H3568" s="153">
        <f>0.055*0.14*3*8*1.12</f>
        <v>0.20697600000000005</v>
      </c>
      <c r="I3568" s="72"/>
      <c r="K3568" s="671"/>
      <c r="L3568" s="73"/>
      <c r="M3568" s="73"/>
      <c r="N3568" s="74"/>
      <c r="O3568" s="153"/>
    </row>
    <row r="3569" spans="1:15" customFormat="1" x14ac:dyDescent="0.25">
      <c r="A3569" s="661"/>
      <c r="B3569" s="73"/>
      <c r="C3569" s="77"/>
      <c r="D3569" s="78" t="s">
        <v>8052</v>
      </c>
      <c r="E3569" s="77"/>
      <c r="F3569" s="77"/>
      <c r="G3569" s="74"/>
      <c r="H3569" s="153"/>
      <c r="I3569" s="72"/>
      <c r="K3569" s="671"/>
      <c r="L3569" s="73"/>
      <c r="M3569" s="73"/>
      <c r="N3569" s="74"/>
      <c r="O3569" s="153"/>
    </row>
    <row r="3570" spans="1:15" customFormat="1" x14ac:dyDescent="0.25">
      <c r="A3570" s="661"/>
      <c r="B3570" s="73"/>
      <c r="C3570" s="77"/>
      <c r="D3570" s="77" t="s">
        <v>55</v>
      </c>
      <c r="E3570" s="77"/>
      <c r="F3570" s="77"/>
      <c r="G3570" s="74" t="s">
        <v>3</v>
      </c>
      <c r="H3570" s="153">
        <f>0.055*0.14*3*8*1.12</f>
        <v>0.20697600000000005</v>
      </c>
      <c r="I3570" s="72"/>
      <c r="K3570" s="671"/>
      <c r="L3570" s="73"/>
      <c r="M3570" s="73"/>
      <c r="N3570" s="74"/>
      <c r="O3570" s="153"/>
    </row>
    <row r="3571" spans="1:15" customFormat="1" x14ac:dyDescent="0.25">
      <c r="A3571" s="661"/>
      <c r="B3571" s="73"/>
      <c r="C3571" s="77"/>
      <c r="D3571" s="77"/>
      <c r="E3571" s="77"/>
      <c r="F3571" s="77"/>
      <c r="G3571" s="74"/>
      <c r="H3571" s="153"/>
      <c r="I3571" s="72"/>
      <c r="K3571" s="671"/>
      <c r="L3571" s="73"/>
      <c r="M3571" s="73"/>
      <c r="N3571" s="74"/>
      <c r="O3571" s="153"/>
    </row>
    <row r="3572" spans="1:15" customFormat="1" x14ac:dyDescent="0.25">
      <c r="A3572" s="661"/>
      <c r="B3572" s="75" t="s">
        <v>8051</v>
      </c>
      <c r="C3572" s="77"/>
      <c r="D3572" s="77"/>
      <c r="E3572" s="77"/>
      <c r="F3572" s="77"/>
      <c r="G3572" s="74"/>
      <c r="H3572" s="153"/>
      <c r="I3572" s="72"/>
      <c r="K3572" s="671"/>
      <c r="L3572" s="73"/>
      <c r="M3572" s="73"/>
      <c r="N3572" s="74"/>
      <c r="O3572" s="153"/>
    </row>
    <row r="3573" spans="1:15" customFormat="1" x14ac:dyDescent="0.25">
      <c r="A3573" s="661"/>
      <c r="B3573" s="73" t="s">
        <v>8050</v>
      </c>
      <c r="C3573" s="77"/>
      <c r="D3573" s="77"/>
      <c r="E3573" s="77"/>
      <c r="F3573" s="77"/>
      <c r="G3573" s="74" t="s">
        <v>1516</v>
      </c>
      <c r="H3573" s="153">
        <v>4</v>
      </c>
      <c r="I3573" s="72"/>
      <c r="K3573" s="671"/>
      <c r="L3573" s="73"/>
      <c r="M3573" s="73"/>
      <c r="N3573" s="74"/>
      <c r="O3573" s="153"/>
    </row>
    <row r="3574" spans="1:15" customFormat="1" x14ac:dyDescent="0.25">
      <c r="A3574" s="661"/>
      <c r="B3574" s="73"/>
      <c r="C3574" s="78" t="s">
        <v>8049</v>
      </c>
      <c r="D3574" s="77"/>
      <c r="E3574" s="77"/>
      <c r="F3574" s="77"/>
      <c r="G3574" s="74"/>
      <c r="H3574" s="153"/>
      <c r="I3574" s="72"/>
      <c r="K3574" s="671"/>
      <c r="L3574" s="73"/>
      <c r="M3574" s="73"/>
      <c r="N3574" s="74"/>
      <c r="O3574" s="153"/>
    </row>
    <row r="3575" spans="1:15" customFormat="1" x14ac:dyDescent="0.25">
      <c r="A3575" s="661"/>
      <c r="B3575" s="73"/>
      <c r="C3575" s="77" t="s">
        <v>8048</v>
      </c>
      <c r="D3575" s="77"/>
      <c r="E3575" s="77"/>
      <c r="F3575" s="77"/>
      <c r="G3575" s="74" t="s">
        <v>3</v>
      </c>
      <c r="H3575" s="153">
        <f>0.03*1.12</f>
        <v>3.3600000000000005E-2</v>
      </c>
      <c r="I3575" s="72"/>
      <c r="K3575" s="671"/>
      <c r="L3575" s="73"/>
      <c r="M3575" s="73"/>
      <c r="N3575" s="74"/>
      <c r="O3575" s="153"/>
    </row>
    <row r="3576" spans="1:15" customFormat="1" x14ac:dyDescent="0.25">
      <c r="A3576" s="661"/>
      <c r="B3576" s="73"/>
      <c r="C3576" s="77"/>
      <c r="D3576" s="77"/>
      <c r="E3576" s="77"/>
      <c r="F3576" s="77"/>
      <c r="G3576" s="74"/>
      <c r="H3576" s="153"/>
      <c r="I3576" s="72"/>
      <c r="K3576" s="671"/>
      <c r="L3576" s="73"/>
      <c r="M3576" s="73"/>
      <c r="N3576" s="74"/>
      <c r="O3576" s="153"/>
    </row>
    <row r="3577" spans="1:15" customFormat="1" x14ac:dyDescent="0.25">
      <c r="A3577" s="661"/>
      <c r="B3577" s="75" t="s">
        <v>8047</v>
      </c>
      <c r="C3577" s="77"/>
      <c r="D3577" s="77"/>
      <c r="E3577" s="77"/>
      <c r="F3577" s="77"/>
      <c r="G3577" s="74"/>
      <c r="H3577" s="153"/>
      <c r="I3577" s="72"/>
      <c r="K3577" s="671"/>
      <c r="L3577" s="73"/>
      <c r="M3577" s="73"/>
      <c r="N3577" s="74"/>
      <c r="O3577" s="153"/>
    </row>
    <row r="3578" spans="1:15" customFormat="1" x14ac:dyDescent="0.25">
      <c r="A3578" s="661"/>
      <c r="B3578" s="73"/>
      <c r="C3578" s="78" t="s">
        <v>8046</v>
      </c>
      <c r="D3578" s="77"/>
      <c r="E3578" s="77"/>
      <c r="F3578" s="77"/>
      <c r="G3578" s="74"/>
      <c r="H3578" s="153"/>
      <c r="I3578" s="72"/>
      <c r="K3578" s="671"/>
      <c r="L3578" s="73"/>
      <c r="M3578" s="73"/>
      <c r="N3578" s="74"/>
      <c r="O3578" s="153"/>
    </row>
    <row r="3579" spans="1:15" customFormat="1" x14ac:dyDescent="0.25">
      <c r="A3579" s="661"/>
      <c r="B3579" s="73"/>
      <c r="C3579" s="77" t="s">
        <v>853</v>
      </c>
      <c r="D3579" s="77"/>
      <c r="E3579" s="77"/>
      <c r="F3579" s="77"/>
      <c r="G3579" s="74" t="s">
        <v>3</v>
      </c>
      <c r="H3579" s="153">
        <f>0.44*0.02*1*8*1.14</f>
        <v>8.0255999999999994E-2</v>
      </c>
      <c r="I3579" s="72"/>
      <c r="K3579" s="671"/>
      <c r="L3579" s="73"/>
      <c r="M3579" s="73"/>
      <c r="N3579" s="74"/>
      <c r="O3579" s="153"/>
    </row>
    <row r="3580" spans="1:15" customFormat="1" x14ac:dyDescent="0.25">
      <c r="A3580" s="661"/>
      <c r="B3580" s="73"/>
      <c r="C3580" s="77"/>
      <c r="D3580" s="77"/>
      <c r="E3580" s="77"/>
      <c r="F3580" s="77"/>
      <c r="G3580" s="74"/>
      <c r="H3580" s="153"/>
      <c r="I3580" s="72"/>
      <c r="K3580" s="671"/>
      <c r="L3580" s="73"/>
      <c r="M3580" s="73"/>
      <c r="N3580" s="74"/>
      <c r="O3580" s="153"/>
    </row>
    <row r="3581" spans="1:15" customFormat="1" x14ac:dyDescent="0.25">
      <c r="A3581" s="661"/>
      <c r="B3581" s="75" t="s">
        <v>8045</v>
      </c>
      <c r="C3581" s="77"/>
      <c r="D3581" s="77"/>
      <c r="E3581" s="77"/>
      <c r="F3581" s="77"/>
      <c r="G3581" s="74"/>
      <c r="H3581" s="153"/>
      <c r="I3581" s="72"/>
      <c r="K3581" s="671"/>
      <c r="L3581" s="73"/>
      <c r="M3581" s="73"/>
      <c r="N3581" s="74"/>
      <c r="O3581" s="153"/>
    </row>
    <row r="3582" spans="1:15" customFormat="1" x14ac:dyDescent="0.25">
      <c r="A3582" s="661"/>
      <c r="B3582" s="73" t="s">
        <v>7702</v>
      </c>
      <c r="C3582" s="77"/>
      <c r="D3582" s="77"/>
      <c r="E3582" s="77"/>
      <c r="F3582" s="77"/>
      <c r="G3582" s="74" t="s">
        <v>3</v>
      </c>
      <c r="H3582" s="153">
        <f>0.12*0.12*2*0.18*2*1.2</f>
        <v>1.2441599999999999E-2</v>
      </c>
      <c r="I3582" s="72"/>
      <c r="K3582" s="671"/>
      <c r="L3582" s="73"/>
      <c r="M3582" s="73"/>
      <c r="N3582" s="74"/>
      <c r="O3582" s="153"/>
    </row>
    <row r="3583" spans="1:15" customFormat="1" x14ac:dyDescent="0.25">
      <c r="A3583" s="661"/>
      <c r="B3583" s="73" t="s">
        <v>313</v>
      </c>
      <c r="C3583" s="77"/>
      <c r="D3583" s="77"/>
      <c r="E3583" s="77"/>
      <c r="F3583" s="77"/>
      <c r="G3583" s="74" t="s">
        <v>3</v>
      </c>
      <c r="H3583" s="153">
        <f>0.3*H3582</f>
        <v>3.7324799999999994E-3</v>
      </c>
      <c r="I3583" s="72"/>
      <c r="K3583" s="671"/>
      <c r="L3583" s="73"/>
      <c r="M3583" s="73"/>
      <c r="N3583" s="74"/>
      <c r="O3583" s="153"/>
    </row>
    <row r="3584" spans="1:15" customFormat="1" x14ac:dyDescent="0.25">
      <c r="A3584" s="661"/>
      <c r="B3584" s="73" t="s">
        <v>36</v>
      </c>
      <c r="C3584" s="77"/>
      <c r="D3584" s="77"/>
      <c r="E3584" s="77"/>
      <c r="F3584" s="77"/>
      <c r="G3584" s="74" t="s">
        <v>3</v>
      </c>
      <c r="H3584" s="153">
        <f>H3582</f>
        <v>1.2441599999999999E-2</v>
      </c>
      <c r="I3584" s="72"/>
      <c r="K3584" s="671"/>
      <c r="L3584" s="73"/>
      <c r="M3584" s="73"/>
      <c r="N3584" s="74"/>
      <c r="O3584" s="153"/>
    </row>
    <row r="3585" spans="1:15" customFormat="1" x14ac:dyDescent="0.25">
      <c r="A3585" s="661"/>
      <c r="B3585" s="73" t="s">
        <v>12</v>
      </c>
      <c r="C3585" s="77"/>
      <c r="D3585" s="77"/>
      <c r="E3585" s="77"/>
      <c r="F3585" s="77"/>
      <c r="G3585" s="74" t="s">
        <v>3</v>
      </c>
      <c r="H3585" s="153">
        <f>0.3*H3584</f>
        <v>3.7324799999999994E-3</v>
      </c>
      <c r="I3585" s="72"/>
      <c r="K3585" s="671"/>
      <c r="L3585" s="73"/>
      <c r="M3585" s="73"/>
      <c r="N3585" s="74"/>
      <c r="O3585" s="153"/>
    </row>
    <row r="3586" spans="1:15" customFormat="1" x14ac:dyDescent="0.25">
      <c r="A3586" s="661"/>
      <c r="B3586" s="580" t="s">
        <v>6724</v>
      </c>
      <c r="C3586" s="75"/>
      <c r="D3586" s="75"/>
      <c r="E3586" s="73"/>
      <c r="F3586" s="73"/>
      <c r="G3586" s="74" t="s">
        <v>3</v>
      </c>
      <c r="H3586" s="427">
        <f>(0.08*3.14+0.1)*0.07*1.1</f>
        <v>2.7042400000000012E-2</v>
      </c>
      <c r="I3586" s="72"/>
      <c r="K3586" s="671"/>
      <c r="L3586" s="73"/>
      <c r="M3586" s="73"/>
      <c r="N3586" s="74"/>
      <c r="O3586" s="153"/>
    </row>
    <row r="3587" spans="1:15" customFormat="1" ht="17.25" x14ac:dyDescent="0.25">
      <c r="A3587" s="661"/>
      <c r="B3587" s="204" t="s">
        <v>6723</v>
      </c>
      <c r="C3587" s="75"/>
      <c r="D3587" s="75"/>
      <c r="E3587" s="73"/>
      <c r="F3587" s="73"/>
      <c r="G3587" s="74" t="s">
        <v>596</v>
      </c>
      <c r="H3587" s="153">
        <f>1.1*H3586</f>
        <v>2.9746640000000015E-2</v>
      </c>
      <c r="I3587" s="72"/>
      <c r="K3587" s="671"/>
      <c r="L3587" s="73"/>
      <c r="M3587" s="73"/>
      <c r="N3587" s="74"/>
      <c r="O3587" s="153"/>
    </row>
    <row r="3588" spans="1:15" customFormat="1" x14ac:dyDescent="0.25">
      <c r="A3588" s="661"/>
      <c r="B3588" s="73"/>
      <c r="C3588" s="78" t="s">
        <v>8044</v>
      </c>
      <c r="D3588" s="77"/>
      <c r="E3588" s="77"/>
      <c r="F3588" s="77"/>
      <c r="G3588" s="74"/>
      <c r="H3588" s="153"/>
      <c r="I3588" s="72"/>
      <c r="K3588" s="671"/>
      <c r="L3588" s="73"/>
      <c r="M3588" s="73"/>
      <c r="N3588" s="74"/>
      <c r="O3588" s="153"/>
    </row>
    <row r="3589" spans="1:15" customFormat="1" x14ac:dyDescent="0.25">
      <c r="A3589" s="661"/>
      <c r="B3589" s="73"/>
      <c r="C3589" s="77" t="s">
        <v>213</v>
      </c>
      <c r="D3589" s="77"/>
      <c r="E3589" s="77"/>
      <c r="F3589" s="77"/>
      <c r="G3589" s="74" t="s">
        <v>3</v>
      </c>
      <c r="H3589" s="153">
        <f>0.16*0.095*3*2.7*1.14</f>
        <v>0.1403568</v>
      </c>
      <c r="I3589" s="72"/>
      <c r="K3589" s="671"/>
      <c r="L3589" s="73"/>
      <c r="M3589" s="73"/>
      <c r="N3589" s="74"/>
      <c r="O3589" s="153"/>
    </row>
    <row r="3590" spans="1:15" customFormat="1" x14ac:dyDescent="0.25">
      <c r="A3590" s="661"/>
      <c r="B3590" s="73"/>
      <c r="C3590" s="78" t="s">
        <v>8043</v>
      </c>
      <c r="D3590" s="77"/>
      <c r="E3590" s="77"/>
      <c r="F3590" s="77"/>
      <c r="G3590" s="74"/>
      <c r="H3590" s="153"/>
      <c r="I3590" s="72"/>
      <c r="K3590" s="671"/>
      <c r="L3590" s="73"/>
      <c r="M3590" s="73"/>
      <c r="N3590" s="74"/>
      <c r="O3590" s="153"/>
    </row>
    <row r="3591" spans="1:15" customFormat="1" x14ac:dyDescent="0.25">
      <c r="A3591" s="661"/>
      <c r="B3591" s="73"/>
      <c r="C3591" s="77" t="s">
        <v>651</v>
      </c>
      <c r="D3591" s="77"/>
      <c r="E3591" s="77"/>
      <c r="F3591" s="77"/>
      <c r="G3591" s="74" t="s">
        <v>3</v>
      </c>
      <c r="H3591" s="153">
        <f>0.035*0.035*2*2.7*1.1</f>
        <v>7.2765000000000017E-3</v>
      </c>
      <c r="I3591" s="72"/>
      <c r="K3591" s="671"/>
      <c r="L3591" s="73"/>
      <c r="M3591" s="73"/>
      <c r="N3591" s="74"/>
      <c r="O3591" s="153"/>
    </row>
    <row r="3592" spans="1:15" customFormat="1" x14ac:dyDescent="0.25">
      <c r="A3592" s="661"/>
      <c r="B3592" s="73"/>
      <c r="C3592" s="78" t="s">
        <v>8042</v>
      </c>
      <c r="D3592" s="77"/>
      <c r="E3592" s="77"/>
      <c r="F3592" s="77"/>
      <c r="G3592" s="74"/>
      <c r="H3592" s="153"/>
      <c r="I3592" s="72"/>
      <c r="K3592" s="671"/>
      <c r="L3592" s="73"/>
      <c r="M3592" s="73"/>
      <c r="N3592" s="74"/>
      <c r="O3592" s="153"/>
    </row>
    <row r="3593" spans="1:15" customFormat="1" ht="15.75" thickBot="1" x14ac:dyDescent="0.3">
      <c r="A3593" s="660"/>
      <c r="B3593" s="68"/>
      <c r="C3593" s="170" t="s">
        <v>651</v>
      </c>
      <c r="D3593" s="170"/>
      <c r="E3593" s="170"/>
      <c r="F3593" s="170"/>
      <c r="G3593" s="82" t="s">
        <v>3</v>
      </c>
      <c r="H3593" s="89">
        <f>0.082*3.14*0.023*2*2.7*1.1</f>
        <v>3.517691760000001E-2</v>
      </c>
      <c r="I3593" s="83"/>
      <c r="K3593" s="671"/>
      <c r="L3593" s="73"/>
      <c r="M3593" s="73"/>
      <c r="N3593" s="74"/>
      <c r="O3593" s="153"/>
    </row>
    <row r="3594" spans="1:15" customFormat="1" x14ac:dyDescent="0.25">
      <c r="A3594" s="662"/>
      <c r="B3594" s="93"/>
      <c r="C3594" s="65"/>
      <c r="D3594" s="65"/>
      <c r="E3594" s="65"/>
      <c r="F3594" s="65"/>
      <c r="G3594" s="175" t="s">
        <v>8041</v>
      </c>
      <c r="H3594" s="182"/>
      <c r="I3594" s="72"/>
      <c r="K3594" s="671"/>
      <c r="L3594" s="73"/>
      <c r="M3594" s="73"/>
      <c r="N3594" s="74"/>
      <c r="O3594" s="153"/>
    </row>
    <row r="3595" spans="1:15" customFormat="1" x14ac:dyDescent="0.25">
      <c r="A3595" s="661"/>
      <c r="B3595" s="75" t="s">
        <v>8040</v>
      </c>
      <c r="C3595" s="77"/>
      <c r="D3595" s="77"/>
      <c r="E3595" s="77"/>
      <c r="F3595" s="77"/>
      <c r="G3595" s="74"/>
      <c r="H3595" s="153"/>
      <c r="I3595" s="72"/>
      <c r="K3595" s="671"/>
      <c r="L3595" s="73"/>
      <c r="M3595" s="73"/>
      <c r="N3595" s="74"/>
      <c r="O3595" s="153"/>
    </row>
    <row r="3596" spans="1:15" customFormat="1" x14ac:dyDescent="0.25">
      <c r="A3596" s="661"/>
      <c r="B3596" s="73" t="s">
        <v>8039</v>
      </c>
      <c r="C3596" s="77"/>
      <c r="D3596" s="77"/>
      <c r="E3596" s="77"/>
      <c r="F3596" s="77"/>
      <c r="G3596" s="74" t="s">
        <v>3</v>
      </c>
      <c r="H3596" s="153">
        <f>0.042*0.042*0.25*8</f>
        <v>3.5280000000000003E-3</v>
      </c>
      <c r="I3596" s="72"/>
      <c r="K3596" s="671"/>
      <c r="L3596" s="73"/>
      <c r="M3596" s="73"/>
      <c r="N3596" s="74"/>
      <c r="O3596" s="153"/>
    </row>
    <row r="3597" spans="1:15" customFormat="1" x14ac:dyDescent="0.25">
      <c r="A3597" s="661"/>
      <c r="B3597" s="73"/>
      <c r="C3597" s="77"/>
      <c r="D3597" s="77"/>
      <c r="E3597" s="77"/>
      <c r="F3597" s="77"/>
      <c r="G3597" s="74"/>
      <c r="H3597" s="153"/>
      <c r="I3597" s="72"/>
      <c r="K3597" s="671"/>
      <c r="L3597" s="73"/>
      <c r="M3597" s="73"/>
      <c r="N3597" s="74"/>
      <c r="O3597" s="153"/>
    </row>
    <row r="3598" spans="1:15" customFormat="1" x14ac:dyDescent="0.25">
      <c r="A3598" s="661"/>
      <c r="B3598" s="75" t="s">
        <v>8038</v>
      </c>
      <c r="C3598" s="77"/>
      <c r="D3598" s="77"/>
      <c r="E3598" s="77"/>
      <c r="F3598" s="77"/>
      <c r="G3598" s="74"/>
      <c r="H3598" s="153"/>
      <c r="I3598" s="72"/>
      <c r="K3598" s="671"/>
      <c r="L3598" s="73"/>
      <c r="M3598" s="73"/>
      <c r="N3598" s="74"/>
      <c r="O3598" s="153"/>
    </row>
    <row r="3599" spans="1:15" customFormat="1" x14ac:dyDescent="0.25">
      <c r="A3599" s="661"/>
      <c r="B3599" s="73" t="s">
        <v>8037</v>
      </c>
      <c r="C3599" s="77"/>
      <c r="D3599" s="77"/>
      <c r="E3599" s="77"/>
      <c r="F3599" s="77"/>
      <c r="G3599" s="74" t="s">
        <v>3</v>
      </c>
      <c r="H3599" s="153">
        <f>0.042*0.042*0.5*8</f>
        <v>7.0560000000000006E-3</v>
      </c>
      <c r="I3599" s="72"/>
      <c r="K3599" s="671"/>
      <c r="L3599" s="73"/>
      <c r="M3599" s="73"/>
      <c r="N3599" s="74"/>
      <c r="O3599" s="153"/>
    </row>
    <row r="3600" spans="1:15" customFormat="1" x14ac:dyDescent="0.25">
      <c r="A3600" s="661"/>
      <c r="B3600" s="73"/>
      <c r="C3600" s="77"/>
      <c r="D3600" s="77"/>
      <c r="E3600" s="77"/>
      <c r="F3600" s="77"/>
      <c r="G3600" s="74"/>
      <c r="H3600" s="153"/>
      <c r="I3600" s="72"/>
      <c r="K3600" s="671"/>
      <c r="L3600" s="73"/>
      <c r="M3600" s="73"/>
      <c r="N3600" s="74"/>
      <c r="O3600" s="153"/>
    </row>
    <row r="3601" spans="1:15" customFormat="1" x14ac:dyDescent="0.25">
      <c r="A3601" s="661"/>
      <c r="B3601" s="75" t="s">
        <v>8036</v>
      </c>
      <c r="C3601" s="77"/>
      <c r="D3601" s="77"/>
      <c r="E3601" s="77"/>
      <c r="F3601" s="77"/>
      <c r="G3601" s="74"/>
      <c r="H3601" s="153"/>
      <c r="I3601" s="72"/>
      <c r="K3601" s="671"/>
      <c r="L3601" s="73"/>
      <c r="M3601" s="73"/>
      <c r="N3601" s="74"/>
      <c r="O3601" s="153"/>
    </row>
    <row r="3602" spans="1:15" customFormat="1" x14ac:dyDescent="0.25">
      <c r="A3602" s="661"/>
      <c r="B3602" s="73" t="s">
        <v>8035</v>
      </c>
      <c r="C3602" s="77"/>
      <c r="D3602" s="77"/>
      <c r="E3602" s="77"/>
      <c r="F3602" s="77"/>
      <c r="G3602" s="74" t="s">
        <v>3</v>
      </c>
      <c r="H3602" s="153">
        <f>0.042*0.042*1*8</f>
        <v>1.4112000000000001E-2</v>
      </c>
      <c r="I3602" s="72"/>
      <c r="K3602" s="671"/>
      <c r="L3602" s="73"/>
      <c r="M3602" s="73"/>
      <c r="N3602" s="74"/>
      <c r="O3602" s="153"/>
    </row>
    <row r="3603" spans="1:15" customFormat="1" x14ac:dyDescent="0.25">
      <c r="A3603" s="661"/>
      <c r="B3603" s="73"/>
      <c r="C3603" s="77"/>
      <c r="D3603" s="77"/>
      <c r="E3603" s="77"/>
      <c r="F3603" s="77"/>
      <c r="G3603" s="74"/>
      <c r="H3603" s="153"/>
      <c r="I3603" s="72"/>
      <c r="K3603" s="671"/>
      <c r="L3603" s="73"/>
      <c r="M3603" s="73"/>
      <c r="N3603" s="74"/>
      <c r="O3603" s="153"/>
    </row>
    <row r="3604" spans="1:15" customFormat="1" x14ac:dyDescent="0.25">
      <c r="A3604" s="661"/>
      <c r="B3604" s="75" t="s">
        <v>8034</v>
      </c>
      <c r="C3604" s="77"/>
      <c r="D3604" s="77"/>
      <c r="E3604" s="77"/>
      <c r="F3604" s="77"/>
      <c r="G3604" s="74"/>
      <c r="H3604" s="153"/>
      <c r="I3604" s="72"/>
      <c r="K3604" s="671"/>
      <c r="L3604" s="73"/>
      <c r="M3604" s="73"/>
      <c r="N3604" s="74"/>
      <c r="O3604" s="153"/>
    </row>
    <row r="3605" spans="1:15" customFormat="1" x14ac:dyDescent="0.25">
      <c r="A3605" s="661"/>
      <c r="B3605" s="73" t="s">
        <v>379</v>
      </c>
      <c r="C3605" s="77"/>
      <c r="D3605" s="77"/>
      <c r="E3605" s="77"/>
      <c r="F3605" s="77"/>
      <c r="G3605" s="74" t="s">
        <v>195</v>
      </c>
      <c r="H3605" s="153">
        <v>0.26500000000000001</v>
      </c>
      <c r="I3605" s="72"/>
      <c r="K3605" s="671"/>
      <c r="L3605" s="73"/>
      <c r="M3605" s="73"/>
      <c r="N3605" s="74"/>
      <c r="O3605" s="153"/>
    </row>
    <row r="3606" spans="1:15" customFormat="1" x14ac:dyDescent="0.25">
      <c r="A3606" s="661"/>
      <c r="B3606" s="73"/>
      <c r="C3606" s="77"/>
      <c r="D3606" s="77"/>
      <c r="E3606" s="77"/>
      <c r="F3606" s="77"/>
      <c r="G3606" s="74"/>
      <c r="H3606" s="153"/>
      <c r="I3606" s="72"/>
      <c r="K3606" s="671"/>
      <c r="L3606" s="73"/>
      <c r="M3606" s="73"/>
      <c r="N3606" s="74"/>
      <c r="O3606" s="153"/>
    </row>
    <row r="3607" spans="1:15" customFormat="1" x14ac:dyDescent="0.25">
      <c r="A3607" s="661"/>
      <c r="B3607" s="75" t="s">
        <v>8033</v>
      </c>
      <c r="C3607" s="77"/>
      <c r="D3607" s="77"/>
      <c r="E3607" s="77"/>
      <c r="F3607" s="77"/>
      <c r="G3607" s="74"/>
      <c r="H3607" s="153"/>
      <c r="I3607" s="72"/>
      <c r="K3607" s="671"/>
      <c r="L3607" s="73"/>
      <c r="M3607" s="73"/>
      <c r="N3607" s="74"/>
      <c r="O3607" s="153"/>
    </row>
    <row r="3608" spans="1:15" customFormat="1" x14ac:dyDescent="0.25">
      <c r="A3608" s="661"/>
      <c r="B3608" s="73" t="s">
        <v>8032</v>
      </c>
      <c r="C3608" s="77"/>
      <c r="D3608" s="77"/>
      <c r="E3608" s="77"/>
      <c r="F3608" s="77"/>
      <c r="G3608" s="74" t="s">
        <v>3</v>
      </c>
      <c r="H3608" s="153">
        <f>0.15*0.02*0.8*8*1.03</f>
        <v>1.9776000000000002E-2</v>
      </c>
      <c r="I3608" s="72"/>
      <c r="K3608" s="671"/>
      <c r="L3608" s="73"/>
      <c r="M3608" s="73"/>
      <c r="N3608" s="74"/>
      <c r="O3608" s="153"/>
    </row>
    <row r="3609" spans="1:15" customFormat="1" x14ac:dyDescent="0.25">
      <c r="A3609" s="661"/>
      <c r="B3609" s="73"/>
      <c r="C3609" s="77"/>
      <c r="D3609" s="77"/>
      <c r="E3609" s="77"/>
      <c r="F3609" s="77"/>
      <c r="G3609" s="74"/>
      <c r="H3609" s="153"/>
      <c r="I3609" s="72"/>
      <c r="K3609" s="671"/>
      <c r="L3609" s="73"/>
      <c r="M3609" s="73"/>
      <c r="N3609" s="74"/>
      <c r="O3609" s="153"/>
    </row>
    <row r="3610" spans="1:15" customFormat="1" x14ac:dyDescent="0.25">
      <c r="A3610" s="661"/>
      <c r="B3610" s="75" t="s">
        <v>8031</v>
      </c>
      <c r="C3610" s="77"/>
      <c r="D3610" s="77"/>
      <c r="E3610" s="77"/>
      <c r="F3610" s="77"/>
      <c r="G3610" s="74"/>
      <c r="H3610" s="153"/>
      <c r="I3610" s="72"/>
      <c r="K3610" s="671"/>
      <c r="L3610" s="73"/>
      <c r="M3610" s="73"/>
      <c r="N3610" s="74"/>
      <c r="O3610" s="153"/>
    </row>
    <row r="3611" spans="1:15" customFormat="1" x14ac:dyDescent="0.25">
      <c r="A3611" s="661"/>
      <c r="B3611" s="73" t="s">
        <v>227</v>
      </c>
      <c r="C3611" s="77"/>
      <c r="D3611" s="77"/>
      <c r="E3611" s="77"/>
      <c r="F3611" s="77"/>
      <c r="G3611" s="74" t="s">
        <v>3</v>
      </c>
      <c r="H3611" s="153">
        <f>0.1*0.09*5*8*1.124</f>
        <v>0.40464</v>
      </c>
      <c r="I3611" s="72"/>
      <c r="K3611" s="671"/>
      <c r="L3611" s="73"/>
      <c r="M3611" s="73"/>
      <c r="N3611" s="74"/>
      <c r="O3611" s="153"/>
    </row>
    <row r="3612" spans="1:15" customFormat="1" x14ac:dyDescent="0.25">
      <c r="A3612" s="661"/>
      <c r="B3612" s="73"/>
      <c r="C3612" s="77"/>
      <c r="D3612" s="77"/>
      <c r="E3612" s="77"/>
      <c r="F3612" s="77"/>
      <c r="G3612" s="74"/>
      <c r="H3612" s="153"/>
      <c r="I3612" s="72"/>
      <c r="K3612" s="671"/>
      <c r="L3612" s="73"/>
      <c r="M3612" s="73"/>
      <c r="N3612" s="74"/>
      <c r="O3612" s="153"/>
    </row>
    <row r="3613" spans="1:15" customFormat="1" x14ac:dyDescent="0.25">
      <c r="A3613" s="661"/>
      <c r="B3613" s="75" t="s">
        <v>8030</v>
      </c>
      <c r="C3613" s="77"/>
      <c r="D3613" s="77"/>
      <c r="E3613" s="77"/>
      <c r="F3613" s="77"/>
      <c r="G3613" s="74"/>
      <c r="H3613" s="153"/>
      <c r="I3613" s="72"/>
      <c r="K3613" s="671"/>
      <c r="L3613" s="73"/>
      <c r="M3613" s="73"/>
      <c r="N3613" s="74"/>
      <c r="O3613" s="153"/>
    </row>
    <row r="3614" spans="1:15" customFormat="1" x14ac:dyDescent="0.25">
      <c r="A3614" s="661"/>
      <c r="B3614" s="73" t="s">
        <v>8029</v>
      </c>
      <c r="C3614" s="77"/>
      <c r="D3614" s="77"/>
      <c r="E3614" s="77"/>
      <c r="F3614" s="77"/>
      <c r="G3614" s="74" t="s">
        <v>3</v>
      </c>
      <c r="H3614" s="153">
        <f>0.165*0.05*1.5*8*1.125</f>
        <v>0.111375</v>
      </c>
      <c r="I3614" s="72"/>
      <c r="K3614" s="671"/>
      <c r="L3614" s="73"/>
      <c r="M3614" s="73"/>
      <c r="N3614" s="74"/>
      <c r="O3614" s="153"/>
    </row>
    <row r="3615" spans="1:15" customFormat="1" x14ac:dyDescent="0.25">
      <c r="A3615" s="661"/>
      <c r="B3615" s="73"/>
      <c r="C3615" s="77"/>
      <c r="D3615" s="77"/>
      <c r="E3615" s="77"/>
      <c r="F3615" s="77"/>
      <c r="G3615" s="74"/>
      <c r="H3615" s="153"/>
      <c r="I3615" s="72"/>
      <c r="K3615" s="671"/>
      <c r="L3615" s="73"/>
      <c r="M3615" s="73"/>
      <c r="N3615" s="74"/>
      <c r="O3615" s="153"/>
    </row>
    <row r="3616" spans="1:15" customFormat="1" x14ac:dyDescent="0.25">
      <c r="A3616" s="661"/>
      <c r="B3616" s="75" t="s">
        <v>8028</v>
      </c>
      <c r="C3616" s="77"/>
      <c r="D3616" s="77"/>
      <c r="E3616" s="77"/>
      <c r="F3616" s="77"/>
      <c r="G3616" s="74"/>
      <c r="H3616" s="153"/>
      <c r="I3616" s="72"/>
      <c r="K3616" s="671"/>
      <c r="L3616" s="73"/>
      <c r="M3616" s="73"/>
      <c r="N3616" s="74"/>
      <c r="O3616" s="153"/>
    </row>
    <row r="3617" spans="1:15" customFormat="1" x14ac:dyDescent="0.25">
      <c r="A3617" s="661"/>
      <c r="B3617" s="73" t="s">
        <v>8027</v>
      </c>
      <c r="C3617" s="77"/>
      <c r="D3617" s="77"/>
      <c r="E3617" s="77"/>
      <c r="F3617" s="77"/>
      <c r="G3617" s="74" t="s">
        <v>3</v>
      </c>
      <c r="H3617" s="153">
        <f>0.013*1.08</f>
        <v>1.404E-2</v>
      </c>
      <c r="I3617" s="72"/>
      <c r="K3617" s="671"/>
      <c r="L3617" s="73"/>
      <c r="M3617" s="73"/>
      <c r="N3617" s="74"/>
      <c r="O3617" s="153"/>
    </row>
    <row r="3618" spans="1:15" customFormat="1" x14ac:dyDescent="0.25">
      <c r="A3618" s="661"/>
      <c r="B3618" s="73"/>
      <c r="C3618" s="77"/>
      <c r="D3618" s="77"/>
      <c r="E3618" s="77"/>
      <c r="F3618" s="77"/>
      <c r="G3618" s="74"/>
      <c r="H3618" s="153"/>
      <c r="I3618" s="72"/>
      <c r="K3618" s="671"/>
      <c r="L3618" s="73"/>
      <c r="M3618" s="73"/>
      <c r="N3618" s="74"/>
      <c r="O3618" s="153"/>
    </row>
    <row r="3619" spans="1:15" customFormat="1" x14ac:dyDescent="0.25">
      <c r="A3619" s="661"/>
      <c r="B3619" s="75" t="s">
        <v>8026</v>
      </c>
      <c r="C3619" s="77"/>
      <c r="D3619" s="77"/>
      <c r="E3619" s="77"/>
      <c r="F3619" s="77"/>
      <c r="G3619" s="74"/>
      <c r="H3619" s="153"/>
      <c r="I3619" s="72"/>
      <c r="K3619" s="671"/>
      <c r="L3619" s="73"/>
      <c r="M3619" s="73"/>
      <c r="N3619" s="74"/>
      <c r="O3619" s="153"/>
    </row>
    <row r="3620" spans="1:15" customFormat="1" x14ac:dyDescent="0.25">
      <c r="A3620" s="661"/>
      <c r="B3620" s="100" t="s">
        <v>433</v>
      </c>
      <c r="C3620" s="77"/>
      <c r="D3620" s="77"/>
      <c r="E3620" s="77"/>
      <c r="F3620" s="77"/>
      <c r="G3620" s="74" t="s">
        <v>3</v>
      </c>
      <c r="H3620" s="153">
        <f>0.065*0.065*2*2.7*1.08</f>
        <v>2.4640200000000008E-2</v>
      </c>
      <c r="I3620" s="72"/>
      <c r="K3620" s="671"/>
      <c r="L3620" s="73"/>
      <c r="M3620" s="73"/>
      <c r="N3620" s="74"/>
      <c r="O3620" s="153"/>
    </row>
    <row r="3621" spans="1:15" customFormat="1" x14ac:dyDescent="0.25">
      <c r="A3621" s="661"/>
      <c r="B3621" s="75"/>
      <c r="C3621" s="77"/>
      <c r="D3621" s="77"/>
      <c r="E3621" s="77"/>
      <c r="F3621" s="77"/>
      <c r="G3621" s="74"/>
      <c r="H3621" s="153"/>
      <c r="I3621" s="72"/>
      <c r="K3621" s="671"/>
      <c r="L3621" s="73"/>
      <c r="M3621" s="73"/>
      <c r="N3621" s="74"/>
      <c r="O3621" s="153"/>
    </row>
    <row r="3622" spans="1:15" customFormat="1" x14ac:dyDescent="0.25">
      <c r="A3622" s="661"/>
      <c r="B3622" s="75" t="s">
        <v>8025</v>
      </c>
      <c r="C3622" s="77"/>
      <c r="D3622" s="77"/>
      <c r="E3622" s="77"/>
      <c r="F3622" s="77"/>
      <c r="G3622" s="74"/>
      <c r="H3622" s="153"/>
      <c r="I3622" s="72"/>
      <c r="K3622" s="671"/>
      <c r="L3622" s="73"/>
      <c r="M3622" s="73"/>
      <c r="N3622" s="74"/>
      <c r="O3622" s="153"/>
    </row>
    <row r="3623" spans="1:15" customFormat="1" x14ac:dyDescent="0.25">
      <c r="A3623" s="661"/>
      <c r="B3623" s="100" t="s">
        <v>1730</v>
      </c>
      <c r="C3623" s="77"/>
      <c r="D3623" s="77"/>
      <c r="E3623" s="77"/>
      <c r="F3623" s="77"/>
      <c r="G3623" s="74" t="s">
        <v>3</v>
      </c>
      <c r="H3623" s="153">
        <f>0.02*0.02*1*8</f>
        <v>3.2000000000000002E-3</v>
      </c>
      <c r="I3623" s="72"/>
      <c r="K3623" s="671"/>
      <c r="L3623" s="73"/>
      <c r="M3623" s="73"/>
      <c r="N3623" s="74"/>
      <c r="O3623" s="153"/>
    </row>
    <row r="3624" spans="1:15" customFormat="1" x14ac:dyDescent="0.25">
      <c r="A3624" s="661"/>
      <c r="B3624" s="75"/>
      <c r="C3624" s="77"/>
      <c r="D3624" s="77"/>
      <c r="E3624" s="77"/>
      <c r="F3624" s="77"/>
      <c r="G3624" s="74"/>
      <c r="H3624" s="153"/>
      <c r="I3624" s="72"/>
      <c r="K3624" s="671"/>
      <c r="L3624" s="73"/>
      <c r="M3624" s="73"/>
      <c r="N3624" s="74"/>
      <c r="O3624" s="153"/>
    </row>
    <row r="3625" spans="1:15" customFormat="1" x14ac:dyDescent="0.25">
      <c r="A3625" s="661"/>
      <c r="B3625" s="75" t="s">
        <v>8024</v>
      </c>
      <c r="C3625" s="77"/>
      <c r="D3625" s="77"/>
      <c r="E3625" s="77"/>
      <c r="F3625" s="77"/>
      <c r="G3625" s="74"/>
      <c r="H3625" s="153"/>
      <c r="I3625" s="72"/>
      <c r="K3625" s="671"/>
      <c r="L3625" s="73"/>
      <c r="M3625" s="73"/>
      <c r="N3625" s="74"/>
      <c r="O3625" s="153"/>
    </row>
    <row r="3626" spans="1:15" customFormat="1" x14ac:dyDescent="0.25">
      <c r="A3626" s="661"/>
      <c r="B3626" s="100" t="s">
        <v>8023</v>
      </c>
      <c r="C3626" s="77"/>
      <c r="D3626" s="77"/>
      <c r="E3626" s="77"/>
      <c r="F3626" s="77"/>
      <c r="G3626" s="74" t="s">
        <v>3</v>
      </c>
      <c r="H3626" s="428">
        <f>0.018*0.018*0.8*8</f>
        <v>2.0735999999999997E-3</v>
      </c>
      <c r="I3626" s="72"/>
      <c r="K3626" s="671"/>
      <c r="L3626" s="73"/>
      <c r="M3626" s="73"/>
      <c r="N3626" s="74"/>
      <c r="O3626" s="153"/>
    </row>
    <row r="3627" spans="1:15" customFormat="1" x14ac:dyDescent="0.25">
      <c r="A3627" s="661"/>
      <c r="B3627" s="75"/>
      <c r="C3627" s="77"/>
      <c r="D3627" s="77"/>
      <c r="E3627" s="77"/>
      <c r="F3627" s="77"/>
      <c r="G3627" s="74"/>
      <c r="H3627" s="153"/>
      <c r="I3627" s="72"/>
      <c r="K3627" s="671"/>
      <c r="L3627" s="73"/>
      <c r="M3627" s="73"/>
      <c r="N3627" s="74"/>
      <c r="O3627" s="153"/>
    </row>
    <row r="3628" spans="1:15" customFormat="1" x14ac:dyDescent="0.25">
      <c r="A3628" s="661"/>
      <c r="B3628" s="75" t="s">
        <v>8022</v>
      </c>
      <c r="C3628" s="77"/>
      <c r="D3628" s="77"/>
      <c r="E3628" s="77"/>
      <c r="F3628" s="77"/>
      <c r="G3628" s="74"/>
      <c r="H3628" s="153"/>
      <c r="I3628" s="72"/>
      <c r="K3628" s="671"/>
      <c r="L3628" s="73"/>
      <c r="M3628" s="73"/>
      <c r="N3628" s="74"/>
      <c r="O3628" s="153"/>
    </row>
    <row r="3629" spans="1:15" customFormat="1" x14ac:dyDescent="0.25">
      <c r="A3629" s="661"/>
      <c r="B3629" s="100" t="s">
        <v>5761</v>
      </c>
      <c r="C3629" s="77"/>
      <c r="D3629" s="77"/>
      <c r="E3629" s="77"/>
      <c r="F3629" s="77"/>
      <c r="G3629" s="74" t="s">
        <v>3</v>
      </c>
      <c r="H3629" s="153">
        <f>0.041*0.041*3*8</f>
        <v>4.0344000000000005E-2</v>
      </c>
      <c r="I3629" s="72"/>
      <c r="K3629" s="671"/>
      <c r="L3629" s="73"/>
      <c r="M3629" s="73"/>
      <c r="N3629" s="74"/>
      <c r="O3629" s="153"/>
    </row>
    <row r="3630" spans="1:15" customFormat="1" x14ac:dyDescent="0.25">
      <c r="A3630" s="661"/>
      <c r="B3630" s="75"/>
      <c r="C3630" s="77"/>
      <c r="D3630" s="77"/>
      <c r="E3630" s="77"/>
      <c r="F3630" s="77"/>
      <c r="G3630" s="74"/>
      <c r="H3630" s="153"/>
      <c r="I3630" s="72"/>
      <c r="K3630" s="671"/>
      <c r="L3630" s="73"/>
      <c r="M3630" s="73"/>
      <c r="N3630" s="74"/>
      <c r="O3630" s="153"/>
    </row>
    <row r="3631" spans="1:15" customFormat="1" x14ac:dyDescent="0.25">
      <c r="A3631" s="661"/>
      <c r="B3631" s="75" t="s">
        <v>8021</v>
      </c>
      <c r="C3631" s="77"/>
      <c r="D3631" s="77"/>
      <c r="E3631" s="77"/>
      <c r="F3631" s="77"/>
      <c r="G3631" s="74"/>
      <c r="H3631" s="153"/>
      <c r="I3631" s="72"/>
      <c r="K3631" s="671"/>
      <c r="L3631" s="73"/>
      <c r="M3631" s="73"/>
      <c r="N3631" s="74"/>
      <c r="O3631" s="153"/>
    </row>
    <row r="3632" spans="1:15" customFormat="1" x14ac:dyDescent="0.25">
      <c r="A3632" s="661"/>
      <c r="B3632" s="77" t="s">
        <v>1054</v>
      </c>
      <c r="C3632" s="73"/>
      <c r="D3632" s="73"/>
      <c r="E3632" s="73"/>
      <c r="F3632" s="73"/>
      <c r="G3632" s="74" t="s">
        <v>3</v>
      </c>
      <c r="H3632" s="153">
        <f>0.05*3.14*4*0.07*1.1</f>
        <v>4.8356000000000017E-2</v>
      </c>
      <c r="I3632" s="72"/>
      <c r="K3632" s="671"/>
      <c r="L3632" s="73"/>
      <c r="M3632" s="73"/>
      <c r="N3632" s="74"/>
      <c r="O3632" s="153"/>
    </row>
    <row r="3633" spans="1:15" customFormat="1" ht="17.25" x14ac:dyDescent="0.25">
      <c r="A3633" s="661"/>
      <c r="B3633" s="77" t="s">
        <v>1055</v>
      </c>
      <c r="C3633" s="73"/>
      <c r="D3633" s="73"/>
      <c r="E3633" s="73"/>
      <c r="F3633" s="73"/>
      <c r="G3633" s="74" t="s">
        <v>596</v>
      </c>
      <c r="H3633" s="153">
        <f>H3632</f>
        <v>4.8356000000000017E-2</v>
      </c>
      <c r="I3633" s="72"/>
      <c r="K3633" s="671"/>
      <c r="L3633" s="73"/>
      <c r="M3633" s="73"/>
      <c r="N3633" s="74"/>
      <c r="O3633" s="153"/>
    </row>
    <row r="3634" spans="1:15" customFormat="1" x14ac:dyDescent="0.25">
      <c r="A3634" s="661"/>
      <c r="B3634" s="75"/>
      <c r="C3634" s="78" t="s">
        <v>8020</v>
      </c>
      <c r="D3634" s="77"/>
      <c r="E3634" s="77"/>
      <c r="F3634" s="77"/>
      <c r="G3634" s="74"/>
      <c r="H3634" s="153"/>
      <c r="I3634" s="72"/>
      <c r="K3634" s="671"/>
      <c r="L3634" s="73"/>
      <c r="M3634" s="73"/>
      <c r="N3634" s="74"/>
      <c r="O3634" s="153"/>
    </row>
    <row r="3635" spans="1:15" customFormat="1" x14ac:dyDescent="0.25">
      <c r="A3635" s="661"/>
      <c r="B3635" s="75"/>
      <c r="C3635" s="77" t="s">
        <v>1860</v>
      </c>
      <c r="D3635" s="77"/>
      <c r="E3635" s="77"/>
      <c r="F3635" s="77"/>
      <c r="G3635" s="74" t="s">
        <v>3</v>
      </c>
      <c r="H3635" s="153">
        <f>0.53*0.325*2*8*1.1247</f>
        <v>3.0996732000000002</v>
      </c>
      <c r="I3635" s="72"/>
      <c r="K3635" s="671"/>
      <c r="L3635" s="73"/>
      <c r="M3635" s="73"/>
      <c r="N3635" s="74"/>
      <c r="O3635" s="153"/>
    </row>
    <row r="3636" spans="1:15" customFormat="1" x14ac:dyDescent="0.25">
      <c r="A3636" s="661"/>
      <c r="B3636" s="75"/>
      <c r="C3636" s="78" t="s">
        <v>8019</v>
      </c>
      <c r="D3636" s="77"/>
      <c r="E3636" s="77"/>
      <c r="F3636" s="77"/>
      <c r="G3636" s="74"/>
      <c r="H3636" s="153"/>
      <c r="I3636" s="72"/>
      <c r="K3636" s="671"/>
      <c r="L3636" s="73"/>
      <c r="M3636" s="73"/>
      <c r="N3636" s="74"/>
      <c r="O3636" s="153"/>
    </row>
    <row r="3637" spans="1:15" customFormat="1" x14ac:dyDescent="0.25">
      <c r="A3637" s="661"/>
      <c r="B3637" s="75"/>
      <c r="C3637" s="77" t="s">
        <v>1860</v>
      </c>
      <c r="D3637" s="77"/>
      <c r="E3637" s="77"/>
      <c r="F3637" s="77"/>
      <c r="G3637" s="74" t="s">
        <v>3</v>
      </c>
      <c r="H3637" s="153">
        <f>0.05*3.14*0.009*2*8*1.12</f>
        <v>2.5320960000000007E-2</v>
      </c>
      <c r="I3637" s="72"/>
      <c r="K3637" s="671"/>
      <c r="L3637" s="73"/>
      <c r="M3637" s="73"/>
      <c r="N3637" s="74"/>
      <c r="O3637" s="153"/>
    </row>
    <row r="3638" spans="1:15" customFormat="1" x14ac:dyDescent="0.25">
      <c r="A3638" s="661"/>
      <c r="B3638" s="75"/>
      <c r="C3638" s="78" t="s">
        <v>8018</v>
      </c>
      <c r="D3638" s="77"/>
      <c r="E3638" s="77"/>
      <c r="F3638" s="77"/>
      <c r="G3638" s="74"/>
      <c r="H3638" s="153"/>
      <c r="I3638" s="72"/>
      <c r="K3638" s="671"/>
      <c r="L3638" s="73"/>
      <c r="M3638" s="73"/>
      <c r="N3638" s="74"/>
      <c r="O3638" s="153"/>
    </row>
    <row r="3639" spans="1:15" customFormat="1" ht="15.75" thickBot="1" x14ac:dyDescent="0.3">
      <c r="A3639" s="660"/>
      <c r="B3639" s="235"/>
      <c r="C3639" s="170" t="s">
        <v>1860</v>
      </c>
      <c r="D3639" s="170"/>
      <c r="E3639" s="170"/>
      <c r="F3639" s="170"/>
      <c r="G3639" s="82" t="s">
        <v>3</v>
      </c>
      <c r="H3639" s="89">
        <f>0.05*0.05*2*8*1.12</f>
        <v>4.4800000000000013E-2</v>
      </c>
      <c r="I3639" s="83"/>
      <c r="K3639" s="671"/>
      <c r="L3639" s="73"/>
      <c r="M3639" s="73"/>
      <c r="N3639" s="74"/>
      <c r="O3639" s="153"/>
    </row>
    <row r="3640" spans="1:15" customFormat="1" x14ac:dyDescent="0.25">
      <c r="A3640" s="128"/>
      <c r="B3640" s="3"/>
      <c r="C3640" s="8"/>
      <c r="D3640" s="8"/>
      <c r="E3640" s="8"/>
      <c r="F3640" s="8"/>
      <c r="G3640" s="537"/>
      <c r="H3640" s="10"/>
      <c r="I3640" s="161"/>
      <c r="K3640" s="671"/>
      <c r="L3640" s="73"/>
      <c r="M3640" s="73"/>
      <c r="N3640" s="74"/>
      <c r="O3640" s="153"/>
    </row>
    <row r="3641" spans="1:15" customFormat="1" x14ac:dyDescent="0.25">
      <c r="A3641" s="128"/>
      <c r="C3641" s="8"/>
      <c r="D3641" s="8"/>
      <c r="E3641" s="8"/>
      <c r="F3641" s="8"/>
      <c r="G3641" s="537"/>
      <c r="H3641" s="10"/>
      <c r="I3641" s="153"/>
      <c r="K3641" s="671"/>
      <c r="L3641" s="73"/>
      <c r="M3641" s="73"/>
      <c r="N3641" s="74"/>
      <c r="O3641" s="153"/>
    </row>
    <row r="3642" spans="1:15" customFormat="1" ht="15.75" thickBot="1" x14ac:dyDescent="0.3">
      <c r="A3642" s="128"/>
      <c r="C3642" s="8"/>
      <c r="D3642" s="8"/>
      <c r="E3642" s="8"/>
      <c r="F3642" s="8"/>
      <c r="G3642" s="537"/>
      <c r="H3642" s="10"/>
      <c r="I3642" s="89"/>
      <c r="K3642" s="671"/>
      <c r="L3642" s="73"/>
      <c r="M3642" s="73"/>
      <c r="N3642" s="74"/>
      <c r="O3642" s="153"/>
    </row>
    <row r="3643" spans="1:15" customFormat="1" x14ac:dyDescent="0.25">
      <c r="A3643" s="662"/>
      <c r="B3643" s="93"/>
      <c r="C3643" s="65"/>
      <c r="D3643" s="65"/>
      <c r="E3643" s="65"/>
      <c r="F3643" s="672" t="s">
        <v>8017</v>
      </c>
      <c r="G3643" s="93"/>
      <c r="H3643" s="160"/>
      <c r="I3643" s="90"/>
      <c r="J3643" s="73"/>
      <c r="K3643" s="671"/>
      <c r="L3643" s="73"/>
      <c r="M3643" s="73"/>
      <c r="N3643" s="74"/>
      <c r="O3643" s="153"/>
    </row>
    <row r="3644" spans="1:15" customFormat="1" x14ac:dyDescent="0.25">
      <c r="A3644" s="667" t="s">
        <v>2968</v>
      </c>
      <c r="B3644" s="75" t="s">
        <v>8016</v>
      </c>
      <c r="C3644" s="73"/>
      <c r="D3644" s="73"/>
      <c r="E3644" s="73"/>
      <c r="F3644" s="73"/>
      <c r="G3644" s="74"/>
      <c r="H3644" s="153"/>
      <c r="I3644" s="72"/>
      <c r="K3644" s="658"/>
    </row>
    <row r="3645" spans="1:15" customFormat="1" x14ac:dyDescent="0.25">
      <c r="A3645" s="661"/>
      <c r="B3645" s="75"/>
      <c r="C3645" s="73"/>
      <c r="D3645" s="73"/>
      <c r="E3645" s="73"/>
      <c r="F3645" s="73"/>
      <c r="G3645" s="74"/>
      <c r="H3645" s="153"/>
      <c r="I3645" s="72"/>
      <c r="K3645" s="658"/>
    </row>
    <row r="3646" spans="1:15" customFormat="1" x14ac:dyDescent="0.25">
      <c r="A3646" s="667"/>
      <c r="B3646" s="75" t="s">
        <v>8015</v>
      </c>
      <c r="C3646" s="73"/>
      <c r="D3646" s="73"/>
      <c r="E3646" s="73"/>
      <c r="F3646" s="73"/>
      <c r="G3646" s="74"/>
      <c r="H3646" s="153"/>
      <c r="I3646" s="72"/>
      <c r="K3646" s="658"/>
    </row>
    <row r="3647" spans="1:15" customFormat="1" x14ac:dyDescent="0.25">
      <c r="A3647" s="661"/>
      <c r="B3647" s="75"/>
      <c r="C3647" s="73"/>
      <c r="D3647" s="73"/>
      <c r="E3647" s="73"/>
      <c r="F3647" s="73"/>
      <c r="G3647" s="74"/>
      <c r="H3647" s="153"/>
      <c r="I3647" s="72"/>
      <c r="K3647" s="658"/>
    </row>
    <row r="3648" spans="1:15" customFormat="1" x14ac:dyDescent="0.25">
      <c r="A3648" s="667" t="s">
        <v>2968</v>
      </c>
      <c r="B3648" s="75" t="s">
        <v>8014</v>
      </c>
      <c r="C3648" s="73"/>
      <c r="D3648" s="73"/>
      <c r="E3648" s="73"/>
      <c r="F3648" s="73"/>
      <c r="G3648" s="74"/>
      <c r="H3648" s="153"/>
      <c r="I3648" s="72"/>
      <c r="K3648" s="658"/>
    </row>
    <row r="3649" spans="1:14" customFormat="1" x14ac:dyDescent="0.25">
      <c r="A3649" s="661"/>
      <c r="B3649" s="73"/>
      <c r="C3649" s="73"/>
      <c r="D3649" s="73"/>
      <c r="E3649" s="73"/>
      <c r="F3649" s="73"/>
      <c r="G3649" s="74"/>
      <c r="H3649" s="153"/>
      <c r="I3649" s="72"/>
      <c r="K3649" s="658"/>
    </row>
    <row r="3650" spans="1:14" customFormat="1" x14ac:dyDescent="0.25">
      <c r="A3650" s="667" t="s">
        <v>2968</v>
      </c>
      <c r="B3650" s="75" t="s">
        <v>8013</v>
      </c>
      <c r="C3650" s="73"/>
      <c r="D3650" s="73"/>
      <c r="E3650" s="73"/>
      <c r="F3650" s="73"/>
      <c r="G3650" s="74"/>
      <c r="H3650" s="153"/>
      <c r="I3650" s="72"/>
      <c r="K3650" s="658"/>
      <c r="N3650" s="85"/>
    </row>
    <row r="3651" spans="1:14" customFormat="1" x14ac:dyDescent="0.25">
      <c r="A3651" s="661"/>
      <c r="B3651" s="73"/>
      <c r="C3651" s="73"/>
      <c r="D3651" s="73"/>
      <c r="E3651" s="73"/>
      <c r="F3651" s="73"/>
      <c r="G3651" s="74"/>
      <c r="H3651" s="153"/>
      <c r="I3651" s="72"/>
      <c r="K3651" s="658"/>
      <c r="N3651" s="85"/>
    </row>
    <row r="3652" spans="1:14" customFormat="1" x14ac:dyDescent="0.25">
      <c r="A3652" s="667"/>
      <c r="B3652" s="75" t="s">
        <v>8012</v>
      </c>
      <c r="C3652" s="73"/>
      <c r="D3652" s="73"/>
      <c r="E3652" s="73"/>
      <c r="F3652" s="73"/>
      <c r="G3652" s="74"/>
      <c r="H3652" s="153"/>
      <c r="I3652" s="72"/>
      <c r="K3652" s="658"/>
      <c r="N3652" s="85"/>
    </row>
    <row r="3653" spans="1:14" customFormat="1" x14ac:dyDescent="0.25">
      <c r="A3653" s="661"/>
      <c r="B3653" s="77" t="s">
        <v>1054</v>
      </c>
      <c r="C3653" s="73"/>
      <c r="D3653" s="73"/>
      <c r="E3653" s="73"/>
      <c r="F3653" s="73"/>
      <c r="G3653" s="74" t="s">
        <v>3</v>
      </c>
      <c r="H3653" s="153"/>
      <c r="I3653" s="72"/>
      <c r="K3653" s="658"/>
    </row>
    <row r="3654" spans="1:14" customFormat="1" ht="17.25" x14ac:dyDescent="0.25">
      <c r="A3654" s="661"/>
      <c r="B3654" s="77" t="s">
        <v>1055</v>
      </c>
      <c r="C3654" s="73"/>
      <c r="D3654" s="73"/>
      <c r="E3654" s="73"/>
      <c r="F3654" s="73"/>
      <c r="G3654" s="74" t="s">
        <v>596</v>
      </c>
      <c r="H3654" s="153">
        <f>H3653</f>
        <v>0</v>
      </c>
      <c r="I3654" s="72"/>
      <c r="K3654" s="658"/>
    </row>
    <row r="3655" spans="1:14" customFormat="1" x14ac:dyDescent="0.25">
      <c r="A3655" s="661"/>
      <c r="B3655" s="670" t="s">
        <v>8011</v>
      </c>
      <c r="C3655" s="669"/>
      <c r="D3655" s="669"/>
      <c r="E3655" s="73"/>
      <c r="F3655" s="73"/>
      <c r="G3655" s="74"/>
      <c r="H3655" s="153"/>
      <c r="I3655" s="72"/>
      <c r="K3655" s="658"/>
    </row>
    <row r="3656" spans="1:14" customFormat="1" x14ac:dyDescent="0.25">
      <c r="A3656" s="661"/>
      <c r="B3656" s="73"/>
      <c r="C3656" s="75" t="s">
        <v>8010</v>
      </c>
      <c r="D3656" s="73"/>
      <c r="E3656" s="73"/>
      <c r="F3656" s="73"/>
      <c r="G3656" s="74"/>
      <c r="H3656" s="153"/>
      <c r="I3656" s="72"/>
      <c r="K3656" s="658"/>
    </row>
    <row r="3657" spans="1:14" customFormat="1" x14ac:dyDescent="0.25">
      <c r="A3657" s="661"/>
      <c r="B3657" s="73"/>
      <c r="C3657" s="77" t="s">
        <v>1054</v>
      </c>
      <c r="D3657" s="73"/>
      <c r="E3657" s="73"/>
      <c r="F3657" s="73"/>
      <c r="G3657" s="74" t="s">
        <v>3</v>
      </c>
      <c r="H3657" s="153">
        <f>0.06*0.07*1.2</f>
        <v>5.0400000000000002E-3</v>
      </c>
      <c r="I3657" s="72"/>
      <c r="K3657" s="658"/>
    </row>
    <row r="3658" spans="1:14" customFormat="1" ht="17.25" x14ac:dyDescent="0.25">
      <c r="A3658" s="661"/>
      <c r="B3658" s="73"/>
      <c r="C3658" s="77" t="s">
        <v>1055</v>
      </c>
      <c r="D3658" s="73"/>
      <c r="E3658" s="73"/>
      <c r="F3658" s="73"/>
      <c r="G3658" s="74" t="s">
        <v>596</v>
      </c>
      <c r="H3658" s="153">
        <f>H3657</f>
        <v>5.0400000000000002E-3</v>
      </c>
      <c r="I3658" s="72"/>
      <c r="K3658" s="658"/>
    </row>
    <row r="3659" spans="1:14" customFormat="1" x14ac:dyDescent="0.25">
      <c r="A3659" s="661"/>
      <c r="B3659" s="73"/>
      <c r="C3659" s="75"/>
      <c r="D3659" s="75" t="s">
        <v>8009</v>
      </c>
      <c r="E3659" s="73"/>
      <c r="F3659" s="73"/>
      <c r="G3659" s="74"/>
      <c r="H3659" s="153"/>
      <c r="I3659" s="72"/>
      <c r="K3659" s="658"/>
    </row>
    <row r="3660" spans="1:14" customFormat="1" x14ac:dyDescent="0.25">
      <c r="A3660" s="661"/>
      <c r="B3660" s="73"/>
      <c r="C3660" s="75"/>
      <c r="D3660" s="73" t="s">
        <v>8008</v>
      </c>
      <c r="E3660" s="73"/>
      <c r="F3660" s="73"/>
      <c r="G3660" s="74" t="s">
        <v>3</v>
      </c>
      <c r="H3660" s="153">
        <v>0.02</v>
      </c>
      <c r="I3660" s="72"/>
      <c r="K3660" s="658"/>
    </row>
    <row r="3661" spans="1:14" customFormat="1" x14ac:dyDescent="0.25">
      <c r="A3661" s="661"/>
      <c r="B3661" s="73"/>
      <c r="C3661" s="73"/>
      <c r="D3661" s="75" t="s">
        <v>8007</v>
      </c>
      <c r="E3661" s="73"/>
      <c r="F3661" s="73"/>
      <c r="G3661" s="74"/>
      <c r="H3661" s="153"/>
      <c r="I3661" s="72"/>
      <c r="K3661" s="658"/>
    </row>
    <row r="3662" spans="1:14" customFormat="1" x14ac:dyDescent="0.25">
      <c r="A3662" s="661"/>
      <c r="B3662" s="73"/>
      <c r="C3662" s="73"/>
      <c r="D3662" s="73" t="s">
        <v>275</v>
      </c>
      <c r="E3662" s="73"/>
      <c r="F3662" s="73"/>
      <c r="G3662" s="74" t="s">
        <v>3</v>
      </c>
      <c r="H3662" s="153">
        <f>0.106*0.03*1.5*8*1.1</f>
        <v>4.1975999999999999E-2</v>
      </c>
      <c r="I3662" s="72"/>
      <c r="J3662" s="2"/>
      <c r="K3662" s="658"/>
    </row>
    <row r="3663" spans="1:14" customFormat="1" x14ac:dyDescent="0.25">
      <c r="A3663" s="661"/>
      <c r="B3663" s="73"/>
      <c r="C3663" s="75" t="s">
        <v>8006</v>
      </c>
      <c r="D3663" s="73"/>
      <c r="E3663" s="73"/>
      <c r="F3663" s="73"/>
      <c r="G3663" s="74"/>
      <c r="H3663" s="153"/>
      <c r="I3663" s="72"/>
      <c r="K3663" s="658"/>
    </row>
    <row r="3664" spans="1:14" customFormat="1" x14ac:dyDescent="0.25">
      <c r="A3664" s="661"/>
      <c r="B3664" s="73"/>
      <c r="C3664" s="77" t="s">
        <v>1054</v>
      </c>
      <c r="D3664" s="73"/>
      <c r="E3664" s="73"/>
      <c r="F3664" s="73"/>
      <c r="G3664" s="74" t="s">
        <v>3</v>
      </c>
      <c r="H3664" s="153">
        <v>4.0000000000000001E-3</v>
      </c>
      <c r="I3664" s="72"/>
      <c r="K3664" s="658"/>
    </row>
    <row r="3665" spans="1:12" customFormat="1" ht="17.25" x14ac:dyDescent="0.25">
      <c r="A3665" s="661"/>
      <c r="B3665" s="73"/>
      <c r="C3665" s="77" t="s">
        <v>1055</v>
      </c>
      <c r="D3665" s="73"/>
      <c r="E3665" s="73"/>
      <c r="F3665" s="73"/>
      <c r="G3665" s="74" t="s">
        <v>596</v>
      </c>
      <c r="H3665" s="153">
        <f>H3664</f>
        <v>4.0000000000000001E-3</v>
      </c>
      <c r="I3665" s="72"/>
      <c r="K3665" s="658"/>
    </row>
    <row r="3666" spans="1:12" customFormat="1" x14ac:dyDescent="0.25">
      <c r="A3666" s="661"/>
      <c r="B3666" s="73"/>
      <c r="C3666" s="73"/>
      <c r="D3666" s="75" t="s">
        <v>8005</v>
      </c>
      <c r="E3666" s="73"/>
      <c r="F3666" s="73"/>
      <c r="G3666" s="74"/>
      <c r="H3666" s="153"/>
      <c r="I3666" s="72"/>
      <c r="K3666" s="658"/>
    </row>
    <row r="3667" spans="1:12" customFormat="1" x14ac:dyDescent="0.25">
      <c r="A3667" s="661"/>
      <c r="B3667" s="73"/>
      <c r="C3667" s="73"/>
      <c r="D3667" s="73" t="s">
        <v>272</v>
      </c>
      <c r="E3667" s="73"/>
      <c r="F3667" s="73"/>
      <c r="G3667" s="74" t="s">
        <v>3</v>
      </c>
      <c r="H3667" s="153">
        <f>0.05*0.022*2*8*1.1</f>
        <v>1.9360000000000002E-2</v>
      </c>
      <c r="I3667" s="72"/>
      <c r="K3667" s="658"/>
    </row>
    <row r="3668" spans="1:12" customFormat="1" x14ac:dyDescent="0.25">
      <c r="A3668" s="661"/>
      <c r="B3668" s="73"/>
      <c r="C3668" s="73"/>
      <c r="D3668" s="75" t="s">
        <v>8004</v>
      </c>
      <c r="E3668" s="73"/>
      <c r="F3668" s="73"/>
      <c r="G3668" s="74"/>
      <c r="H3668" s="153"/>
      <c r="I3668" s="72"/>
      <c r="K3668" s="658"/>
    </row>
    <row r="3669" spans="1:12" customFormat="1" x14ac:dyDescent="0.25">
      <c r="A3669" s="667"/>
      <c r="B3669" s="73"/>
      <c r="C3669" s="75" t="s">
        <v>8003</v>
      </c>
      <c r="D3669" s="73"/>
      <c r="E3669" s="73"/>
      <c r="F3669" s="73"/>
      <c r="G3669" s="74"/>
      <c r="H3669" s="153"/>
      <c r="I3669" s="72"/>
      <c r="K3669" s="658"/>
      <c r="L3669" t="s">
        <v>8002</v>
      </c>
    </row>
    <row r="3670" spans="1:12" customFormat="1" x14ac:dyDescent="0.25">
      <c r="A3670" s="667"/>
      <c r="B3670" s="73"/>
      <c r="C3670" s="100" t="s">
        <v>415</v>
      </c>
      <c r="D3670" s="73"/>
      <c r="E3670" s="73"/>
      <c r="F3670" s="73"/>
      <c r="G3670" s="74" t="s">
        <v>3</v>
      </c>
      <c r="H3670" s="153">
        <f>1.742*0.58*1.5*8*1.1205</f>
        <v>13.58530056</v>
      </c>
      <c r="I3670" s="365" t="s">
        <v>8001</v>
      </c>
      <c r="J3670" s="26"/>
      <c r="K3670" s="658"/>
    </row>
    <row r="3671" spans="1:12" customFormat="1" x14ac:dyDescent="0.25">
      <c r="A3671" s="661"/>
      <c r="B3671" s="73"/>
      <c r="C3671" s="75" t="s">
        <v>8000</v>
      </c>
      <c r="D3671" s="73"/>
      <c r="E3671" s="73"/>
      <c r="F3671" s="73"/>
      <c r="G3671" s="74"/>
      <c r="H3671" s="153"/>
      <c r="I3671" s="72"/>
      <c r="K3671" s="658"/>
    </row>
    <row r="3672" spans="1:12" customFormat="1" x14ac:dyDescent="0.25">
      <c r="A3672" s="661"/>
      <c r="B3672" s="73"/>
      <c r="C3672" s="73" t="s">
        <v>275</v>
      </c>
      <c r="D3672" s="73"/>
      <c r="E3672" s="73"/>
      <c r="F3672" s="73"/>
      <c r="G3672" s="74" t="s">
        <v>3</v>
      </c>
      <c r="H3672" s="153">
        <f>0.02*0.1*1.5*8*1.1</f>
        <v>2.6400000000000003E-2</v>
      </c>
      <c r="I3672" s="72"/>
      <c r="K3672" s="658"/>
    </row>
    <row r="3673" spans="1:12" customFormat="1" x14ac:dyDescent="0.25">
      <c r="A3673" s="661"/>
      <c r="B3673" s="73"/>
      <c r="C3673" s="100" t="s">
        <v>8</v>
      </c>
      <c r="D3673" s="73"/>
      <c r="E3673" s="73"/>
      <c r="F3673" s="73"/>
      <c r="G3673" s="74" t="s">
        <v>3</v>
      </c>
      <c r="H3673" s="153">
        <v>5.0000000000000001E-3</v>
      </c>
      <c r="I3673" s="72"/>
      <c r="K3673" s="658"/>
    </row>
    <row r="3674" spans="1:12" customFormat="1" x14ac:dyDescent="0.25">
      <c r="A3674" s="661"/>
      <c r="B3674" s="73"/>
      <c r="C3674" s="100" t="s">
        <v>115</v>
      </c>
      <c r="D3674" s="73"/>
      <c r="E3674" s="73"/>
      <c r="F3674" s="73"/>
      <c r="G3674" s="74" t="s">
        <v>3</v>
      </c>
      <c r="H3674" s="153">
        <v>5.0000000000000001E-3</v>
      </c>
      <c r="I3674" s="72"/>
      <c r="K3674" s="658"/>
    </row>
    <row r="3675" spans="1:12" customFormat="1" x14ac:dyDescent="0.25">
      <c r="A3675" s="661"/>
      <c r="B3675" s="73"/>
      <c r="C3675" s="100" t="s">
        <v>12</v>
      </c>
      <c r="D3675" s="73"/>
      <c r="E3675" s="73"/>
      <c r="F3675" s="73"/>
      <c r="G3675" s="74" t="s">
        <v>3</v>
      </c>
      <c r="H3675" s="153">
        <f>0.3*(H3674+H3673)</f>
        <v>3.0000000000000001E-3</v>
      </c>
      <c r="I3675" s="72"/>
      <c r="K3675" s="658"/>
    </row>
    <row r="3676" spans="1:12" customFormat="1" x14ac:dyDescent="0.25">
      <c r="A3676" s="661"/>
      <c r="B3676" s="73"/>
      <c r="C3676" s="75" t="s">
        <v>7999</v>
      </c>
      <c r="D3676" s="73"/>
      <c r="E3676" s="73"/>
      <c r="F3676" s="73"/>
      <c r="G3676" s="74"/>
      <c r="H3676" s="153"/>
      <c r="I3676" s="72"/>
      <c r="K3676" s="658"/>
    </row>
    <row r="3677" spans="1:12" customFormat="1" x14ac:dyDescent="0.25">
      <c r="A3677" s="661"/>
      <c r="B3677" s="73"/>
      <c r="C3677" s="100" t="s">
        <v>7998</v>
      </c>
      <c r="D3677" s="73"/>
      <c r="E3677" s="73"/>
      <c r="F3677" s="73"/>
      <c r="G3677" s="74" t="s">
        <v>3</v>
      </c>
      <c r="H3677" s="153">
        <v>2.5999999999999999E-2</v>
      </c>
      <c r="I3677" s="72"/>
      <c r="K3677" s="658"/>
    </row>
    <row r="3678" spans="1:12" customFormat="1" x14ac:dyDescent="0.25">
      <c r="A3678" s="661"/>
      <c r="B3678" s="73"/>
      <c r="C3678" s="75" t="s">
        <v>7997</v>
      </c>
      <c r="D3678" s="73"/>
      <c r="E3678" s="73"/>
      <c r="F3678" s="73"/>
      <c r="G3678" s="74"/>
      <c r="H3678" s="153"/>
      <c r="I3678" s="72"/>
      <c r="K3678" s="658"/>
    </row>
    <row r="3679" spans="1:12" customFormat="1" x14ac:dyDescent="0.25">
      <c r="A3679" s="661"/>
      <c r="B3679" s="73"/>
      <c r="C3679" s="100" t="s">
        <v>7996</v>
      </c>
      <c r="D3679" s="73"/>
      <c r="E3679" s="73"/>
      <c r="F3679" s="73"/>
      <c r="G3679" s="74" t="s">
        <v>3</v>
      </c>
      <c r="H3679" s="153">
        <v>2.5000000000000001E-2</v>
      </c>
      <c r="I3679" s="72"/>
      <c r="K3679" s="658"/>
    </row>
    <row r="3680" spans="1:12" customFormat="1" x14ac:dyDescent="0.25">
      <c r="A3680" s="661"/>
      <c r="B3680" s="73"/>
      <c r="C3680" s="73"/>
      <c r="D3680" s="73"/>
      <c r="E3680" s="73"/>
      <c r="F3680" s="73"/>
      <c r="G3680" s="74"/>
      <c r="H3680" s="153"/>
      <c r="I3680" s="72"/>
      <c r="K3680" s="658"/>
    </row>
    <row r="3681" spans="1:11" customFormat="1" x14ac:dyDescent="0.25">
      <c r="A3681" s="667" t="s">
        <v>2968</v>
      </c>
      <c r="B3681" s="75" t="s">
        <v>4781</v>
      </c>
      <c r="C3681" s="73"/>
      <c r="D3681" s="73"/>
      <c r="E3681" s="73"/>
      <c r="F3681" s="73"/>
      <c r="G3681" s="74"/>
      <c r="H3681" s="153"/>
      <c r="I3681" s="72"/>
      <c r="K3681" s="658"/>
    </row>
    <row r="3682" spans="1:11" customFormat="1" x14ac:dyDescent="0.25">
      <c r="A3682" s="661"/>
      <c r="B3682" s="73"/>
      <c r="C3682" s="73"/>
      <c r="D3682" s="73"/>
      <c r="E3682" s="73"/>
      <c r="F3682" s="73"/>
      <c r="G3682" s="74"/>
      <c r="H3682" s="153"/>
      <c r="I3682" s="72"/>
      <c r="K3682" s="658"/>
    </row>
    <row r="3683" spans="1:11" customFormat="1" x14ac:dyDescent="0.25">
      <c r="A3683" s="668" t="s">
        <v>2968</v>
      </c>
      <c r="B3683" s="75" t="s">
        <v>7995</v>
      </c>
      <c r="C3683" s="73"/>
      <c r="D3683" s="73"/>
      <c r="E3683" s="73"/>
      <c r="F3683" s="73"/>
      <c r="G3683" s="74"/>
      <c r="H3683" s="153"/>
      <c r="I3683" s="72"/>
      <c r="K3683" s="658"/>
    </row>
    <row r="3684" spans="1:11" customFormat="1" x14ac:dyDescent="0.25">
      <c r="A3684" s="661"/>
      <c r="B3684" s="73"/>
      <c r="C3684" s="73"/>
      <c r="D3684" s="73"/>
      <c r="E3684" s="73"/>
      <c r="F3684" s="73"/>
      <c r="G3684" s="74"/>
      <c r="H3684" s="153"/>
      <c r="I3684" s="72"/>
      <c r="K3684" s="658"/>
    </row>
    <row r="3685" spans="1:11" customFormat="1" x14ac:dyDescent="0.25">
      <c r="A3685" s="667" t="s">
        <v>2968</v>
      </c>
      <c r="B3685" s="75" t="s">
        <v>7994</v>
      </c>
      <c r="C3685" s="73"/>
      <c r="D3685" s="73"/>
      <c r="E3685" s="73"/>
      <c r="F3685" s="73"/>
      <c r="G3685" s="74"/>
      <c r="H3685" s="153"/>
      <c r="I3685" s="72"/>
      <c r="K3685" s="658"/>
    </row>
    <row r="3686" spans="1:11" customFormat="1" x14ac:dyDescent="0.25">
      <c r="A3686" s="661"/>
      <c r="B3686" s="75"/>
      <c r="C3686" s="73"/>
      <c r="D3686" s="73"/>
      <c r="E3686" s="73"/>
      <c r="F3686" s="73"/>
      <c r="G3686" s="74"/>
      <c r="H3686" s="153"/>
      <c r="I3686" s="72"/>
      <c r="K3686" s="658"/>
    </row>
    <row r="3687" spans="1:11" customFormat="1" ht="15.75" thickBot="1" x14ac:dyDescent="0.3">
      <c r="A3687" s="666" t="s">
        <v>2968</v>
      </c>
      <c r="B3687" s="235" t="s">
        <v>7993</v>
      </c>
      <c r="C3687" s="68"/>
      <c r="D3687" s="68"/>
      <c r="E3687" s="68"/>
      <c r="F3687" s="68"/>
      <c r="G3687" s="82"/>
      <c r="H3687" s="89"/>
      <c r="I3687" s="83"/>
      <c r="K3687" s="658"/>
    </row>
    <row r="3688" spans="1:11" customFormat="1" x14ac:dyDescent="0.25">
      <c r="A3688" s="662"/>
      <c r="B3688" s="93"/>
      <c r="C3688" s="93"/>
      <c r="D3688" s="93"/>
      <c r="E3688" s="93"/>
      <c r="F3688" s="93"/>
      <c r="G3688" s="160"/>
      <c r="H3688" s="665" t="s">
        <v>7992</v>
      </c>
      <c r="I3688" s="176"/>
      <c r="K3688" s="658"/>
    </row>
    <row r="3689" spans="1:11" customFormat="1" ht="18.75" x14ac:dyDescent="0.3">
      <c r="A3689" s="661"/>
      <c r="B3689" s="73"/>
      <c r="C3689" s="73"/>
      <c r="D3689" s="73"/>
      <c r="E3689" s="73"/>
      <c r="F3689" s="188" t="s">
        <v>7991</v>
      </c>
      <c r="G3689" s="74"/>
      <c r="H3689" s="153"/>
      <c r="I3689" s="72"/>
      <c r="K3689" s="658"/>
    </row>
    <row r="3690" spans="1:11" customFormat="1" x14ac:dyDescent="0.25">
      <c r="A3690" s="661"/>
      <c r="B3690" s="73"/>
      <c r="C3690" s="73"/>
      <c r="D3690" s="73"/>
      <c r="E3690" s="73"/>
      <c r="F3690" s="73"/>
      <c r="G3690" s="74"/>
      <c r="H3690" s="153"/>
      <c r="I3690" s="72"/>
      <c r="K3690" s="658"/>
    </row>
    <row r="3691" spans="1:11" customFormat="1" x14ac:dyDescent="0.25">
      <c r="A3691" s="661"/>
      <c r="B3691" s="75" t="s">
        <v>7990</v>
      </c>
      <c r="C3691" s="73"/>
      <c r="D3691" s="73"/>
      <c r="E3691" s="73"/>
      <c r="F3691" s="73"/>
      <c r="G3691" s="74"/>
      <c r="H3691" s="153"/>
      <c r="I3691" s="72"/>
      <c r="K3691" s="658"/>
    </row>
    <row r="3692" spans="1:11" customFormat="1" x14ac:dyDescent="0.25">
      <c r="A3692" s="661"/>
      <c r="B3692" s="73" t="s">
        <v>7989</v>
      </c>
      <c r="C3692" s="73"/>
      <c r="D3692" s="73"/>
      <c r="E3692" s="73"/>
      <c r="F3692" s="73"/>
      <c r="G3692" s="74" t="s">
        <v>3</v>
      </c>
      <c r="H3692" s="153">
        <f>0.065*0.035*3*8*1.1</f>
        <v>6.0060000000000009E-2</v>
      </c>
      <c r="I3692" s="72"/>
      <c r="K3692" s="658"/>
    </row>
    <row r="3693" spans="1:11" customFormat="1" x14ac:dyDescent="0.25">
      <c r="A3693" s="661"/>
      <c r="B3693" s="73"/>
      <c r="C3693" s="73"/>
      <c r="D3693" s="73"/>
      <c r="E3693" s="73"/>
      <c r="F3693" s="73"/>
      <c r="G3693" s="74"/>
      <c r="H3693" s="153"/>
      <c r="I3693" s="72"/>
      <c r="K3693" s="658"/>
    </row>
    <row r="3694" spans="1:11" customFormat="1" x14ac:dyDescent="0.25">
      <c r="A3694" s="661"/>
      <c r="B3694" s="75" t="s">
        <v>7988</v>
      </c>
      <c r="C3694" s="73"/>
      <c r="D3694" s="73"/>
      <c r="E3694" s="73"/>
      <c r="F3694" s="73"/>
      <c r="G3694" s="74"/>
      <c r="H3694" s="153"/>
      <c r="I3694" s="72"/>
      <c r="K3694" s="658"/>
    </row>
    <row r="3695" spans="1:11" customFormat="1" x14ac:dyDescent="0.25">
      <c r="A3695" s="661"/>
      <c r="B3695" s="73" t="s">
        <v>7987</v>
      </c>
      <c r="C3695" s="73"/>
      <c r="D3695" s="73"/>
      <c r="E3695" s="73"/>
      <c r="F3695" s="73"/>
      <c r="G3695" s="74" t="s">
        <v>3</v>
      </c>
      <c r="H3695" s="153">
        <f>1.5*2.73+0.005</f>
        <v>4.0999999999999996</v>
      </c>
      <c r="I3695" s="72"/>
      <c r="J3695" t="s">
        <v>7986</v>
      </c>
      <c r="K3695" s="658"/>
    </row>
    <row r="3696" spans="1:11" customFormat="1" x14ac:dyDescent="0.25">
      <c r="A3696" s="661"/>
      <c r="B3696" s="73"/>
      <c r="C3696" s="73"/>
      <c r="D3696" s="73"/>
      <c r="E3696" s="73"/>
      <c r="F3696" s="73"/>
      <c r="G3696" s="74"/>
      <c r="H3696" s="153"/>
      <c r="I3696" s="72"/>
      <c r="K3696" s="658"/>
    </row>
    <row r="3697" spans="1:11" customFormat="1" x14ac:dyDescent="0.25">
      <c r="A3697" s="661"/>
      <c r="B3697" s="75" t="s">
        <v>7985</v>
      </c>
      <c r="C3697" s="73"/>
      <c r="D3697" s="73"/>
      <c r="E3697" s="73"/>
      <c r="F3697" s="73"/>
      <c r="G3697" s="74"/>
      <c r="H3697" s="153"/>
      <c r="I3697" s="72"/>
      <c r="K3697" s="658"/>
    </row>
    <row r="3698" spans="1:11" customFormat="1" x14ac:dyDescent="0.25">
      <c r="A3698" s="661"/>
      <c r="B3698" s="73" t="s">
        <v>7971</v>
      </c>
      <c r="C3698" s="73"/>
      <c r="D3698" s="73"/>
      <c r="E3698" s="73"/>
      <c r="F3698" s="73"/>
      <c r="G3698" s="74" t="s">
        <v>3</v>
      </c>
      <c r="H3698" s="153">
        <f>0.095*0.11*5*8*1.125</f>
        <v>0.47025000000000006</v>
      </c>
      <c r="I3698" s="72"/>
      <c r="K3698" s="658"/>
    </row>
    <row r="3699" spans="1:11" customFormat="1" x14ac:dyDescent="0.25">
      <c r="A3699" s="661"/>
      <c r="B3699" s="73"/>
      <c r="C3699" s="73"/>
      <c r="D3699" s="73"/>
      <c r="E3699" s="73"/>
      <c r="F3699" s="73"/>
      <c r="G3699" s="74"/>
      <c r="H3699" s="153"/>
      <c r="I3699" s="72"/>
      <c r="K3699" s="658"/>
    </row>
    <row r="3700" spans="1:11" customFormat="1" x14ac:dyDescent="0.25">
      <c r="A3700" s="661"/>
      <c r="B3700" s="75" t="s">
        <v>7984</v>
      </c>
      <c r="C3700" s="73"/>
      <c r="D3700" s="73"/>
      <c r="E3700" s="73"/>
      <c r="F3700" s="73"/>
      <c r="G3700" s="74"/>
      <c r="H3700" s="153"/>
      <c r="I3700" s="72"/>
      <c r="K3700" s="658"/>
    </row>
    <row r="3701" spans="1:11" customFormat="1" x14ac:dyDescent="0.25">
      <c r="A3701" s="661"/>
      <c r="B3701" s="73" t="s">
        <v>7971</v>
      </c>
      <c r="C3701" s="73"/>
      <c r="D3701" s="73"/>
      <c r="E3701" s="73"/>
      <c r="F3701" s="73"/>
      <c r="G3701" s="74" t="s">
        <v>3</v>
      </c>
      <c r="H3701" s="153">
        <f>0.165*0.15*5*8*1.111</f>
        <v>1.09989</v>
      </c>
      <c r="I3701" s="72"/>
      <c r="K3701" s="658"/>
    </row>
    <row r="3702" spans="1:11" customFormat="1" x14ac:dyDescent="0.25">
      <c r="A3702" s="661"/>
      <c r="B3702" s="73"/>
      <c r="C3702" s="73"/>
      <c r="D3702" s="73"/>
      <c r="E3702" s="73"/>
      <c r="F3702" s="73"/>
      <c r="G3702" s="74"/>
      <c r="H3702" s="153"/>
      <c r="I3702" s="72">
        <f>32*20/9</f>
        <v>71.111111111111114</v>
      </c>
      <c r="K3702" s="658"/>
    </row>
    <row r="3703" spans="1:11" customFormat="1" x14ac:dyDescent="0.25">
      <c r="A3703" s="661"/>
      <c r="B3703" s="75" t="s">
        <v>7983</v>
      </c>
      <c r="C3703" s="73"/>
      <c r="D3703" s="73"/>
      <c r="E3703" s="73"/>
      <c r="F3703" s="73"/>
      <c r="G3703" s="74"/>
      <c r="H3703" s="153"/>
      <c r="I3703" s="72"/>
      <c r="K3703" s="658"/>
    </row>
    <row r="3704" spans="1:11" customFormat="1" x14ac:dyDescent="0.25">
      <c r="A3704" s="661"/>
      <c r="B3704" s="77" t="s">
        <v>1054</v>
      </c>
      <c r="C3704" s="73"/>
      <c r="D3704" s="73"/>
      <c r="E3704" s="73"/>
      <c r="F3704" s="73"/>
      <c r="G3704" s="152" t="s">
        <v>3</v>
      </c>
      <c r="H3704" s="153">
        <f>(0.27*8+1.4*2+0.05*8+0.05*8+0.05*4+0.1+0.03*12+0.83)*0.08*1.3+0.006</f>
        <v>0.76000000000000012</v>
      </c>
      <c r="I3704" s="72"/>
      <c r="K3704" s="658"/>
    </row>
    <row r="3705" spans="1:11" customFormat="1" ht="17.25" x14ac:dyDescent="0.25">
      <c r="A3705" s="661"/>
      <c r="B3705" s="77" t="s">
        <v>1055</v>
      </c>
      <c r="C3705" s="73"/>
      <c r="D3705" s="73"/>
      <c r="E3705" s="73"/>
      <c r="F3705" s="73"/>
      <c r="G3705" s="152" t="s">
        <v>596</v>
      </c>
      <c r="H3705" s="153">
        <f>H3704*1.11+0.006</f>
        <v>0.84960000000000024</v>
      </c>
      <c r="I3705" s="72"/>
      <c r="K3705" s="658"/>
    </row>
    <row r="3706" spans="1:11" customFormat="1" x14ac:dyDescent="0.25">
      <c r="A3706" s="661"/>
      <c r="B3706" s="77" t="s">
        <v>114</v>
      </c>
      <c r="C3706" s="73"/>
      <c r="D3706" s="73"/>
      <c r="E3706" s="73"/>
      <c r="F3706" s="73"/>
      <c r="G3706" s="74" t="s">
        <v>3</v>
      </c>
      <c r="H3706" s="153">
        <f>1.5*0.5*2*0.15*1.2</f>
        <v>0.26999999999999996</v>
      </c>
      <c r="I3706" s="72"/>
      <c r="K3706" s="658"/>
    </row>
    <row r="3707" spans="1:11" customFormat="1" x14ac:dyDescent="0.25">
      <c r="A3707" s="661"/>
      <c r="B3707" s="77" t="s">
        <v>164</v>
      </c>
      <c r="C3707" s="73"/>
      <c r="D3707" s="73"/>
      <c r="E3707" s="73"/>
      <c r="F3707" s="73"/>
      <c r="G3707" s="74" t="s">
        <v>3</v>
      </c>
      <c r="H3707" s="153">
        <f>0.3*H3706</f>
        <v>8.0999999999999989E-2</v>
      </c>
      <c r="I3707" s="72"/>
      <c r="K3707" s="658"/>
    </row>
    <row r="3708" spans="1:11" customFormat="1" x14ac:dyDescent="0.25">
      <c r="A3708" s="661"/>
      <c r="B3708" s="77" t="s">
        <v>72</v>
      </c>
      <c r="C3708" s="73"/>
      <c r="D3708" s="73"/>
      <c r="E3708" s="73"/>
      <c r="F3708" s="73"/>
      <c r="G3708" s="74" t="s">
        <v>3</v>
      </c>
      <c r="H3708" s="153">
        <f>1.5*0.5*2*0.15*2*1.2</f>
        <v>0.53999999999999992</v>
      </c>
      <c r="I3708" s="72"/>
      <c r="K3708" s="658"/>
    </row>
    <row r="3709" spans="1:11" customFormat="1" x14ac:dyDescent="0.25">
      <c r="A3709" s="661"/>
      <c r="B3709" s="77" t="s">
        <v>11</v>
      </c>
      <c r="C3709" s="73"/>
      <c r="D3709" s="73"/>
      <c r="E3709" s="73"/>
      <c r="F3709" s="73"/>
      <c r="G3709" s="74" t="s">
        <v>3</v>
      </c>
      <c r="H3709" s="153">
        <f>0.3*H3708+0.003</f>
        <v>0.16499999999999998</v>
      </c>
      <c r="I3709" s="72"/>
      <c r="K3709" s="658"/>
    </row>
    <row r="3710" spans="1:11" customFormat="1" x14ac:dyDescent="0.25">
      <c r="A3710" s="661"/>
      <c r="B3710" s="77" t="s">
        <v>3085</v>
      </c>
      <c r="C3710" s="73"/>
      <c r="D3710" s="73"/>
      <c r="E3710" s="73"/>
      <c r="F3710" s="73"/>
      <c r="G3710" s="74" t="s">
        <v>3</v>
      </c>
      <c r="H3710" s="153">
        <v>0.4</v>
      </c>
      <c r="I3710" s="72"/>
      <c r="K3710" s="658"/>
    </row>
    <row r="3711" spans="1:11" customFormat="1" x14ac:dyDescent="0.25">
      <c r="A3711" s="661"/>
      <c r="B3711" s="73"/>
      <c r="C3711" s="75" t="s">
        <v>7982</v>
      </c>
      <c r="D3711" s="73"/>
      <c r="E3711" s="73"/>
      <c r="F3711" s="73"/>
      <c r="G3711" s="74"/>
      <c r="H3711" s="153"/>
      <c r="I3711" s="72"/>
      <c r="K3711" s="658"/>
    </row>
    <row r="3712" spans="1:11" customFormat="1" x14ac:dyDescent="0.25">
      <c r="A3712" s="661"/>
      <c r="B3712" s="73"/>
      <c r="C3712" s="73" t="s">
        <v>7966</v>
      </c>
      <c r="D3712" s="73"/>
      <c r="E3712" s="73"/>
      <c r="F3712" s="73"/>
      <c r="G3712" s="74" t="s">
        <v>3</v>
      </c>
      <c r="H3712" s="153">
        <f>1.45*0.41*3*8*1.1214</f>
        <v>16.000135199999995</v>
      </c>
      <c r="I3712" s="72"/>
      <c r="K3712" s="658"/>
    </row>
    <row r="3713" spans="1:11" customFormat="1" x14ac:dyDescent="0.25">
      <c r="A3713" s="661"/>
      <c r="B3713" s="73"/>
      <c r="C3713" s="77" t="s">
        <v>1054</v>
      </c>
      <c r="D3713" s="73"/>
      <c r="E3713" s="73"/>
      <c r="F3713" s="73"/>
      <c r="G3713" s="152" t="s">
        <v>3</v>
      </c>
      <c r="H3713" s="153">
        <f>0.12*0.08*1.2</f>
        <v>1.1519999999999999E-2</v>
      </c>
      <c r="I3713" s="72"/>
      <c r="K3713" s="658"/>
    </row>
    <row r="3714" spans="1:11" customFormat="1" ht="17.25" x14ac:dyDescent="0.25">
      <c r="A3714" s="661"/>
      <c r="B3714" s="73"/>
      <c r="C3714" s="77" t="s">
        <v>1055</v>
      </c>
      <c r="D3714" s="73"/>
      <c r="E3714" s="73"/>
      <c r="F3714" s="73"/>
      <c r="G3714" s="152" t="s">
        <v>596</v>
      </c>
      <c r="H3714" s="153">
        <f>H3713*1.11</f>
        <v>1.27872E-2</v>
      </c>
      <c r="I3714" s="72"/>
      <c r="K3714" s="658"/>
    </row>
    <row r="3715" spans="1:11" customFormat="1" x14ac:dyDescent="0.25">
      <c r="A3715" s="661"/>
      <c r="B3715" s="73"/>
      <c r="C3715" s="75" t="s">
        <v>7981</v>
      </c>
      <c r="D3715" s="73"/>
      <c r="E3715" s="73"/>
      <c r="F3715" s="73"/>
      <c r="G3715" s="74"/>
      <c r="H3715" s="153"/>
      <c r="I3715" s="72"/>
      <c r="K3715" s="658"/>
    </row>
    <row r="3716" spans="1:11" customFormat="1" x14ac:dyDescent="0.25">
      <c r="A3716" s="661"/>
      <c r="B3716" s="73"/>
      <c r="C3716" s="73" t="s">
        <v>7966</v>
      </c>
      <c r="D3716" s="73"/>
      <c r="E3716" s="73"/>
      <c r="F3716" s="73"/>
      <c r="G3716" s="74" t="s">
        <v>3</v>
      </c>
      <c r="H3716" s="153">
        <f>0.1*0.27*3*8*1.111</f>
        <v>0.71992800000000012</v>
      </c>
      <c r="I3716" s="72"/>
      <c r="K3716" s="658"/>
    </row>
    <row r="3717" spans="1:11" customFormat="1" x14ac:dyDescent="0.25">
      <c r="A3717" s="661"/>
      <c r="B3717" s="73"/>
      <c r="C3717" s="75" t="s">
        <v>7980</v>
      </c>
      <c r="D3717" s="73"/>
      <c r="E3717" s="73"/>
      <c r="F3717" s="73"/>
      <c r="G3717" s="74"/>
      <c r="H3717" s="153"/>
      <c r="I3717" s="72"/>
      <c r="K3717" s="658"/>
    </row>
    <row r="3718" spans="1:11" customFormat="1" x14ac:dyDescent="0.25">
      <c r="A3718" s="661"/>
      <c r="B3718" s="73"/>
      <c r="C3718" s="73" t="s">
        <v>7966</v>
      </c>
      <c r="D3718" s="73"/>
      <c r="E3718" s="73"/>
      <c r="F3718" s="73"/>
      <c r="G3718" s="74" t="s">
        <v>3</v>
      </c>
      <c r="H3718" s="153">
        <f>0.065*1.395*3*8*1.126</f>
        <v>2.4504011999999999</v>
      </c>
      <c r="I3718" s="72"/>
      <c r="K3718" s="658"/>
    </row>
    <row r="3719" spans="1:11" customFormat="1" x14ac:dyDescent="0.25">
      <c r="A3719" s="661"/>
      <c r="B3719" s="73"/>
      <c r="C3719" s="75" t="s">
        <v>7979</v>
      </c>
      <c r="D3719" s="73"/>
      <c r="E3719" s="73"/>
      <c r="F3719" s="73"/>
      <c r="G3719" s="74"/>
      <c r="H3719" s="153"/>
      <c r="I3719" s="72"/>
      <c r="K3719" s="658"/>
    </row>
    <row r="3720" spans="1:11" customFormat="1" x14ac:dyDescent="0.25">
      <c r="A3720" s="661"/>
      <c r="B3720" s="73"/>
      <c r="C3720" s="73" t="s">
        <v>7966</v>
      </c>
      <c r="D3720" s="73"/>
      <c r="E3720" s="73"/>
      <c r="F3720" s="73"/>
      <c r="G3720" s="74" t="s">
        <v>3</v>
      </c>
      <c r="H3720" s="153">
        <f>0.075*0.27*3*8*1.131</f>
        <v>0.54966599999999999</v>
      </c>
      <c r="I3720" s="72"/>
      <c r="K3720" s="658"/>
    </row>
    <row r="3721" spans="1:11" customFormat="1" x14ac:dyDescent="0.25">
      <c r="A3721" s="661"/>
      <c r="B3721" s="73"/>
      <c r="C3721" s="75" t="s">
        <v>7978</v>
      </c>
      <c r="D3721" s="73"/>
      <c r="E3721" s="73"/>
      <c r="F3721" s="73"/>
      <c r="G3721" s="74"/>
      <c r="H3721" s="153"/>
      <c r="I3721" s="72"/>
      <c r="K3721" s="658"/>
    </row>
    <row r="3722" spans="1:11" customFormat="1" x14ac:dyDescent="0.25">
      <c r="A3722" s="661"/>
      <c r="B3722" s="73"/>
      <c r="C3722" s="73" t="s">
        <v>7966</v>
      </c>
      <c r="D3722" s="73"/>
      <c r="E3722" s="73"/>
      <c r="F3722" s="73"/>
      <c r="G3722" s="74" t="s">
        <v>3</v>
      </c>
      <c r="H3722" s="153">
        <f>0.051*0.83*3*8*1.132</f>
        <v>1.1500214399999997</v>
      </c>
      <c r="I3722" s="72"/>
      <c r="K3722" s="658"/>
    </row>
    <row r="3723" spans="1:11" customFormat="1" x14ac:dyDescent="0.25">
      <c r="A3723" s="661"/>
      <c r="B3723" s="73"/>
      <c r="C3723" s="75" t="s">
        <v>7977</v>
      </c>
      <c r="D3723" s="73"/>
      <c r="E3723" s="73"/>
      <c r="F3723" s="73"/>
      <c r="G3723" s="74"/>
      <c r="H3723" s="153"/>
      <c r="I3723" s="72"/>
      <c r="K3723" s="658"/>
    </row>
    <row r="3724" spans="1:11" customFormat="1" x14ac:dyDescent="0.25">
      <c r="A3724" s="661"/>
      <c r="B3724" s="73"/>
      <c r="C3724" s="73" t="s">
        <v>7966</v>
      </c>
      <c r="D3724" s="73"/>
      <c r="E3724" s="73"/>
      <c r="F3724" s="73"/>
      <c r="G3724" s="74" t="s">
        <v>3</v>
      </c>
      <c r="H3724" s="153">
        <f>0.03*0.04*3*8*1.1</f>
        <v>3.168E-2</v>
      </c>
      <c r="I3724" s="72"/>
      <c r="K3724" s="658"/>
    </row>
    <row r="3725" spans="1:11" customFormat="1" x14ac:dyDescent="0.25">
      <c r="A3725" s="661"/>
      <c r="B3725" s="73"/>
      <c r="C3725" s="73"/>
      <c r="D3725" s="73"/>
      <c r="E3725" s="73"/>
      <c r="F3725" s="73"/>
      <c r="G3725" s="74"/>
      <c r="H3725" s="153"/>
      <c r="I3725" s="72"/>
      <c r="K3725" s="658"/>
    </row>
    <row r="3726" spans="1:11" customFormat="1" x14ac:dyDescent="0.25">
      <c r="A3726" s="661"/>
      <c r="B3726" s="75" t="s">
        <v>7976</v>
      </c>
      <c r="C3726" s="73"/>
      <c r="D3726" s="73"/>
      <c r="E3726" s="73"/>
      <c r="F3726" s="73"/>
      <c r="G3726" s="74"/>
      <c r="H3726" s="153"/>
      <c r="I3726" s="72"/>
      <c r="K3726" s="658"/>
    </row>
    <row r="3727" spans="1:11" customFormat="1" x14ac:dyDescent="0.25">
      <c r="A3727" s="661"/>
      <c r="B3727" s="77" t="s">
        <v>1054</v>
      </c>
      <c r="C3727" s="73"/>
      <c r="D3727" s="73"/>
      <c r="E3727" s="73"/>
      <c r="F3727" s="73"/>
      <c r="G3727" s="152" t="s">
        <v>3</v>
      </c>
      <c r="H3727" s="153">
        <f>(0.27*8+1.63*2+0.05*12+0.05*8+0.05*4+0.1+0.03*12+1.1+0.1)*0.08*1.3+0.009</f>
        <v>0.87012</v>
      </c>
      <c r="I3727" s="72"/>
      <c r="K3727" s="658"/>
    </row>
    <row r="3728" spans="1:11" customFormat="1" ht="17.25" x14ac:dyDescent="0.25">
      <c r="A3728" s="661"/>
      <c r="B3728" s="77" t="s">
        <v>1055</v>
      </c>
      <c r="C3728" s="73"/>
      <c r="D3728" s="73"/>
      <c r="E3728" s="73"/>
      <c r="F3728" s="73"/>
      <c r="G3728" s="152" t="s">
        <v>596</v>
      </c>
      <c r="H3728" s="153">
        <f>H3727*1.11-0.001</f>
        <v>0.96483320000000006</v>
      </c>
      <c r="I3728" s="72"/>
      <c r="K3728" s="658"/>
    </row>
    <row r="3729" spans="1:11" customFormat="1" x14ac:dyDescent="0.25">
      <c r="A3729" s="661"/>
      <c r="B3729" s="77" t="s">
        <v>114</v>
      </c>
      <c r="C3729" s="73"/>
      <c r="D3729" s="73"/>
      <c r="E3729" s="73"/>
      <c r="F3729" s="73"/>
      <c r="G3729" s="74" t="s">
        <v>3</v>
      </c>
      <c r="H3729" s="153">
        <f>1.75*0.5*2*0.15*1.2</f>
        <v>0.315</v>
      </c>
      <c r="I3729" s="72"/>
      <c r="K3729" s="658"/>
    </row>
    <row r="3730" spans="1:11" customFormat="1" x14ac:dyDescent="0.25">
      <c r="A3730" s="661"/>
      <c r="B3730" s="77" t="s">
        <v>164</v>
      </c>
      <c r="C3730" s="73"/>
      <c r="D3730" s="73"/>
      <c r="E3730" s="73"/>
      <c r="F3730" s="73"/>
      <c r="G3730" s="74" t="s">
        <v>3</v>
      </c>
      <c r="H3730" s="153">
        <f>0.3*H3729</f>
        <v>9.4500000000000001E-2</v>
      </c>
      <c r="I3730" s="72"/>
      <c r="K3730" s="658"/>
    </row>
    <row r="3731" spans="1:11" customFormat="1" x14ac:dyDescent="0.25">
      <c r="A3731" s="661"/>
      <c r="B3731" s="77" t="s">
        <v>72</v>
      </c>
      <c r="C3731" s="73"/>
      <c r="D3731" s="73"/>
      <c r="E3731" s="73"/>
      <c r="F3731" s="73"/>
      <c r="G3731" s="74" t="s">
        <v>3</v>
      </c>
      <c r="H3731" s="153">
        <f>1.75*0.5*2*0.15*2*1.2</f>
        <v>0.63</v>
      </c>
      <c r="I3731" s="72"/>
      <c r="K3731" s="658"/>
    </row>
    <row r="3732" spans="1:11" customFormat="1" x14ac:dyDescent="0.25">
      <c r="A3732" s="661"/>
      <c r="B3732" s="77" t="s">
        <v>11</v>
      </c>
      <c r="C3732" s="73"/>
      <c r="D3732" s="73"/>
      <c r="E3732" s="73"/>
      <c r="F3732" s="73"/>
      <c r="G3732" s="74" t="s">
        <v>3</v>
      </c>
      <c r="H3732" s="153">
        <f>0.3*H3731+0.001</f>
        <v>0.19</v>
      </c>
      <c r="I3732" s="72"/>
      <c r="K3732" s="658"/>
    </row>
    <row r="3733" spans="1:11" customFormat="1" x14ac:dyDescent="0.25">
      <c r="A3733" s="661"/>
      <c r="B3733" s="77" t="s">
        <v>3085</v>
      </c>
      <c r="C3733" s="73"/>
      <c r="D3733" s="73"/>
      <c r="E3733" s="73"/>
      <c r="F3733" s="73"/>
      <c r="G3733" s="74" t="s">
        <v>3</v>
      </c>
      <c r="H3733" s="153">
        <v>0.4</v>
      </c>
      <c r="I3733" s="72"/>
      <c r="K3733" s="658"/>
    </row>
    <row r="3734" spans="1:11" customFormat="1" x14ac:dyDescent="0.25">
      <c r="A3734" s="661"/>
      <c r="B3734" s="73"/>
      <c r="C3734" s="75" t="s">
        <v>7975</v>
      </c>
      <c r="D3734" s="73"/>
      <c r="E3734" s="73"/>
      <c r="F3734" s="73"/>
      <c r="G3734" s="74"/>
      <c r="H3734" s="153"/>
      <c r="I3734" s="72"/>
      <c r="K3734" s="658"/>
    </row>
    <row r="3735" spans="1:11" customFormat="1" x14ac:dyDescent="0.25">
      <c r="A3735" s="661"/>
      <c r="B3735" s="73"/>
      <c r="C3735" s="73" t="s">
        <v>7966</v>
      </c>
      <c r="D3735" s="73"/>
      <c r="E3735" s="73"/>
      <c r="F3735" s="73"/>
      <c r="G3735" s="74" t="s">
        <v>3</v>
      </c>
      <c r="H3735" s="153">
        <f>0.065*1.625*3*8*1.144</f>
        <v>2.9000399999999997</v>
      </c>
      <c r="I3735" s="72"/>
      <c r="K3735" s="658"/>
    </row>
    <row r="3736" spans="1:11" customFormat="1" x14ac:dyDescent="0.25">
      <c r="A3736" s="661"/>
      <c r="B3736" s="73"/>
      <c r="C3736" s="75" t="s">
        <v>7974</v>
      </c>
      <c r="D3736" s="73"/>
      <c r="E3736" s="73"/>
      <c r="F3736" s="73"/>
      <c r="G3736" s="74"/>
      <c r="H3736" s="153"/>
      <c r="I3736" s="72"/>
      <c r="K3736" s="658"/>
    </row>
    <row r="3737" spans="1:11" customFormat="1" x14ac:dyDescent="0.25">
      <c r="A3737" s="661"/>
      <c r="B3737" s="73"/>
      <c r="C3737" s="73" t="s">
        <v>7966</v>
      </c>
      <c r="D3737" s="73"/>
      <c r="E3737" s="73"/>
      <c r="F3737" s="73"/>
      <c r="G3737" s="74" t="s">
        <v>3</v>
      </c>
      <c r="H3737" s="153">
        <f>0.051*0.285*3*8*1.147</f>
        <v>0.40011947999999992</v>
      </c>
      <c r="I3737" s="72"/>
      <c r="K3737" s="658"/>
    </row>
    <row r="3738" spans="1:11" customFormat="1" x14ac:dyDescent="0.25">
      <c r="A3738" s="661"/>
      <c r="B3738" s="73"/>
      <c r="C3738" s="75" t="s">
        <v>7973</v>
      </c>
      <c r="D3738" s="73"/>
      <c r="E3738" s="73"/>
      <c r="F3738" s="73"/>
      <c r="G3738" s="74"/>
      <c r="H3738" s="153"/>
      <c r="I3738" s="72"/>
      <c r="K3738" s="658"/>
    </row>
    <row r="3739" spans="1:11" customFormat="1" x14ac:dyDescent="0.25">
      <c r="A3739" s="661"/>
      <c r="B3739" s="73"/>
      <c r="C3739" s="73" t="s">
        <v>7966</v>
      </c>
      <c r="D3739" s="73"/>
      <c r="E3739" s="73"/>
      <c r="F3739" s="73"/>
      <c r="G3739" s="74" t="s">
        <v>3</v>
      </c>
      <c r="H3739" s="153">
        <f>1.69*0.41*3*8*1.1125</f>
        <v>18.500430000000001</v>
      </c>
      <c r="I3739" s="72"/>
      <c r="K3739" s="658"/>
    </row>
    <row r="3740" spans="1:11" customFormat="1" x14ac:dyDescent="0.25">
      <c r="A3740" s="661"/>
      <c r="B3740" s="73"/>
      <c r="C3740" s="77" t="s">
        <v>1054</v>
      </c>
      <c r="D3740" s="73"/>
      <c r="E3740" s="73"/>
      <c r="F3740" s="73"/>
      <c r="G3740" s="152" t="s">
        <v>3</v>
      </c>
      <c r="H3740" s="153">
        <f>0.12*0.08*1.2</f>
        <v>1.1519999999999999E-2</v>
      </c>
      <c r="I3740" s="72"/>
      <c r="K3740" s="658"/>
    </row>
    <row r="3741" spans="1:11" customFormat="1" ht="17.25" x14ac:dyDescent="0.25">
      <c r="A3741" s="661"/>
      <c r="B3741" s="73"/>
      <c r="C3741" s="77" t="s">
        <v>1055</v>
      </c>
      <c r="D3741" s="73"/>
      <c r="E3741" s="73"/>
      <c r="F3741" s="73"/>
      <c r="G3741" s="152" t="s">
        <v>596</v>
      </c>
      <c r="H3741" s="153">
        <f>H3740*1.11</f>
        <v>1.27872E-2</v>
      </c>
      <c r="I3741" s="72"/>
      <c r="K3741" s="658"/>
    </row>
    <row r="3742" spans="1:11" customFormat="1" x14ac:dyDescent="0.25">
      <c r="A3742" s="661"/>
      <c r="B3742" s="73"/>
      <c r="C3742" s="77"/>
      <c r="D3742" s="73"/>
      <c r="E3742" s="73"/>
      <c r="F3742" s="73"/>
      <c r="G3742" s="152"/>
      <c r="H3742" s="153"/>
      <c r="I3742" s="72"/>
      <c r="K3742" s="658"/>
    </row>
    <row r="3743" spans="1:11" customFormat="1" x14ac:dyDescent="0.25">
      <c r="A3743" s="661"/>
      <c r="B3743" s="73"/>
      <c r="C3743" s="73"/>
      <c r="D3743" s="73"/>
      <c r="E3743" s="73"/>
      <c r="F3743" s="73"/>
      <c r="G3743" s="74"/>
      <c r="H3743" s="153"/>
      <c r="I3743" s="72"/>
      <c r="K3743" s="658"/>
    </row>
    <row r="3744" spans="1:11" customFormat="1" x14ac:dyDescent="0.25">
      <c r="A3744" s="661"/>
      <c r="B3744" s="75" t="s">
        <v>7972</v>
      </c>
      <c r="C3744" s="73"/>
      <c r="D3744" s="73"/>
      <c r="E3744" s="73"/>
      <c r="F3744" s="73"/>
      <c r="G3744" s="74"/>
      <c r="H3744" s="153"/>
      <c r="I3744" s="72"/>
      <c r="K3744" s="658"/>
    </row>
    <row r="3745" spans="1:11" customFormat="1" x14ac:dyDescent="0.25">
      <c r="A3745" s="661"/>
      <c r="B3745" s="73" t="s">
        <v>7971</v>
      </c>
      <c r="C3745" s="73"/>
      <c r="D3745" s="73"/>
      <c r="E3745" s="73"/>
      <c r="F3745" s="73"/>
      <c r="G3745" s="74" t="s">
        <v>3</v>
      </c>
      <c r="H3745" s="153">
        <f>0.07*0.07*5*8*1.12</f>
        <v>0.21952000000000005</v>
      </c>
      <c r="I3745" s="72"/>
      <c r="K3745" s="658"/>
    </row>
    <row r="3746" spans="1:11" customFormat="1" x14ac:dyDescent="0.25">
      <c r="A3746" s="661"/>
      <c r="B3746" s="73"/>
      <c r="C3746" s="73"/>
      <c r="D3746" s="73"/>
      <c r="E3746" s="73"/>
      <c r="F3746" s="73"/>
      <c r="G3746" s="74"/>
      <c r="H3746" s="153"/>
      <c r="I3746" s="72"/>
      <c r="K3746" s="658"/>
    </row>
    <row r="3747" spans="1:11" customFormat="1" x14ac:dyDescent="0.25">
      <c r="A3747" s="661"/>
      <c r="B3747" s="75" t="s">
        <v>7970</v>
      </c>
      <c r="C3747" s="73"/>
      <c r="D3747" s="73"/>
      <c r="E3747" s="73"/>
      <c r="F3747" s="73"/>
      <c r="G3747" s="74"/>
      <c r="H3747" s="153"/>
      <c r="I3747" s="72"/>
      <c r="K3747" s="658"/>
    </row>
    <row r="3748" spans="1:11" customFormat="1" x14ac:dyDescent="0.25">
      <c r="A3748" s="661"/>
      <c r="B3748" s="77" t="s">
        <v>1054</v>
      </c>
      <c r="C3748" s="73"/>
      <c r="D3748" s="73"/>
      <c r="E3748" s="73"/>
      <c r="F3748" s="73"/>
      <c r="G3748" s="152" t="s">
        <v>3</v>
      </c>
      <c r="H3748" s="153">
        <f>(0.27*8+1.63*2+0.05*8+0.05*8+0.05*6+0.1+0.03*12+0.75+0.4*2)*0.08*1.3+0.013</f>
        <v>0.90012000000000014</v>
      </c>
      <c r="I3748" s="72"/>
      <c r="K3748" s="658"/>
    </row>
    <row r="3749" spans="1:11" customFormat="1" ht="17.25" x14ac:dyDescent="0.25">
      <c r="A3749" s="661"/>
      <c r="B3749" s="77" t="s">
        <v>1055</v>
      </c>
      <c r="C3749" s="73"/>
      <c r="D3749" s="73"/>
      <c r="E3749" s="73"/>
      <c r="F3749" s="73"/>
      <c r="G3749" s="152" t="s">
        <v>596</v>
      </c>
      <c r="H3749" s="153">
        <f>H3748*1.11+0.001</f>
        <v>1.0001332000000003</v>
      </c>
      <c r="I3749" s="72"/>
      <c r="K3749" s="658"/>
    </row>
    <row r="3750" spans="1:11" customFormat="1" x14ac:dyDescent="0.25">
      <c r="A3750" s="661"/>
      <c r="B3750" s="77" t="s">
        <v>8</v>
      </c>
      <c r="C3750" s="73"/>
      <c r="D3750" s="73"/>
      <c r="E3750" s="73"/>
      <c r="F3750" s="73"/>
      <c r="G3750" s="74" t="s">
        <v>3</v>
      </c>
      <c r="H3750" s="153">
        <f>1.75*0.5*2*0.15*1.2</f>
        <v>0.315</v>
      </c>
      <c r="I3750" s="72"/>
      <c r="K3750" s="658"/>
    </row>
    <row r="3751" spans="1:11" customFormat="1" x14ac:dyDescent="0.25">
      <c r="A3751" s="661"/>
      <c r="B3751" s="77" t="s">
        <v>12</v>
      </c>
      <c r="C3751" s="73"/>
      <c r="D3751" s="73"/>
      <c r="E3751" s="73"/>
      <c r="F3751" s="73"/>
      <c r="G3751" s="74" t="s">
        <v>3</v>
      </c>
      <c r="H3751" s="153">
        <f>0.3*H3750</f>
        <v>9.4500000000000001E-2</v>
      </c>
      <c r="I3751" s="72"/>
      <c r="K3751" s="658"/>
    </row>
    <row r="3752" spans="1:11" customFormat="1" x14ac:dyDescent="0.25">
      <c r="A3752" s="661"/>
      <c r="B3752" s="77" t="s">
        <v>72</v>
      </c>
      <c r="C3752" s="73"/>
      <c r="D3752" s="73"/>
      <c r="E3752" s="73"/>
      <c r="F3752" s="73"/>
      <c r="G3752" s="74" t="s">
        <v>3</v>
      </c>
      <c r="H3752" s="153">
        <f>1.75*0.5*2*0.15*2*1.2</f>
        <v>0.63</v>
      </c>
      <c r="I3752" s="72"/>
      <c r="K3752" s="658"/>
    </row>
    <row r="3753" spans="1:11" customFormat="1" x14ac:dyDescent="0.25">
      <c r="A3753" s="661"/>
      <c r="B3753" s="77" t="s">
        <v>11</v>
      </c>
      <c r="C3753" s="73"/>
      <c r="D3753" s="73"/>
      <c r="E3753" s="73"/>
      <c r="F3753" s="73"/>
      <c r="G3753" s="74" t="s">
        <v>3</v>
      </c>
      <c r="H3753" s="153">
        <f>0.3*H3752+0.001</f>
        <v>0.19</v>
      </c>
      <c r="I3753" s="72"/>
      <c r="K3753" s="658"/>
    </row>
    <row r="3754" spans="1:11" customFormat="1" x14ac:dyDescent="0.25">
      <c r="A3754" s="661"/>
      <c r="B3754" s="77" t="s">
        <v>3085</v>
      </c>
      <c r="C3754" s="73"/>
      <c r="D3754" s="73"/>
      <c r="E3754" s="73"/>
      <c r="F3754" s="73"/>
      <c r="G3754" s="74" t="s">
        <v>3</v>
      </c>
      <c r="H3754" s="153">
        <v>0.4</v>
      </c>
      <c r="I3754" s="72"/>
      <c r="K3754" s="658"/>
    </row>
    <row r="3755" spans="1:11" customFormat="1" x14ac:dyDescent="0.25">
      <c r="A3755" s="661"/>
      <c r="B3755" s="73"/>
      <c r="C3755" s="75" t="s">
        <v>7969</v>
      </c>
      <c r="D3755" s="73"/>
      <c r="E3755" s="73"/>
      <c r="F3755" s="73"/>
      <c r="G3755" s="74"/>
      <c r="H3755" s="153"/>
      <c r="I3755" s="72"/>
      <c r="K3755" s="658"/>
    </row>
    <row r="3756" spans="1:11" customFormat="1" x14ac:dyDescent="0.25">
      <c r="A3756" s="661"/>
      <c r="B3756" s="73"/>
      <c r="C3756" s="73" t="s">
        <v>7966</v>
      </c>
      <c r="D3756" s="73"/>
      <c r="E3756" s="73"/>
      <c r="F3756" s="73"/>
      <c r="G3756" s="74" t="s">
        <v>3</v>
      </c>
      <c r="H3756" s="153">
        <f>0.051*0.47*3*8*1.13</f>
        <v>0.65006639999999993</v>
      </c>
      <c r="I3756" s="72"/>
      <c r="K3756" s="658"/>
    </row>
    <row r="3757" spans="1:11" customFormat="1" x14ac:dyDescent="0.25">
      <c r="A3757" s="661"/>
      <c r="B3757" s="73"/>
      <c r="C3757" s="73"/>
      <c r="D3757" s="73"/>
      <c r="E3757" s="73"/>
      <c r="F3757" s="73"/>
      <c r="G3757" s="74"/>
      <c r="H3757" s="153"/>
      <c r="I3757" s="72"/>
      <c r="K3757" s="658"/>
    </row>
    <row r="3758" spans="1:11" customFormat="1" x14ac:dyDescent="0.25">
      <c r="A3758" s="661"/>
      <c r="B3758" s="75" t="s">
        <v>7968</v>
      </c>
      <c r="C3758" s="73"/>
      <c r="D3758" s="73"/>
      <c r="E3758" s="73"/>
      <c r="F3758" s="73"/>
      <c r="G3758" s="74"/>
      <c r="H3758" s="153"/>
      <c r="I3758" s="72"/>
      <c r="K3758" s="658"/>
    </row>
    <row r="3759" spans="1:11" customFormat="1" x14ac:dyDescent="0.25">
      <c r="A3759" s="661"/>
      <c r="B3759" s="77" t="s">
        <v>1054</v>
      </c>
      <c r="C3759" s="77"/>
      <c r="D3759" s="77"/>
      <c r="E3759" s="77"/>
      <c r="F3759" s="77"/>
      <c r="G3759" s="152" t="s">
        <v>3</v>
      </c>
      <c r="H3759" s="427">
        <f>0.8*0.08*1.33</f>
        <v>8.5120000000000001E-2</v>
      </c>
      <c r="I3759" s="72"/>
      <c r="K3759" s="658"/>
    </row>
    <row r="3760" spans="1:11" customFormat="1" ht="17.25" x14ac:dyDescent="0.25">
      <c r="A3760" s="661"/>
      <c r="B3760" s="77" t="s">
        <v>1055</v>
      </c>
      <c r="C3760" s="77"/>
      <c r="D3760" s="77"/>
      <c r="E3760" s="77"/>
      <c r="F3760" s="77"/>
      <c r="G3760" s="152" t="s">
        <v>596</v>
      </c>
      <c r="H3760" s="427">
        <f>H3759*1.11+0.006</f>
        <v>0.10048320000000001</v>
      </c>
      <c r="I3760" s="72"/>
      <c r="K3760" s="658"/>
    </row>
    <row r="3761" spans="1:11" customFormat="1" x14ac:dyDescent="0.25">
      <c r="A3761" s="661"/>
      <c r="B3761" s="73"/>
      <c r="C3761" s="75" t="s">
        <v>7967</v>
      </c>
      <c r="D3761" s="73"/>
      <c r="E3761" s="73"/>
      <c r="F3761" s="73"/>
      <c r="G3761" s="74"/>
      <c r="H3761" s="153"/>
      <c r="I3761" s="72"/>
      <c r="K3761" s="658"/>
    </row>
    <row r="3762" spans="1:11" customFormat="1" x14ac:dyDescent="0.25">
      <c r="A3762" s="661"/>
      <c r="B3762" s="73"/>
      <c r="C3762" s="73" t="s">
        <v>7966</v>
      </c>
      <c r="D3762" s="73"/>
      <c r="E3762" s="73"/>
      <c r="F3762" s="73"/>
      <c r="G3762" s="74" t="s">
        <v>3</v>
      </c>
      <c r="H3762" s="153">
        <f>0.19*0.07*3*8*1.129</f>
        <v>0.36037680000000005</v>
      </c>
      <c r="I3762" s="72"/>
      <c r="K3762" s="658"/>
    </row>
    <row r="3763" spans="1:11" customFormat="1" x14ac:dyDescent="0.25">
      <c r="A3763" s="661"/>
      <c r="B3763" s="73"/>
      <c r="C3763" s="75" t="s">
        <v>7965</v>
      </c>
      <c r="D3763" s="73"/>
      <c r="E3763" s="73"/>
      <c r="F3763" s="73"/>
      <c r="G3763" s="74"/>
      <c r="H3763" s="153"/>
      <c r="I3763" s="72"/>
      <c r="K3763" s="658"/>
    </row>
    <row r="3764" spans="1:11" customFormat="1" x14ac:dyDescent="0.25">
      <c r="A3764" s="661"/>
      <c r="B3764" s="73"/>
      <c r="C3764" s="73" t="s">
        <v>7963</v>
      </c>
      <c r="D3764" s="73"/>
      <c r="E3764" s="73"/>
      <c r="F3764" s="73"/>
      <c r="G3764" s="74" t="s">
        <v>3</v>
      </c>
      <c r="H3764" s="153">
        <f>(4.79)*0.065+0.004</f>
        <v>0.31535000000000002</v>
      </c>
      <c r="I3764" s="281" t="s">
        <v>7962</v>
      </c>
      <c r="K3764" s="658"/>
    </row>
    <row r="3765" spans="1:11" customFormat="1" x14ac:dyDescent="0.25">
      <c r="A3765" s="661"/>
      <c r="B3765" s="73"/>
      <c r="C3765" s="75" t="s">
        <v>7964</v>
      </c>
      <c r="D3765" s="73"/>
      <c r="E3765" s="73"/>
      <c r="F3765" s="73"/>
      <c r="G3765" s="74"/>
      <c r="H3765" s="153"/>
      <c r="I3765" s="72"/>
      <c r="K3765" s="658"/>
    </row>
    <row r="3766" spans="1:11" customFormat="1" x14ac:dyDescent="0.25">
      <c r="A3766" s="661"/>
      <c r="B3766" s="73"/>
      <c r="C3766" s="73" t="s">
        <v>7963</v>
      </c>
      <c r="D3766" s="73"/>
      <c r="E3766" s="73"/>
      <c r="F3766" s="73"/>
      <c r="G3766" s="74" t="s">
        <v>3</v>
      </c>
      <c r="H3766" s="153">
        <f>(4.79)*0.065+0.004</f>
        <v>0.31535000000000002</v>
      </c>
      <c r="I3766" s="281" t="s">
        <v>7962</v>
      </c>
      <c r="K3766" s="658"/>
    </row>
    <row r="3767" spans="1:11" customFormat="1" x14ac:dyDescent="0.25">
      <c r="A3767" s="661"/>
      <c r="B3767" s="73"/>
      <c r="C3767" s="73"/>
      <c r="D3767" s="73"/>
      <c r="E3767" s="73"/>
      <c r="F3767" s="73"/>
      <c r="G3767" s="74"/>
      <c r="H3767" s="153"/>
      <c r="I3767" s="72"/>
      <c r="K3767" s="658"/>
    </row>
    <row r="3768" spans="1:11" customFormat="1" x14ac:dyDescent="0.25">
      <c r="A3768" s="661"/>
      <c r="B3768" s="75" t="s">
        <v>7961</v>
      </c>
      <c r="C3768" s="73"/>
      <c r="D3768" s="73"/>
      <c r="E3768" s="73"/>
      <c r="F3768" s="73"/>
      <c r="G3768" s="74"/>
      <c r="H3768" s="153"/>
      <c r="I3768" s="72"/>
      <c r="K3768" s="658"/>
    </row>
    <row r="3769" spans="1:11" customFormat="1" x14ac:dyDescent="0.25">
      <c r="A3769" s="661"/>
      <c r="B3769" s="73" t="s">
        <v>7959</v>
      </c>
      <c r="C3769" s="73"/>
      <c r="D3769" s="73"/>
      <c r="E3769" s="73"/>
      <c r="F3769" s="73"/>
      <c r="G3769" s="74" t="s">
        <v>3</v>
      </c>
      <c r="H3769" s="153">
        <f>0.12*0.04*4*8*1.14</f>
        <v>0.17510399999999998</v>
      </c>
      <c r="I3769" s="72"/>
      <c r="K3769" s="658"/>
    </row>
    <row r="3770" spans="1:11" customFormat="1" x14ac:dyDescent="0.25">
      <c r="A3770" s="661"/>
      <c r="B3770" s="73"/>
      <c r="C3770" s="73"/>
      <c r="D3770" s="73"/>
      <c r="E3770" s="73"/>
      <c r="F3770" s="73"/>
      <c r="G3770" s="74"/>
      <c r="H3770" s="153"/>
      <c r="I3770" s="72"/>
      <c r="K3770" s="658"/>
    </row>
    <row r="3771" spans="1:11" customFormat="1" x14ac:dyDescent="0.25">
      <c r="A3771" s="661"/>
      <c r="B3771" s="75" t="s">
        <v>7960</v>
      </c>
      <c r="C3771" s="73"/>
      <c r="D3771" s="73"/>
      <c r="E3771" s="73"/>
      <c r="F3771" s="73"/>
      <c r="G3771" s="74"/>
      <c r="H3771" s="153"/>
      <c r="I3771" s="72"/>
      <c r="K3771" s="658"/>
    </row>
    <row r="3772" spans="1:11" customFormat="1" ht="15.75" thickBot="1" x14ac:dyDescent="0.3">
      <c r="A3772" s="660"/>
      <c r="B3772" s="68" t="s">
        <v>7959</v>
      </c>
      <c r="C3772" s="68"/>
      <c r="D3772" s="68"/>
      <c r="E3772" s="68"/>
      <c r="F3772" s="68"/>
      <c r="G3772" s="82" t="s">
        <v>3</v>
      </c>
      <c r="H3772" s="89">
        <f>0.14*0.04*4*8*1.115</f>
        <v>0.19980800000000004</v>
      </c>
      <c r="I3772" s="83"/>
      <c r="K3772" s="658"/>
    </row>
    <row r="3773" spans="1:11" customFormat="1" x14ac:dyDescent="0.25">
      <c r="A3773" s="662"/>
      <c r="B3773" s="93"/>
      <c r="C3773" s="93"/>
      <c r="D3773" s="93"/>
      <c r="E3773" s="93"/>
      <c r="F3773" s="93"/>
      <c r="G3773" s="160"/>
      <c r="H3773" s="161"/>
      <c r="I3773" s="90"/>
      <c r="K3773" s="658"/>
    </row>
    <row r="3774" spans="1:11" customFormat="1" x14ac:dyDescent="0.25">
      <c r="A3774" s="661"/>
      <c r="B3774" s="73"/>
      <c r="C3774" s="73"/>
      <c r="D3774" s="73"/>
      <c r="E3774" s="73"/>
      <c r="F3774" s="73"/>
      <c r="G3774" s="74"/>
      <c r="H3774" s="153"/>
      <c r="I3774" s="72"/>
      <c r="K3774" s="658"/>
    </row>
    <row r="3775" spans="1:11" customFormat="1" x14ac:dyDescent="0.25">
      <c r="A3775" s="661"/>
      <c r="B3775" s="75" t="s">
        <v>7958</v>
      </c>
      <c r="C3775" s="73"/>
      <c r="D3775" s="73"/>
      <c r="E3775" s="73"/>
      <c r="F3775" s="73"/>
      <c r="G3775" s="74"/>
      <c r="H3775" s="153"/>
      <c r="I3775" s="72"/>
      <c r="K3775" s="658"/>
    </row>
    <row r="3776" spans="1:11" customFormat="1" x14ac:dyDescent="0.25">
      <c r="A3776" s="661"/>
      <c r="B3776" s="73"/>
      <c r="C3776" s="75" t="s">
        <v>7957</v>
      </c>
      <c r="D3776" s="73"/>
      <c r="E3776" s="73"/>
      <c r="F3776" s="73"/>
      <c r="G3776" s="74"/>
      <c r="H3776" s="153"/>
      <c r="I3776" s="72"/>
      <c r="K3776" s="658"/>
    </row>
    <row r="3777" spans="1:11" customFormat="1" x14ac:dyDescent="0.25">
      <c r="A3777" s="661"/>
      <c r="B3777" s="73"/>
      <c r="C3777" s="77" t="s">
        <v>1054</v>
      </c>
      <c r="D3777" s="77"/>
      <c r="E3777" s="77"/>
      <c r="F3777" s="77"/>
      <c r="G3777" s="152" t="s">
        <v>3</v>
      </c>
      <c r="H3777" s="427">
        <v>0.65</v>
      </c>
      <c r="I3777" s="72"/>
      <c r="K3777" s="658"/>
    </row>
    <row r="3778" spans="1:11" customFormat="1" ht="17.25" x14ac:dyDescent="0.25">
      <c r="A3778" s="661"/>
      <c r="B3778" s="73"/>
      <c r="C3778" s="77" t="s">
        <v>1055</v>
      </c>
      <c r="D3778" s="77"/>
      <c r="E3778" s="77"/>
      <c r="F3778" s="77"/>
      <c r="G3778" s="152" t="s">
        <v>596</v>
      </c>
      <c r="H3778" s="427">
        <f>H3777*1.11</f>
        <v>0.72150000000000014</v>
      </c>
      <c r="I3778" s="72"/>
      <c r="K3778" s="658"/>
    </row>
    <row r="3779" spans="1:11" customFormat="1" x14ac:dyDescent="0.25">
      <c r="A3779" s="661"/>
      <c r="B3779" s="73"/>
      <c r="C3779" s="73" t="s">
        <v>8</v>
      </c>
      <c r="D3779" s="73"/>
      <c r="E3779" s="73"/>
      <c r="F3779" s="73"/>
      <c r="G3779" s="74" t="s">
        <v>3</v>
      </c>
      <c r="H3779" s="153">
        <f>H3781*0.715</f>
        <v>0.25024999999999997</v>
      </c>
      <c r="I3779" s="72"/>
      <c r="K3779" s="658"/>
    </row>
    <row r="3780" spans="1:11" customFormat="1" x14ac:dyDescent="0.25">
      <c r="A3780" s="661"/>
      <c r="B3780" s="73"/>
      <c r="C3780" s="100" t="s">
        <v>12</v>
      </c>
      <c r="D3780" s="73"/>
      <c r="E3780" s="73"/>
      <c r="F3780" s="73"/>
      <c r="G3780" s="74" t="s">
        <v>3</v>
      </c>
      <c r="H3780" s="153">
        <f>0.3*H3779</f>
        <v>7.5074999999999989E-2</v>
      </c>
      <c r="I3780" s="72"/>
      <c r="K3780" s="658"/>
    </row>
    <row r="3781" spans="1:11" customFormat="1" x14ac:dyDescent="0.25">
      <c r="A3781" s="661"/>
      <c r="B3781" s="73"/>
      <c r="C3781" s="100" t="s">
        <v>72</v>
      </c>
      <c r="D3781" s="73"/>
      <c r="E3781" s="73"/>
      <c r="F3781" s="73"/>
      <c r="G3781" s="74" t="s">
        <v>3</v>
      </c>
      <c r="H3781" s="153">
        <v>0.35</v>
      </c>
      <c r="I3781" s="72"/>
      <c r="K3781" s="658"/>
    </row>
    <row r="3782" spans="1:11" customFormat="1" x14ac:dyDescent="0.25">
      <c r="A3782" s="661"/>
      <c r="B3782" s="73"/>
      <c r="C3782" s="100" t="s">
        <v>11</v>
      </c>
      <c r="D3782" s="73"/>
      <c r="E3782" s="73"/>
      <c r="F3782" s="73"/>
      <c r="G3782" s="74" t="s">
        <v>3</v>
      </c>
      <c r="H3782" s="153">
        <f>0.3*H3781</f>
        <v>0.105</v>
      </c>
      <c r="I3782" s="72"/>
      <c r="K3782" s="658"/>
    </row>
    <row r="3783" spans="1:11" customFormat="1" x14ac:dyDescent="0.25">
      <c r="A3783" s="661"/>
      <c r="B3783" s="73"/>
      <c r="C3783" s="73"/>
      <c r="D3783" s="75" t="s">
        <v>7956</v>
      </c>
      <c r="E3783" s="73"/>
      <c r="F3783" s="73"/>
      <c r="G3783" s="74"/>
      <c r="H3783" s="153"/>
      <c r="I3783" s="72"/>
      <c r="K3783" s="658"/>
    </row>
    <row r="3784" spans="1:11" customFormat="1" x14ac:dyDescent="0.25">
      <c r="A3784" s="661"/>
      <c r="B3784" s="73"/>
      <c r="C3784" s="73"/>
      <c r="D3784" s="73" t="s">
        <v>7947</v>
      </c>
      <c r="E3784" s="73"/>
      <c r="F3784" s="73"/>
      <c r="G3784" s="74" t="s">
        <v>3</v>
      </c>
      <c r="H3784" s="153">
        <f>0.96*0.45*2*8*1.1285</f>
        <v>7.800192</v>
      </c>
      <c r="I3784" s="72"/>
      <c r="K3784" s="658"/>
    </row>
    <row r="3785" spans="1:11" customFormat="1" x14ac:dyDescent="0.25">
      <c r="A3785" s="661"/>
      <c r="B3785" s="73"/>
      <c r="C3785" s="73"/>
      <c r="D3785" s="75" t="s">
        <v>7955</v>
      </c>
      <c r="E3785" s="73"/>
      <c r="F3785" s="73"/>
      <c r="G3785" s="74"/>
      <c r="H3785" s="153"/>
      <c r="I3785" s="72"/>
      <c r="K3785" s="658"/>
    </row>
    <row r="3786" spans="1:11" customFormat="1" x14ac:dyDescent="0.25">
      <c r="A3786" s="661"/>
      <c r="B3786" s="73"/>
      <c r="C3786" s="73"/>
      <c r="D3786" s="73" t="s">
        <v>7953</v>
      </c>
      <c r="E3786" s="73"/>
      <c r="F3786" s="73"/>
      <c r="G3786" s="74" t="s">
        <v>3</v>
      </c>
      <c r="H3786" s="153">
        <f>0.74*0.025*5*8*1.121</f>
        <v>0.82953999999999994</v>
      </c>
      <c r="I3786" s="72"/>
      <c r="K3786" s="658"/>
    </row>
    <row r="3787" spans="1:11" customFormat="1" x14ac:dyDescent="0.25">
      <c r="A3787" s="661"/>
      <c r="B3787" s="73"/>
      <c r="C3787" s="73"/>
      <c r="D3787" s="75" t="s">
        <v>7954</v>
      </c>
      <c r="E3787" s="73"/>
      <c r="F3787" s="73"/>
      <c r="G3787" s="74"/>
      <c r="H3787" s="153"/>
      <c r="I3787" s="72"/>
      <c r="K3787" s="658"/>
    </row>
    <row r="3788" spans="1:11" customFormat="1" x14ac:dyDescent="0.25">
      <c r="A3788" s="661"/>
      <c r="B3788" s="73"/>
      <c r="C3788" s="73"/>
      <c r="D3788" s="73" t="s">
        <v>7953</v>
      </c>
      <c r="E3788" s="73"/>
      <c r="F3788" s="73"/>
      <c r="G3788" s="74" t="s">
        <v>3</v>
      </c>
      <c r="H3788" s="153">
        <f>0.865*0.025*5*8*1.121</f>
        <v>0.96966500000000011</v>
      </c>
      <c r="I3788" s="72"/>
      <c r="K3788" s="658"/>
    </row>
    <row r="3789" spans="1:11" customFormat="1" x14ac:dyDescent="0.25">
      <c r="A3789" s="661"/>
      <c r="B3789" s="73"/>
      <c r="C3789" s="73"/>
      <c r="D3789" s="75" t="s">
        <v>7952</v>
      </c>
      <c r="E3789" s="73"/>
      <c r="F3789" s="73"/>
      <c r="G3789" s="74"/>
      <c r="H3789" s="153"/>
      <c r="I3789" s="72"/>
      <c r="K3789" s="658"/>
    </row>
    <row r="3790" spans="1:11" customFormat="1" x14ac:dyDescent="0.25">
      <c r="A3790" s="661"/>
      <c r="B3790" s="73"/>
      <c r="C3790" s="73"/>
      <c r="D3790" s="73" t="s">
        <v>7951</v>
      </c>
      <c r="E3790" s="73"/>
      <c r="F3790" s="73"/>
      <c r="G3790" s="74" t="s">
        <v>3</v>
      </c>
      <c r="H3790" s="153">
        <f>0.077*0.021*4*8*1.16</f>
        <v>6.002304E-2</v>
      </c>
      <c r="I3790" s="72"/>
      <c r="K3790" s="658"/>
    </row>
    <row r="3791" spans="1:11" customFormat="1" x14ac:dyDescent="0.25">
      <c r="A3791" s="661"/>
      <c r="B3791" s="73"/>
      <c r="C3791" s="73"/>
      <c r="D3791" s="73"/>
      <c r="E3791" s="73"/>
      <c r="F3791" s="73"/>
      <c r="G3791" s="74"/>
      <c r="H3791" s="153"/>
      <c r="I3791" s="72"/>
      <c r="K3791" s="658"/>
    </row>
    <row r="3792" spans="1:11" customFormat="1" x14ac:dyDescent="0.25">
      <c r="A3792" s="661"/>
      <c r="B3792" s="75" t="s">
        <v>7950</v>
      </c>
      <c r="C3792" s="73"/>
      <c r="D3792" s="73"/>
      <c r="E3792" s="73"/>
      <c r="F3792" s="73"/>
      <c r="G3792" s="74"/>
      <c r="H3792" s="153"/>
      <c r="I3792" s="72"/>
      <c r="K3792" s="658"/>
    </row>
    <row r="3793" spans="1:11" customFormat="1" x14ac:dyDescent="0.25">
      <c r="A3793" s="661"/>
      <c r="B3793" s="73"/>
      <c r="C3793" s="75" t="s">
        <v>7949</v>
      </c>
      <c r="D3793" s="73"/>
      <c r="E3793" s="73"/>
      <c r="F3793" s="73"/>
      <c r="G3793" s="74"/>
      <c r="H3793" s="153"/>
      <c r="I3793" s="72"/>
      <c r="K3793" s="658"/>
    </row>
    <row r="3794" spans="1:11" customFormat="1" x14ac:dyDescent="0.25">
      <c r="A3794" s="661"/>
      <c r="B3794" s="73"/>
      <c r="C3794" s="77" t="s">
        <v>1054</v>
      </c>
      <c r="D3794" s="77"/>
      <c r="E3794" s="77"/>
      <c r="F3794" s="77"/>
      <c r="G3794" s="152" t="s">
        <v>3</v>
      </c>
      <c r="H3794" s="427">
        <v>0.65</v>
      </c>
      <c r="I3794" s="72"/>
      <c r="K3794" s="658"/>
    </row>
    <row r="3795" spans="1:11" customFormat="1" ht="17.25" x14ac:dyDescent="0.25">
      <c r="A3795" s="661"/>
      <c r="B3795" s="73"/>
      <c r="C3795" s="77" t="s">
        <v>1055</v>
      </c>
      <c r="D3795" s="77"/>
      <c r="E3795" s="77"/>
      <c r="F3795" s="77"/>
      <c r="G3795" s="152" t="s">
        <v>596</v>
      </c>
      <c r="H3795" s="427">
        <f>H3794*1.11</f>
        <v>0.72150000000000014</v>
      </c>
      <c r="I3795" s="72"/>
      <c r="K3795" s="658"/>
    </row>
    <row r="3796" spans="1:11" customFormat="1" x14ac:dyDescent="0.25">
      <c r="A3796" s="661"/>
      <c r="B3796" s="73"/>
      <c r="C3796" s="73" t="s">
        <v>8</v>
      </c>
      <c r="D3796" s="73"/>
      <c r="E3796" s="73"/>
      <c r="F3796" s="73"/>
      <c r="G3796" s="74" t="s">
        <v>3</v>
      </c>
      <c r="H3796" s="153">
        <f>H3798*0.715</f>
        <v>0.25024999999999997</v>
      </c>
      <c r="I3796" s="72"/>
      <c r="K3796" s="658"/>
    </row>
    <row r="3797" spans="1:11" customFormat="1" x14ac:dyDescent="0.25">
      <c r="A3797" s="661"/>
      <c r="B3797" s="73"/>
      <c r="C3797" s="100" t="s">
        <v>12</v>
      </c>
      <c r="D3797" s="73"/>
      <c r="E3797" s="73"/>
      <c r="F3797" s="73"/>
      <c r="G3797" s="74" t="s">
        <v>3</v>
      </c>
      <c r="H3797" s="153">
        <f>0.3*H3796</f>
        <v>7.5074999999999989E-2</v>
      </c>
      <c r="I3797" s="72"/>
      <c r="K3797" s="658"/>
    </row>
    <row r="3798" spans="1:11" customFormat="1" x14ac:dyDescent="0.25">
      <c r="A3798" s="661"/>
      <c r="B3798" s="73"/>
      <c r="C3798" s="100" t="s">
        <v>72</v>
      </c>
      <c r="D3798" s="73"/>
      <c r="E3798" s="73"/>
      <c r="F3798" s="73"/>
      <c r="G3798" s="74" t="s">
        <v>3</v>
      </c>
      <c r="H3798" s="153">
        <v>0.35</v>
      </c>
      <c r="I3798" s="72"/>
      <c r="K3798" s="658"/>
    </row>
    <row r="3799" spans="1:11" customFormat="1" x14ac:dyDescent="0.25">
      <c r="A3799" s="661"/>
      <c r="B3799" s="73"/>
      <c r="C3799" s="100" t="s">
        <v>11</v>
      </c>
      <c r="D3799" s="73"/>
      <c r="E3799" s="73"/>
      <c r="F3799" s="73"/>
      <c r="G3799" s="74" t="s">
        <v>3</v>
      </c>
      <c r="H3799" s="153">
        <f>0.3*H3798</f>
        <v>0.105</v>
      </c>
      <c r="I3799" s="72"/>
      <c r="K3799" s="658"/>
    </row>
    <row r="3800" spans="1:11" customFormat="1" x14ac:dyDescent="0.25">
      <c r="A3800" s="661"/>
      <c r="B3800" s="73"/>
      <c r="C3800" s="73"/>
      <c r="D3800" s="75" t="s">
        <v>7948</v>
      </c>
      <c r="E3800" s="73"/>
      <c r="F3800" s="73"/>
      <c r="G3800" s="74"/>
      <c r="H3800" s="153"/>
      <c r="I3800" s="72"/>
      <c r="K3800" s="658"/>
    </row>
    <row r="3801" spans="1:11" customFormat="1" x14ac:dyDescent="0.25">
      <c r="A3801" s="661"/>
      <c r="B3801" s="73"/>
      <c r="C3801" s="73"/>
      <c r="D3801" s="73" t="s">
        <v>7947</v>
      </c>
      <c r="E3801" s="73"/>
      <c r="F3801" s="73"/>
      <c r="G3801" s="74" t="s">
        <v>3</v>
      </c>
      <c r="H3801" s="153">
        <f>0.96*0.45*2*8*1.1285</f>
        <v>7.800192</v>
      </c>
      <c r="I3801" s="72"/>
      <c r="K3801" s="658"/>
    </row>
    <row r="3802" spans="1:11" customFormat="1" ht="15.75" thickBot="1" x14ac:dyDescent="0.3">
      <c r="A3802" s="660"/>
      <c r="B3802" s="68"/>
      <c r="C3802" s="68"/>
      <c r="D3802" s="235"/>
      <c r="E3802" s="68"/>
      <c r="F3802" s="68"/>
      <c r="G3802" s="82"/>
      <c r="H3802" s="89"/>
      <c r="I3802" s="83"/>
      <c r="K3802" s="658"/>
    </row>
    <row r="3803" spans="1:11" customFormat="1" x14ac:dyDescent="0.25">
      <c r="A3803" s="662"/>
      <c r="B3803" s="93"/>
      <c r="C3803" s="93"/>
      <c r="D3803" s="93"/>
      <c r="E3803" s="93"/>
      <c r="F3803" s="93"/>
      <c r="G3803" s="160"/>
      <c r="H3803" s="182" t="s">
        <v>7946</v>
      </c>
      <c r="I3803" s="176"/>
      <c r="K3803" s="658"/>
    </row>
    <row r="3804" spans="1:11" customFormat="1" ht="18.75" x14ac:dyDescent="0.3">
      <c r="A3804" s="661"/>
      <c r="B3804" s="73"/>
      <c r="C3804" s="73"/>
      <c r="D3804" s="75"/>
      <c r="E3804" s="73"/>
      <c r="F3804" s="126" t="s">
        <v>7862</v>
      </c>
      <c r="G3804" s="74"/>
      <c r="H3804" s="153"/>
      <c r="I3804" s="72"/>
      <c r="K3804" s="658"/>
    </row>
    <row r="3805" spans="1:11" customFormat="1" x14ac:dyDescent="0.25">
      <c r="A3805" s="661"/>
      <c r="B3805" s="73"/>
      <c r="C3805" s="73"/>
      <c r="D3805" s="73"/>
      <c r="E3805" s="73"/>
      <c r="F3805" s="73"/>
      <c r="G3805" s="74"/>
      <c r="H3805" s="153"/>
      <c r="I3805" s="72"/>
      <c r="K3805" s="658"/>
    </row>
    <row r="3806" spans="1:11" customFormat="1" x14ac:dyDescent="0.25">
      <c r="A3806" s="661"/>
      <c r="B3806" s="75" t="s">
        <v>7945</v>
      </c>
      <c r="C3806" s="73"/>
      <c r="D3806" s="73"/>
      <c r="E3806" s="73"/>
      <c r="F3806" s="73"/>
      <c r="G3806" s="74"/>
      <c r="H3806" s="153"/>
      <c r="I3806" s="72"/>
      <c r="K3806" s="658"/>
    </row>
    <row r="3807" spans="1:11" customFormat="1" x14ac:dyDescent="0.25">
      <c r="A3807" s="661"/>
      <c r="B3807" s="73" t="s">
        <v>3370</v>
      </c>
      <c r="C3807" s="73"/>
      <c r="D3807" s="73"/>
      <c r="E3807" s="73"/>
      <c r="F3807" s="73"/>
      <c r="G3807" s="74" t="s">
        <v>3</v>
      </c>
      <c r="H3807" s="153">
        <f>0.055*0.04*1.5*8</f>
        <v>2.64E-2</v>
      </c>
      <c r="I3807" s="72"/>
      <c r="K3807" s="658"/>
    </row>
    <row r="3808" spans="1:11" customFormat="1" x14ac:dyDescent="0.25">
      <c r="A3808" s="661"/>
      <c r="B3808" s="73"/>
      <c r="C3808" s="73"/>
      <c r="D3808" s="73"/>
      <c r="E3808" s="73"/>
      <c r="F3808" s="73"/>
      <c r="G3808" s="74"/>
      <c r="H3808" s="153"/>
      <c r="I3808" s="72"/>
      <c r="K3808" s="658"/>
    </row>
    <row r="3809" spans="1:11" customFormat="1" x14ac:dyDescent="0.25">
      <c r="A3809" s="661"/>
      <c r="B3809" s="75" t="s">
        <v>7944</v>
      </c>
      <c r="C3809" s="73"/>
      <c r="D3809" s="73"/>
      <c r="E3809" s="73"/>
      <c r="F3809" s="73"/>
      <c r="G3809" s="74"/>
      <c r="H3809" s="153"/>
      <c r="I3809" s="72"/>
      <c r="K3809" s="658"/>
    </row>
    <row r="3810" spans="1:11" customFormat="1" x14ac:dyDescent="0.25">
      <c r="A3810" s="661"/>
      <c r="B3810" s="73" t="s">
        <v>7943</v>
      </c>
      <c r="C3810" s="73"/>
      <c r="D3810" s="73"/>
      <c r="E3810" s="73"/>
      <c r="F3810" s="73"/>
      <c r="G3810" s="74" t="s">
        <v>3</v>
      </c>
      <c r="H3810" s="153">
        <f>0.04*0.04*0.5*8*1.1</f>
        <v>7.0400000000000011E-3</v>
      </c>
      <c r="I3810" s="72"/>
      <c r="K3810" s="658"/>
    </row>
    <row r="3811" spans="1:11" customFormat="1" x14ac:dyDescent="0.25">
      <c r="A3811" s="661"/>
      <c r="B3811" s="73"/>
      <c r="C3811" s="73"/>
      <c r="D3811" s="73"/>
      <c r="E3811" s="73"/>
      <c r="F3811" s="73"/>
      <c r="G3811" s="74"/>
      <c r="H3811" s="153"/>
      <c r="I3811" s="72"/>
      <c r="K3811" s="658"/>
    </row>
    <row r="3812" spans="1:11" customFormat="1" x14ac:dyDescent="0.25">
      <c r="A3812" s="661"/>
      <c r="B3812" s="75" t="s">
        <v>7942</v>
      </c>
      <c r="C3812" s="73"/>
      <c r="D3812" s="73"/>
      <c r="E3812" s="73"/>
      <c r="F3812" s="73"/>
      <c r="G3812" s="74"/>
      <c r="H3812" s="153"/>
      <c r="I3812" s="72"/>
      <c r="K3812" s="658"/>
    </row>
    <row r="3813" spans="1:11" customFormat="1" x14ac:dyDescent="0.25">
      <c r="A3813" s="661"/>
      <c r="B3813" s="100" t="s">
        <v>140</v>
      </c>
      <c r="C3813" s="75"/>
      <c r="D3813" s="73"/>
      <c r="E3813" s="73"/>
      <c r="F3813" s="73"/>
      <c r="G3813" s="74" t="s">
        <v>3</v>
      </c>
      <c r="H3813" s="153">
        <f>0.01*3.14*0.08*1.1</f>
        <v>2.7632000000000008E-3</v>
      </c>
      <c r="I3813" s="72"/>
      <c r="K3813" s="658"/>
    </row>
    <row r="3814" spans="1:11" customFormat="1" ht="17.25" x14ac:dyDescent="0.25">
      <c r="A3814" s="661"/>
      <c r="B3814" s="100" t="s">
        <v>23</v>
      </c>
      <c r="C3814" s="75"/>
      <c r="D3814" s="73"/>
      <c r="E3814" s="73"/>
      <c r="F3814" s="73"/>
      <c r="G3814" s="74" t="s">
        <v>596</v>
      </c>
      <c r="H3814" s="153">
        <f>H3813*2</f>
        <v>5.5264000000000016E-3</v>
      </c>
      <c r="I3814" s="72"/>
      <c r="K3814" s="658"/>
    </row>
    <row r="3815" spans="1:11" customFormat="1" x14ac:dyDescent="0.25">
      <c r="A3815" s="661"/>
      <c r="B3815" s="100" t="s">
        <v>142</v>
      </c>
      <c r="C3815" s="75"/>
      <c r="D3815" s="73"/>
      <c r="E3815" s="73"/>
      <c r="F3815" s="73"/>
      <c r="G3815" s="74" t="s">
        <v>3</v>
      </c>
      <c r="H3815" s="153">
        <f>H3813/4</f>
        <v>6.908000000000002E-4</v>
      </c>
      <c r="I3815" s="72"/>
      <c r="K3815" s="658"/>
    </row>
    <row r="3816" spans="1:11" customFormat="1" x14ac:dyDescent="0.25">
      <c r="A3816" s="661"/>
      <c r="B3816" s="186" t="s">
        <v>8</v>
      </c>
      <c r="C3816" s="73"/>
      <c r="D3816" s="73"/>
      <c r="E3816" s="73"/>
      <c r="F3816" s="73"/>
      <c r="G3816" s="152" t="s">
        <v>3</v>
      </c>
      <c r="H3816" s="153">
        <f>H3817*0.6</f>
        <v>9.866999999999999E-3</v>
      </c>
      <c r="I3816" s="72"/>
      <c r="K3816" s="658"/>
    </row>
    <row r="3817" spans="1:11" customFormat="1" x14ac:dyDescent="0.25">
      <c r="A3817" s="661"/>
      <c r="B3817" s="186" t="s">
        <v>375</v>
      </c>
      <c r="C3817" s="73"/>
      <c r="D3817" s="73"/>
      <c r="E3817" s="73"/>
      <c r="F3817" s="73"/>
      <c r="G3817" s="74" t="s">
        <v>3</v>
      </c>
      <c r="H3817" s="153">
        <f>0.65*0.011*2*1.15</f>
        <v>1.6444999999999998E-2</v>
      </c>
      <c r="I3817" s="72"/>
      <c r="K3817" s="658"/>
    </row>
    <row r="3818" spans="1:11" customFormat="1" x14ac:dyDescent="0.25">
      <c r="A3818" s="661"/>
      <c r="B3818" s="186" t="s">
        <v>12</v>
      </c>
      <c r="C3818" s="73"/>
      <c r="D3818" s="73"/>
      <c r="E3818" s="73"/>
      <c r="F3818" s="73"/>
      <c r="G3818" s="74" t="s">
        <v>3</v>
      </c>
      <c r="H3818" s="153">
        <f>0.3*(H3817+H3816)</f>
        <v>7.8935999999999989E-3</v>
      </c>
      <c r="I3818" s="72"/>
      <c r="K3818" s="658"/>
    </row>
    <row r="3819" spans="1:11" customFormat="1" x14ac:dyDescent="0.25">
      <c r="A3819" s="661"/>
      <c r="B3819" s="73"/>
      <c r="C3819" s="75" t="s">
        <v>7941</v>
      </c>
      <c r="D3819" s="73"/>
      <c r="E3819" s="73"/>
      <c r="F3819" s="73"/>
      <c r="G3819" s="74"/>
      <c r="H3819" s="153"/>
      <c r="I3819" s="72"/>
      <c r="K3819" s="658"/>
    </row>
    <row r="3820" spans="1:11" customFormat="1" x14ac:dyDescent="0.25">
      <c r="A3820" s="661"/>
      <c r="B3820" s="73"/>
      <c r="C3820" s="73" t="s">
        <v>3344</v>
      </c>
      <c r="D3820" s="73"/>
      <c r="E3820" s="73"/>
      <c r="F3820" s="73"/>
      <c r="G3820" s="74" t="s">
        <v>3</v>
      </c>
      <c r="H3820" s="153">
        <f>0.252*0.67+0.001</f>
        <v>0.16984000000000002</v>
      </c>
      <c r="I3820" s="72"/>
      <c r="J3820" t="s">
        <v>7940</v>
      </c>
      <c r="K3820" s="658"/>
    </row>
    <row r="3821" spans="1:11" customFormat="1" x14ac:dyDescent="0.25">
      <c r="A3821" s="661"/>
      <c r="B3821" s="73"/>
      <c r="C3821" s="73"/>
      <c r="D3821" s="73"/>
      <c r="E3821" s="73"/>
      <c r="F3821" s="73"/>
      <c r="G3821" s="74"/>
      <c r="H3821" s="153"/>
      <c r="I3821" s="72"/>
      <c r="K3821" s="658"/>
    </row>
    <row r="3822" spans="1:11" customFormat="1" x14ac:dyDescent="0.25">
      <c r="A3822" s="661"/>
      <c r="B3822" s="75" t="s">
        <v>3997</v>
      </c>
      <c r="C3822" s="73"/>
      <c r="D3822" s="73"/>
      <c r="E3822" s="73"/>
      <c r="F3822" s="73"/>
      <c r="G3822" s="74"/>
      <c r="H3822" s="153"/>
      <c r="I3822" s="72"/>
      <c r="K3822" s="658"/>
    </row>
    <row r="3823" spans="1:11" customFormat="1" ht="17.25" x14ac:dyDescent="0.25">
      <c r="A3823" s="661"/>
      <c r="B3823" s="73" t="s">
        <v>7939</v>
      </c>
      <c r="C3823" s="73"/>
      <c r="D3823" s="73"/>
      <c r="E3823" s="73"/>
      <c r="F3823" s="73"/>
      <c r="G3823" s="74" t="s">
        <v>677</v>
      </c>
      <c r="H3823" s="153">
        <f>0.185*0.065*1.125</f>
        <v>1.3528125000000002E-2</v>
      </c>
      <c r="I3823" s="72"/>
      <c r="K3823" s="658"/>
    </row>
    <row r="3824" spans="1:11" customFormat="1" x14ac:dyDescent="0.25">
      <c r="A3824" s="661"/>
      <c r="B3824" s="73"/>
      <c r="C3824" s="73"/>
      <c r="D3824" s="73"/>
      <c r="E3824" s="73"/>
      <c r="F3824" s="73"/>
      <c r="G3824" s="74"/>
      <c r="H3824" s="153"/>
      <c r="I3824" s="72"/>
      <c r="K3824" s="658"/>
    </row>
    <row r="3825" spans="1:11" customFormat="1" x14ac:dyDescent="0.25">
      <c r="A3825" s="661"/>
      <c r="B3825" s="75" t="s">
        <v>7872</v>
      </c>
      <c r="C3825" s="73"/>
      <c r="D3825" s="73"/>
      <c r="E3825" s="73"/>
      <c r="F3825" s="73"/>
      <c r="G3825" s="74"/>
      <c r="H3825" s="153"/>
      <c r="I3825" s="72"/>
      <c r="K3825" s="658"/>
    </row>
    <row r="3826" spans="1:11" customFormat="1" x14ac:dyDescent="0.25">
      <c r="A3826" s="661"/>
      <c r="B3826" s="73" t="s">
        <v>7938</v>
      </c>
      <c r="C3826" s="73"/>
      <c r="D3826" s="73"/>
      <c r="E3826" s="73"/>
      <c r="F3826" s="73"/>
      <c r="G3826" s="74" t="s">
        <v>3</v>
      </c>
      <c r="H3826" s="153">
        <f>0.092*0.03*3*8.5*1.1</f>
        <v>7.7418000000000001E-2</v>
      </c>
      <c r="I3826" s="72"/>
      <c r="K3826" s="658"/>
    </row>
    <row r="3827" spans="1:11" customFormat="1" x14ac:dyDescent="0.25">
      <c r="A3827" s="661"/>
      <c r="B3827" s="73"/>
      <c r="C3827" s="73"/>
      <c r="D3827" s="73"/>
      <c r="E3827" s="73"/>
      <c r="F3827" s="73"/>
      <c r="G3827" s="74"/>
      <c r="H3827" s="153"/>
      <c r="I3827" s="72"/>
      <c r="K3827" s="658"/>
    </row>
    <row r="3828" spans="1:11" customFormat="1" x14ac:dyDescent="0.25">
      <c r="A3828" s="661"/>
      <c r="B3828" s="75" t="s">
        <v>5647</v>
      </c>
      <c r="C3828" s="73"/>
      <c r="D3828" s="73"/>
      <c r="E3828" s="73"/>
      <c r="F3828" s="73"/>
      <c r="G3828" s="74"/>
      <c r="H3828" s="153"/>
      <c r="I3828" s="72"/>
      <c r="K3828" s="658"/>
    </row>
    <row r="3829" spans="1:11" customFormat="1" ht="17.25" x14ac:dyDescent="0.25">
      <c r="A3829" s="661"/>
      <c r="B3829" s="73" t="s">
        <v>7937</v>
      </c>
      <c r="C3829" s="73"/>
      <c r="D3829" s="73"/>
      <c r="E3829" s="73"/>
      <c r="F3829" s="73"/>
      <c r="G3829" s="74" t="s">
        <v>677</v>
      </c>
      <c r="H3829" s="428">
        <f>0.045*0.045*1.15</f>
        <v>2.3287499999999997E-3</v>
      </c>
      <c r="I3829" s="72"/>
      <c r="K3829" s="658"/>
    </row>
    <row r="3830" spans="1:11" customFormat="1" x14ac:dyDescent="0.25">
      <c r="A3830" s="661"/>
      <c r="B3830" s="73"/>
      <c r="C3830" s="73"/>
      <c r="D3830" s="73"/>
      <c r="E3830" s="73"/>
      <c r="F3830" s="73"/>
      <c r="G3830" s="74"/>
      <c r="H3830" s="153"/>
      <c r="I3830" s="72"/>
      <c r="K3830" s="658"/>
    </row>
    <row r="3831" spans="1:11" customFormat="1" x14ac:dyDescent="0.25">
      <c r="A3831" s="661"/>
      <c r="B3831" s="75" t="s">
        <v>7936</v>
      </c>
      <c r="C3831" s="73"/>
      <c r="D3831" s="73"/>
      <c r="E3831" s="73"/>
      <c r="F3831" s="73"/>
      <c r="G3831" s="74"/>
      <c r="H3831" s="153"/>
      <c r="I3831" s="72"/>
      <c r="K3831" s="658"/>
    </row>
    <row r="3832" spans="1:11" customFormat="1" x14ac:dyDescent="0.25">
      <c r="A3832" s="661"/>
      <c r="B3832" s="73" t="s">
        <v>7935</v>
      </c>
      <c r="C3832" s="73"/>
      <c r="D3832" s="73"/>
      <c r="E3832" s="73"/>
      <c r="F3832" s="73"/>
      <c r="G3832" s="74" t="s">
        <v>3</v>
      </c>
      <c r="H3832" s="153">
        <f>0.07*0.07*5*8*1.175</f>
        <v>0.23030000000000006</v>
      </c>
      <c r="I3832" s="72"/>
      <c r="K3832" s="658"/>
    </row>
    <row r="3833" spans="1:11" customFormat="1" x14ac:dyDescent="0.25">
      <c r="A3833" s="661"/>
      <c r="B3833" s="73"/>
      <c r="C3833" s="73"/>
      <c r="D3833" s="73"/>
      <c r="E3833" s="73"/>
      <c r="F3833" s="73"/>
      <c r="G3833" s="74"/>
      <c r="H3833" s="153"/>
      <c r="I3833" s="72"/>
      <c r="K3833" s="658"/>
    </row>
    <row r="3834" spans="1:11" customFormat="1" x14ac:dyDescent="0.25">
      <c r="A3834" s="661"/>
      <c r="B3834" s="75" t="s">
        <v>7934</v>
      </c>
      <c r="C3834" s="73"/>
      <c r="D3834" s="73"/>
      <c r="E3834" s="73"/>
      <c r="F3834" s="73"/>
      <c r="G3834" s="74"/>
      <c r="H3834" s="153"/>
      <c r="I3834" s="72"/>
      <c r="K3834" s="658"/>
    </row>
    <row r="3835" spans="1:11" customFormat="1" x14ac:dyDescent="0.25">
      <c r="A3835" s="661"/>
      <c r="B3835" s="73" t="s">
        <v>55</v>
      </c>
      <c r="C3835" s="73"/>
      <c r="D3835" s="73"/>
      <c r="E3835" s="73"/>
      <c r="F3835" s="73"/>
      <c r="G3835" s="74" t="s">
        <v>3</v>
      </c>
      <c r="H3835" s="153">
        <f>0.025*0.025*3*8*1.12</f>
        <v>1.6800000000000006E-2</v>
      </c>
      <c r="I3835" s="72"/>
      <c r="K3835" s="658"/>
    </row>
    <row r="3836" spans="1:11" customFormat="1" x14ac:dyDescent="0.25">
      <c r="A3836" s="661"/>
      <c r="B3836" s="73"/>
      <c r="C3836" s="73"/>
      <c r="D3836" s="73"/>
      <c r="E3836" s="73"/>
      <c r="F3836" s="73"/>
      <c r="G3836" s="74"/>
      <c r="H3836" s="153"/>
      <c r="I3836" s="72"/>
      <c r="K3836" s="658"/>
    </row>
    <row r="3837" spans="1:11" customFormat="1" x14ac:dyDescent="0.25">
      <c r="A3837" s="661"/>
      <c r="B3837" s="75" t="s">
        <v>7933</v>
      </c>
      <c r="C3837" s="73"/>
      <c r="D3837" s="73"/>
      <c r="E3837" s="73"/>
      <c r="F3837" s="73"/>
      <c r="G3837" s="74"/>
      <c r="H3837" s="153"/>
      <c r="I3837" s="72"/>
      <c r="K3837" s="658"/>
    </row>
    <row r="3838" spans="1:11" customFormat="1" ht="17.25" x14ac:dyDescent="0.25">
      <c r="A3838" s="661"/>
      <c r="B3838" s="73" t="s">
        <v>7932</v>
      </c>
      <c r="C3838" s="73"/>
      <c r="D3838" s="73"/>
      <c r="E3838" s="73"/>
      <c r="F3838" s="73"/>
      <c r="G3838" s="74" t="s">
        <v>677</v>
      </c>
      <c r="H3838" s="153">
        <f>0.165*0.04*1.15</f>
        <v>7.5900000000000004E-3</v>
      </c>
      <c r="I3838" s="72"/>
      <c r="K3838" s="658"/>
    </row>
    <row r="3839" spans="1:11" customFormat="1" x14ac:dyDescent="0.25">
      <c r="A3839" s="661"/>
      <c r="B3839" s="73"/>
      <c r="C3839" s="73"/>
      <c r="D3839" s="73"/>
      <c r="E3839" s="73"/>
      <c r="F3839" s="73"/>
      <c r="G3839" s="74"/>
      <c r="H3839" s="664"/>
      <c r="I3839" s="72"/>
      <c r="K3839" s="658"/>
    </row>
    <row r="3840" spans="1:11" customFormat="1" x14ac:dyDescent="0.25">
      <c r="A3840" s="661"/>
      <c r="B3840" s="75" t="s">
        <v>7931</v>
      </c>
      <c r="C3840" s="73"/>
      <c r="D3840" s="73"/>
      <c r="E3840" s="73"/>
      <c r="F3840" s="73"/>
      <c r="G3840" s="74"/>
      <c r="H3840" s="153"/>
      <c r="I3840" s="72"/>
      <c r="K3840" s="658"/>
    </row>
    <row r="3841" spans="1:11" customFormat="1" x14ac:dyDescent="0.25">
      <c r="A3841" s="661"/>
      <c r="B3841" s="73" t="s">
        <v>3214</v>
      </c>
      <c r="C3841" s="73"/>
      <c r="D3841" s="73"/>
      <c r="E3841" s="73"/>
      <c r="F3841" s="73"/>
      <c r="G3841" s="74" t="s">
        <v>3</v>
      </c>
      <c r="H3841" s="153">
        <f>0.045*0.02*2*8*1.12</f>
        <v>1.6128E-2</v>
      </c>
      <c r="I3841" s="72"/>
      <c r="K3841" s="658"/>
    </row>
    <row r="3842" spans="1:11" customFormat="1" x14ac:dyDescent="0.25">
      <c r="A3842" s="661"/>
      <c r="B3842" s="73"/>
      <c r="C3842" s="73"/>
      <c r="D3842" s="73"/>
      <c r="E3842" s="73"/>
      <c r="F3842" s="73"/>
      <c r="G3842" s="74"/>
      <c r="H3842" s="153"/>
      <c r="I3842" s="72"/>
      <c r="K3842" s="658"/>
    </row>
    <row r="3843" spans="1:11" customFormat="1" x14ac:dyDescent="0.25">
      <c r="A3843" s="661"/>
      <c r="B3843" s="75" t="s">
        <v>4036</v>
      </c>
      <c r="C3843" s="73"/>
      <c r="D3843" s="73"/>
      <c r="E3843" s="73"/>
      <c r="F3843" s="73"/>
      <c r="G3843" s="74"/>
      <c r="H3843" s="153"/>
      <c r="I3843" s="72"/>
      <c r="K3843" s="658"/>
    </row>
    <row r="3844" spans="1:11" customFormat="1" x14ac:dyDescent="0.25">
      <c r="A3844" s="661"/>
      <c r="B3844" s="73" t="s">
        <v>3214</v>
      </c>
      <c r="C3844" s="73"/>
      <c r="D3844" s="73"/>
      <c r="E3844" s="73"/>
      <c r="F3844" s="73"/>
      <c r="G3844" s="74" t="s">
        <v>3</v>
      </c>
      <c r="H3844" s="153">
        <f>0.045*0.02*2*8*1.12</f>
        <v>1.6128E-2</v>
      </c>
      <c r="I3844" s="72"/>
      <c r="K3844" s="658"/>
    </row>
    <row r="3845" spans="1:11" customFormat="1" x14ac:dyDescent="0.25">
      <c r="A3845" s="661"/>
      <c r="B3845" s="73"/>
      <c r="C3845" s="73"/>
      <c r="D3845" s="73"/>
      <c r="E3845" s="73"/>
      <c r="F3845" s="73"/>
      <c r="G3845" s="74"/>
      <c r="H3845" s="153"/>
      <c r="I3845" s="72"/>
      <c r="K3845" s="658"/>
    </row>
    <row r="3846" spans="1:11" customFormat="1" x14ac:dyDescent="0.25">
      <c r="A3846" s="661"/>
      <c r="B3846" s="75" t="s">
        <v>7930</v>
      </c>
      <c r="C3846" s="73"/>
      <c r="D3846" s="73"/>
      <c r="E3846" s="73"/>
      <c r="F3846" s="73"/>
      <c r="G3846" s="74"/>
      <c r="H3846" s="153"/>
      <c r="I3846" s="72"/>
      <c r="K3846" s="658"/>
    </row>
    <row r="3847" spans="1:11" customFormat="1" x14ac:dyDescent="0.25">
      <c r="A3847" s="661"/>
      <c r="B3847" s="73" t="s">
        <v>957</v>
      </c>
      <c r="C3847" s="73"/>
      <c r="D3847" s="73"/>
      <c r="E3847" s="73"/>
      <c r="F3847" s="73"/>
      <c r="G3847" s="74" t="s">
        <v>3</v>
      </c>
      <c r="H3847" s="153">
        <f>0.04*0.02*1*8.5*1.1</f>
        <v>7.4800000000000014E-3</v>
      </c>
      <c r="I3847" s="72"/>
      <c r="K3847" s="658"/>
    </row>
    <row r="3848" spans="1:11" customFormat="1" x14ac:dyDescent="0.25">
      <c r="A3848" s="661"/>
      <c r="B3848" s="73"/>
      <c r="C3848" s="73"/>
      <c r="D3848" s="73"/>
      <c r="E3848" s="73"/>
      <c r="F3848" s="73"/>
      <c r="G3848" s="74"/>
      <c r="H3848" s="153"/>
      <c r="I3848" s="72"/>
      <c r="K3848" s="658"/>
    </row>
    <row r="3849" spans="1:11" customFormat="1" x14ac:dyDescent="0.25">
      <c r="A3849" s="661"/>
      <c r="B3849" s="75" t="s">
        <v>7929</v>
      </c>
      <c r="C3849" s="73"/>
      <c r="D3849" s="73"/>
      <c r="E3849" s="73"/>
      <c r="F3849" s="73"/>
      <c r="G3849" s="74"/>
      <c r="H3849" s="153"/>
      <c r="I3849" s="72"/>
      <c r="K3849" s="658"/>
    </row>
    <row r="3850" spans="1:11" customFormat="1" x14ac:dyDescent="0.25">
      <c r="A3850" s="661"/>
      <c r="B3850" s="73" t="s">
        <v>5418</v>
      </c>
      <c r="C3850" s="73"/>
      <c r="D3850" s="73"/>
      <c r="E3850" s="73"/>
      <c r="F3850" s="73"/>
      <c r="G3850" s="74" t="s">
        <v>3</v>
      </c>
      <c r="H3850" s="153">
        <f>0.025*0.025*1.5*8*1.1</f>
        <v>8.2500000000000021E-3</v>
      </c>
      <c r="I3850" s="72"/>
      <c r="K3850" s="658"/>
    </row>
    <row r="3851" spans="1:11" customFormat="1" x14ac:dyDescent="0.25">
      <c r="A3851" s="661"/>
      <c r="B3851" s="73"/>
      <c r="C3851" s="73"/>
      <c r="D3851" s="73"/>
      <c r="E3851" s="73"/>
      <c r="F3851" s="73"/>
      <c r="G3851" s="74"/>
      <c r="H3851" s="153"/>
      <c r="I3851" s="72"/>
      <c r="K3851" s="658"/>
    </row>
    <row r="3852" spans="1:11" customFormat="1" x14ac:dyDescent="0.25">
      <c r="A3852" s="661"/>
      <c r="B3852" s="75" t="s">
        <v>7928</v>
      </c>
      <c r="C3852" s="73"/>
      <c r="D3852" s="73"/>
      <c r="E3852" s="73"/>
      <c r="F3852" s="73"/>
      <c r="G3852" s="74"/>
      <c r="H3852" s="153"/>
      <c r="I3852" s="72"/>
      <c r="K3852" s="658"/>
    </row>
    <row r="3853" spans="1:11" customFormat="1" x14ac:dyDescent="0.25">
      <c r="A3853" s="661"/>
      <c r="B3853" s="73" t="s">
        <v>3683</v>
      </c>
      <c r="C3853" s="73"/>
      <c r="D3853" s="73"/>
      <c r="E3853" s="73"/>
      <c r="F3853" s="73"/>
      <c r="G3853" s="74" t="s">
        <v>3</v>
      </c>
      <c r="H3853" s="153">
        <f>0.68*0.43*2*8*1.1221</f>
        <v>5.2496326400000006</v>
      </c>
      <c r="I3853" s="72"/>
      <c r="K3853" s="658"/>
    </row>
    <row r="3854" spans="1:11" customFormat="1" x14ac:dyDescent="0.25">
      <c r="A3854" s="661"/>
      <c r="B3854" s="73"/>
      <c r="C3854" s="73"/>
      <c r="D3854" s="73"/>
      <c r="E3854" s="73"/>
      <c r="F3854" s="73"/>
      <c r="G3854" s="74"/>
      <c r="H3854" s="153"/>
      <c r="I3854" s="72"/>
      <c r="K3854" s="658"/>
    </row>
    <row r="3855" spans="1:11" customFormat="1" x14ac:dyDescent="0.25">
      <c r="A3855" s="661"/>
      <c r="B3855" s="75" t="s">
        <v>7927</v>
      </c>
      <c r="C3855" s="73"/>
      <c r="D3855" s="73"/>
      <c r="E3855" s="73"/>
      <c r="F3855" s="73"/>
      <c r="G3855" s="74"/>
      <c r="H3855" s="153"/>
      <c r="I3855" s="72"/>
      <c r="J3855" s="663"/>
      <c r="K3855" s="658"/>
    </row>
    <row r="3856" spans="1:11" customFormat="1" x14ac:dyDescent="0.25">
      <c r="A3856" s="661"/>
      <c r="B3856" s="73" t="s">
        <v>7926</v>
      </c>
      <c r="C3856" s="73"/>
      <c r="D3856" s="73"/>
      <c r="E3856" s="73"/>
      <c r="F3856" s="73"/>
      <c r="G3856" s="74" t="s">
        <v>3</v>
      </c>
      <c r="H3856" s="153">
        <f>0.155*0.155*0.15*8*1.12</f>
        <v>3.2289600000000002E-2</v>
      </c>
      <c r="I3856" s="72"/>
      <c r="K3856" s="658"/>
    </row>
    <row r="3857" spans="1:11" customFormat="1" x14ac:dyDescent="0.25">
      <c r="A3857" s="661"/>
      <c r="B3857" s="73"/>
      <c r="C3857" s="73"/>
      <c r="D3857" s="73"/>
      <c r="E3857" s="73"/>
      <c r="F3857" s="73"/>
      <c r="G3857" s="74"/>
      <c r="H3857" s="153"/>
      <c r="I3857" s="72"/>
      <c r="K3857" s="658"/>
    </row>
    <row r="3858" spans="1:11" customFormat="1" x14ac:dyDescent="0.25">
      <c r="A3858" s="661"/>
      <c r="B3858" s="75" t="s">
        <v>7925</v>
      </c>
      <c r="C3858" s="73"/>
      <c r="D3858" s="73"/>
      <c r="E3858" s="73"/>
      <c r="F3858" s="73"/>
      <c r="G3858" s="74"/>
      <c r="H3858" s="153"/>
      <c r="I3858" s="72"/>
      <c r="K3858" s="658"/>
    </row>
    <row r="3859" spans="1:11" customFormat="1" x14ac:dyDescent="0.25">
      <c r="A3859" s="661"/>
      <c r="B3859" s="73" t="s">
        <v>7924</v>
      </c>
      <c r="C3859" s="73"/>
      <c r="D3859" s="73"/>
      <c r="E3859" s="73"/>
      <c r="F3859" s="73"/>
      <c r="G3859" s="74" t="s">
        <v>3</v>
      </c>
      <c r="H3859" s="153">
        <f>0.155*0.155*0.8*8*1.135</f>
        <v>0.17451760000000002</v>
      </c>
      <c r="I3859" s="72"/>
      <c r="K3859" s="658"/>
    </row>
    <row r="3860" spans="1:11" customFormat="1" x14ac:dyDescent="0.25">
      <c r="A3860" s="661"/>
      <c r="B3860" s="73"/>
      <c r="C3860" s="73"/>
      <c r="D3860" s="73"/>
      <c r="E3860" s="73"/>
      <c r="F3860" s="73"/>
      <c r="G3860" s="74"/>
      <c r="H3860" s="153"/>
      <c r="I3860" s="72"/>
      <c r="K3860" s="658"/>
    </row>
    <row r="3861" spans="1:11" customFormat="1" x14ac:dyDescent="0.25">
      <c r="A3861" s="661"/>
      <c r="B3861" s="75" t="s">
        <v>7923</v>
      </c>
      <c r="C3861" s="73"/>
      <c r="D3861" s="73"/>
      <c r="E3861" s="73"/>
      <c r="F3861" s="73"/>
      <c r="G3861" s="74"/>
      <c r="H3861" s="153"/>
      <c r="I3861" s="72"/>
      <c r="K3861" s="658"/>
    </row>
    <row r="3862" spans="1:11" customFormat="1" x14ac:dyDescent="0.25">
      <c r="A3862" s="661"/>
      <c r="B3862" s="73" t="s">
        <v>7922</v>
      </c>
      <c r="C3862" s="73"/>
      <c r="D3862" s="73"/>
      <c r="E3862" s="73"/>
      <c r="F3862" s="73"/>
      <c r="G3862" s="74" t="s">
        <v>3</v>
      </c>
      <c r="H3862" s="153">
        <f>0.155*0.155*2*8*1.118</f>
        <v>0.42975920000000006</v>
      </c>
      <c r="I3862" s="72"/>
      <c r="K3862" s="658"/>
    </row>
    <row r="3863" spans="1:11" customFormat="1" x14ac:dyDescent="0.25">
      <c r="A3863" s="661"/>
      <c r="B3863" s="73"/>
      <c r="C3863" s="73"/>
      <c r="D3863" s="73"/>
      <c r="E3863" s="73"/>
      <c r="F3863" s="73"/>
      <c r="G3863" s="74"/>
      <c r="H3863" s="153"/>
      <c r="I3863" s="72"/>
      <c r="K3863" s="658"/>
    </row>
    <row r="3864" spans="1:11" customFormat="1" x14ac:dyDescent="0.25">
      <c r="A3864" s="661"/>
      <c r="B3864" s="75" t="s">
        <v>7921</v>
      </c>
      <c r="C3864" s="73"/>
      <c r="D3864" s="73"/>
      <c r="E3864" s="73"/>
      <c r="F3864" s="73"/>
      <c r="G3864" s="74"/>
      <c r="H3864" s="153"/>
      <c r="I3864" s="72"/>
      <c r="K3864" s="658"/>
    </row>
    <row r="3865" spans="1:11" customFormat="1" x14ac:dyDescent="0.25">
      <c r="A3865" s="661"/>
      <c r="B3865" s="100" t="s">
        <v>114</v>
      </c>
      <c r="C3865" s="73"/>
      <c r="D3865" s="73"/>
      <c r="E3865" s="73"/>
      <c r="F3865" s="73"/>
      <c r="G3865" s="74" t="s">
        <v>3</v>
      </c>
      <c r="H3865" s="153">
        <f>H3867*0.7</f>
        <v>8.1465999999999986E-3</v>
      </c>
      <c r="I3865" s="72"/>
      <c r="K3865" s="658"/>
    </row>
    <row r="3866" spans="1:11" customFormat="1" x14ac:dyDescent="0.25">
      <c r="A3866" s="661"/>
      <c r="B3866" s="100" t="s">
        <v>164</v>
      </c>
      <c r="C3866" s="73"/>
      <c r="D3866" s="73"/>
      <c r="E3866" s="73"/>
      <c r="F3866" s="73"/>
      <c r="G3866" s="74" t="s">
        <v>3</v>
      </c>
      <c r="H3866" s="153">
        <f>0.3*H3865</f>
        <v>2.4439799999999997E-3</v>
      </c>
      <c r="I3866" s="72"/>
      <c r="K3866" s="658"/>
    </row>
    <row r="3867" spans="1:11" customFormat="1" x14ac:dyDescent="0.25">
      <c r="A3867" s="661"/>
      <c r="B3867" s="100" t="s">
        <v>115</v>
      </c>
      <c r="C3867" s="73"/>
      <c r="D3867" s="73"/>
      <c r="E3867" s="73"/>
      <c r="F3867" s="73"/>
      <c r="G3867" s="74" t="s">
        <v>3</v>
      </c>
      <c r="H3867" s="153">
        <f>0.46*0.011*2*1.15</f>
        <v>1.1637999999999999E-2</v>
      </c>
      <c r="I3867" s="72"/>
      <c r="K3867" s="658"/>
    </row>
    <row r="3868" spans="1:11" customFormat="1" x14ac:dyDescent="0.25">
      <c r="A3868" s="661"/>
      <c r="B3868" s="100" t="s">
        <v>12</v>
      </c>
      <c r="C3868" s="73"/>
      <c r="D3868" s="73"/>
      <c r="E3868" s="73"/>
      <c r="F3868" s="73"/>
      <c r="G3868" s="74" t="s">
        <v>3</v>
      </c>
      <c r="H3868" s="153">
        <f>0.3*H3867</f>
        <v>3.4913999999999995E-3</v>
      </c>
      <c r="I3868" s="72"/>
      <c r="K3868" s="658"/>
    </row>
    <row r="3869" spans="1:11" customFormat="1" x14ac:dyDescent="0.25">
      <c r="A3869" s="661"/>
      <c r="B3869" s="100"/>
      <c r="C3869" s="75" t="s">
        <v>7682</v>
      </c>
      <c r="D3869" s="73"/>
      <c r="E3869" s="73"/>
      <c r="F3869" s="73"/>
      <c r="G3869" s="74"/>
      <c r="H3869" s="153"/>
      <c r="I3869" s="72"/>
      <c r="K3869" s="658"/>
    </row>
    <row r="3870" spans="1:11" customFormat="1" x14ac:dyDescent="0.25">
      <c r="A3870" s="661"/>
      <c r="B3870" s="100"/>
      <c r="C3870" s="73" t="s">
        <v>1484</v>
      </c>
      <c r="D3870" s="73"/>
      <c r="E3870" s="73"/>
      <c r="F3870" s="73"/>
      <c r="G3870" s="74" t="s">
        <v>3</v>
      </c>
      <c r="H3870" s="153">
        <f>0.271*0.5</f>
        <v>0.13550000000000001</v>
      </c>
      <c r="I3870" s="72"/>
      <c r="J3870" s="10" t="s">
        <v>7681</v>
      </c>
      <c r="K3870" s="658"/>
    </row>
    <row r="3871" spans="1:11" customFormat="1" x14ac:dyDescent="0.25">
      <c r="A3871" s="661"/>
      <c r="B3871" s="100"/>
      <c r="C3871" s="73"/>
      <c r="D3871" s="73"/>
      <c r="E3871" s="73"/>
      <c r="F3871" s="73"/>
      <c r="G3871" s="74"/>
      <c r="H3871" s="153"/>
      <c r="I3871" s="72"/>
      <c r="J3871" s="10"/>
      <c r="K3871" s="658"/>
    </row>
    <row r="3872" spans="1:11" customFormat="1" x14ac:dyDescent="0.25">
      <c r="A3872" s="661"/>
      <c r="B3872" s="75" t="s">
        <v>7920</v>
      </c>
      <c r="C3872" s="73"/>
      <c r="D3872" s="73"/>
      <c r="E3872" s="73"/>
      <c r="F3872" s="73"/>
      <c r="G3872" s="74"/>
      <c r="H3872" s="153"/>
      <c r="I3872" s="72"/>
      <c r="J3872" s="10"/>
      <c r="K3872" s="658"/>
    </row>
    <row r="3873" spans="1:11" customFormat="1" x14ac:dyDescent="0.25">
      <c r="A3873" s="661"/>
      <c r="B3873" s="100" t="s">
        <v>114</v>
      </c>
      <c r="C3873" s="73"/>
      <c r="D3873" s="73"/>
      <c r="E3873" s="73"/>
      <c r="F3873" s="73"/>
      <c r="G3873" s="74" t="s">
        <v>3</v>
      </c>
      <c r="H3873" s="153">
        <f>H3875*0.7</f>
        <v>1.5245999999999999E-2</v>
      </c>
      <c r="I3873" s="72"/>
      <c r="J3873" s="10"/>
      <c r="K3873" s="658"/>
    </row>
    <row r="3874" spans="1:11" customFormat="1" x14ac:dyDescent="0.25">
      <c r="A3874" s="661"/>
      <c r="B3874" s="100" t="s">
        <v>164</v>
      </c>
      <c r="C3874" s="73"/>
      <c r="D3874" s="73"/>
      <c r="E3874" s="73"/>
      <c r="F3874" s="73"/>
      <c r="G3874" s="74" t="s">
        <v>3</v>
      </c>
      <c r="H3874" s="153">
        <f>0.3*H3873</f>
        <v>4.5737999999999994E-3</v>
      </c>
      <c r="I3874" s="72"/>
      <c r="J3874" s="10"/>
      <c r="K3874" s="658"/>
    </row>
    <row r="3875" spans="1:11" customFormat="1" x14ac:dyDescent="0.25">
      <c r="A3875" s="661"/>
      <c r="B3875" s="100" t="s">
        <v>115</v>
      </c>
      <c r="C3875" s="73"/>
      <c r="D3875" s="73"/>
      <c r="E3875" s="73"/>
      <c r="F3875" s="73"/>
      <c r="G3875" s="74" t="s">
        <v>3</v>
      </c>
      <c r="H3875" s="153">
        <f>0.9*0.011*2*1.1</f>
        <v>2.1780000000000001E-2</v>
      </c>
      <c r="I3875" s="72"/>
      <c r="J3875" s="10"/>
      <c r="K3875" s="658"/>
    </row>
    <row r="3876" spans="1:11" customFormat="1" x14ac:dyDescent="0.25">
      <c r="A3876" s="661"/>
      <c r="B3876" s="100" t="s">
        <v>12</v>
      </c>
      <c r="C3876" s="73"/>
      <c r="D3876" s="73"/>
      <c r="E3876" s="73"/>
      <c r="F3876" s="73"/>
      <c r="G3876" s="74" t="s">
        <v>3</v>
      </c>
      <c r="H3876" s="153">
        <f>0.3*H3875</f>
        <v>6.5339999999999999E-3</v>
      </c>
      <c r="I3876" s="72"/>
      <c r="J3876" s="10"/>
      <c r="K3876" s="658"/>
    </row>
    <row r="3877" spans="1:11" customFormat="1" x14ac:dyDescent="0.25">
      <c r="A3877" s="661"/>
      <c r="B3877" s="75"/>
      <c r="C3877" s="75" t="s">
        <v>7919</v>
      </c>
      <c r="D3877" s="73"/>
      <c r="E3877" s="73"/>
      <c r="F3877" s="73"/>
      <c r="G3877" s="74"/>
      <c r="H3877" s="153"/>
      <c r="I3877" s="72"/>
      <c r="J3877" s="10"/>
      <c r="K3877" s="658"/>
    </row>
    <row r="3878" spans="1:11" customFormat="1" x14ac:dyDescent="0.25">
      <c r="A3878" s="661"/>
      <c r="B3878" s="75"/>
      <c r="C3878" s="73" t="s">
        <v>1481</v>
      </c>
      <c r="D3878" s="73"/>
      <c r="E3878" s="73"/>
      <c r="F3878" s="73"/>
      <c r="G3878" s="74" t="s">
        <v>3</v>
      </c>
      <c r="H3878" s="153">
        <f>0.321*0.93+0.001</f>
        <v>0.29953000000000002</v>
      </c>
      <c r="I3878" s="72"/>
      <c r="K3878" s="10" t="s">
        <v>7918</v>
      </c>
    </row>
    <row r="3879" spans="1:11" customFormat="1" x14ac:dyDescent="0.25">
      <c r="A3879" s="661"/>
      <c r="B3879" s="73"/>
      <c r="C3879" s="73"/>
      <c r="D3879" s="73"/>
      <c r="E3879" s="73"/>
      <c r="F3879" s="73"/>
      <c r="G3879" s="74"/>
      <c r="H3879" s="153"/>
      <c r="I3879" s="72"/>
      <c r="J3879" s="10"/>
      <c r="K3879" s="658"/>
    </row>
    <row r="3880" spans="1:11" customFormat="1" x14ac:dyDescent="0.25">
      <c r="A3880" s="661"/>
      <c r="B3880" s="75" t="s">
        <v>7917</v>
      </c>
      <c r="C3880" s="73"/>
      <c r="D3880" s="73"/>
      <c r="E3880" s="73"/>
      <c r="F3880" s="73"/>
      <c r="G3880" s="74"/>
      <c r="H3880" s="153"/>
      <c r="I3880" s="72"/>
      <c r="J3880" s="10"/>
      <c r="K3880" s="658"/>
    </row>
    <row r="3881" spans="1:11" customFormat="1" x14ac:dyDescent="0.25">
      <c r="A3881" s="661"/>
      <c r="B3881" s="100" t="s">
        <v>114</v>
      </c>
      <c r="C3881" s="73"/>
      <c r="D3881" s="73"/>
      <c r="E3881" s="73"/>
      <c r="F3881" s="73"/>
      <c r="G3881" s="74" t="s">
        <v>3</v>
      </c>
      <c r="H3881" s="153">
        <f>H3883*0.7</f>
        <v>7.7923999999999979E-3</v>
      </c>
      <c r="I3881" s="72"/>
      <c r="J3881" s="10"/>
      <c r="K3881" s="658"/>
    </row>
    <row r="3882" spans="1:11" customFormat="1" x14ac:dyDescent="0.25">
      <c r="A3882" s="661"/>
      <c r="B3882" s="100" t="s">
        <v>164</v>
      </c>
      <c r="C3882" s="73"/>
      <c r="D3882" s="73"/>
      <c r="E3882" s="73"/>
      <c r="F3882" s="73"/>
      <c r="G3882" s="74" t="s">
        <v>3</v>
      </c>
      <c r="H3882" s="153">
        <f>0.3*H3881</f>
        <v>2.3377199999999993E-3</v>
      </c>
      <c r="I3882" s="72"/>
      <c r="J3882" s="10"/>
      <c r="K3882" s="658"/>
    </row>
    <row r="3883" spans="1:11" customFormat="1" x14ac:dyDescent="0.25">
      <c r="A3883" s="661"/>
      <c r="B3883" s="100" t="s">
        <v>115</v>
      </c>
      <c r="C3883" s="73"/>
      <c r="D3883" s="73"/>
      <c r="E3883" s="73"/>
      <c r="F3883" s="73"/>
      <c r="G3883" s="74" t="s">
        <v>3</v>
      </c>
      <c r="H3883" s="153">
        <f>0.44*0.011*2*1.15</f>
        <v>1.1131999999999998E-2</v>
      </c>
      <c r="I3883" s="72"/>
      <c r="J3883" s="10"/>
      <c r="K3883" s="658"/>
    </row>
    <row r="3884" spans="1:11" customFormat="1" x14ac:dyDescent="0.25">
      <c r="A3884" s="661"/>
      <c r="B3884" s="100" t="s">
        <v>12</v>
      </c>
      <c r="C3884" s="73"/>
      <c r="D3884" s="73"/>
      <c r="E3884" s="73"/>
      <c r="F3884" s="73"/>
      <c r="G3884" s="74" t="s">
        <v>3</v>
      </c>
      <c r="H3884" s="153">
        <f>0.3*H3883</f>
        <v>3.3395999999999994E-3</v>
      </c>
      <c r="I3884" s="72"/>
      <c r="J3884" s="10"/>
      <c r="K3884" s="658"/>
    </row>
    <row r="3885" spans="1:11" customFormat="1" x14ac:dyDescent="0.25">
      <c r="A3885" s="661"/>
      <c r="B3885" s="100"/>
      <c r="C3885" s="75" t="s">
        <v>7916</v>
      </c>
      <c r="D3885" s="73"/>
      <c r="E3885" s="73"/>
      <c r="F3885" s="73"/>
      <c r="G3885" s="74"/>
      <c r="H3885" s="153"/>
      <c r="I3885" s="72"/>
      <c r="J3885" s="10"/>
      <c r="K3885" s="658"/>
    </row>
    <row r="3886" spans="1:11" customFormat="1" x14ac:dyDescent="0.25">
      <c r="A3886" s="661"/>
      <c r="B3886" s="100"/>
      <c r="C3886" s="73" t="s">
        <v>1484</v>
      </c>
      <c r="D3886" s="73"/>
      <c r="E3886" s="73"/>
      <c r="F3886" s="73"/>
      <c r="G3886" s="74" t="s">
        <v>3</v>
      </c>
      <c r="H3886" s="153">
        <f>0.271*0.5-0.001</f>
        <v>0.13450000000000001</v>
      </c>
      <c r="I3886" s="72"/>
      <c r="K3886" s="10" t="s">
        <v>7915</v>
      </c>
    </row>
    <row r="3887" spans="1:11" customFormat="1" x14ac:dyDescent="0.25">
      <c r="A3887" s="661"/>
      <c r="B3887" s="73"/>
      <c r="C3887" s="73"/>
      <c r="D3887" s="73"/>
      <c r="E3887" s="73"/>
      <c r="F3887" s="73"/>
      <c r="G3887" s="74"/>
      <c r="H3887" s="153"/>
      <c r="I3887" s="72"/>
      <c r="J3887" s="10"/>
      <c r="K3887" s="658"/>
    </row>
    <row r="3888" spans="1:11" customFormat="1" x14ac:dyDescent="0.25">
      <c r="A3888" s="661"/>
      <c r="B3888" s="75" t="s">
        <v>7914</v>
      </c>
      <c r="C3888" s="73"/>
      <c r="D3888" s="73"/>
      <c r="E3888" s="73"/>
      <c r="F3888" s="73"/>
      <c r="G3888" s="74"/>
      <c r="H3888" s="153"/>
      <c r="I3888" s="72"/>
      <c r="J3888" s="10"/>
      <c r="K3888" s="658"/>
    </row>
    <row r="3889" spans="1:11" customFormat="1" x14ac:dyDescent="0.25">
      <c r="A3889" s="661"/>
      <c r="B3889" s="100" t="s">
        <v>140</v>
      </c>
      <c r="C3889" s="75"/>
      <c r="D3889" s="73"/>
      <c r="E3889" s="73"/>
      <c r="F3889" s="73"/>
      <c r="G3889" s="74" t="s">
        <v>3</v>
      </c>
      <c r="H3889" s="153">
        <f>0.01*3.14*0.08*2*1.1</f>
        <v>5.5264000000000016E-3</v>
      </c>
      <c r="I3889" s="72"/>
      <c r="J3889" s="10"/>
      <c r="K3889" s="658"/>
    </row>
    <row r="3890" spans="1:11" customFormat="1" ht="17.25" x14ac:dyDescent="0.25">
      <c r="A3890" s="661"/>
      <c r="B3890" s="100" t="s">
        <v>23</v>
      </c>
      <c r="C3890" s="75"/>
      <c r="D3890" s="73"/>
      <c r="E3890" s="73"/>
      <c r="F3890" s="73"/>
      <c r="G3890" s="74" t="s">
        <v>596</v>
      </c>
      <c r="H3890" s="153">
        <f>H3889*2</f>
        <v>1.1052800000000003E-2</v>
      </c>
      <c r="I3890" s="72"/>
      <c r="J3890" s="10"/>
      <c r="K3890" s="658"/>
    </row>
    <row r="3891" spans="1:11" customFormat="1" x14ac:dyDescent="0.25">
      <c r="A3891" s="661"/>
      <c r="B3891" s="100" t="s">
        <v>142</v>
      </c>
      <c r="C3891" s="75"/>
      <c r="D3891" s="73"/>
      <c r="E3891" s="73"/>
      <c r="F3891" s="73"/>
      <c r="G3891" s="74" t="s">
        <v>3</v>
      </c>
      <c r="H3891" s="153">
        <f>H3889/4</f>
        <v>1.3816000000000004E-3</v>
      </c>
      <c r="I3891" s="72"/>
      <c r="J3891" s="10"/>
      <c r="K3891" s="658"/>
    </row>
    <row r="3892" spans="1:11" customFormat="1" x14ac:dyDescent="0.25">
      <c r="A3892" s="661"/>
      <c r="B3892" s="186" t="s">
        <v>143</v>
      </c>
      <c r="C3892" s="73"/>
      <c r="D3892" s="73"/>
      <c r="E3892" s="73"/>
      <c r="F3892" s="73"/>
      <c r="G3892" s="74" t="s">
        <v>3</v>
      </c>
      <c r="H3892" s="153">
        <f>H3893</f>
        <v>4.9763999999999997E-3</v>
      </c>
      <c r="I3892" s="72"/>
      <c r="J3892" s="10"/>
      <c r="K3892" s="658"/>
    </row>
    <row r="3893" spans="1:11" customFormat="1" x14ac:dyDescent="0.25">
      <c r="A3893" s="661"/>
      <c r="B3893" s="186" t="s">
        <v>8</v>
      </c>
      <c r="C3893" s="73"/>
      <c r="D3893" s="73"/>
      <c r="E3893" s="73"/>
      <c r="F3893" s="73"/>
      <c r="G3893" s="74" t="s">
        <v>3</v>
      </c>
      <c r="H3893" s="153">
        <f>H3894*0.6</f>
        <v>4.9763999999999997E-3</v>
      </c>
      <c r="I3893" s="72"/>
      <c r="J3893" s="10"/>
      <c r="K3893" s="658"/>
    </row>
    <row r="3894" spans="1:11" customFormat="1" x14ac:dyDescent="0.25">
      <c r="A3894" s="661"/>
      <c r="B3894" s="186" t="s">
        <v>148</v>
      </c>
      <c r="C3894" s="73"/>
      <c r="D3894" s="73"/>
      <c r="E3894" s="73"/>
      <c r="F3894" s="73"/>
      <c r="G3894" s="74" t="s">
        <v>3</v>
      </c>
      <c r="H3894" s="153">
        <f>0.29*0.011*2*1.3</f>
        <v>8.2939999999999993E-3</v>
      </c>
      <c r="I3894" s="72"/>
      <c r="J3894" s="10"/>
      <c r="K3894" s="658"/>
    </row>
    <row r="3895" spans="1:11" customFormat="1" x14ac:dyDescent="0.25">
      <c r="A3895" s="661"/>
      <c r="B3895" s="186" t="s">
        <v>1453</v>
      </c>
      <c r="C3895" s="73"/>
      <c r="D3895" s="73"/>
      <c r="E3895" s="73"/>
      <c r="F3895" s="73"/>
      <c r="G3895" s="74" t="s">
        <v>3</v>
      </c>
      <c r="H3895" s="153">
        <f>0.3*(H3894+H3893+H3892)</f>
        <v>5.4740399999999986E-3</v>
      </c>
      <c r="I3895" s="72"/>
      <c r="J3895" s="10"/>
      <c r="K3895" s="658"/>
    </row>
    <row r="3896" spans="1:11" customFormat="1" x14ac:dyDescent="0.25">
      <c r="A3896" s="661"/>
      <c r="B3896" s="73"/>
      <c r="C3896" s="75" t="s">
        <v>7913</v>
      </c>
      <c r="D3896" s="73"/>
      <c r="E3896" s="73"/>
      <c r="F3896" s="73"/>
      <c r="G3896" s="74"/>
      <c r="H3896" s="153"/>
      <c r="I3896" s="72"/>
      <c r="J3896" s="10"/>
      <c r="K3896" s="658"/>
    </row>
    <row r="3897" spans="1:11" customFormat="1" x14ac:dyDescent="0.25">
      <c r="A3897" s="661"/>
      <c r="B3897" s="73"/>
      <c r="C3897" s="73" t="s">
        <v>7910</v>
      </c>
      <c r="D3897" s="73"/>
      <c r="E3897" s="73"/>
      <c r="F3897" s="73"/>
      <c r="G3897" s="74" t="s">
        <v>3</v>
      </c>
      <c r="H3897" s="153">
        <f>0.314*0.085</f>
        <v>2.6690000000000002E-2</v>
      </c>
      <c r="I3897" s="72"/>
      <c r="K3897" s="10" t="s">
        <v>7912</v>
      </c>
    </row>
    <row r="3898" spans="1:11" customFormat="1" x14ac:dyDescent="0.25">
      <c r="A3898" s="661"/>
      <c r="B3898" s="73"/>
      <c r="C3898" s="75" t="s">
        <v>7911</v>
      </c>
      <c r="D3898" s="73"/>
      <c r="E3898" s="73"/>
      <c r="F3898" s="73"/>
      <c r="G3898" s="74"/>
      <c r="H3898" s="153"/>
      <c r="I3898" s="72"/>
      <c r="J3898" s="10"/>
      <c r="K3898" s="658"/>
    </row>
    <row r="3899" spans="1:11" customFormat="1" x14ac:dyDescent="0.25">
      <c r="A3899" s="661"/>
      <c r="B3899" s="73"/>
      <c r="C3899" s="73" t="s">
        <v>7910</v>
      </c>
      <c r="D3899" s="73"/>
      <c r="E3899" s="73"/>
      <c r="F3899" s="73"/>
      <c r="G3899" s="74" t="s">
        <v>3</v>
      </c>
      <c r="H3899" s="153">
        <f>0.314*0.2</f>
        <v>6.2800000000000009E-2</v>
      </c>
      <c r="I3899" s="72"/>
      <c r="K3899" s="10" t="s">
        <v>1251</v>
      </c>
    </row>
    <row r="3900" spans="1:11" customFormat="1" x14ac:dyDescent="0.25">
      <c r="A3900" s="661"/>
      <c r="B3900" s="73"/>
      <c r="C3900" s="73"/>
      <c r="D3900" s="73"/>
      <c r="E3900" s="73"/>
      <c r="F3900" s="73"/>
      <c r="G3900" s="74"/>
      <c r="H3900" s="153"/>
      <c r="I3900" s="72"/>
      <c r="J3900" s="10"/>
      <c r="K3900" s="658"/>
    </row>
    <row r="3901" spans="1:11" customFormat="1" x14ac:dyDescent="0.25">
      <c r="A3901" s="661"/>
      <c r="B3901" s="75" t="s">
        <v>7909</v>
      </c>
      <c r="C3901" s="73"/>
      <c r="D3901" s="73"/>
      <c r="E3901" s="73"/>
      <c r="F3901" s="73"/>
      <c r="G3901" s="74"/>
      <c r="H3901" s="153"/>
      <c r="I3901" s="72"/>
      <c r="K3901" s="658"/>
    </row>
    <row r="3902" spans="1:11" customFormat="1" x14ac:dyDescent="0.25">
      <c r="A3902" s="661"/>
      <c r="B3902" s="77" t="s">
        <v>1054</v>
      </c>
      <c r="C3902" s="77"/>
      <c r="D3902" s="77"/>
      <c r="E3902" s="77"/>
      <c r="F3902" s="73"/>
      <c r="G3902" s="152" t="s">
        <v>3</v>
      </c>
      <c r="H3902" s="427">
        <f>0.04*0.08*1.2</f>
        <v>3.8400000000000001E-3</v>
      </c>
      <c r="I3902" s="72"/>
      <c r="K3902" s="658"/>
    </row>
    <row r="3903" spans="1:11" customFormat="1" ht="17.25" x14ac:dyDescent="0.25">
      <c r="A3903" s="661"/>
      <c r="B3903" s="77" t="s">
        <v>1055</v>
      </c>
      <c r="C3903" s="77"/>
      <c r="D3903" s="77"/>
      <c r="E3903" s="77"/>
      <c r="F3903" s="73"/>
      <c r="G3903" s="152" t="s">
        <v>596</v>
      </c>
      <c r="H3903" s="427">
        <f>H3902*1.11</f>
        <v>4.2624000000000004E-3</v>
      </c>
      <c r="I3903" s="72"/>
      <c r="K3903" s="658"/>
    </row>
    <row r="3904" spans="1:11" customFormat="1" x14ac:dyDescent="0.25">
      <c r="A3904" s="661"/>
      <c r="B3904" s="73" t="s">
        <v>8</v>
      </c>
      <c r="C3904" s="73"/>
      <c r="D3904" s="73"/>
      <c r="E3904" s="73"/>
      <c r="F3904" s="73"/>
      <c r="G3904" s="74" t="s">
        <v>3</v>
      </c>
      <c r="H3904" s="153">
        <f>H3905*0.6</f>
        <v>1.2095999999999997E-2</v>
      </c>
      <c r="I3904" s="72"/>
      <c r="K3904" s="658"/>
    </row>
    <row r="3905" spans="1:11" customFormat="1" x14ac:dyDescent="0.25">
      <c r="A3905" s="661"/>
      <c r="B3905" s="73" t="s">
        <v>325</v>
      </c>
      <c r="C3905" s="73"/>
      <c r="D3905" s="73"/>
      <c r="E3905" s="73"/>
      <c r="F3905" s="73"/>
      <c r="G3905" s="74" t="s">
        <v>3</v>
      </c>
      <c r="H3905" s="153">
        <f>0.4*0.08*2*0.15*2*1.05</f>
        <v>2.0159999999999997E-2</v>
      </c>
      <c r="I3905" s="72"/>
      <c r="K3905" s="658"/>
    </row>
    <row r="3906" spans="1:11" customFormat="1" x14ac:dyDescent="0.25">
      <c r="A3906" s="661"/>
      <c r="B3906" s="73" t="s">
        <v>12</v>
      </c>
      <c r="C3906" s="73"/>
      <c r="D3906" s="73"/>
      <c r="E3906" s="73"/>
      <c r="F3906" s="73"/>
      <c r="G3906" s="74" t="s">
        <v>3</v>
      </c>
      <c r="H3906" s="153">
        <f>0.3*(H3905+H3904)</f>
        <v>9.6767999999999976E-3</v>
      </c>
      <c r="I3906" s="72"/>
      <c r="K3906" s="658"/>
    </row>
    <row r="3907" spans="1:11" customFormat="1" x14ac:dyDescent="0.25">
      <c r="A3907" s="661"/>
      <c r="B3907" s="73"/>
      <c r="C3907" s="75" t="s">
        <v>7908</v>
      </c>
      <c r="D3907" s="73"/>
      <c r="E3907" s="73"/>
      <c r="F3907" s="73"/>
      <c r="G3907" s="74"/>
      <c r="H3907" s="153"/>
      <c r="I3907" s="72"/>
      <c r="K3907" s="658"/>
    </row>
    <row r="3908" spans="1:11" customFormat="1" x14ac:dyDescent="0.25">
      <c r="A3908" s="661"/>
      <c r="B3908" s="73"/>
      <c r="C3908" s="73" t="s">
        <v>7905</v>
      </c>
      <c r="D3908" s="73"/>
      <c r="E3908" s="73"/>
      <c r="F3908" s="73"/>
      <c r="G3908" s="74" t="s">
        <v>3</v>
      </c>
      <c r="H3908" s="153">
        <f>0.485*0.04*2*8*1.129</f>
        <v>0.35044160000000002</v>
      </c>
      <c r="I3908" s="72"/>
      <c r="K3908" s="658"/>
    </row>
    <row r="3909" spans="1:11" customFormat="1" x14ac:dyDescent="0.25">
      <c r="A3909" s="661"/>
      <c r="B3909" s="73"/>
      <c r="C3909" s="73"/>
      <c r="D3909" s="73"/>
      <c r="E3909" s="73"/>
      <c r="F3909" s="73"/>
      <c r="G3909" s="74"/>
      <c r="H3909" s="153"/>
      <c r="I3909" s="72"/>
      <c r="K3909" s="658"/>
    </row>
    <row r="3910" spans="1:11" customFormat="1" x14ac:dyDescent="0.25">
      <c r="A3910" s="661"/>
      <c r="B3910" s="75" t="s">
        <v>7907</v>
      </c>
      <c r="C3910" s="73"/>
      <c r="D3910" s="73"/>
      <c r="E3910" s="73"/>
      <c r="F3910" s="73"/>
      <c r="G3910" s="74"/>
      <c r="H3910" s="153"/>
      <c r="I3910" s="72"/>
      <c r="K3910" s="658"/>
    </row>
    <row r="3911" spans="1:11" customFormat="1" x14ac:dyDescent="0.25">
      <c r="A3911" s="661"/>
      <c r="B3911" s="77" t="s">
        <v>1054</v>
      </c>
      <c r="C3911" s="77"/>
      <c r="D3911" s="77"/>
      <c r="E3911" s="77"/>
      <c r="F3911" s="73"/>
      <c r="G3911" s="152" t="s">
        <v>3</v>
      </c>
      <c r="H3911" s="427">
        <f>0.04*0.08*1.2</f>
        <v>3.8400000000000001E-3</v>
      </c>
      <c r="I3911" s="72"/>
      <c r="K3911" s="658"/>
    </row>
    <row r="3912" spans="1:11" customFormat="1" ht="17.25" x14ac:dyDescent="0.25">
      <c r="A3912" s="661"/>
      <c r="B3912" s="77" t="s">
        <v>1055</v>
      </c>
      <c r="C3912" s="77"/>
      <c r="D3912" s="77"/>
      <c r="E3912" s="77"/>
      <c r="F3912" s="73"/>
      <c r="G3912" s="152" t="s">
        <v>596</v>
      </c>
      <c r="H3912" s="427">
        <f>H3911*1.11</f>
        <v>4.2624000000000004E-3</v>
      </c>
      <c r="I3912" s="72"/>
      <c r="K3912" s="658"/>
    </row>
    <row r="3913" spans="1:11" customFormat="1" x14ac:dyDescent="0.25">
      <c r="A3913" s="661"/>
      <c r="B3913" s="73" t="s">
        <v>8</v>
      </c>
      <c r="C3913" s="73"/>
      <c r="D3913" s="73"/>
      <c r="E3913" s="73"/>
      <c r="F3913" s="73"/>
      <c r="G3913" s="74" t="s">
        <v>3</v>
      </c>
      <c r="H3913" s="153">
        <f>H3914*0.6</f>
        <v>3.5717760000000001E-2</v>
      </c>
      <c r="I3913" s="72"/>
      <c r="K3913" s="658"/>
    </row>
    <row r="3914" spans="1:11" customFormat="1" x14ac:dyDescent="0.25">
      <c r="A3914" s="661"/>
      <c r="B3914" s="73" t="s">
        <v>325</v>
      </c>
      <c r="C3914" s="73"/>
      <c r="D3914" s="73"/>
      <c r="E3914" s="73"/>
      <c r="F3914" s="73"/>
      <c r="G3914" s="74" t="s">
        <v>3</v>
      </c>
      <c r="H3914" s="153">
        <f>1.17*0.08*2*0.15*2*1.06</f>
        <v>5.9529600000000002E-2</v>
      </c>
      <c r="I3914" s="72"/>
      <c r="K3914" s="658"/>
    </row>
    <row r="3915" spans="1:11" customFormat="1" x14ac:dyDescent="0.25">
      <c r="A3915" s="661"/>
      <c r="B3915" s="73" t="s">
        <v>12</v>
      </c>
      <c r="C3915" s="73"/>
      <c r="D3915" s="73"/>
      <c r="E3915" s="73"/>
      <c r="F3915" s="73"/>
      <c r="G3915" s="74" t="s">
        <v>3</v>
      </c>
      <c r="H3915" s="153">
        <f>0.3*(H3914+H3913)</f>
        <v>2.8574208E-2</v>
      </c>
      <c r="I3915" s="72"/>
      <c r="K3915" s="658"/>
    </row>
    <row r="3916" spans="1:11" customFormat="1" x14ac:dyDescent="0.25">
      <c r="A3916" s="661"/>
      <c r="B3916" s="73"/>
      <c r="C3916" s="75" t="s">
        <v>7906</v>
      </c>
      <c r="D3916" s="73"/>
      <c r="E3916" s="73"/>
      <c r="F3916" s="73"/>
      <c r="G3916" s="74"/>
      <c r="H3916" s="153"/>
      <c r="I3916" s="72"/>
      <c r="K3916" s="658"/>
    </row>
    <row r="3917" spans="1:11" customFormat="1" x14ac:dyDescent="0.25">
      <c r="A3917" s="661"/>
      <c r="B3917" s="73"/>
      <c r="C3917" s="73" t="s">
        <v>7905</v>
      </c>
      <c r="D3917" s="73"/>
      <c r="E3917" s="73"/>
      <c r="F3917" s="73"/>
      <c r="G3917" s="74" t="s">
        <v>3</v>
      </c>
      <c r="H3917" s="153">
        <f>1.245*0.04*2*8*1.129</f>
        <v>0.89958720000000003</v>
      </c>
      <c r="I3917" s="72"/>
      <c r="K3917" s="658"/>
    </row>
    <row r="3918" spans="1:11" customFormat="1" x14ac:dyDescent="0.25">
      <c r="A3918" s="661"/>
      <c r="B3918" s="73"/>
      <c r="C3918" s="73"/>
      <c r="D3918" s="73"/>
      <c r="E3918" s="73"/>
      <c r="F3918" s="73"/>
      <c r="G3918" s="74"/>
      <c r="H3918" s="153"/>
      <c r="I3918" s="72"/>
      <c r="K3918" s="658"/>
    </row>
    <row r="3919" spans="1:11" customFormat="1" x14ac:dyDescent="0.25">
      <c r="A3919" s="661"/>
      <c r="B3919" s="75" t="s">
        <v>7904</v>
      </c>
      <c r="C3919" s="73"/>
      <c r="D3919" s="73"/>
      <c r="E3919" s="73"/>
      <c r="F3919" s="73"/>
      <c r="G3919" s="74"/>
      <c r="H3919" s="153"/>
      <c r="I3919" s="72"/>
      <c r="K3919" s="658"/>
    </row>
    <row r="3920" spans="1:11" customFormat="1" x14ac:dyDescent="0.25">
      <c r="A3920" s="661"/>
      <c r="B3920" s="100" t="s">
        <v>140</v>
      </c>
      <c r="C3920" s="75"/>
      <c r="D3920" s="73"/>
      <c r="E3920" s="73"/>
      <c r="F3920" s="73"/>
      <c r="G3920" s="74" t="s">
        <v>3</v>
      </c>
      <c r="H3920" s="153">
        <f>0.012*3.14*0.08*2*1.1</f>
        <v>6.6316800000000018E-3</v>
      </c>
      <c r="I3920" s="72"/>
      <c r="K3920" s="658"/>
    </row>
    <row r="3921" spans="1:11" customFormat="1" ht="17.25" x14ac:dyDescent="0.25">
      <c r="A3921" s="661"/>
      <c r="B3921" s="100" t="s">
        <v>23</v>
      </c>
      <c r="C3921" s="75"/>
      <c r="D3921" s="73"/>
      <c r="E3921" s="73"/>
      <c r="F3921" s="73"/>
      <c r="G3921" s="74" t="s">
        <v>596</v>
      </c>
      <c r="H3921" s="153">
        <f>H3920*2</f>
        <v>1.3263360000000004E-2</v>
      </c>
      <c r="I3921" s="72"/>
      <c r="K3921" s="658"/>
    </row>
    <row r="3922" spans="1:11" customFormat="1" x14ac:dyDescent="0.25">
      <c r="A3922" s="661"/>
      <c r="B3922" s="100" t="s">
        <v>142</v>
      </c>
      <c r="C3922" s="75"/>
      <c r="D3922" s="73"/>
      <c r="E3922" s="73"/>
      <c r="F3922" s="73"/>
      <c r="G3922" s="74" t="s">
        <v>3</v>
      </c>
      <c r="H3922" s="153">
        <f>H3920/4</f>
        <v>1.6579200000000004E-3</v>
      </c>
      <c r="I3922" s="72"/>
      <c r="K3922" s="658"/>
    </row>
    <row r="3923" spans="1:11" customFormat="1" x14ac:dyDescent="0.25">
      <c r="A3923" s="661"/>
      <c r="B3923" s="73" t="s">
        <v>8</v>
      </c>
      <c r="C3923" s="73"/>
      <c r="D3923" s="73"/>
      <c r="E3923" s="73"/>
      <c r="F3923" s="73"/>
      <c r="G3923" s="74" t="s">
        <v>3</v>
      </c>
      <c r="H3923" s="153">
        <f>H3924*0.6</f>
        <v>4.1764799999999991E-2</v>
      </c>
      <c r="I3923" s="72"/>
      <c r="K3923" s="658"/>
    </row>
    <row r="3924" spans="1:11" customFormat="1" x14ac:dyDescent="0.25">
      <c r="A3924" s="661"/>
      <c r="B3924" s="73" t="s">
        <v>5794</v>
      </c>
      <c r="C3924" s="73"/>
      <c r="D3924" s="73"/>
      <c r="E3924" s="73"/>
      <c r="F3924" s="73"/>
      <c r="G3924" s="74" t="s">
        <v>3</v>
      </c>
      <c r="H3924" s="153">
        <f>2.8*0.011*2*1.13</f>
        <v>6.9607999999999989E-2</v>
      </c>
      <c r="I3924" s="72"/>
      <c r="K3924" s="658"/>
    </row>
    <row r="3925" spans="1:11" customFormat="1" x14ac:dyDescent="0.25">
      <c r="A3925" s="661"/>
      <c r="B3925" s="186" t="s">
        <v>143</v>
      </c>
      <c r="C3925" s="73"/>
      <c r="D3925" s="73"/>
      <c r="E3925" s="73"/>
      <c r="F3925" s="73"/>
      <c r="G3925" s="74" t="s">
        <v>3</v>
      </c>
      <c r="H3925" s="153">
        <f>H3923</f>
        <v>4.1764799999999991E-2</v>
      </c>
      <c r="I3925" s="72"/>
      <c r="K3925" s="658"/>
    </row>
    <row r="3926" spans="1:11" customFormat="1" x14ac:dyDescent="0.25">
      <c r="A3926" s="661"/>
      <c r="B3926" s="73" t="s">
        <v>12</v>
      </c>
      <c r="C3926" s="73"/>
      <c r="D3926" s="73"/>
      <c r="E3926" s="73"/>
      <c r="F3926" s="73"/>
      <c r="G3926" s="74" t="s">
        <v>3</v>
      </c>
      <c r="H3926" s="153">
        <f>0.3*(H3924+H3923+H3925)</f>
        <v>4.5941279999999994E-2</v>
      </c>
      <c r="I3926" s="72"/>
      <c r="K3926" s="658"/>
    </row>
    <row r="3927" spans="1:11" customFormat="1" x14ac:dyDescent="0.25">
      <c r="A3927" s="661"/>
      <c r="B3927" s="73"/>
      <c r="C3927" s="75" t="s">
        <v>7903</v>
      </c>
      <c r="D3927" s="73"/>
      <c r="E3927" s="73"/>
      <c r="F3927" s="73"/>
      <c r="G3927" s="74"/>
      <c r="H3927" s="153"/>
      <c r="I3927" s="72"/>
      <c r="K3927" s="658"/>
    </row>
    <row r="3928" spans="1:11" customFormat="1" x14ac:dyDescent="0.25">
      <c r="A3928" s="661"/>
      <c r="B3928" s="73"/>
      <c r="C3928" s="73" t="s">
        <v>7902</v>
      </c>
      <c r="D3928" s="73"/>
      <c r="E3928" s="73"/>
      <c r="F3928" s="73"/>
      <c r="G3928" s="74" t="s">
        <v>3</v>
      </c>
      <c r="H3928" s="153">
        <f>0.271*3+0.002</f>
        <v>0.81500000000000006</v>
      </c>
      <c r="I3928" s="72"/>
      <c r="K3928" s="10" t="s">
        <v>7901</v>
      </c>
    </row>
    <row r="3929" spans="1:11" customFormat="1" x14ac:dyDescent="0.25">
      <c r="A3929" s="661"/>
      <c r="B3929" s="73"/>
      <c r="C3929" s="73"/>
      <c r="D3929" s="73"/>
      <c r="E3929" s="73"/>
      <c r="F3929" s="73"/>
      <c r="G3929" s="74"/>
      <c r="H3929" s="153"/>
      <c r="I3929" s="72"/>
      <c r="K3929" s="658"/>
    </row>
    <row r="3930" spans="1:11" customFormat="1" x14ac:dyDescent="0.25">
      <c r="A3930" s="661"/>
      <c r="B3930" s="75" t="s">
        <v>7900</v>
      </c>
      <c r="C3930" s="73"/>
      <c r="D3930" s="73"/>
      <c r="E3930" s="73"/>
      <c r="F3930" s="73"/>
      <c r="G3930" s="74"/>
      <c r="H3930" s="153"/>
      <c r="I3930" s="72"/>
      <c r="K3930" s="658"/>
    </row>
    <row r="3931" spans="1:11" customFormat="1" x14ac:dyDescent="0.25">
      <c r="A3931" s="661"/>
      <c r="B3931" s="100" t="s">
        <v>140</v>
      </c>
      <c r="C3931" s="75"/>
      <c r="D3931" s="73"/>
      <c r="E3931" s="73"/>
      <c r="F3931" s="73"/>
      <c r="G3931" s="74" t="s">
        <v>3</v>
      </c>
      <c r="H3931" s="153">
        <f>0.008*3.14*0.08*2*1.1</f>
        <v>4.4211199999999997E-3</v>
      </c>
      <c r="I3931" s="72"/>
      <c r="K3931" s="658"/>
    </row>
    <row r="3932" spans="1:11" customFormat="1" ht="17.25" x14ac:dyDescent="0.25">
      <c r="A3932" s="661"/>
      <c r="B3932" s="100" t="s">
        <v>23</v>
      </c>
      <c r="C3932" s="75"/>
      <c r="D3932" s="73"/>
      <c r="E3932" s="73"/>
      <c r="F3932" s="73"/>
      <c r="G3932" s="74" t="s">
        <v>596</v>
      </c>
      <c r="H3932" s="153">
        <f>H3931*2</f>
        <v>8.8422399999999995E-3</v>
      </c>
      <c r="I3932" s="72"/>
      <c r="K3932" s="658"/>
    </row>
    <row r="3933" spans="1:11" customFormat="1" x14ac:dyDescent="0.25">
      <c r="A3933" s="661"/>
      <c r="B3933" s="100" t="s">
        <v>142</v>
      </c>
      <c r="C3933" s="75"/>
      <c r="D3933" s="73"/>
      <c r="E3933" s="73"/>
      <c r="F3933" s="73"/>
      <c r="G3933" s="74" t="s">
        <v>3</v>
      </c>
      <c r="H3933" s="153">
        <f>H3931/4</f>
        <v>1.1052799999999999E-3</v>
      </c>
      <c r="I3933" s="72"/>
      <c r="K3933" s="658"/>
    </row>
    <row r="3934" spans="1:11" customFormat="1" x14ac:dyDescent="0.25">
      <c r="A3934" s="661"/>
      <c r="B3934" s="73" t="s">
        <v>8</v>
      </c>
      <c r="C3934" s="73"/>
      <c r="D3934" s="73"/>
      <c r="E3934" s="73"/>
      <c r="F3934" s="73"/>
      <c r="G3934" s="74" t="s">
        <v>3</v>
      </c>
      <c r="H3934" s="153">
        <f>H3935*0.6</f>
        <v>6.712199999999998E-3</v>
      </c>
      <c r="I3934" s="72"/>
      <c r="K3934" s="658"/>
    </row>
    <row r="3935" spans="1:11" customFormat="1" x14ac:dyDescent="0.25">
      <c r="A3935" s="661"/>
      <c r="B3935" s="73" t="s">
        <v>5794</v>
      </c>
      <c r="C3935" s="73"/>
      <c r="D3935" s="73"/>
      <c r="E3935" s="73"/>
      <c r="F3935" s="73"/>
      <c r="G3935" s="74" t="s">
        <v>3</v>
      </c>
      <c r="H3935" s="153">
        <f>0.45*0.011*2*1.13</f>
        <v>1.1186999999999997E-2</v>
      </c>
      <c r="I3935" s="72"/>
      <c r="K3935" s="658"/>
    </row>
    <row r="3936" spans="1:11" customFormat="1" x14ac:dyDescent="0.25">
      <c r="A3936" s="661"/>
      <c r="B3936" s="186" t="s">
        <v>143</v>
      </c>
      <c r="C3936" s="73"/>
      <c r="D3936" s="73"/>
      <c r="E3936" s="73"/>
      <c r="F3936" s="73"/>
      <c r="G3936" s="74" t="s">
        <v>3</v>
      </c>
      <c r="H3936" s="153">
        <f>H3934</f>
        <v>6.712199999999998E-3</v>
      </c>
      <c r="I3936" s="72"/>
      <c r="K3936" s="658"/>
    </row>
    <row r="3937" spans="1:11" customFormat="1" x14ac:dyDescent="0.25">
      <c r="A3937" s="661"/>
      <c r="B3937" s="73" t="s">
        <v>12</v>
      </c>
      <c r="C3937" s="73"/>
      <c r="D3937" s="73"/>
      <c r="E3937" s="73"/>
      <c r="F3937" s="73"/>
      <c r="G3937" s="74" t="s">
        <v>3</v>
      </c>
      <c r="H3937" s="153">
        <f>0.3*(H3935+H3934+H3936)</f>
        <v>7.3834199999999982E-3</v>
      </c>
      <c r="I3937" s="72"/>
      <c r="K3937" s="658"/>
    </row>
    <row r="3938" spans="1:11" customFormat="1" x14ac:dyDescent="0.25">
      <c r="A3938" s="661"/>
      <c r="B3938" s="73"/>
      <c r="C3938" s="75" t="s">
        <v>7899</v>
      </c>
      <c r="D3938" s="73"/>
      <c r="E3938" s="73"/>
      <c r="F3938" s="73"/>
      <c r="G3938" s="74"/>
      <c r="H3938" s="153"/>
      <c r="I3938" s="72"/>
      <c r="K3938" s="658"/>
    </row>
    <row r="3939" spans="1:11" customFormat="1" x14ac:dyDescent="0.25">
      <c r="A3939" s="661"/>
      <c r="B3939" s="73"/>
      <c r="C3939" s="73" t="s">
        <v>7898</v>
      </c>
      <c r="D3939" s="73"/>
      <c r="E3939" s="73"/>
      <c r="F3939" s="73"/>
      <c r="G3939" s="74" t="s">
        <v>3</v>
      </c>
      <c r="H3939" s="153">
        <f>0.227*0.485</f>
        <v>0.110095</v>
      </c>
      <c r="I3939" s="72"/>
      <c r="K3939" s="10" t="s">
        <v>7897</v>
      </c>
    </row>
    <row r="3940" spans="1:11" customFormat="1" x14ac:dyDescent="0.25">
      <c r="A3940" s="661"/>
      <c r="B3940" s="73"/>
      <c r="C3940" s="73"/>
      <c r="D3940" s="73"/>
      <c r="E3940" s="73"/>
      <c r="F3940" s="73"/>
      <c r="G3940" s="74"/>
      <c r="H3940" s="153"/>
      <c r="I3940" s="72"/>
      <c r="K3940" s="658"/>
    </row>
    <row r="3941" spans="1:11" customFormat="1" x14ac:dyDescent="0.25">
      <c r="A3941" s="661"/>
      <c r="B3941" s="75" t="s">
        <v>7896</v>
      </c>
      <c r="C3941" s="73"/>
      <c r="D3941" s="73"/>
      <c r="E3941" s="73"/>
      <c r="F3941" s="73"/>
      <c r="G3941" s="74"/>
      <c r="H3941" s="153"/>
      <c r="I3941" s="72"/>
      <c r="K3941" s="658"/>
    </row>
    <row r="3942" spans="1:11" customFormat="1" x14ac:dyDescent="0.25">
      <c r="A3942" s="661"/>
      <c r="B3942" s="77" t="s">
        <v>1054</v>
      </c>
      <c r="C3942" s="77"/>
      <c r="D3942" s="77"/>
      <c r="E3942" s="77"/>
      <c r="F3942" s="73"/>
      <c r="G3942" s="152" t="s">
        <v>3</v>
      </c>
      <c r="H3942" s="427">
        <f>(0.04+0.39+0.04+0.07)*0.08*1.2</f>
        <v>5.1840000000000004E-2</v>
      </c>
      <c r="I3942" s="72"/>
      <c r="K3942" s="658"/>
    </row>
    <row r="3943" spans="1:11" customFormat="1" ht="17.25" x14ac:dyDescent="0.25">
      <c r="A3943" s="661"/>
      <c r="B3943" s="77" t="s">
        <v>1055</v>
      </c>
      <c r="C3943" s="77"/>
      <c r="D3943" s="77"/>
      <c r="E3943" s="77"/>
      <c r="F3943" s="73"/>
      <c r="G3943" s="152" t="s">
        <v>596</v>
      </c>
      <c r="H3943" s="427">
        <f>H3942*1.11</f>
        <v>5.7542400000000007E-2</v>
      </c>
      <c r="I3943" s="72"/>
      <c r="K3943" s="658"/>
    </row>
    <row r="3944" spans="1:11" customFormat="1" x14ac:dyDescent="0.25">
      <c r="A3944" s="661"/>
      <c r="B3944" s="73"/>
      <c r="C3944" s="75" t="s">
        <v>7895</v>
      </c>
      <c r="D3944" s="73"/>
      <c r="E3944" s="73"/>
      <c r="F3944" s="73"/>
      <c r="G3944" s="74"/>
      <c r="H3944" s="153"/>
      <c r="I3944" s="72"/>
      <c r="K3944" s="658"/>
    </row>
    <row r="3945" spans="1:11" customFormat="1" x14ac:dyDescent="0.25">
      <c r="A3945" s="661"/>
      <c r="B3945" s="73"/>
      <c r="C3945" s="77" t="s">
        <v>1054</v>
      </c>
      <c r="D3945" s="73"/>
      <c r="E3945" s="73"/>
      <c r="F3945" s="73"/>
      <c r="G3945" s="152" t="s">
        <v>3</v>
      </c>
      <c r="H3945" s="427">
        <f>0.04*0.08*1.2</f>
        <v>3.8400000000000001E-3</v>
      </c>
      <c r="I3945" s="72"/>
      <c r="K3945" s="658"/>
    </row>
    <row r="3946" spans="1:11" customFormat="1" ht="17.25" x14ac:dyDescent="0.25">
      <c r="A3946" s="661"/>
      <c r="B3946" s="73"/>
      <c r="C3946" s="77" t="s">
        <v>1055</v>
      </c>
      <c r="D3946" s="73"/>
      <c r="E3946" s="73"/>
      <c r="F3946" s="73"/>
      <c r="G3946" s="152" t="s">
        <v>596</v>
      </c>
      <c r="H3946" s="427">
        <f>H3945*1.11</f>
        <v>4.2624000000000004E-3</v>
      </c>
      <c r="I3946" s="72"/>
      <c r="K3946" s="658"/>
    </row>
    <row r="3947" spans="1:11" customFormat="1" x14ac:dyDescent="0.25">
      <c r="A3947" s="661"/>
      <c r="B3947" s="73"/>
      <c r="C3947" s="73"/>
      <c r="D3947" s="75" t="s">
        <v>7894</v>
      </c>
      <c r="E3947" s="73"/>
      <c r="F3947" s="73"/>
      <c r="G3947" s="74"/>
      <c r="H3947" s="153"/>
      <c r="I3947" s="72"/>
      <c r="K3947" s="658"/>
    </row>
    <row r="3948" spans="1:11" customFormat="1" x14ac:dyDescent="0.25">
      <c r="A3948" s="661"/>
      <c r="B3948" s="73"/>
      <c r="C3948" s="73"/>
      <c r="D3948" s="73" t="s">
        <v>3509</v>
      </c>
      <c r="E3948" s="73"/>
      <c r="F3948" s="73"/>
      <c r="G3948" s="74" t="s">
        <v>3</v>
      </c>
      <c r="H3948" s="153">
        <f>0.23*0.02*3*8*1.129</f>
        <v>0.12464160000000001</v>
      </c>
      <c r="I3948" s="72"/>
      <c r="K3948" s="658"/>
    </row>
    <row r="3949" spans="1:11" customFormat="1" x14ac:dyDescent="0.25">
      <c r="A3949" s="661"/>
      <c r="B3949" s="73"/>
      <c r="C3949" s="73"/>
      <c r="D3949" s="75" t="s">
        <v>7893</v>
      </c>
      <c r="E3949" s="73"/>
      <c r="F3949" s="73"/>
      <c r="G3949" s="74"/>
      <c r="H3949" s="153"/>
      <c r="I3949" s="72"/>
      <c r="K3949" s="658"/>
    </row>
    <row r="3950" spans="1:11" customFormat="1" x14ac:dyDescent="0.25">
      <c r="A3950" s="661"/>
      <c r="B3950" s="73"/>
      <c r="C3950" s="73"/>
      <c r="D3950" s="73" t="s">
        <v>3509</v>
      </c>
      <c r="E3950" s="73"/>
      <c r="F3950" s="73"/>
      <c r="G3950" s="74" t="s">
        <v>3</v>
      </c>
      <c r="H3950" s="153">
        <f>0.12*0.02*3*8*1.12</f>
        <v>6.4512E-2</v>
      </c>
      <c r="I3950" s="72"/>
      <c r="K3950" s="658"/>
    </row>
    <row r="3951" spans="1:11" customFormat="1" x14ac:dyDescent="0.25">
      <c r="A3951" s="661"/>
      <c r="B3951" s="73"/>
      <c r="C3951" s="75" t="s">
        <v>7892</v>
      </c>
      <c r="D3951" s="73"/>
      <c r="E3951" s="73"/>
      <c r="F3951" s="73"/>
      <c r="G3951" s="74"/>
      <c r="H3951" s="153"/>
      <c r="I3951" s="72"/>
      <c r="K3951" s="658"/>
    </row>
    <row r="3952" spans="1:11" customFormat="1" x14ac:dyDescent="0.25">
      <c r="A3952" s="661"/>
      <c r="B3952" s="73"/>
      <c r="C3952" s="77" t="s">
        <v>1054</v>
      </c>
      <c r="D3952" s="73"/>
      <c r="E3952" s="73"/>
      <c r="F3952" s="73"/>
      <c r="G3952" s="152" t="s">
        <v>3</v>
      </c>
      <c r="H3952" s="427">
        <f>0.006*3.14*2*0.08*1.1</f>
        <v>3.3158400000000009E-3</v>
      </c>
      <c r="I3952" s="72"/>
      <c r="K3952" s="658"/>
    </row>
    <row r="3953" spans="1:15" customFormat="1" ht="17.25" x14ac:dyDescent="0.25">
      <c r="A3953" s="661"/>
      <c r="B3953" s="73"/>
      <c r="C3953" s="77" t="s">
        <v>1055</v>
      </c>
      <c r="D3953" s="73"/>
      <c r="E3953" s="73"/>
      <c r="F3953" s="73"/>
      <c r="G3953" s="152" t="s">
        <v>596</v>
      </c>
      <c r="H3953" s="427">
        <f>H3952*1.11</f>
        <v>3.6805824000000014E-3</v>
      </c>
      <c r="I3953" s="72"/>
      <c r="K3953" s="658"/>
    </row>
    <row r="3954" spans="1:15" customFormat="1" x14ac:dyDescent="0.25">
      <c r="A3954" s="661"/>
      <c r="B3954" s="73"/>
      <c r="C3954" s="73"/>
      <c r="D3954" s="75" t="s">
        <v>7891</v>
      </c>
      <c r="E3954" s="73"/>
      <c r="F3954" s="73"/>
      <c r="G3954" s="74"/>
      <c r="H3954" s="153"/>
      <c r="I3954" s="72"/>
      <c r="K3954" s="658"/>
    </row>
    <row r="3955" spans="1:15" customFormat="1" x14ac:dyDescent="0.25">
      <c r="A3955" s="661"/>
      <c r="B3955" s="73"/>
      <c r="C3955" s="73"/>
      <c r="D3955" s="73" t="s">
        <v>7879</v>
      </c>
      <c r="E3955" s="73"/>
      <c r="F3955" s="73"/>
      <c r="G3955" s="74" t="s">
        <v>3</v>
      </c>
      <c r="H3955" s="153">
        <f>0.05*0.395*4*8*1.108</f>
        <v>0.70025600000000021</v>
      </c>
      <c r="I3955" s="72"/>
      <c r="K3955" s="658"/>
    </row>
    <row r="3956" spans="1:15" customFormat="1" x14ac:dyDescent="0.25">
      <c r="A3956" s="661"/>
      <c r="B3956" s="73"/>
      <c r="C3956" s="75" t="s">
        <v>7890</v>
      </c>
      <c r="D3956" s="73"/>
      <c r="E3956" s="73"/>
      <c r="F3956" s="73"/>
      <c r="G3956" s="74"/>
      <c r="H3956" s="153"/>
      <c r="I3956" s="72"/>
      <c r="K3956" s="658"/>
    </row>
    <row r="3957" spans="1:15" customFormat="1" x14ac:dyDescent="0.25">
      <c r="A3957" s="661"/>
      <c r="B3957" s="73"/>
      <c r="C3957" s="73" t="s">
        <v>3748</v>
      </c>
      <c r="D3957" s="73"/>
      <c r="E3957" s="73"/>
      <c r="F3957" s="73"/>
      <c r="G3957" s="74" t="s">
        <v>3</v>
      </c>
      <c r="H3957" s="153">
        <f>0.425*0.53*4*8*1.11-0.001</f>
        <v>7.9998800000000001</v>
      </c>
      <c r="I3957" s="72"/>
      <c r="K3957" s="658"/>
    </row>
    <row r="3958" spans="1:15" customFormat="1" x14ac:dyDescent="0.25">
      <c r="A3958" s="661"/>
      <c r="B3958" s="73"/>
      <c r="C3958" s="75" t="s">
        <v>7889</v>
      </c>
      <c r="D3958" s="73"/>
      <c r="E3958" s="73"/>
      <c r="F3958" s="73"/>
      <c r="G3958" s="74"/>
      <c r="H3958" s="153"/>
      <c r="I3958" s="72"/>
      <c r="K3958" s="658"/>
    </row>
    <row r="3959" spans="1:15" customFormat="1" x14ac:dyDescent="0.25">
      <c r="A3959" s="661"/>
      <c r="B3959" s="73"/>
      <c r="C3959" s="73" t="s">
        <v>7882</v>
      </c>
      <c r="D3959" s="73"/>
      <c r="E3959" s="73"/>
      <c r="F3959" s="73"/>
      <c r="G3959" s="74" t="s">
        <v>3</v>
      </c>
      <c r="H3959" s="153">
        <f>0.075*0.025*5*8*1.13</f>
        <v>8.4749999999999992E-2</v>
      </c>
      <c r="I3959" s="72"/>
      <c r="K3959" s="658"/>
    </row>
    <row r="3960" spans="1:15" customFormat="1" x14ac:dyDescent="0.25">
      <c r="A3960" s="661"/>
      <c r="B3960" s="73"/>
      <c r="C3960" s="73"/>
      <c r="D3960" s="73"/>
      <c r="E3960" s="73"/>
      <c r="F3960" s="73"/>
      <c r="G3960" s="74"/>
      <c r="H3960" s="153"/>
      <c r="I3960" s="72"/>
      <c r="K3960" s="658"/>
    </row>
    <row r="3961" spans="1:15" customFormat="1" x14ac:dyDescent="0.25">
      <c r="A3961" s="661"/>
      <c r="B3961" s="75" t="s">
        <v>7888</v>
      </c>
      <c r="C3961" s="73"/>
      <c r="D3961" s="73"/>
      <c r="E3961" s="73"/>
      <c r="F3961" s="73"/>
      <c r="G3961" s="74"/>
      <c r="H3961" s="153"/>
      <c r="I3961" s="72"/>
      <c r="K3961" s="658" t="s">
        <v>7887</v>
      </c>
      <c r="M3961" t="s">
        <v>7886</v>
      </c>
      <c r="O3961" t="s">
        <v>624</v>
      </c>
    </row>
    <row r="3962" spans="1:15" customFormat="1" x14ac:dyDescent="0.25">
      <c r="A3962" s="661"/>
      <c r="B3962" s="77" t="s">
        <v>1054</v>
      </c>
      <c r="C3962" s="77"/>
      <c r="D3962" s="77"/>
      <c r="E3962" s="77"/>
      <c r="F3962" s="73"/>
      <c r="G3962" s="152" t="s">
        <v>3</v>
      </c>
      <c r="H3962" s="427">
        <f>(0.012*3.14*3+0.016*3.14*14+0.018*3.14*3+0.03+0.15+0.06+0.1)*0.08*1.32</f>
        <v>0.140021376</v>
      </c>
      <c r="I3962" s="72"/>
      <c r="K3962" s="658" t="s">
        <v>7885</v>
      </c>
      <c r="M3962" t="s">
        <v>2506</v>
      </c>
      <c r="O3962" t="s">
        <v>624</v>
      </c>
    </row>
    <row r="3963" spans="1:15" customFormat="1" ht="17.25" x14ac:dyDescent="0.25">
      <c r="A3963" s="661"/>
      <c r="B3963" s="77" t="s">
        <v>1055</v>
      </c>
      <c r="C3963" s="77"/>
      <c r="D3963" s="77"/>
      <c r="E3963" s="77"/>
      <c r="F3963" s="73"/>
      <c r="G3963" s="152" t="s">
        <v>596</v>
      </c>
      <c r="H3963" s="427">
        <f>H3962*1.11</f>
        <v>0.15542372736000001</v>
      </c>
      <c r="I3963" s="72"/>
      <c r="K3963" s="658"/>
    </row>
    <row r="3964" spans="1:15" customFormat="1" x14ac:dyDescent="0.25">
      <c r="A3964" s="661"/>
      <c r="B3964" s="73"/>
      <c r="C3964" s="75" t="s">
        <v>7884</v>
      </c>
      <c r="D3964" s="73"/>
      <c r="E3964" s="73"/>
      <c r="F3964" s="73"/>
      <c r="G3964" s="74"/>
      <c r="H3964" s="153"/>
      <c r="I3964" s="72"/>
      <c r="K3964" s="658"/>
    </row>
    <row r="3965" spans="1:15" customFormat="1" x14ac:dyDescent="0.25">
      <c r="A3965" s="661"/>
      <c r="B3965" s="73"/>
      <c r="C3965" s="77" t="s">
        <v>1054</v>
      </c>
      <c r="D3965" s="73"/>
      <c r="E3965" s="73"/>
      <c r="F3965" s="73"/>
      <c r="G3965" s="152" t="s">
        <v>3</v>
      </c>
      <c r="H3965" s="427">
        <f>0.018*3.14*0.08*1.3</f>
        <v>5.8780799999999999E-3</v>
      </c>
      <c r="I3965" s="72"/>
      <c r="K3965" s="658"/>
    </row>
    <row r="3966" spans="1:15" customFormat="1" ht="17.25" x14ac:dyDescent="0.25">
      <c r="A3966" s="661"/>
      <c r="B3966" s="73"/>
      <c r="C3966" s="77" t="s">
        <v>1055</v>
      </c>
      <c r="D3966" s="73"/>
      <c r="E3966" s="73"/>
      <c r="F3966" s="73"/>
      <c r="G3966" s="152" t="s">
        <v>596</v>
      </c>
      <c r="H3966" s="427">
        <f>H3965*1.11</f>
        <v>6.5246688000000002E-3</v>
      </c>
      <c r="I3966" s="72"/>
      <c r="K3966" s="658"/>
    </row>
    <row r="3967" spans="1:15" customFormat="1" x14ac:dyDescent="0.25">
      <c r="A3967" s="661"/>
      <c r="B3967" s="73"/>
      <c r="C3967" s="73"/>
      <c r="D3967" s="75" t="s">
        <v>7883</v>
      </c>
      <c r="E3967" s="73"/>
      <c r="F3967" s="73"/>
      <c r="G3967" s="74"/>
      <c r="H3967" s="153"/>
      <c r="I3967" s="72"/>
      <c r="K3967" s="658"/>
    </row>
    <row r="3968" spans="1:15" customFormat="1" x14ac:dyDescent="0.25">
      <c r="A3968" s="661"/>
      <c r="B3968" s="73"/>
      <c r="C3968" s="73"/>
      <c r="D3968" s="73" t="s">
        <v>7882</v>
      </c>
      <c r="E3968" s="73"/>
      <c r="F3968" s="73"/>
      <c r="G3968" s="74" t="s">
        <v>3</v>
      </c>
      <c r="H3968" s="153">
        <f>0.15*0.03*5*8*1.11</f>
        <v>0.19980000000000001</v>
      </c>
      <c r="I3968" s="72"/>
      <c r="K3968" s="658"/>
    </row>
    <row r="3969" spans="1:11" customFormat="1" x14ac:dyDescent="0.25">
      <c r="A3969" s="661"/>
      <c r="B3969" s="73"/>
      <c r="C3969" s="75" t="s">
        <v>7881</v>
      </c>
      <c r="D3969" s="73"/>
      <c r="E3969" s="73"/>
      <c r="F3969" s="73"/>
      <c r="G3969" s="74"/>
      <c r="H3969" s="153"/>
      <c r="I3969" s="72"/>
      <c r="K3969" s="658"/>
    </row>
    <row r="3970" spans="1:11" customFormat="1" x14ac:dyDescent="0.25">
      <c r="A3970" s="661"/>
      <c r="B3970" s="73"/>
      <c r="C3970" s="77" t="s">
        <v>1054</v>
      </c>
      <c r="D3970" s="73"/>
      <c r="E3970" s="73"/>
      <c r="F3970" s="73"/>
      <c r="G3970" s="152" t="s">
        <v>3</v>
      </c>
      <c r="H3970" s="427">
        <f>0.1*0.08*1.2</f>
        <v>9.5999999999999992E-3</v>
      </c>
      <c r="I3970" s="72"/>
      <c r="K3970" s="658"/>
    </row>
    <row r="3971" spans="1:11" customFormat="1" ht="17.25" x14ac:dyDescent="0.25">
      <c r="A3971" s="661"/>
      <c r="B3971" s="73"/>
      <c r="C3971" s="77" t="s">
        <v>1055</v>
      </c>
      <c r="D3971" s="73"/>
      <c r="E3971" s="73"/>
      <c r="F3971" s="73"/>
      <c r="G3971" s="152" t="s">
        <v>596</v>
      </c>
      <c r="H3971" s="427">
        <f>H3970*1.11</f>
        <v>1.0656000000000001E-2</v>
      </c>
      <c r="I3971" s="72"/>
      <c r="K3971" s="658"/>
    </row>
    <row r="3972" spans="1:11" customFormat="1" x14ac:dyDescent="0.25">
      <c r="A3972" s="661"/>
      <c r="B3972" s="73"/>
      <c r="C3972" s="75" t="s">
        <v>7880</v>
      </c>
      <c r="D3972" s="75"/>
      <c r="E3972" s="73"/>
      <c r="F3972" s="73"/>
      <c r="G3972" s="74"/>
      <c r="H3972" s="153"/>
      <c r="I3972" s="72"/>
      <c r="K3972" s="658"/>
    </row>
    <row r="3973" spans="1:11" customFormat="1" x14ac:dyDescent="0.25">
      <c r="A3973" s="661"/>
      <c r="B3973" s="73"/>
      <c r="C3973" s="73" t="s">
        <v>7879</v>
      </c>
      <c r="D3973" s="73"/>
      <c r="E3973" s="73"/>
      <c r="F3973" s="73"/>
      <c r="G3973" s="74" t="s">
        <v>3</v>
      </c>
      <c r="H3973" s="153">
        <f>0.496*0.496*4*8*1.1178</f>
        <v>8.7998939135999983</v>
      </c>
      <c r="I3973" s="72"/>
      <c r="K3973" s="658"/>
    </row>
    <row r="3974" spans="1:11" customFormat="1" x14ac:dyDescent="0.25">
      <c r="A3974" s="661"/>
      <c r="B3974" s="73"/>
      <c r="C3974" s="75" t="s">
        <v>7878</v>
      </c>
      <c r="D3974" s="73"/>
      <c r="E3974" s="73"/>
      <c r="F3974" s="73"/>
      <c r="G3974" s="74"/>
      <c r="H3974" s="153"/>
      <c r="I3974" s="72"/>
      <c r="K3974" s="658"/>
    </row>
    <row r="3975" spans="1:11" customFormat="1" x14ac:dyDescent="0.25">
      <c r="A3975" s="661"/>
      <c r="B3975" s="73"/>
      <c r="C3975" s="73" t="s">
        <v>7877</v>
      </c>
      <c r="D3975" s="73"/>
      <c r="E3975" s="73"/>
      <c r="F3975" s="73"/>
      <c r="G3975" s="74" t="s">
        <v>3</v>
      </c>
      <c r="H3975" s="153">
        <f>0.17*0.06*4*8*1.135</f>
        <v>0.37046400000000002</v>
      </c>
      <c r="I3975" s="72"/>
      <c r="K3975" s="658"/>
    </row>
    <row r="3976" spans="1:11" customFormat="1" x14ac:dyDescent="0.25">
      <c r="A3976" s="661"/>
      <c r="B3976" s="73"/>
      <c r="C3976" s="75" t="s">
        <v>7876</v>
      </c>
      <c r="D3976" s="73"/>
      <c r="E3976" s="73"/>
      <c r="F3976" s="73"/>
      <c r="G3976" s="74"/>
      <c r="H3976" s="153"/>
      <c r="I3976" s="72"/>
      <c r="K3976" s="658"/>
    </row>
    <row r="3977" spans="1:11" customFormat="1" x14ac:dyDescent="0.25">
      <c r="A3977" s="661"/>
      <c r="B3977" s="73"/>
      <c r="C3977" s="73" t="s">
        <v>3509</v>
      </c>
      <c r="D3977" s="73"/>
      <c r="E3977" s="73"/>
      <c r="F3977" s="73"/>
      <c r="G3977" s="74" t="s">
        <v>3</v>
      </c>
      <c r="H3977" s="153">
        <f>0.077*0.025*3*8*1.12</f>
        <v>5.1744000000000012E-2</v>
      </c>
      <c r="I3977" s="72"/>
      <c r="K3977" s="658"/>
    </row>
    <row r="3978" spans="1:11" customFormat="1" x14ac:dyDescent="0.25">
      <c r="A3978" s="661"/>
      <c r="B3978" s="73"/>
      <c r="C3978" s="73"/>
      <c r="D3978" s="73"/>
      <c r="E3978" s="73"/>
      <c r="F3978" s="73"/>
      <c r="G3978" s="74"/>
      <c r="H3978" s="153"/>
      <c r="I3978" s="72"/>
      <c r="K3978" s="658"/>
    </row>
    <row r="3979" spans="1:11" customFormat="1" x14ac:dyDescent="0.25">
      <c r="A3979" s="661"/>
      <c r="B3979" s="75" t="s">
        <v>7875</v>
      </c>
      <c r="C3979" s="73"/>
      <c r="D3979" s="73"/>
      <c r="E3979" s="73"/>
      <c r="F3979" s="73"/>
      <c r="G3979" s="74"/>
      <c r="H3979" s="153"/>
      <c r="I3979" s="72"/>
      <c r="K3979" s="658"/>
    </row>
    <row r="3980" spans="1:11" customFormat="1" x14ac:dyDescent="0.25">
      <c r="A3980" s="661"/>
      <c r="B3980" s="73" t="s">
        <v>7874</v>
      </c>
      <c r="C3980" s="73"/>
      <c r="D3980" s="73"/>
      <c r="E3980" s="73"/>
      <c r="F3980" s="73"/>
      <c r="G3980" s="74" t="s">
        <v>3</v>
      </c>
      <c r="H3980" s="153">
        <f>0.18*0.205*1.5*2.7*1.105</f>
        <v>0.16513672499999998</v>
      </c>
      <c r="I3980" s="72"/>
      <c r="K3980" s="658"/>
    </row>
    <row r="3981" spans="1:11" customFormat="1" x14ac:dyDescent="0.25">
      <c r="A3981" s="661"/>
      <c r="B3981" s="73" t="s">
        <v>7873</v>
      </c>
      <c r="C3981" s="73"/>
      <c r="D3981" s="73"/>
      <c r="E3981" s="73"/>
      <c r="F3981" s="73"/>
      <c r="G3981" s="74" t="s">
        <v>3</v>
      </c>
      <c r="H3981" s="153">
        <f>H3983*0.6</f>
        <v>1.4903999999999995E-2</v>
      </c>
      <c r="I3981" s="72"/>
      <c r="K3981" s="658"/>
    </row>
    <row r="3982" spans="1:11" customFormat="1" x14ac:dyDescent="0.25">
      <c r="A3982" s="661"/>
      <c r="B3982" s="73" t="s">
        <v>313</v>
      </c>
      <c r="C3982" s="73"/>
      <c r="D3982" s="73"/>
      <c r="E3982" s="73"/>
      <c r="F3982" s="73"/>
      <c r="G3982" s="74" t="s">
        <v>3</v>
      </c>
      <c r="H3982" s="153">
        <f>0.03*H3981</f>
        <v>4.4711999999999985E-4</v>
      </c>
      <c r="I3982" s="72"/>
      <c r="K3982" s="658"/>
    </row>
    <row r="3983" spans="1:11" customFormat="1" x14ac:dyDescent="0.25">
      <c r="A3983" s="661"/>
      <c r="B3983" s="73" t="s">
        <v>36</v>
      </c>
      <c r="C3983" s="73"/>
      <c r="D3983" s="73"/>
      <c r="E3983" s="73"/>
      <c r="F3983" s="73"/>
      <c r="G3983" s="74" t="s">
        <v>3</v>
      </c>
      <c r="H3983" s="153">
        <f>0.18*0.2*2*0.15*2*1.15</f>
        <v>2.4839999999999994E-2</v>
      </c>
      <c r="I3983" s="72"/>
      <c r="K3983" s="658"/>
    </row>
    <row r="3984" spans="1:11" customFormat="1" x14ac:dyDescent="0.25">
      <c r="A3984" s="661"/>
      <c r="B3984" s="73" t="s">
        <v>12</v>
      </c>
      <c r="C3984" s="73"/>
      <c r="D3984" s="73"/>
      <c r="E3984" s="73"/>
      <c r="F3984" s="73"/>
      <c r="G3984" s="74" t="s">
        <v>3</v>
      </c>
      <c r="H3984" s="153">
        <f>0.3*H3983</f>
        <v>7.4519999999999977E-3</v>
      </c>
      <c r="I3984" s="72"/>
      <c r="K3984" s="658"/>
    </row>
    <row r="3985" spans="1:11" customFormat="1" x14ac:dyDescent="0.25">
      <c r="A3985" s="661"/>
      <c r="B3985" s="73"/>
      <c r="C3985" s="73"/>
      <c r="D3985" s="73"/>
      <c r="E3985" s="73"/>
      <c r="F3985" s="73"/>
      <c r="G3985" s="74"/>
      <c r="H3985" s="153"/>
      <c r="I3985" s="72"/>
      <c r="K3985" s="658"/>
    </row>
    <row r="3986" spans="1:11" customFormat="1" x14ac:dyDescent="0.25">
      <c r="A3986" s="661"/>
      <c r="B3986" s="78" t="s">
        <v>7872</v>
      </c>
      <c r="C3986" s="73"/>
      <c r="D3986" s="73"/>
      <c r="E3986" s="73"/>
      <c r="F3986" s="73"/>
      <c r="G3986" s="74"/>
      <c r="H3986" s="153"/>
      <c r="I3986" s="72"/>
      <c r="K3986" s="658"/>
    </row>
    <row r="3987" spans="1:11" customFormat="1" x14ac:dyDescent="0.25">
      <c r="A3987" s="661"/>
      <c r="B3987" s="73" t="s">
        <v>7871</v>
      </c>
      <c r="C3987" s="73"/>
      <c r="D3987" s="73"/>
      <c r="E3987" s="73"/>
      <c r="F3987" s="73"/>
      <c r="G3987" s="74" t="s">
        <v>3</v>
      </c>
      <c r="H3987" s="153">
        <f>(0.045+0.018*3.14*0.85)*0.028*3*8.5*1.125</f>
        <v>7.4735986499999976E-2</v>
      </c>
      <c r="I3987" s="72"/>
      <c r="K3987" s="658"/>
    </row>
    <row r="3988" spans="1:11" customFormat="1" x14ac:dyDescent="0.25">
      <c r="A3988" s="661"/>
      <c r="B3988" s="73"/>
      <c r="C3988" s="73"/>
      <c r="D3988" s="73"/>
      <c r="E3988" s="73"/>
      <c r="F3988" s="73"/>
      <c r="G3988" s="74"/>
      <c r="H3988" s="153"/>
      <c r="I3988" s="72"/>
      <c r="K3988" s="658"/>
    </row>
    <row r="3989" spans="1:11" customFormat="1" x14ac:dyDescent="0.25">
      <c r="A3989" s="661"/>
      <c r="B3989" s="75" t="s">
        <v>7870</v>
      </c>
      <c r="C3989" s="73"/>
      <c r="D3989" s="73"/>
      <c r="E3989" s="73"/>
      <c r="F3989" s="73"/>
      <c r="G3989" s="74"/>
      <c r="H3989" s="153"/>
      <c r="I3989" s="72"/>
      <c r="K3989" s="658"/>
    </row>
    <row r="3990" spans="1:11" customFormat="1" x14ac:dyDescent="0.25">
      <c r="A3990" s="661"/>
      <c r="B3990" s="73" t="s">
        <v>3683</v>
      </c>
      <c r="C3990" s="73"/>
      <c r="D3990" s="73"/>
      <c r="E3990" s="73"/>
      <c r="F3990" s="73"/>
      <c r="G3990" s="74" t="s">
        <v>3</v>
      </c>
      <c r="H3990" s="153">
        <f>0.14*0.14*2*8*1.115</f>
        <v>0.34966400000000003</v>
      </c>
      <c r="I3990" s="72"/>
      <c r="K3990" s="658"/>
    </row>
    <row r="3991" spans="1:11" customFormat="1" x14ac:dyDescent="0.25">
      <c r="A3991" s="661"/>
      <c r="B3991" s="73" t="s">
        <v>8</v>
      </c>
      <c r="C3991" s="73"/>
      <c r="D3991" s="73"/>
      <c r="E3991" s="73"/>
      <c r="F3991" s="73"/>
      <c r="G3991" s="74" t="s">
        <v>3</v>
      </c>
      <c r="H3991" s="153">
        <f>H3992*0.6</f>
        <v>8.9099999999999995E-3</v>
      </c>
      <c r="I3991" s="72"/>
      <c r="K3991" s="658"/>
    </row>
    <row r="3992" spans="1:11" customFormat="1" x14ac:dyDescent="0.25">
      <c r="A3992" s="661"/>
      <c r="B3992" s="73" t="s">
        <v>442</v>
      </c>
      <c r="C3992" s="73"/>
      <c r="D3992" s="73"/>
      <c r="E3992" s="73"/>
      <c r="F3992" s="73"/>
      <c r="G3992" s="74" t="s">
        <v>3</v>
      </c>
      <c r="H3992" s="153">
        <f>0.15*0.15*2*0.15*2*1.1</f>
        <v>1.485E-2</v>
      </c>
      <c r="I3992" s="72"/>
      <c r="K3992" s="658"/>
    </row>
    <row r="3993" spans="1:11" customFormat="1" x14ac:dyDescent="0.25">
      <c r="A3993" s="661"/>
      <c r="B3993" s="100" t="s">
        <v>12</v>
      </c>
      <c r="C3993" s="73"/>
      <c r="D3993" s="73"/>
      <c r="E3993" s="73"/>
      <c r="F3993" s="73"/>
      <c r="G3993" s="74" t="s">
        <v>3</v>
      </c>
      <c r="H3993" s="153">
        <f>0.3*(H3992+H3991)</f>
        <v>7.1279999999999998E-3</v>
      </c>
      <c r="I3993" s="72"/>
      <c r="K3993" s="658"/>
    </row>
    <row r="3994" spans="1:11" customFormat="1" x14ac:dyDescent="0.25">
      <c r="A3994" s="661"/>
      <c r="B3994" s="73"/>
      <c r="C3994" s="73"/>
      <c r="D3994" s="73"/>
      <c r="E3994" s="73"/>
      <c r="F3994" s="73"/>
      <c r="G3994" s="74"/>
      <c r="H3994" s="153"/>
      <c r="I3994" s="72"/>
      <c r="K3994" s="658"/>
    </row>
    <row r="3995" spans="1:11" customFormat="1" x14ac:dyDescent="0.25">
      <c r="A3995" s="661"/>
      <c r="B3995" s="75" t="s">
        <v>7869</v>
      </c>
      <c r="C3995" s="73"/>
      <c r="D3995" s="73"/>
      <c r="E3995" s="73"/>
      <c r="F3995" s="73"/>
      <c r="G3995" s="74"/>
      <c r="H3995" s="153"/>
      <c r="I3995" s="72"/>
      <c r="K3995" s="658"/>
    </row>
    <row r="3996" spans="1:11" customFormat="1" x14ac:dyDescent="0.25">
      <c r="A3996" s="661"/>
      <c r="B3996" s="100" t="s">
        <v>140</v>
      </c>
      <c r="C3996" s="75"/>
      <c r="D3996" s="73"/>
      <c r="E3996" s="73"/>
      <c r="F3996" s="73"/>
      <c r="G3996" s="74" t="s">
        <v>3</v>
      </c>
      <c r="H3996" s="153">
        <f>0.008*3.14*0.08*2*1.1</f>
        <v>4.4211199999999997E-3</v>
      </c>
      <c r="I3996" s="72"/>
      <c r="K3996" s="658"/>
    </row>
    <row r="3997" spans="1:11" customFormat="1" ht="17.25" x14ac:dyDescent="0.25">
      <c r="A3997" s="661"/>
      <c r="B3997" s="100" t="s">
        <v>23</v>
      </c>
      <c r="C3997" s="75"/>
      <c r="D3997" s="73"/>
      <c r="E3997" s="73"/>
      <c r="F3997" s="73"/>
      <c r="G3997" s="74" t="s">
        <v>596</v>
      </c>
      <c r="H3997" s="153">
        <f>H3996*2</f>
        <v>8.8422399999999995E-3</v>
      </c>
      <c r="I3997" s="72"/>
      <c r="K3997" s="658"/>
    </row>
    <row r="3998" spans="1:11" customFormat="1" x14ac:dyDescent="0.25">
      <c r="A3998" s="661"/>
      <c r="B3998" s="100" t="s">
        <v>142</v>
      </c>
      <c r="C3998" s="75"/>
      <c r="D3998" s="73"/>
      <c r="E3998" s="73"/>
      <c r="F3998" s="73"/>
      <c r="G3998" s="74" t="s">
        <v>3</v>
      </c>
      <c r="H3998" s="153">
        <f>H3996/4</f>
        <v>1.1052799999999999E-3</v>
      </c>
      <c r="I3998" s="72"/>
      <c r="K3998" s="658"/>
    </row>
    <row r="3999" spans="1:11" customFormat="1" x14ac:dyDescent="0.25">
      <c r="A3999" s="661"/>
      <c r="B3999" s="186" t="s">
        <v>8</v>
      </c>
      <c r="C3999" s="73"/>
      <c r="D3999" s="73"/>
      <c r="E3999" s="73"/>
      <c r="F3999" s="73"/>
      <c r="G3999" s="74" t="s">
        <v>3</v>
      </c>
      <c r="H3999" s="153">
        <f>H4002*0.65</f>
        <v>1.5129399999999999E-2</v>
      </c>
      <c r="I3999" s="72"/>
      <c r="K3999" s="658"/>
    </row>
    <row r="4000" spans="1:11" customFormat="1" x14ac:dyDescent="0.25">
      <c r="A4000" s="661"/>
      <c r="B4000" s="186" t="s">
        <v>143</v>
      </c>
      <c r="C4000" s="73"/>
      <c r="D4000" s="73"/>
      <c r="E4000" s="73"/>
      <c r="F4000" s="73"/>
      <c r="G4000" s="74" t="s">
        <v>3</v>
      </c>
      <c r="H4000" s="153">
        <f>H4002*0.65</f>
        <v>1.5129399999999999E-2</v>
      </c>
      <c r="I4000" s="72"/>
      <c r="K4000" s="658"/>
    </row>
    <row r="4001" spans="1:11" customFormat="1" x14ac:dyDescent="0.25">
      <c r="A4001" s="661"/>
      <c r="B4001" s="186" t="s">
        <v>12</v>
      </c>
      <c r="C4001" s="73"/>
      <c r="D4001" s="73"/>
      <c r="E4001" s="73"/>
      <c r="F4001" s="73"/>
      <c r="G4001" s="74" t="s">
        <v>3</v>
      </c>
      <c r="H4001" s="153">
        <f>0.3*(H4000+H3999)</f>
        <v>9.0776399999999997E-3</v>
      </c>
      <c r="I4001" s="72"/>
      <c r="K4001" s="658"/>
    </row>
    <row r="4002" spans="1:11" customFormat="1" x14ac:dyDescent="0.25">
      <c r="A4002" s="661"/>
      <c r="B4002" s="186" t="s">
        <v>72</v>
      </c>
      <c r="C4002" s="73"/>
      <c r="D4002" s="73"/>
      <c r="E4002" s="73"/>
      <c r="F4002" s="73"/>
      <c r="G4002" s="74" t="s">
        <v>3</v>
      </c>
      <c r="H4002" s="153">
        <f>0.92*0.011*2*1.15</f>
        <v>2.3275999999999998E-2</v>
      </c>
      <c r="I4002" s="72"/>
      <c r="K4002" s="658"/>
    </row>
    <row r="4003" spans="1:11" customFormat="1" x14ac:dyDescent="0.25">
      <c r="A4003" s="661"/>
      <c r="B4003" s="186" t="s">
        <v>11</v>
      </c>
      <c r="C4003" s="73"/>
      <c r="D4003" s="73"/>
      <c r="E4003" s="73"/>
      <c r="F4003" s="73"/>
      <c r="G4003" s="74" t="s">
        <v>3</v>
      </c>
      <c r="H4003" s="153">
        <f>0.3*H4002</f>
        <v>6.9827999999999991E-3</v>
      </c>
      <c r="I4003" s="72"/>
      <c r="K4003" s="658"/>
    </row>
    <row r="4004" spans="1:11" customFormat="1" x14ac:dyDescent="0.25">
      <c r="A4004" s="661"/>
      <c r="B4004" s="73"/>
      <c r="C4004" s="75" t="s">
        <v>7868</v>
      </c>
      <c r="D4004" s="73"/>
      <c r="E4004" s="73"/>
      <c r="F4004" s="73"/>
      <c r="G4004" s="74"/>
      <c r="H4004" s="153"/>
      <c r="I4004" s="72"/>
      <c r="K4004" s="658"/>
    </row>
    <row r="4005" spans="1:11" customFormat="1" x14ac:dyDescent="0.25">
      <c r="A4005" s="661"/>
      <c r="B4005" s="73"/>
      <c r="C4005" s="73" t="s">
        <v>7867</v>
      </c>
      <c r="D4005" s="73"/>
      <c r="E4005" s="73"/>
      <c r="F4005" s="73"/>
      <c r="G4005" s="74" t="s">
        <v>3</v>
      </c>
      <c r="H4005" s="153">
        <f>0.173*1+0.002</f>
        <v>0.17499999999999999</v>
      </c>
      <c r="I4005" s="72"/>
      <c r="K4005" t="s">
        <v>3690</v>
      </c>
    </row>
    <row r="4006" spans="1:11" customFormat="1" x14ac:dyDescent="0.25">
      <c r="A4006" s="661"/>
      <c r="B4006" s="73"/>
      <c r="C4006" s="73"/>
      <c r="D4006" s="73"/>
      <c r="E4006" s="73"/>
      <c r="F4006" s="73"/>
      <c r="G4006" s="74"/>
      <c r="H4006" s="153"/>
      <c r="I4006" s="72"/>
      <c r="K4006" s="658"/>
    </row>
    <row r="4007" spans="1:11" customFormat="1" x14ac:dyDescent="0.25">
      <c r="A4007" s="661"/>
      <c r="B4007" s="75" t="s">
        <v>7866</v>
      </c>
      <c r="C4007" s="73"/>
      <c r="D4007" s="73"/>
      <c r="E4007" s="73"/>
      <c r="F4007" s="73"/>
      <c r="G4007" s="74"/>
      <c r="H4007" s="153"/>
      <c r="I4007" s="72"/>
      <c r="K4007" s="658"/>
    </row>
    <row r="4008" spans="1:11" customFormat="1" x14ac:dyDescent="0.25">
      <c r="A4008" s="661"/>
      <c r="B4008" s="73" t="s">
        <v>7864</v>
      </c>
      <c r="C4008" s="73"/>
      <c r="D4008" s="73"/>
      <c r="E4008" s="73"/>
      <c r="F4008" s="73"/>
      <c r="G4008" s="74" t="s">
        <v>3</v>
      </c>
      <c r="H4008" s="153">
        <f>0.105*0.02*4*8*1.12</f>
        <v>7.5263999999999998E-2</v>
      </c>
      <c r="I4008" s="72"/>
      <c r="K4008" s="658"/>
    </row>
    <row r="4009" spans="1:11" customFormat="1" x14ac:dyDescent="0.25">
      <c r="A4009" s="661"/>
      <c r="B4009" s="73"/>
      <c r="C4009" s="73"/>
      <c r="D4009" s="73"/>
      <c r="E4009" s="73"/>
      <c r="F4009" s="73"/>
      <c r="G4009" s="74"/>
      <c r="H4009" s="153"/>
      <c r="I4009" s="72"/>
      <c r="K4009" s="658"/>
    </row>
    <row r="4010" spans="1:11" customFormat="1" x14ac:dyDescent="0.25">
      <c r="A4010" s="661"/>
      <c r="B4010" s="75" t="s">
        <v>7865</v>
      </c>
      <c r="C4010" s="73"/>
      <c r="D4010" s="73"/>
      <c r="E4010" s="73"/>
      <c r="F4010" s="73"/>
      <c r="G4010" s="74"/>
      <c r="H4010" s="153"/>
      <c r="I4010" s="72"/>
      <c r="K4010" s="658"/>
    </row>
    <row r="4011" spans="1:11" customFormat="1" x14ac:dyDescent="0.25">
      <c r="A4011" s="661"/>
      <c r="B4011" s="73" t="s">
        <v>7864</v>
      </c>
      <c r="C4011" s="73"/>
      <c r="D4011" s="73"/>
      <c r="E4011" s="73"/>
      <c r="F4011" s="73"/>
      <c r="G4011" s="74" t="s">
        <v>3</v>
      </c>
      <c r="H4011" s="153">
        <f>0.16*0.025*2*8*1.12</f>
        <v>7.1680000000000008E-2</v>
      </c>
      <c r="I4011" s="72"/>
      <c r="K4011" s="658"/>
    </row>
    <row r="4012" spans="1:11" customFormat="1" ht="15.75" thickBot="1" x14ac:dyDescent="0.3">
      <c r="A4012" s="661"/>
      <c r="B4012" s="73"/>
      <c r="C4012" s="73"/>
      <c r="D4012" s="73"/>
      <c r="E4012" s="73"/>
      <c r="F4012" s="73"/>
      <c r="G4012" s="74"/>
      <c r="H4012" s="10"/>
      <c r="I4012" s="10"/>
      <c r="K4012" s="658"/>
    </row>
    <row r="4013" spans="1:11" customFormat="1" x14ac:dyDescent="0.25">
      <c r="A4013" s="662"/>
      <c r="B4013" s="93"/>
      <c r="C4013" s="93"/>
      <c r="D4013" s="93"/>
      <c r="E4013" s="93"/>
      <c r="F4013" s="93"/>
      <c r="G4013" s="160"/>
      <c r="H4013" s="261" t="s">
        <v>7863</v>
      </c>
      <c r="I4013" s="261"/>
      <c r="K4013" s="658"/>
    </row>
    <row r="4014" spans="1:11" customFormat="1" ht="18.75" x14ac:dyDescent="0.3">
      <c r="A4014" s="661"/>
      <c r="B4014" s="73"/>
      <c r="C4014" s="73"/>
      <c r="D4014" s="73"/>
      <c r="E4014" s="73"/>
      <c r="F4014" s="126" t="s">
        <v>7862</v>
      </c>
      <c r="G4014" s="74"/>
      <c r="H4014" s="153"/>
      <c r="I4014" s="72"/>
      <c r="K4014" s="658"/>
    </row>
    <row r="4015" spans="1:11" customFormat="1" x14ac:dyDescent="0.25">
      <c r="A4015" s="661"/>
      <c r="B4015" s="73"/>
      <c r="C4015" s="73"/>
      <c r="D4015" s="73"/>
      <c r="E4015" s="73"/>
      <c r="F4015" s="73"/>
      <c r="G4015" s="74"/>
      <c r="H4015" s="153"/>
      <c r="I4015" s="72"/>
      <c r="K4015" s="658"/>
    </row>
    <row r="4016" spans="1:11" customFormat="1" x14ac:dyDescent="0.25">
      <c r="A4016" s="661"/>
      <c r="B4016" s="75" t="s">
        <v>7861</v>
      </c>
      <c r="C4016" s="73"/>
      <c r="D4016" s="73"/>
      <c r="E4016" s="73"/>
      <c r="F4016" s="73"/>
      <c r="G4016" s="74"/>
      <c r="H4016" s="153"/>
      <c r="I4016" s="72"/>
      <c r="K4016" s="658"/>
    </row>
    <row r="4017" spans="1:11" customFormat="1" x14ac:dyDescent="0.25">
      <c r="A4017" s="661"/>
      <c r="B4017" s="73" t="s">
        <v>1143</v>
      </c>
      <c r="C4017" s="73"/>
      <c r="D4017" s="73"/>
      <c r="E4017" s="73"/>
      <c r="F4017" s="73"/>
      <c r="G4017" s="74" t="s">
        <v>3</v>
      </c>
      <c r="H4017" s="153">
        <f>1.08*0.013*3*8*1.114</f>
        <v>0.37537344000000006</v>
      </c>
      <c r="I4017" s="72"/>
      <c r="K4017" s="658"/>
    </row>
    <row r="4018" spans="1:11" customFormat="1" x14ac:dyDescent="0.25">
      <c r="A4018" s="661"/>
      <c r="B4018" s="73"/>
      <c r="C4018" s="73"/>
      <c r="D4018" s="73"/>
      <c r="E4018" s="73"/>
      <c r="F4018" s="73"/>
      <c r="G4018" s="74"/>
      <c r="H4018" s="153"/>
      <c r="I4018" s="72"/>
      <c r="K4018" s="658"/>
    </row>
    <row r="4019" spans="1:11" customFormat="1" x14ac:dyDescent="0.25">
      <c r="A4019" s="661"/>
      <c r="B4019" s="75" t="s">
        <v>7860</v>
      </c>
      <c r="C4019" s="73"/>
      <c r="D4019" s="73"/>
      <c r="E4019" s="73"/>
      <c r="F4019" s="73"/>
      <c r="G4019" s="74"/>
      <c r="H4019" s="153"/>
      <c r="I4019" s="72"/>
      <c r="K4019" s="658"/>
    </row>
    <row r="4020" spans="1:11" customFormat="1" x14ac:dyDescent="0.25">
      <c r="A4020" s="661"/>
      <c r="B4020" s="73" t="s">
        <v>7859</v>
      </c>
      <c r="C4020" s="73"/>
      <c r="D4020" s="73"/>
      <c r="E4020" s="73"/>
      <c r="F4020" s="73"/>
      <c r="G4020" s="74" t="s">
        <v>3</v>
      </c>
      <c r="H4020" s="153">
        <f>1.7*0.066</f>
        <v>0.11220000000000001</v>
      </c>
      <c r="I4020" s="72"/>
      <c r="K4020" s="658" t="s">
        <v>7858</v>
      </c>
    </row>
    <row r="4021" spans="1:11" customFormat="1" x14ac:dyDescent="0.25">
      <c r="A4021" s="661"/>
      <c r="B4021" s="73"/>
      <c r="C4021" s="73"/>
      <c r="D4021" s="73"/>
      <c r="E4021" s="73"/>
      <c r="F4021" s="73"/>
      <c r="G4021" s="74"/>
      <c r="H4021" s="153"/>
      <c r="I4021" s="72"/>
      <c r="K4021" s="658"/>
    </row>
    <row r="4022" spans="1:11" customFormat="1" x14ac:dyDescent="0.25">
      <c r="A4022" s="661"/>
      <c r="B4022" s="75" t="s">
        <v>7857</v>
      </c>
      <c r="C4022" s="73"/>
      <c r="D4022" s="73"/>
      <c r="E4022" s="73"/>
      <c r="F4022" s="73"/>
      <c r="G4022" s="74"/>
      <c r="H4022" s="153"/>
      <c r="I4022" s="72"/>
      <c r="K4022" s="658"/>
    </row>
    <row r="4023" spans="1:11" customFormat="1" x14ac:dyDescent="0.25">
      <c r="A4023" s="661"/>
      <c r="B4023" s="73" t="s">
        <v>114</v>
      </c>
      <c r="C4023" s="73"/>
      <c r="D4023" s="73"/>
      <c r="E4023" s="73"/>
      <c r="F4023" s="73"/>
      <c r="G4023" s="74" t="s">
        <v>3</v>
      </c>
      <c r="H4023" s="153">
        <f>H4025</f>
        <v>4.5979999999999997E-3</v>
      </c>
      <c r="I4023" s="72"/>
      <c r="K4023" s="658"/>
    </row>
    <row r="4024" spans="1:11" customFormat="1" x14ac:dyDescent="0.25">
      <c r="A4024" s="661"/>
      <c r="B4024" s="73" t="s">
        <v>164</v>
      </c>
      <c r="C4024" s="73"/>
      <c r="D4024" s="73"/>
      <c r="E4024" s="73"/>
      <c r="F4024" s="73"/>
      <c r="G4024" s="74" t="s">
        <v>3</v>
      </c>
      <c r="H4024" s="153">
        <f>0.3*H4023</f>
        <v>1.3793999999999998E-3</v>
      </c>
      <c r="I4024" s="72"/>
      <c r="K4024" s="658"/>
    </row>
    <row r="4025" spans="1:11" customFormat="1" x14ac:dyDescent="0.25">
      <c r="A4025" s="661"/>
      <c r="B4025" s="73" t="s">
        <v>115</v>
      </c>
      <c r="C4025" s="73"/>
      <c r="D4025" s="73"/>
      <c r="E4025" s="73"/>
      <c r="F4025" s="73"/>
      <c r="G4025" s="74" t="s">
        <v>3</v>
      </c>
      <c r="H4025" s="153">
        <f>0.11*0.011*2*1.9</f>
        <v>4.5979999999999997E-3</v>
      </c>
      <c r="I4025" s="72"/>
      <c r="K4025" s="658"/>
    </row>
    <row r="4026" spans="1:11" customFormat="1" x14ac:dyDescent="0.25">
      <c r="A4026" s="661"/>
      <c r="B4026" s="73" t="s">
        <v>12</v>
      </c>
      <c r="C4026" s="73"/>
      <c r="D4026" s="73"/>
      <c r="E4026" s="73"/>
      <c r="F4026" s="73"/>
      <c r="G4026" s="74" t="s">
        <v>3</v>
      </c>
      <c r="H4026" s="153">
        <f>0.3*H4025</f>
        <v>1.3793999999999998E-3</v>
      </c>
      <c r="I4026" s="72"/>
      <c r="K4026" s="658"/>
    </row>
    <row r="4027" spans="1:11" customFormat="1" x14ac:dyDescent="0.25">
      <c r="A4027" s="661"/>
      <c r="B4027" s="77" t="s">
        <v>3394</v>
      </c>
      <c r="C4027" s="73"/>
      <c r="D4027" s="73"/>
      <c r="E4027" s="73"/>
      <c r="F4027" s="73"/>
      <c r="G4027" s="74" t="s">
        <v>3</v>
      </c>
      <c r="H4027" s="153">
        <f>0.012*3.14*0.08*1.2</f>
        <v>3.6172800000000005E-3</v>
      </c>
      <c r="I4027" s="72"/>
      <c r="K4027" s="658"/>
    </row>
    <row r="4028" spans="1:11" customFormat="1" ht="17.25" x14ac:dyDescent="0.25">
      <c r="A4028" s="661"/>
      <c r="B4028" s="77" t="s">
        <v>121</v>
      </c>
      <c r="C4028" s="73"/>
      <c r="D4028" s="73"/>
      <c r="E4028" s="73"/>
      <c r="F4028" s="73"/>
      <c r="G4028" s="74" t="s">
        <v>596</v>
      </c>
      <c r="H4028" s="153">
        <f>H4027*1.1</f>
        <v>3.9790080000000009E-3</v>
      </c>
      <c r="I4028" s="72"/>
      <c r="K4028" s="658"/>
    </row>
    <row r="4029" spans="1:11" customFormat="1" x14ac:dyDescent="0.25">
      <c r="A4029" s="661"/>
      <c r="B4029" s="73"/>
      <c r="C4029" s="75" t="s">
        <v>7856</v>
      </c>
      <c r="D4029" s="73"/>
      <c r="E4029" s="73"/>
      <c r="F4029" s="73"/>
      <c r="G4029" s="74"/>
      <c r="H4029" s="153"/>
      <c r="I4029" s="72"/>
      <c r="K4029" s="658"/>
    </row>
    <row r="4030" spans="1:11" customFormat="1" x14ac:dyDescent="0.25">
      <c r="A4030" s="661"/>
      <c r="B4030" s="73"/>
      <c r="C4030" s="73" t="s">
        <v>2957</v>
      </c>
      <c r="D4030" s="73"/>
      <c r="E4030" s="73"/>
      <c r="F4030" s="73"/>
      <c r="G4030" s="74" t="s">
        <v>3</v>
      </c>
      <c r="H4030" s="153">
        <f>0.271*0.075</f>
        <v>2.0324999999999999E-2</v>
      </c>
      <c r="I4030" s="72"/>
      <c r="K4030" s="658" t="s">
        <v>7855</v>
      </c>
    </row>
    <row r="4031" spans="1:11" customFormat="1" x14ac:dyDescent="0.25">
      <c r="A4031" s="661"/>
      <c r="B4031" s="73"/>
      <c r="C4031" s="73"/>
      <c r="D4031" s="73"/>
      <c r="E4031" s="73"/>
      <c r="F4031" s="73"/>
      <c r="G4031" s="74"/>
      <c r="H4031" s="153"/>
      <c r="I4031" s="72"/>
      <c r="K4031" s="658"/>
    </row>
    <row r="4032" spans="1:11" customFormat="1" x14ac:dyDescent="0.25">
      <c r="A4032" s="661"/>
      <c r="B4032" s="75" t="s">
        <v>7854</v>
      </c>
      <c r="C4032" s="73"/>
      <c r="D4032" s="73"/>
      <c r="E4032" s="73"/>
      <c r="F4032" s="73"/>
      <c r="G4032" s="74"/>
      <c r="H4032" s="153"/>
      <c r="I4032" s="72"/>
      <c r="K4032" s="658"/>
    </row>
    <row r="4033" spans="1:11" customFormat="1" x14ac:dyDescent="0.25">
      <c r="A4033" s="661"/>
      <c r="B4033" s="73" t="s">
        <v>4885</v>
      </c>
      <c r="C4033" s="73"/>
      <c r="D4033" s="73"/>
      <c r="E4033" s="73"/>
      <c r="F4033" s="73"/>
      <c r="G4033" s="74" t="s">
        <v>3</v>
      </c>
      <c r="H4033" s="153">
        <f>H4036/2</f>
        <v>5.7749999999999998E-3</v>
      </c>
      <c r="I4033" s="72"/>
      <c r="K4033" s="658"/>
    </row>
    <row r="4034" spans="1:11" customFormat="1" x14ac:dyDescent="0.25">
      <c r="A4034" s="661"/>
      <c r="B4034" s="73" t="s">
        <v>7846</v>
      </c>
      <c r="C4034" s="73"/>
      <c r="D4034" s="73"/>
      <c r="E4034" s="73"/>
      <c r="F4034" s="73"/>
      <c r="G4034" s="74" t="s">
        <v>3</v>
      </c>
      <c r="H4034" s="153">
        <f>H4036/2</f>
        <v>5.7749999999999998E-3</v>
      </c>
      <c r="I4034" s="72"/>
      <c r="K4034" s="658"/>
    </row>
    <row r="4035" spans="1:11" customFormat="1" x14ac:dyDescent="0.25">
      <c r="A4035" s="661"/>
      <c r="B4035" s="73" t="s">
        <v>164</v>
      </c>
      <c r="C4035" s="73"/>
      <c r="D4035" s="73"/>
      <c r="E4035" s="73"/>
      <c r="F4035" s="73"/>
      <c r="G4035" s="74" t="s">
        <v>3</v>
      </c>
      <c r="H4035" s="153">
        <f>0.3*(H4034+H4033)</f>
        <v>3.4649999999999998E-3</v>
      </c>
      <c r="I4035" s="72"/>
      <c r="K4035" s="658"/>
    </row>
    <row r="4036" spans="1:11" customFormat="1" x14ac:dyDescent="0.25">
      <c r="A4036" s="661"/>
      <c r="B4036" s="73" t="s">
        <v>7845</v>
      </c>
      <c r="C4036" s="73"/>
      <c r="D4036" s="73"/>
      <c r="E4036" s="73"/>
      <c r="F4036" s="73"/>
      <c r="G4036" s="74" t="s">
        <v>3</v>
      </c>
      <c r="H4036" s="153">
        <f>0.42*0.011*2*1.25</f>
        <v>1.155E-2</v>
      </c>
      <c r="I4036" s="72"/>
      <c r="K4036" s="658"/>
    </row>
    <row r="4037" spans="1:11" customFormat="1" x14ac:dyDescent="0.25">
      <c r="A4037" s="661"/>
      <c r="B4037" s="73" t="s">
        <v>11</v>
      </c>
      <c r="C4037" s="73"/>
      <c r="D4037" s="73"/>
      <c r="E4037" s="73"/>
      <c r="F4037" s="73"/>
      <c r="G4037" s="74" t="s">
        <v>3</v>
      </c>
      <c r="H4037" s="153">
        <f>0.3*H4036</f>
        <v>3.4649999999999998E-3</v>
      </c>
      <c r="I4037" s="72"/>
      <c r="K4037" s="658"/>
    </row>
    <row r="4038" spans="1:11" customFormat="1" x14ac:dyDescent="0.25">
      <c r="A4038" s="661"/>
      <c r="B4038" s="73"/>
      <c r="C4038" s="75" t="s">
        <v>7853</v>
      </c>
      <c r="D4038" s="73"/>
      <c r="E4038" s="73"/>
      <c r="F4038" s="73"/>
      <c r="G4038" s="74"/>
      <c r="H4038" s="153"/>
      <c r="I4038" s="72"/>
      <c r="K4038" s="658"/>
    </row>
    <row r="4039" spans="1:11" customFormat="1" x14ac:dyDescent="0.25">
      <c r="A4039" s="661"/>
      <c r="B4039" s="73"/>
      <c r="C4039" s="73" t="s">
        <v>7843</v>
      </c>
      <c r="D4039" s="73"/>
      <c r="E4039" s="73"/>
      <c r="F4039" s="73"/>
      <c r="G4039" s="74" t="s">
        <v>3</v>
      </c>
      <c r="H4039" s="153">
        <f>0.45*0.271+0.003</f>
        <v>0.12495000000000002</v>
      </c>
      <c r="I4039" s="72"/>
      <c r="K4039" s="658" t="s">
        <v>7714</v>
      </c>
    </row>
    <row r="4040" spans="1:11" customFormat="1" x14ac:dyDescent="0.25">
      <c r="A4040" s="661"/>
      <c r="B4040" s="73"/>
      <c r="C4040" s="73"/>
      <c r="D4040" s="73"/>
      <c r="E4040" s="73"/>
      <c r="F4040" s="73"/>
      <c r="G4040" s="74"/>
      <c r="H4040" s="153"/>
      <c r="I4040" s="72"/>
      <c r="K4040" s="658"/>
    </row>
    <row r="4041" spans="1:11" customFormat="1" x14ac:dyDescent="0.25">
      <c r="A4041" s="661"/>
      <c r="B4041" s="75" t="s">
        <v>7852</v>
      </c>
      <c r="C4041" s="73"/>
      <c r="D4041" s="73"/>
      <c r="E4041" s="73"/>
      <c r="F4041" s="73"/>
      <c r="G4041" s="74"/>
      <c r="H4041" s="153"/>
      <c r="I4041" s="72"/>
      <c r="K4041" s="658"/>
    </row>
    <row r="4042" spans="1:11" customFormat="1" x14ac:dyDescent="0.25">
      <c r="A4042" s="661"/>
      <c r="B4042" s="73" t="s">
        <v>4885</v>
      </c>
      <c r="C4042" s="73"/>
      <c r="D4042" s="73"/>
      <c r="E4042" s="73"/>
      <c r="F4042" s="73"/>
      <c r="G4042" s="74" t="s">
        <v>3</v>
      </c>
      <c r="H4042" s="153">
        <f>H4045/2</f>
        <v>2.7500000000000003E-3</v>
      </c>
      <c r="I4042" s="72"/>
      <c r="K4042" s="658"/>
    </row>
    <row r="4043" spans="1:11" customFormat="1" x14ac:dyDescent="0.25">
      <c r="A4043" s="661"/>
      <c r="B4043" s="73" t="s">
        <v>7846</v>
      </c>
      <c r="C4043" s="73"/>
      <c r="D4043" s="73"/>
      <c r="E4043" s="73"/>
      <c r="F4043" s="73"/>
      <c r="G4043" s="74" t="s">
        <v>3</v>
      </c>
      <c r="H4043" s="153">
        <f>H4045/2</f>
        <v>2.7500000000000003E-3</v>
      </c>
      <c r="I4043" s="72"/>
      <c r="K4043" s="658"/>
    </row>
    <row r="4044" spans="1:11" customFormat="1" x14ac:dyDescent="0.25">
      <c r="A4044" s="661"/>
      <c r="B4044" s="73" t="s">
        <v>164</v>
      </c>
      <c r="C4044" s="73"/>
      <c r="D4044" s="73"/>
      <c r="E4044" s="73"/>
      <c r="F4044" s="73"/>
      <c r="G4044" s="74" t="s">
        <v>3</v>
      </c>
      <c r="H4044" s="153">
        <f>0.3*(H4043+H4042)</f>
        <v>1.6500000000000002E-3</v>
      </c>
      <c r="I4044" s="72"/>
      <c r="K4044" s="658"/>
    </row>
    <row r="4045" spans="1:11" customFormat="1" x14ac:dyDescent="0.25">
      <c r="A4045" s="661"/>
      <c r="B4045" s="73" t="s">
        <v>7845</v>
      </c>
      <c r="C4045" s="73"/>
      <c r="D4045" s="73"/>
      <c r="E4045" s="73"/>
      <c r="F4045" s="73"/>
      <c r="G4045" s="74" t="s">
        <v>3</v>
      </c>
      <c r="H4045" s="153">
        <f>0.2*0.011*2*1.25</f>
        <v>5.5000000000000005E-3</v>
      </c>
      <c r="I4045" s="72"/>
      <c r="K4045" s="658"/>
    </row>
    <row r="4046" spans="1:11" customFormat="1" x14ac:dyDescent="0.25">
      <c r="A4046" s="661"/>
      <c r="B4046" s="73" t="s">
        <v>11</v>
      </c>
      <c r="C4046" s="73"/>
      <c r="D4046" s="73"/>
      <c r="E4046" s="73"/>
      <c r="F4046" s="73"/>
      <c r="G4046" s="74" t="s">
        <v>3</v>
      </c>
      <c r="H4046" s="153">
        <f>0.3*H4045</f>
        <v>1.6500000000000002E-3</v>
      </c>
      <c r="I4046" s="72"/>
      <c r="K4046" s="658"/>
    </row>
    <row r="4047" spans="1:11" customFormat="1" x14ac:dyDescent="0.25">
      <c r="A4047" s="661"/>
      <c r="B4047" s="73"/>
      <c r="C4047" s="75" t="s">
        <v>7851</v>
      </c>
      <c r="D4047" s="73"/>
      <c r="E4047" s="73"/>
      <c r="F4047" s="73"/>
      <c r="G4047" s="74"/>
      <c r="H4047" s="153"/>
      <c r="I4047" s="72"/>
      <c r="K4047" s="658"/>
    </row>
    <row r="4048" spans="1:11" customFormat="1" x14ac:dyDescent="0.25">
      <c r="A4048" s="661"/>
      <c r="B4048" s="73"/>
      <c r="C4048" s="73" t="s">
        <v>7843</v>
      </c>
      <c r="D4048" s="73"/>
      <c r="E4048" s="73"/>
      <c r="F4048" s="73"/>
      <c r="G4048" s="74" t="s">
        <v>3</v>
      </c>
      <c r="H4048" s="153">
        <f>0.165*0.271+0.001</f>
        <v>4.5715000000000006E-2</v>
      </c>
      <c r="I4048" s="72"/>
      <c r="K4048" s="658" t="s">
        <v>7842</v>
      </c>
    </row>
    <row r="4049" spans="1:11" customFormat="1" x14ac:dyDescent="0.25">
      <c r="A4049" s="661"/>
      <c r="B4049" s="73"/>
      <c r="C4049" s="73"/>
      <c r="D4049" s="73"/>
      <c r="E4049" s="73"/>
      <c r="F4049" s="73"/>
      <c r="G4049" s="74"/>
      <c r="H4049" s="153"/>
      <c r="I4049" s="72"/>
      <c r="K4049" s="658"/>
    </row>
    <row r="4050" spans="1:11" customFormat="1" x14ac:dyDescent="0.25">
      <c r="A4050" s="661"/>
      <c r="B4050" s="75" t="s">
        <v>7850</v>
      </c>
      <c r="C4050" s="73"/>
      <c r="D4050" s="73"/>
      <c r="E4050" s="73"/>
      <c r="F4050" s="73"/>
      <c r="G4050" s="74"/>
      <c r="H4050" s="153"/>
      <c r="I4050" s="72"/>
      <c r="K4050" s="658"/>
    </row>
    <row r="4051" spans="1:11" customFormat="1" x14ac:dyDescent="0.25">
      <c r="A4051" s="661"/>
      <c r="B4051" s="73" t="s">
        <v>4885</v>
      </c>
      <c r="C4051" s="73"/>
      <c r="D4051" s="73"/>
      <c r="E4051" s="73"/>
      <c r="F4051" s="73"/>
      <c r="G4051" s="74" t="s">
        <v>3</v>
      </c>
      <c r="H4051" s="153">
        <f>H4054/2</f>
        <v>5.7749999999999998E-3</v>
      </c>
      <c r="I4051" s="72"/>
      <c r="K4051" s="658"/>
    </row>
    <row r="4052" spans="1:11" customFormat="1" x14ac:dyDescent="0.25">
      <c r="A4052" s="661"/>
      <c r="B4052" s="73" t="s">
        <v>7846</v>
      </c>
      <c r="C4052" s="73"/>
      <c r="D4052" s="73"/>
      <c r="E4052" s="73"/>
      <c r="F4052" s="73"/>
      <c r="G4052" s="74" t="s">
        <v>3</v>
      </c>
      <c r="H4052" s="153">
        <f>H4054/2</f>
        <v>5.7749999999999998E-3</v>
      </c>
      <c r="I4052" s="72"/>
      <c r="K4052" s="658"/>
    </row>
    <row r="4053" spans="1:11" customFormat="1" x14ac:dyDescent="0.25">
      <c r="A4053" s="661"/>
      <c r="B4053" s="73" t="s">
        <v>164</v>
      </c>
      <c r="C4053" s="73"/>
      <c r="D4053" s="73"/>
      <c r="E4053" s="73"/>
      <c r="F4053" s="73"/>
      <c r="G4053" s="74" t="s">
        <v>3</v>
      </c>
      <c r="H4053" s="153">
        <f>0.3*(H4052+H4051)</f>
        <v>3.4649999999999998E-3</v>
      </c>
      <c r="I4053" s="72"/>
      <c r="K4053" s="658"/>
    </row>
    <row r="4054" spans="1:11" customFormat="1" x14ac:dyDescent="0.25">
      <c r="A4054" s="661"/>
      <c r="B4054" s="73" t="s">
        <v>7845</v>
      </c>
      <c r="C4054" s="73"/>
      <c r="D4054" s="73"/>
      <c r="E4054" s="73"/>
      <c r="F4054" s="73"/>
      <c r="G4054" s="74" t="s">
        <v>3</v>
      </c>
      <c r="H4054" s="153">
        <f>0.42*0.011*2*1.25</f>
        <v>1.155E-2</v>
      </c>
      <c r="I4054" s="72"/>
      <c r="K4054" s="658"/>
    </row>
    <row r="4055" spans="1:11" customFormat="1" x14ac:dyDescent="0.25">
      <c r="A4055" s="661"/>
      <c r="B4055" s="73" t="s">
        <v>11</v>
      </c>
      <c r="C4055" s="73"/>
      <c r="D4055" s="73"/>
      <c r="E4055" s="73"/>
      <c r="F4055" s="73"/>
      <c r="G4055" s="74" t="s">
        <v>3</v>
      </c>
      <c r="H4055" s="153">
        <f>0.3*H4054</f>
        <v>3.4649999999999998E-3</v>
      </c>
      <c r="I4055" s="72"/>
      <c r="K4055" s="658"/>
    </row>
    <row r="4056" spans="1:11" customFormat="1" x14ac:dyDescent="0.25">
      <c r="A4056" s="661"/>
      <c r="B4056" s="73"/>
      <c r="C4056" s="75" t="s">
        <v>7849</v>
      </c>
      <c r="D4056" s="73"/>
      <c r="E4056" s="73"/>
      <c r="F4056" s="73"/>
      <c r="G4056" s="74"/>
      <c r="H4056" s="153"/>
      <c r="I4056" s="72"/>
      <c r="K4056" s="658"/>
    </row>
    <row r="4057" spans="1:11" customFormat="1" x14ac:dyDescent="0.25">
      <c r="A4057" s="661"/>
      <c r="B4057" s="73"/>
      <c r="C4057" s="73" t="s">
        <v>7843</v>
      </c>
      <c r="D4057" s="73"/>
      <c r="E4057" s="73"/>
      <c r="F4057" s="73"/>
      <c r="G4057" s="74" t="s">
        <v>3</v>
      </c>
      <c r="H4057" s="153">
        <f>0.46*0.271</f>
        <v>0.12466000000000002</v>
      </c>
      <c r="I4057" s="72"/>
      <c r="K4057" s="658" t="s">
        <v>7848</v>
      </c>
    </row>
    <row r="4058" spans="1:11" customFormat="1" x14ac:dyDescent="0.25">
      <c r="A4058" s="661"/>
      <c r="B4058" s="73"/>
      <c r="C4058" s="73"/>
      <c r="D4058" s="73"/>
      <c r="E4058" s="73"/>
      <c r="F4058" s="73"/>
      <c r="G4058" s="74"/>
      <c r="H4058" s="153"/>
      <c r="I4058" s="72"/>
      <c r="K4058" s="658"/>
    </row>
    <row r="4059" spans="1:11" customFormat="1" x14ac:dyDescent="0.25">
      <c r="A4059" s="661"/>
      <c r="B4059" s="75" t="s">
        <v>7847</v>
      </c>
      <c r="C4059" s="73"/>
      <c r="D4059" s="73"/>
      <c r="E4059" s="73"/>
      <c r="F4059" s="73"/>
      <c r="G4059" s="74"/>
      <c r="H4059" s="153"/>
      <c r="I4059" s="72"/>
      <c r="K4059" s="658"/>
    </row>
    <row r="4060" spans="1:11" customFormat="1" x14ac:dyDescent="0.25">
      <c r="A4060" s="661"/>
      <c r="B4060" s="73" t="s">
        <v>4885</v>
      </c>
      <c r="C4060" s="73"/>
      <c r="D4060" s="73"/>
      <c r="E4060" s="73"/>
      <c r="F4060" s="73"/>
      <c r="G4060" s="74" t="s">
        <v>3</v>
      </c>
      <c r="H4060" s="153">
        <f>H4063/2</f>
        <v>2.7500000000000003E-3</v>
      </c>
      <c r="I4060" s="72"/>
      <c r="K4060" s="658"/>
    </row>
    <row r="4061" spans="1:11" customFormat="1" x14ac:dyDescent="0.25">
      <c r="A4061" s="661"/>
      <c r="B4061" s="73" t="s">
        <v>7846</v>
      </c>
      <c r="C4061" s="73"/>
      <c r="D4061" s="73"/>
      <c r="E4061" s="73"/>
      <c r="F4061" s="73"/>
      <c r="G4061" s="74" t="s">
        <v>3</v>
      </c>
      <c r="H4061" s="153">
        <f>H4063/2</f>
        <v>2.7500000000000003E-3</v>
      </c>
      <c r="I4061" s="72"/>
      <c r="K4061" s="658"/>
    </row>
    <row r="4062" spans="1:11" customFormat="1" x14ac:dyDescent="0.25">
      <c r="A4062" s="661"/>
      <c r="B4062" s="73" t="s">
        <v>164</v>
      </c>
      <c r="C4062" s="73"/>
      <c r="D4062" s="73"/>
      <c r="E4062" s="73"/>
      <c r="F4062" s="73"/>
      <c r="G4062" s="74" t="s">
        <v>3</v>
      </c>
      <c r="H4062" s="153">
        <f>0.3*(H4061+H4060)</f>
        <v>1.6500000000000002E-3</v>
      </c>
      <c r="I4062" s="72"/>
      <c r="K4062" s="658"/>
    </row>
    <row r="4063" spans="1:11" customFormat="1" x14ac:dyDescent="0.25">
      <c r="A4063" s="661"/>
      <c r="B4063" s="73" t="s">
        <v>7845</v>
      </c>
      <c r="C4063" s="73"/>
      <c r="D4063" s="73"/>
      <c r="E4063" s="73"/>
      <c r="F4063" s="73"/>
      <c r="G4063" s="74" t="s">
        <v>3</v>
      </c>
      <c r="H4063" s="153">
        <f>0.2*0.011*2*1.25</f>
        <v>5.5000000000000005E-3</v>
      </c>
      <c r="I4063" s="72"/>
      <c r="K4063" s="658"/>
    </row>
    <row r="4064" spans="1:11" customFormat="1" x14ac:dyDescent="0.25">
      <c r="A4064" s="661"/>
      <c r="B4064" s="73" t="s">
        <v>11</v>
      </c>
      <c r="C4064" s="73"/>
      <c r="D4064" s="73"/>
      <c r="E4064" s="73"/>
      <c r="F4064" s="73"/>
      <c r="G4064" s="74" t="s">
        <v>3</v>
      </c>
      <c r="H4064" s="153">
        <f>0.3*H4063</f>
        <v>1.6500000000000002E-3</v>
      </c>
      <c r="I4064" s="72"/>
      <c r="K4064" s="658"/>
    </row>
    <row r="4065" spans="1:11" customFormat="1" x14ac:dyDescent="0.25">
      <c r="A4065" s="661"/>
      <c r="B4065" s="73"/>
      <c r="C4065" s="75" t="s">
        <v>7844</v>
      </c>
      <c r="D4065" s="73"/>
      <c r="E4065" s="73"/>
      <c r="F4065" s="73"/>
      <c r="G4065" s="74"/>
      <c r="H4065" s="153"/>
      <c r="I4065" s="72"/>
      <c r="K4065" s="658"/>
    </row>
    <row r="4066" spans="1:11" customFormat="1" x14ac:dyDescent="0.25">
      <c r="A4066" s="661"/>
      <c r="B4066" s="73"/>
      <c r="C4066" s="73" t="s">
        <v>7843</v>
      </c>
      <c r="D4066" s="73"/>
      <c r="E4066" s="73"/>
      <c r="F4066" s="73"/>
      <c r="G4066" s="74" t="s">
        <v>3</v>
      </c>
      <c r="H4066" s="153">
        <f>0.165*0.271+0.001</f>
        <v>4.5715000000000006E-2</v>
      </c>
      <c r="I4066" s="72"/>
      <c r="K4066" s="658" t="s">
        <v>7842</v>
      </c>
    </row>
    <row r="4067" spans="1:11" customFormat="1" x14ac:dyDescent="0.25">
      <c r="A4067" s="661"/>
      <c r="B4067" s="73"/>
      <c r="C4067" s="73"/>
      <c r="D4067" s="73"/>
      <c r="E4067" s="73"/>
      <c r="F4067" s="73"/>
      <c r="G4067" s="74"/>
      <c r="H4067" s="153"/>
      <c r="I4067" s="72"/>
      <c r="K4067" s="658"/>
    </row>
    <row r="4068" spans="1:11" customFormat="1" x14ac:dyDescent="0.25">
      <c r="A4068" s="661"/>
      <c r="B4068" s="73"/>
      <c r="C4068" s="73"/>
      <c r="D4068" s="73"/>
      <c r="E4068" s="73"/>
      <c r="F4068" s="73"/>
      <c r="G4068" s="74"/>
      <c r="H4068" s="153"/>
      <c r="I4068" s="72"/>
      <c r="K4068" s="658"/>
    </row>
    <row r="4069" spans="1:11" customFormat="1" x14ac:dyDescent="0.25">
      <c r="A4069" s="661"/>
      <c r="B4069" s="75" t="s">
        <v>7841</v>
      </c>
      <c r="C4069" s="73"/>
      <c r="D4069" s="73"/>
      <c r="E4069" s="73"/>
      <c r="F4069" s="73"/>
      <c r="G4069" s="74"/>
      <c r="H4069" s="153"/>
      <c r="I4069" s="72"/>
      <c r="K4069" s="658"/>
    </row>
    <row r="4070" spans="1:11" customFormat="1" x14ac:dyDescent="0.25">
      <c r="A4070" s="661"/>
      <c r="B4070" s="100" t="s">
        <v>140</v>
      </c>
      <c r="C4070" s="75"/>
      <c r="D4070" s="73"/>
      <c r="E4070" s="73"/>
      <c r="F4070" s="73"/>
      <c r="G4070" s="74" t="s">
        <v>3</v>
      </c>
      <c r="H4070" s="153">
        <f>0.006*3.14*0.08*2*1.1</f>
        <v>3.3158400000000009E-3</v>
      </c>
      <c r="I4070" s="72"/>
      <c r="K4070" s="658"/>
    </row>
    <row r="4071" spans="1:11" customFormat="1" ht="17.25" x14ac:dyDescent="0.25">
      <c r="A4071" s="661"/>
      <c r="B4071" s="100" t="s">
        <v>23</v>
      </c>
      <c r="C4071" s="75"/>
      <c r="D4071" s="73"/>
      <c r="E4071" s="73"/>
      <c r="F4071" s="73"/>
      <c r="G4071" s="74" t="s">
        <v>596</v>
      </c>
      <c r="H4071" s="153">
        <f>H4070*2</f>
        <v>6.6316800000000018E-3</v>
      </c>
      <c r="I4071" s="72"/>
      <c r="K4071" s="658"/>
    </row>
    <row r="4072" spans="1:11" customFormat="1" x14ac:dyDescent="0.25">
      <c r="A4072" s="661"/>
      <c r="B4072" s="100" t="s">
        <v>142</v>
      </c>
      <c r="C4072" s="75"/>
      <c r="D4072" s="73"/>
      <c r="E4072" s="73"/>
      <c r="F4072" s="73"/>
      <c r="G4072" s="74" t="s">
        <v>3</v>
      </c>
      <c r="H4072" s="153">
        <f>H4070/4</f>
        <v>8.2896000000000022E-4</v>
      </c>
      <c r="I4072" s="72"/>
      <c r="K4072" s="658"/>
    </row>
    <row r="4073" spans="1:11" customFormat="1" x14ac:dyDescent="0.25">
      <c r="A4073" s="661"/>
      <c r="B4073" s="186" t="s">
        <v>8</v>
      </c>
      <c r="C4073" s="73"/>
      <c r="D4073" s="73"/>
      <c r="E4073" s="73"/>
      <c r="F4073" s="73"/>
      <c r="G4073" s="74" t="s">
        <v>3</v>
      </c>
      <c r="H4073" s="153">
        <f>H4074*0.62</f>
        <v>2.5097600000000001E-2</v>
      </c>
      <c r="I4073" s="72"/>
      <c r="K4073" s="658"/>
    </row>
    <row r="4074" spans="1:11" customFormat="1" x14ac:dyDescent="0.25">
      <c r="A4074" s="661"/>
      <c r="B4074" s="186" t="s">
        <v>5794</v>
      </c>
      <c r="C4074" s="73"/>
      <c r="D4074" s="73"/>
      <c r="E4074" s="73"/>
      <c r="F4074" s="73"/>
      <c r="G4074" s="74" t="s">
        <v>3</v>
      </c>
      <c r="H4074" s="153">
        <f>1.6*0.011*2*1.15</f>
        <v>4.0480000000000002E-2</v>
      </c>
      <c r="I4074" s="72"/>
      <c r="K4074" s="658"/>
    </row>
    <row r="4075" spans="1:11" customFormat="1" x14ac:dyDescent="0.25">
      <c r="A4075" s="661"/>
      <c r="B4075" s="186" t="s">
        <v>143</v>
      </c>
      <c r="C4075" s="73"/>
      <c r="D4075" s="73"/>
      <c r="E4075" s="73"/>
      <c r="F4075" s="73"/>
      <c r="G4075" s="74" t="s">
        <v>3</v>
      </c>
      <c r="H4075" s="153">
        <f>H4073</f>
        <v>2.5097600000000001E-2</v>
      </c>
      <c r="I4075" s="72"/>
      <c r="K4075" s="658"/>
    </row>
    <row r="4076" spans="1:11" customFormat="1" x14ac:dyDescent="0.25">
      <c r="A4076" s="661"/>
      <c r="B4076" s="186" t="s">
        <v>12</v>
      </c>
      <c r="C4076" s="73"/>
      <c r="D4076" s="73"/>
      <c r="E4076" s="73"/>
      <c r="F4076" s="73"/>
      <c r="G4076" s="74" t="s">
        <v>3</v>
      </c>
      <c r="H4076" s="153">
        <f>0.3*(H4075+H42025+H4073)</f>
        <v>1.505856E-2</v>
      </c>
      <c r="I4076" s="72"/>
      <c r="K4076" s="658"/>
    </row>
    <row r="4077" spans="1:11" customFormat="1" x14ac:dyDescent="0.25">
      <c r="A4077" s="661"/>
      <c r="B4077" s="73"/>
      <c r="C4077" s="75" t="s">
        <v>7840</v>
      </c>
      <c r="D4077" s="73"/>
      <c r="E4077" s="73"/>
      <c r="F4077" s="73"/>
      <c r="G4077" s="74"/>
      <c r="H4077" s="153"/>
      <c r="I4077" s="72"/>
      <c r="K4077" s="658"/>
    </row>
    <row r="4078" spans="1:11" customFormat="1" x14ac:dyDescent="0.25">
      <c r="A4078" s="661"/>
      <c r="B4078" s="73"/>
      <c r="C4078" s="73" t="s">
        <v>7839</v>
      </c>
      <c r="D4078" s="73"/>
      <c r="E4078" s="73"/>
      <c r="F4078" s="73"/>
      <c r="G4078" s="74" t="s">
        <v>3</v>
      </c>
      <c r="H4078" s="153">
        <f>0.123*1.7+0.001</f>
        <v>0.21009999999999998</v>
      </c>
      <c r="I4078" s="72"/>
      <c r="K4078" s="658" t="s">
        <v>7838</v>
      </c>
    </row>
    <row r="4079" spans="1:11" customFormat="1" x14ac:dyDescent="0.25">
      <c r="A4079" s="661"/>
      <c r="B4079" s="73"/>
      <c r="C4079" s="73"/>
      <c r="D4079" s="73"/>
      <c r="E4079" s="73"/>
      <c r="F4079" s="73"/>
      <c r="G4079" s="74"/>
      <c r="H4079" s="153"/>
      <c r="I4079" s="72"/>
      <c r="K4079" s="658"/>
    </row>
    <row r="4080" spans="1:11" customFormat="1" x14ac:dyDescent="0.25">
      <c r="A4080" s="661"/>
      <c r="B4080" s="75" t="s">
        <v>7837</v>
      </c>
      <c r="C4080" s="73"/>
      <c r="D4080" s="73"/>
      <c r="E4080" s="73"/>
      <c r="F4080" s="73"/>
      <c r="G4080" s="74"/>
      <c r="H4080" s="153"/>
      <c r="I4080" s="72"/>
      <c r="K4080" s="658"/>
    </row>
    <row r="4081" spans="1:11" customFormat="1" x14ac:dyDescent="0.25">
      <c r="A4081" s="661"/>
      <c r="B4081" s="73" t="s">
        <v>4885</v>
      </c>
      <c r="C4081" s="73"/>
      <c r="D4081" s="73"/>
      <c r="E4081" s="73"/>
      <c r="F4081" s="73"/>
      <c r="G4081" s="74" t="s">
        <v>3</v>
      </c>
      <c r="H4081" s="153">
        <f>H4083/2+0.002</f>
        <v>1.4649999999999998E-2</v>
      </c>
      <c r="I4081" s="72"/>
      <c r="K4081" s="658"/>
    </row>
    <row r="4082" spans="1:11" customFormat="1" x14ac:dyDescent="0.25">
      <c r="A4082" s="661"/>
      <c r="B4082" s="73" t="s">
        <v>164</v>
      </c>
      <c r="C4082" s="73"/>
      <c r="D4082" s="73"/>
      <c r="E4082" s="73"/>
      <c r="F4082" s="73"/>
      <c r="G4082" s="74" t="s">
        <v>3</v>
      </c>
      <c r="H4082" s="153">
        <f>0.3*H4081</f>
        <v>4.3949999999999996E-3</v>
      </c>
      <c r="I4082" s="72"/>
      <c r="K4082" s="658"/>
    </row>
    <row r="4083" spans="1:11" customFormat="1" x14ac:dyDescent="0.25">
      <c r="A4083" s="661"/>
      <c r="B4083" s="73" t="s">
        <v>115</v>
      </c>
      <c r="C4083" s="73"/>
      <c r="D4083" s="73"/>
      <c r="E4083" s="73"/>
      <c r="F4083" s="73"/>
      <c r="G4083" s="74" t="s">
        <v>3</v>
      </c>
      <c r="H4083" s="153">
        <f>1*0.011*2*1.15</f>
        <v>2.5299999999999996E-2</v>
      </c>
      <c r="I4083" s="72"/>
      <c r="K4083" s="658"/>
    </row>
    <row r="4084" spans="1:11" customFormat="1" x14ac:dyDescent="0.25">
      <c r="A4084" s="661"/>
      <c r="B4084" s="73" t="s">
        <v>12</v>
      </c>
      <c r="C4084" s="73"/>
      <c r="D4084" s="73"/>
      <c r="E4084" s="73"/>
      <c r="F4084" s="73"/>
      <c r="G4084" s="74" t="s">
        <v>3</v>
      </c>
      <c r="H4084" s="153">
        <f>0.3*H4083</f>
        <v>7.5899999999999987E-3</v>
      </c>
      <c r="I4084" s="72"/>
      <c r="K4084" s="658"/>
    </row>
    <row r="4085" spans="1:11" customFormat="1" x14ac:dyDescent="0.25">
      <c r="A4085" s="661"/>
      <c r="B4085" s="73"/>
      <c r="C4085" s="75" t="s">
        <v>7836</v>
      </c>
      <c r="D4085" s="73"/>
      <c r="E4085" s="73"/>
      <c r="F4085" s="73"/>
      <c r="G4085" s="74"/>
      <c r="H4085" s="153"/>
      <c r="I4085" s="72"/>
      <c r="K4085" s="658"/>
    </row>
    <row r="4086" spans="1:11" customFormat="1" x14ac:dyDescent="0.25">
      <c r="A4086" s="661"/>
      <c r="B4086" s="73"/>
      <c r="C4086" s="73" t="s">
        <v>7835</v>
      </c>
      <c r="D4086" s="73"/>
      <c r="E4086" s="73"/>
      <c r="F4086" s="73"/>
      <c r="G4086" s="74" t="s">
        <v>3</v>
      </c>
      <c r="H4086" s="153">
        <f>0.183*1.1-0.001</f>
        <v>0.20030000000000001</v>
      </c>
      <c r="I4086" s="72"/>
      <c r="K4086" s="658" t="s">
        <v>7834</v>
      </c>
    </row>
    <row r="4087" spans="1:11" customFormat="1" x14ac:dyDescent="0.25">
      <c r="A4087" s="661"/>
      <c r="B4087" s="73"/>
      <c r="C4087" s="73"/>
      <c r="D4087" s="73"/>
      <c r="E4087" s="73"/>
      <c r="F4087" s="73"/>
      <c r="G4087" s="74"/>
      <c r="H4087" s="153"/>
      <c r="I4087" s="72"/>
      <c r="K4087" s="658"/>
    </row>
    <row r="4088" spans="1:11" customFormat="1" x14ac:dyDescent="0.25">
      <c r="A4088" s="661"/>
      <c r="B4088" s="75" t="s">
        <v>7833</v>
      </c>
      <c r="C4088" s="73"/>
      <c r="D4088" s="73"/>
      <c r="E4088" s="73"/>
      <c r="F4088" s="73"/>
      <c r="G4088" s="74"/>
      <c r="H4088" s="153"/>
      <c r="I4088" s="72"/>
      <c r="K4088" s="658"/>
    </row>
    <row r="4089" spans="1:11" customFormat="1" x14ac:dyDescent="0.25">
      <c r="A4089" s="661"/>
      <c r="B4089" s="100" t="s">
        <v>140</v>
      </c>
      <c r="C4089" s="75"/>
      <c r="D4089" s="73"/>
      <c r="E4089" s="73"/>
      <c r="F4089" s="73"/>
      <c r="G4089" s="74" t="s">
        <v>3</v>
      </c>
      <c r="H4089" s="153">
        <f>0.008*3.14*0.08*2*1.1</f>
        <v>4.4211199999999997E-3</v>
      </c>
      <c r="I4089" s="72"/>
      <c r="K4089" s="658"/>
    </row>
    <row r="4090" spans="1:11" customFormat="1" ht="17.25" x14ac:dyDescent="0.25">
      <c r="A4090" s="661"/>
      <c r="B4090" s="100" t="s">
        <v>23</v>
      </c>
      <c r="C4090" s="75"/>
      <c r="D4090" s="73"/>
      <c r="E4090" s="73"/>
      <c r="F4090" s="73"/>
      <c r="G4090" s="74" t="s">
        <v>596</v>
      </c>
      <c r="H4090" s="153">
        <f>H4089*2</f>
        <v>8.8422399999999995E-3</v>
      </c>
      <c r="I4090" s="72"/>
      <c r="K4090" s="658"/>
    </row>
    <row r="4091" spans="1:11" customFormat="1" x14ac:dyDescent="0.25">
      <c r="A4091" s="661"/>
      <c r="B4091" s="100" t="s">
        <v>142</v>
      </c>
      <c r="C4091" s="75"/>
      <c r="D4091" s="73"/>
      <c r="E4091" s="73"/>
      <c r="F4091" s="73"/>
      <c r="G4091" s="74" t="s">
        <v>3</v>
      </c>
      <c r="H4091" s="153">
        <f>H4089/4</f>
        <v>1.1052799999999999E-3</v>
      </c>
      <c r="I4091" s="72"/>
      <c r="K4091" s="658"/>
    </row>
    <row r="4092" spans="1:11" customFormat="1" x14ac:dyDescent="0.25">
      <c r="A4092" s="661"/>
      <c r="B4092" s="186" t="s">
        <v>8</v>
      </c>
      <c r="C4092" s="73"/>
      <c r="D4092" s="73"/>
      <c r="E4092" s="73"/>
      <c r="F4092" s="73"/>
      <c r="G4092" s="74" t="s">
        <v>3</v>
      </c>
      <c r="H4092" s="153">
        <f>H4093*0.62</f>
        <v>2.0391799999999998E-2</v>
      </c>
      <c r="I4092" s="72"/>
      <c r="K4092" s="658"/>
    </row>
    <row r="4093" spans="1:11" customFormat="1" x14ac:dyDescent="0.25">
      <c r="A4093" s="661"/>
      <c r="B4093" s="186" t="s">
        <v>375</v>
      </c>
      <c r="C4093" s="73"/>
      <c r="D4093" s="73"/>
      <c r="E4093" s="73"/>
      <c r="F4093" s="73"/>
      <c r="G4093" s="74" t="s">
        <v>3</v>
      </c>
      <c r="H4093" s="153">
        <f>1.3*0.011*2*1.15</f>
        <v>3.2889999999999996E-2</v>
      </c>
      <c r="I4093" s="72"/>
      <c r="K4093" s="658"/>
    </row>
    <row r="4094" spans="1:11" customFormat="1" x14ac:dyDescent="0.25">
      <c r="A4094" s="661"/>
      <c r="B4094" s="186" t="s">
        <v>7832</v>
      </c>
      <c r="C4094" s="73"/>
      <c r="D4094" s="73"/>
      <c r="E4094" s="73"/>
      <c r="F4094" s="73"/>
      <c r="G4094" s="74" t="s">
        <v>3</v>
      </c>
      <c r="H4094" s="153">
        <f>H4092</f>
        <v>2.0391799999999998E-2</v>
      </c>
      <c r="I4094" s="72"/>
      <c r="K4094" s="658"/>
    </row>
    <row r="4095" spans="1:11" customFormat="1" x14ac:dyDescent="0.25">
      <c r="A4095" s="661"/>
      <c r="B4095" s="186" t="s">
        <v>12</v>
      </c>
      <c r="C4095" s="73"/>
      <c r="D4095" s="73"/>
      <c r="E4095" s="73"/>
      <c r="F4095" s="73"/>
      <c r="G4095" s="74" t="s">
        <v>3</v>
      </c>
      <c r="H4095" s="153">
        <f>0.3*(H4094+H42044+H4092)</f>
        <v>1.2235079999999999E-2</v>
      </c>
      <c r="I4095" s="72"/>
      <c r="K4095" s="658"/>
    </row>
    <row r="4096" spans="1:11" customFormat="1" x14ac:dyDescent="0.25">
      <c r="A4096" s="661"/>
      <c r="B4096" s="73"/>
      <c r="C4096" s="75" t="s">
        <v>7831</v>
      </c>
      <c r="D4096" s="73"/>
      <c r="E4096" s="73"/>
      <c r="F4096" s="73"/>
      <c r="G4096" s="74"/>
      <c r="H4096" s="153"/>
      <c r="I4096" s="72"/>
      <c r="K4096" s="658"/>
    </row>
    <row r="4097" spans="1:11" customFormat="1" x14ac:dyDescent="0.25">
      <c r="A4097" s="661"/>
      <c r="B4097" s="73"/>
      <c r="C4097" s="73" t="s">
        <v>5738</v>
      </c>
      <c r="D4097" s="73"/>
      <c r="E4097" s="73"/>
      <c r="F4097" s="73"/>
      <c r="G4097" s="74" t="s">
        <v>3</v>
      </c>
      <c r="H4097" s="153">
        <f>0.227*1.35</f>
        <v>0.30645000000000006</v>
      </c>
      <c r="I4097" s="72"/>
      <c r="K4097" s="658" t="s">
        <v>1273</v>
      </c>
    </row>
    <row r="4098" spans="1:11" customFormat="1" x14ac:dyDescent="0.25">
      <c r="A4098" s="661"/>
      <c r="B4098" s="73"/>
      <c r="C4098" s="73"/>
      <c r="D4098" s="73"/>
      <c r="E4098" s="73"/>
      <c r="F4098" s="73"/>
      <c r="G4098" s="74"/>
      <c r="H4098" s="153"/>
      <c r="I4098" s="72"/>
      <c r="K4098" s="658"/>
    </row>
    <row r="4099" spans="1:11" customFormat="1" x14ac:dyDescent="0.25">
      <c r="A4099" s="661"/>
      <c r="B4099" s="75" t="s">
        <v>7830</v>
      </c>
      <c r="C4099" s="73"/>
      <c r="D4099" s="73"/>
      <c r="E4099" s="73"/>
      <c r="F4099" s="73"/>
      <c r="G4099" s="74"/>
      <c r="H4099" s="153"/>
      <c r="I4099" s="72"/>
      <c r="K4099" s="658"/>
    </row>
    <row r="4100" spans="1:11" customFormat="1" x14ac:dyDescent="0.25">
      <c r="A4100" s="661"/>
      <c r="B4100" s="73" t="s">
        <v>7829</v>
      </c>
      <c r="C4100" s="73"/>
      <c r="D4100" s="73"/>
      <c r="E4100" s="73"/>
      <c r="F4100" s="73"/>
      <c r="G4100" s="74" t="s">
        <v>3</v>
      </c>
      <c r="H4100" s="153">
        <f>0.1*0.1*3*8*1.124</f>
        <v>0.26976000000000006</v>
      </c>
      <c r="I4100" s="72"/>
      <c r="K4100" s="658"/>
    </row>
    <row r="4101" spans="1:11" customFormat="1" x14ac:dyDescent="0.25">
      <c r="A4101" s="661"/>
      <c r="B4101" s="73"/>
      <c r="C4101" s="73"/>
      <c r="D4101" s="73"/>
      <c r="E4101" s="73"/>
      <c r="F4101" s="73"/>
      <c r="G4101" s="74"/>
      <c r="H4101" s="153"/>
      <c r="I4101" s="72"/>
      <c r="K4101" s="658"/>
    </row>
    <row r="4102" spans="1:11" customFormat="1" x14ac:dyDescent="0.25">
      <c r="A4102" s="661"/>
      <c r="B4102" s="75" t="s">
        <v>7828</v>
      </c>
      <c r="C4102" s="73"/>
      <c r="D4102" s="73"/>
      <c r="E4102" s="73"/>
      <c r="F4102" s="73"/>
      <c r="G4102" s="74"/>
      <c r="H4102" s="153"/>
      <c r="I4102" s="72"/>
      <c r="K4102" s="658"/>
    </row>
    <row r="4103" spans="1:11" customFormat="1" x14ac:dyDescent="0.25">
      <c r="A4103" s="661"/>
      <c r="B4103" s="73" t="s">
        <v>7826</v>
      </c>
      <c r="C4103" s="73"/>
      <c r="D4103" s="73"/>
      <c r="E4103" s="73"/>
      <c r="F4103" s="73"/>
      <c r="G4103" s="74" t="s">
        <v>3</v>
      </c>
      <c r="H4103" s="153">
        <f>0.09*0.09*4*8*1.12</f>
        <v>0.29030400000000001</v>
      </c>
      <c r="I4103" s="72"/>
      <c r="K4103" s="658"/>
    </row>
    <row r="4104" spans="1:11" customFormat="1" x14ac:dyDescent="0.25">
      <c r="A4104" s="661"/>
      <c r="B4104" s="73"/>
      <c r="C4104" s="73"/>
      <c r="D4104" s="73"/>
      <c r="E4104" s="73"/>
      <c r="F4104" s="73"/>
      <c r="G4104" s="74"/>
      <c r="H4104" s="153"/>
      <c r="I4104" s="72"/>
      <c r="K4104" s="658"/>
    </row>
    <row r="4105" spans="1:11" customFormat="1" x14ac:dyDescent="0.25">
      <c r="A4105" s="661"/>
      <c r="B4105" s="75" t="s">
        <v>7827</v>
      </c>
      <c r="C4105" s="73"/>
      <c r="D4105" s="73"/>
      <c r="E4105" s="73"/>
      <c r="F4105" s="73"/>
      <c r="G4105" s="74"/>
      <c r="H4105" s="153"/>
      <c r="I4105" s="72"/>
      <c r="K4105" s="658"/>
    </row>
    <row r="4106" spans="1:11" customFormat="1" x14ac:dyDescent="0.25">
      <c r="A4106" s="661"/>
      <c r="B4106" s="73" t="s">
        <v>7826</v>
      </c>
      <c r="C4106" s="73"/>
      <c r="D4106" s="73"/>
      <c r="E4106" s="73"/>
      <c r="F4106" s="73"/>
      <c r="G4106" s="74" t="s">
        <v>3</v>
      </c>
      <c r="H4106" s="153">
        <f>0.09*0.09*4*8*1.159</f>
        <v>0.30041279999999998</v>
      </c>
      <c r="I4106" s="72"/>
      <c r="K4106" s="658"/>
    </row>
    <row r="4107" spans="1:11" customFormat="1" x14ac:dyDescent="0.25">
      <c r="A4107" s="661"/>
      <c r="B4107" s="73"/>
      <c r="C4107" s="73"/>
      <c r="D4107" s="73"/>
      <c r="E4107" s="73"/>
      <c r="F4107" s="73"/>
      <c r="G4107" s="74"/>
      <c r="H4107" s="153"/>
      <c r="I4107" s="72"/>
      <c r="K4107" s="658"/>
    </row>
    <row r="4108" spans="1:11" customFormat="1" x14ac:dyDescent="0.25">
      <c r="A4108" s="661"/>
      <c r="B4108" s="75" t="s">
        <v>7825</v>
      </c>
      <c r="C4108" s="73"/>
      <c r="D4108" s="73"/>
      <c r="E4108" s="73"/>
      <c r="F4108" s="73"/>
      <c r="G4108" s="74"/>
      <c r="H4108" s="153"/>
      <c r="I4108" s="72"/>
      <c r="K4108" s="658"/>
    </row>
    <row r="4109" spans="1:11" customFormat="1" x14ac:dyDescent="0.25">
      <c r="A4109" s="661"/>
      <c r="B4109" s="73" t="s">
        <v>7823</v>
      </c>
      <c r="C4109" s="73"/>
      <c r="D4109" s="73"/>
      <c r="E4109" s="73"/>
      <c r="F4109" s="73"/>
      <c r="G4109" s="74" t="s">
        <v>3</v>
      </c>
      <c r="H4109" s="153">
        <f>0.14*0.04*4*8*1.145</f>
        <v>0.20518400000000003</v>
      </c>
      <c r="I4109" s="72"/>
      <c r="K4109" s="658"/>
    </row>
    <row r="4110" spans="1:11" customFormat="1" x14ac:dyDescent="0.25">
      <c r="A4110" s="661"/>
      <c r="B4110" s="73"/>
      <c r="C4110" s="73"/>
      <c r="D4110" s="73"/>
      <c r="E4110" s="73"/>
      <c r="F4110" s="73"/>
      <c r="G4110" s="74"/>
      <c r="H4110" s="153"/>
      <c r="I4110" s="72"/>
      <c r="K4110" s="658"/>
    </row>
    <row r="4111" spans="1:11" customFormat="1" x14ac:dyDescent="0.25">
      <c r="A4111" s="661"/>
      <c r="B4111" s="75" t="s">
        <v>7824</v>
      </c>
      <c r="C4111" s="73"/>
      <c r="D4111" s="73"/>
      <c r="E4111" s="73"/>
      <c r="F4111" s="73"/>
      <c r="G4111" s="74"/>
      <c r="H4111" s="153"/>
      <c r="I4111" s="72"/>
      <c r="K4111" s="658"/>
    </row>
    <row r="4112" spans="1:11" customFormat="1" x14ac:dyDescent="0.25">
      <c r="A4112" s="661"/>
      <c r="B4112" s="73" t="s">
        <v>7823</v>
      </c>
      <c r="C4112" s="73"/>
      <c r="D4112" s="73"/>
      <c r="E4112" s="73"/>
      <c r="F4112" s="73"/>
      <c r="G4112" s="74" t="s">
        <v>3</v>
      </c>
      <c r="H4112" s="153">
        <f>0.12*0.04*4*8*1.14</f>
        <v>0.17510399999999998</v>
      </c>
      <c r="I4112" s="72"/>
      <c r="K4112" s="658"/>
    </row>
    <row r="4113" spans="1:11" customFormat="1" x14ac:dyDescent="0.25">
      <c r="A4113" s="661"/>
      <c r="B4113" s="73"/>
      <c r="C4113" s="73"/>
      <c r="D4113" s="73"/>
      <c r="E4113" s="73"/>
      <c r="F4113" s="73"/>
      <c r="G4113" s="74"/>
      <c r="H4113" s="153"/>
      <c r="I4113" s="72"/>
      <c r="K4113" s="658"/>
    </row>
    <row r="4114" spans="1:11" customFormat="1" x14ac:dyDescent="0.25">
      <c r="A4114" s="661"/>
      <c r="B4114" s="75" t="s">
        <v>7822</v>
      </c>
      <c r="C4114" s="73"/>
      <c r="D4114" s="73"/>
      <c r="E4114" s="73"/>
      <c r="F4114" s="73"/>
      <c r="G4114" s="74"/>
      <c r="H4114" s="153"/>
      <c r="I4114" s="72"/>
      <c r="K4114" s="658"/>
    </row>
    <row r="4115" spans="1:11" customFormat="1" x14ac:dyDescent="0.25">
      <c r="A4115" s="661"/>
      <c r="B4115" s="73" t="s">
        <v>7821</v>
      </c>
      <c r="C4115" s="73"/>
      <c r="D4115" s="73"/>
      <c r="E4115" s="73"/>
      <c r="F4115" s="73"/>
      <c r="G4115" s="74" t="s">
        <v>3</v>
      </c>
      <c r="H4115" s="153">
        <f>2.2*2.5</f>
        <v>5.5</v>
      </c>
      <c r="I4115" s="72"/>
      <c r="K4115" s="658" t="s">
        <v>7789</v>
      </c>
    </row>
    <row r="4116" spans="1:11" customFormat="1" x14ac:dyDescent="0.25">
      <c r="A4116" s="661"/>
      <c r="B4116" s="73"/>
      <c r="C4116" s="73"/>
      <c r="D4116" s="73"/>
      <c r="E4116" s="73"/>
      <c r="F4116" s="73"/>
      <c r="G4116" s="74"/>
      <c r="H4116" s="153"/>
      <c r="I4116" s="72"/>
      <c r="K4116" s="658"/>
    </row>
    <row r="4117" spans="1:11" customFormat="1" x14ac:dyDescent="0.25">
      <c r="A4117" s="661"/>
      <c r="B4117" s="75" t="s">
        <v>7820</v>
      </c>
      <c r="C4117" s="73"/>
      <c r="D4117" s="73"/>
      <c r="E4117" s="73"/>
      <c r="F4117" s="73"/>
      <c r="G4117" s="74"/>
      <c r="H4117" s="153"/>
      <c r="I4117" s="72"/>
      <c r="K4117" s="658"/>
    </row>
    <row r="4118" spans="1:11" customFormat="1" x14ac:dyDescent="0.25">
      <c r="A4118" s="661"/>
      <c r="B4118" s="73" t="s">
        <v>7819</v>
      </c>
      <c r="C4118" s="73"/>
      <c r="D4118" s="73"/>
      <c r="E4118" s="73"/>
      <c r="F4118" s="73"/>
      <c r="G4118" s="74" t="s">
        <v>3</v>
      </c>
      <c r="H4118" s="153">
        <f>0.196*0.055</f>
        <v>1.078E-2</v>
      </c>
      <c r="I4118" s="72"/>
      <c r="K4118" s="658" t="s">
        <v>1980</v>
      </c>
    </row>
    <row r="4119" spans="1:11" customFormat="1" x14ac:dyDescent="0.25">
      <c r="A4119" s="661"/>
      <c r="B4119" s="73"/>
      <c r="C4119" s="73"/>
      <c r="D4119" s="73"/>
      <c r="E4119" s="73"/>
      <c r="F4119" s="73"/>
      <c r="G4119" s="74"/>
      <c r="H4119" s="153"/>
      <c r="I4119" s="72"/>
      <c r="K4119" s="658"/>
    </row>
    <row r="4120" spans="1:11" customFormat="1" x14ac:dyDescent="0.25">
      <c r="A4120" s="661"/>
      <c r="B4120" s="75" t="s">
        <v>7818</v>
      </c>
      <c r="C4120" s="73"/>
      <c r="D4120" s="73"/>
      <c r="E4120" s="73"/>
      <c r="F4120" s="73"/>
      <c r="G4120" s="74"/>
      <c r="H4120" s="153"/>
      <c r="I4120" s="72"/>
      <c r="K4120" s="658"/>
    </row>
    <row r="4121" spans="1:11" customFormat="1" x14ac:dyDescent="0.25">
      <c r="A4121" s="661"/>
      <c r="B4121" s="73" t="s">
        <v>75</v>
      </c>
      <c r="C4121" s="73"/>
      <c r="D4121" s="73"/>
      <c r="E4121" s="73"/>
      <c r="F4121" s="73"/>
      <c r="G4121" s="74" t="s">
        <v>3</v>
      </c>
      <c r="H4121" s="153">
        <f>0.445*0.013*3*8*1.115</f>
        <v>0.15480660000000002</v>
      </c>
      <c r="I4121" s="72"/>
      <c r="K4121" s="658"/>
    </row>
    <row r="4122" spans="1:11" customFormat="1" x14ac:dyDescent="0.25">
      <c r="A4122" s="661"/>
      <c r="B4122" s="73"/>
      <c r="C4122" s="73"/>
      <c r="D4122" s="73"/>
      <c r="E4122" s="73"/>
      <c r="F4122" s="73"/>
      <c r="G4122" s="74"/>
      <c r="H4122" s="153"/>
      <c r="I4122" s="72"/>
      <c r="K4122" s="658"/>
    </row>
    <row r="4123" spans="1:11" customFormat="1" x14ac:dyDescent="0.25">
      <c r="A4123" s="661"/>
      <c r="B4123" s="75" t="s">
        <v>7817</v>
      </c>
      <c r="C4123" s="73"/>
      <c r="D4123" s="73"/>
      <c r="E4123" s="73"/>
      <c r="F4123" s="73"/>
      <c r="G4123" s="74"/>
      <c r="H4123" s="153"/>
      <c r="I4123" s="72"/>
      <c r="K4123" s="658"/>
    </row>
    <row r="4124" spans="1:11" customFormat="1" x14ac:dyDescent="0.25">
      <c r="A4124" s="661"/>
      <c r="B4124" s="73" t="s">
        <v>723</v>
      </c>
      <c r="C4124" s="73"/>
      <c r="D4124" s="73"/>
      <c r="E4124" s="73"/>
      <c r="F4124" s="73"/>
      <c r="G4124" s="74" t="s">
        <v>3</v>
      </c>
      <c r="H4124" s="153">
        <f>0.0089*0.17</f>
        <v>1.513E-3</v>
      </c>
      <c r="I4124" s="72"/>
      <c r="K4124" s="658"/>
    </row>
    <row r="4125" spans="1:11" customFormat="1" x14ac:dyDescent="0.25">
      <c r="A4125" s="661"/>
      <c r="B4125" s="73"/>
      <c r="C4125" s="73"/>
      <c r="D4125" s="73"/>
      <c r="E4125" s="73"/>
      <c r="F4125" s="73"/>
      <c r="G4125" s="74"/>
      <c r="H4125" s="153"/>
      <c r="I4125" s="72"/>
      <c r="K4125" s="658"/>
    </row>
    <row r="4126" spans="1:11" customFormat="1" x14ac:dyDescent="0.25">
      <c r="A4126" s="661"/>
      <c r="B4126" s="75" t="s">
        <v>7816</v>
      </c>
      <c r="C4126" s="73"/>
      <c r="D4126" s="73"/>
      <c r="E4126" s="73"/>
      <c r="F4126" s="73"/>
      <c r="G4126" s="74"/>
      <c r="H4126" s="153"/>
      <c r="I4126" s="72"/>
      <c r="K4126" s="658"/>
    </row>
    <row r="4127" spans="1:11" customFormat="1" x14ac:dyDescent="0.25">
      <c r="A4127" s="661"/>
      <c r="B4127" s="73" t="s">
        <v>7815</v>
      </c>
      <c r="C4127" s="73"/>
      <c r="D4127" s="73"/>
      <c r="E4127" s="73"/>
      <c r="F4127" s="73"/>
      <c r="G4127" s="74" t="s">
        <v>3</v>
      </c>
      <c r="H4127" s="153">
        <f>0.11*0.02*0.8*4*1.15</f>
        <v>8.0960000000000008E-3</v>
      </c>
      <c r="I4127" s="72"/>
      <c r="K4127" s="658"/>
    </row>
    <row r="4128" spans="1:11" customFormat="1" x14ac:dyDescent="0.25">
      <c r="A4128" s="661"/>
      <c r="B4128" s="73"/>
      <c r="C4128" s="73"/>
      <c r="D4128" s="73"/>
      <c r="E4128" s="73"/>
      <c r="F4128" s="73"/>
      <c r="G4128" s="74"/>
      <c r="H4128" s="153"/>
      <c r="I4128" s="72"/>
      <c r="K4128" s="658"/>
    </row>
    <row r="4129" spans="1:11" customFormat="1" x14ac:dyDescent="0.25">
      <c r="A4129" s="661"/>
      <c r="B4129" s="75" t="s">
        <v>7814</v>
      </c>
      <c r="C4129" s="73"/>
      <c r="D4129" s="73"/>
      <c r="E4129" s="73"/>
      <c r="F4129" s="73"/>
      <c r="G4129" s="74"/>
      <c r="H4129" s="153"/>
      <c r="I4129" s="72"/>
      <c r="K4129" s="658"/>
    </row>
    <row r="4130" spans="1:11" customFormat="1" x14ac:dyDescent="0.25">
      <c r="A4130" s="661"/>
      <c r="B4130" s="77" t="s">
        <v>1054</v>
      </c>
      <c r="C4130" s="73"/>
      <c r="D4130" s="73"/>
      <c r="E4130" s="73"/>
      <c r="F4130" s="152"/>
      <c r="G4130" s="152" t="s">
        <v>3</v>
      </c>
      <c r="H4130" s="427">
        <f>(0.035*6+2.2+0.5+0.2+0.2)*0.08*1.21</f>
        <v>0.32040800000000003</v>
      </c>
      <c r="I4130" s="72"/>
      <c r="K4130" s="658"/>
    </row>
    <row r="4131" spans="1:11" customFormat="1" ht="17.25" x14ac:dyDescent="0.25">
      <c r="A4131" s="661"/>
      <c r="B4131" s="77" t="s">
        <v>1055</v>
      </c>
      <c r="C4131" s="73"/>
      <c r="D4131" s="73"/>
      <c r="E4131" s="73"/>
      <c r="F4131" s="152"/>
      <c r="G4131" s="152" t="s">
        <v>596</v>
      </c>
      <c r="H4131" s="427">
        <f>H4130*1.11-0.001</f>
        <v>0.35465288000000006</v>
      </c>
      <c r="I4131" s="72"/>
      <c r="K4131" s="658"/>
    </row>
    <row r="4132" spans="1:11" customFormat="1" x14ac:dyDescent="0.25">
      <c r="A4132" s="661"/>
      <c r="B4132" s="73" t="s">
        <v>8</v>
      </c>
      <c r="C4132" s="73"/>
      <c r="D4132" s="73"/>
      <c r="E4132" s="73"/>
      <c r="F4132" s="73"/>
      <c r="G4132" s="74" t="s">
        <v>3</v>
      </c>
      <c r="H4132" s="153">
        <f>H4134*0.665</f>
        <v>0.19950000000000001</v>
      </c>
      <c r="I4132" s="72"/>
      <c r="K4132" s="658"/>
    </row>
    <row r="4133" spans="1:11" customFormat="1" x14ac:dyDescent="0.25">
      <c r="A4133" s="661"/>
      <c r="B4133" s="73" t="s">
        <v>12</v>
      </c>
      <c r="C4133" s="73"/>
      <c r="D4133" s="73"/>
      <c r="E4133" s="73"/>
      <c r="F4133" s="73"/>
      <c r="G4133" s="74" t="s">
        <v>3</v>
      </c>
      <c r="H4133" s="153">
        <f>0.3*H4132</f>
        <v>5.985E-2</v>
      </c>
      <c r="I4133" s="72"/>
      <c r="K4133" s="658"/>
    </row>
    <row r="4134" spans="1:11" customFormat="1" x14ac:dyDescent="0.25">
      <c r="A4134" s="661"/>
      <c r="B4134" s="73" t="s">
        <v>9</v>
      </c>
      <c r="C4134" s="73"/>
      <c r="D4134" s="73"/>
      <c r="E4134" s="73"/>
      <c r="F4134" s="73"/>
      <c r="G4134" s="74" t="s">
        <v>3</v>
      </c>
      <c r="H4134" s="153">
        <f>(0.13*1+0.75*0.15+0.08*0.6+0.65*0.13+0.25*0.1)*2*0.15*2*1.25</f>
        <v>0.3</v>
      </c>
      <c r="I4134" s="72"/>
      <c r="K4134" s="658"/>
    </row>
    <row r="4135" spans="1:11" customFormat="1" x14ac:dyDescent="0.25">
      <c r="A4135" s="661"/>
      <c r="B4135" s="73" t="s">
        <v>11</v>
      </c>
      <c r="C4135" s="73"/>
      <c r="D4135" s="73"/>
      <c r="E4135" s="73"/>
      <c r="F4135" s="73"/>
      <c r="G4135" s="74" t="s">
        <v>3</v>
      </c>
      <c r="H4135" s="153">
        <f>0.3*H4134</f>
        <v>0.09</v>
      </c>
      <c r="I4135" s="72"/>
      <c r="K4135" s="658"/>
    </row>
    <row r="4136" spans="1:11" customFormat="1" x14ac:dyDescent="0.25">
      <c r="A4136" s="661"/>
      <c r="B4136" s="73"/>
      <c r="C4136" s="75" t="s">
        <v>7813</v>
      </c>
      <c r="D4136" s="73"/>
      <c r="E4136" s="73"/>
      <c r="F4136" s="73"/>
      <c r="G4136" s="74"/>
      <c r="H4136" s="153"/>
      <c r="I4136" s="72"/>
      <c r="K4136" s="658"/>
    </row>
    <row r="4137" spans="1:11" customFormat="1" x14ac:dyDescent="0.25">
      <c r="A4137" s="661"/>
      <c r="B4137" s="73"/>
      <c r="C4137" s="73" t="s">
        <v>7804</v>
      </c>
      <c r="D4137" s="73"/>
      <c r="E4137" s="73"/>
      <c r="F4137" s="73"/>
      <c r="G4137" s="74" t="s">
        <v>3</v>
      </c>
      <c r="H4137" s="153">
        <f>0.29*0.09*3*8*1.125</f>
        <v>0.70469999999999999</v>
      </c>
      <c r="I4137" s="72"/>
      <c r="K4137" s="658"/>
    </row>
    <row r="4138" spans="1:11" customFormat="1" x14ac:dyDescent="0.25">
      <c r="A4138" s="661"/>
      <c r="B4138" s="73"/>
      <c r="C4138" s="75" t="s">
        <v>7812</v>
      </c>
      <c r="D4138" s="73"/>
      <c r="E4138" s="73"/>
      <c r="F4138" s="73"/>
      <c r="G4138" s="74"/>
      <c r="H4138" s="153"/>
      <c r="I4138" s="72"/>
      <c r="K4138" s="658"/>
    </row>
    <row r="4139" spans="1:11" customFormat="1" x14ac:dyDescent="0.25">
      <c r="A4139" s="661"/>
      <c r="B4139" s="73"/>
      <c r="C4139" s="73" t="s">
        <v>7804</v>
      </c>
      <c r="D4139" s="73"/>
      <c r="E4139" s="73"/>
      <c r="F4139" s="73"/>
      <c r="G4139" s="74" t="s">
        <v>3</v>
      </c>
      <c r="H4139" s="153">
        <f>0.66*0.135*3*8*1.1225</f>
        <v>2.4003540000000005</v>
      </c>
      <c r="I4139" s="72"/>
      <c r="K4139" s="658"/>
    </row>
    <row r="4140" spans="1:11" customFormat="1" x14ac:dyDescent="0.25">
      <c r="A4140" s="661"/>
      <c r="B4140" s="73"/>
      <c r="C4140" s="75" t="s">
        <v>7811</v>
      </c>
      <c r="D4140" s="73"/>
      <c r="E4140" s="73"/>
      <c r="F4140" s="73"/>
      <c r="G4140" s="74"/>
      <c r="H4140" s="153"/>
      <c r="I4140" s="72"/>
      <c r="K4140" s="658"/>
    </row>
    <row r="4141" spans="1:11" customFormat="1" x14ac:dyDescent="0.25">
      <c r="A4141" s="661"/>
      <c r="B4141" s="73"/>
      <c r="C4141" s="73" t="s">
        <v>7783</v>
      </c>
      <c r="D4141" s="73"/>
      <c r="E4141" s="73"/>
      <c r="F4141" s="73"/>
      <c r="G4141" s="74" t="s">
        <v>3</v>
      </c>
      <c r="H4141" s="153">
        <f>0.11*0.14*5*8*1.1356</f>
        <v>0.69952960000000008</v>
      </c>
      <c r="I4141" s="72"/>
      <c r="K4141" s="658"/>
    </row>
    <row r="4142" spans="1:11" customFormat="1" x14ac:dyDescent="0.25">
      <c r="A4142" s="661"/>
      <c r="B4142" s="73"/>
      <c r="C4142" s="75" t="s">
        <v>7810</v>
      </c>
      <c r="D4142" s="73"/>
      <c r="E4142" s="73"/>
      <c r="F4142" s="73"/>
      <c r="G4142" s="74"/>
      <c r="H4142" s="153"/>
      <c r="I4142" s="72"/>
      <c r="K4142" s="658"/>
    </row>
    <row r="4143" spans="1:11" customFormat="1" x14ac:dyDescent="0.25">
      <c r="A4143" s="661"/>
      <c r="B4143" s="73"/>
      <c r="C4143" s="73" t="s">
        <v>7783</v>
      </c>
      <c r="D4143" s="73"/>
      <c r="E4143" s="73"/>
      <c r="F4143" s="73"/>
      <c r="G4143" s="74" t="s">
        <v>3</v>
      </c>
      <c r="H4143" s="153">
        <f>0.04*0.04*5*8*1.1</f>
        <v>7.0400000000000004E-2</v>
      </c>
      <c r="I4143" s="72"/>
      <c r="K4143" s="658"/>
    </row>
    <row r="4144" spans="1:11" customFormat="1" x14ac:dyDescent="0.25">
      <c r="A4144" s="661"/>
      <c r="B4144" s="73"/>
      <c r="C4144" s="75" t="s">
        <v>7809</v>
      </c>
      <c r="D4144" s="73"/>
      <c r="E4144" s="73"/>
      <c r="F4144" s="73"/>
      <c r="G4144" s="74"/>
      <c r="H4144" s="153"/>
      <c r="I4144" s="72"/>
      <c r="K4144" s="658"/>
    </row>
    <row r="4145" spans="1:11" customFormat="1" x14ac:dyDescent="0.25">
      <c r="A4145" s="661"/>
      <c r="B4145" s="73"/>
      <c r="C4145" s="73" t="s">
        <v>7804</v>
      </c>
      <c r="D4145" s="73"/>
      <c r="E4145" s="73"/>
      <c r="F4145" s="73"/>
      <c r="G4145" s="74" t="s">
        <v>3</v>
      </c>
      <c r="H4145" s="153">
        <f>(0.239*2+0.092*3.14/2)*0.08*3*8*1.1299</f>
        <v>1.35032631552</v>
      </c>
      <c r="I4145" s="72"/>
      <c r="K4145" s="658"/>
    </row>
    <row r="4146" spans="1:11" customFormat="1" x14ac:dyDescent="0.25">
      <c r="A4146" s="661"/>
      <c r="B4146" s="73"/>
      <c r="C4146" s="75" t="s">
        <v>7808</v>
      </c>
      <c r="D4146" s="73"/>
      <c r="E4146" s="73"/>
      <c r="F4146" s="73"/>
      <c r="G4146" s="74"/>
      <c r="H4146" s="153"/>
      <c r="I4146" s="72"/>
      <c r="K4146" s="658"/>
    </row>
    <row r="4147" spans="1:11" customFormat="1" x14ac:dyDescent="0.25">
      <c r="A4147" s="661"/>
      <c r="B4147" s="73"/>
      <c r="C4147" s="73" t="s">
        <v>7783</v>
      </c>
      <c r="D4147" s="73"/>
      <c r="E4147" s="73"/>
      <c r="F4147" s="73"/>
      <c r="G4147" s="74" t="s">
        <v>3</v>
      </c>
      <c r="H4147" s="153">
        <f>1*0.13*5*8*1.1+(0.08*0.11*5*8*1.08)</f>
        <v>6.1001600000000007</v>
      </c>
      <c r="I4147" s="72"/>
      <c r="K4147" s="658"/>
    </row>
    <row r="4148" spans="1:11" customFormat="1" x14ac:dyDescent="0.25">
      <c r="A4148" s="661"/>
      <c r="B4148" s="73"/>
      <c r="C4148" s="77" t="s">
        <v>1054</v>
      </c>
      <c r="D4148" s="73"/>
      <c r="E4148" s="73"/>
      <c r="F4148" s="73"/>
      <c r="G4148" s="152" t="s">
        <v>3</v>
      </c>
      <c r="H4148" s="427">
        <f>0.15*0.08*1.25</f>
        <v>1.4999999999999999E-2</v>
      </c>
      <c r="I4148" s="72"/>
      <c r="K4148" s="658"/>
    </row>
    <row r="4149" spans="1:11" customFormat="1" ht="17.25" x14ac:dyDescent="0.25">
      <c r="A4149" s="661"/>
      <c r="B4149" s="73"/>
      <c r="C4149" s="77" t="s">
        <v>1055</v>
      </c>
      <c r="D4149" s="73"/>
      <c r="E4149" s="73"/>
      <c r="F4149" s="73"/>
      <c r="G4149" s="152" t="s">
        <v>596</v>
      </c>
      <c r="H4149" s="427">
        <f>H4148*1.11</f>
        <v>1.6650000000000002E-2</v>
      </c>
      <c r="I4149" s="72"/>
      <c r="K4149" s="658"/>
    </row>
    <row r="4150" spans="1:11" customFormat="1" x14ac:dyDescent="0.25">
      <c r="A4150" s="661"/>
      <c r="B4150" s="73"/>
      <c r="C4150" s="75" t="s">
        <v>7807</v>
      </c>
      <c r="D4150" s="73"/>
      <c r="E4150" s="73"/>
      <c r="F4150" s="73"/>
      <c r="G4150" s="74"/>
      <c r="H4150" s="153"/>
      <c r="I4150" s="72"/>
      <c r="K4150" s="658"/>
    </row>
    <row r="4151" spans="1:11" customFormat="1" x14ac:dyDescent="0.25">
      <c r="A4151" s="661"/>
      <c r="B4151" s="73"/>
      <c r="C4151" s="73" t="s">
        <v>7783</v>
      </c>
      <c r="D4151" s="73"/>
      <c r="E4151" s="73"/>
      <c r="F4151" s="73"/>
      <c r="G4151" s="74" t="s">
        <v>3</v>
      </c>
      <c r="H4151" s="153">
        <f>0.75*0.3*5*8*1.1111-(0.6*0.16*5*8)</f>
        <v>6.1599000000000004</v>
      </c>
      <c r="I4151" s="72"/>
      <c r="K4151" s="658"/>
    </row>
    <row r="4152" spans="1:11" customFormat="1" x14ac:dyDescent="0.25">
      <c r="A4152" s="661"/>
      <c r="B4152" s="73"/>
      <c r="C4152" s="73"/>
      <c r="D4152" s="73"/>
      <c r="E4152" s="73"/>
      <c r="F4152" s="73"/>
      <c r="G4152" s="74"/>
      <c r="H4152" s="153"/>
      <c r="I4152" s="72"/>
      <c r="K4152" s="658"/>
    </row>
    <row r="4153" spans="1:11" customFormat="1" x14ac:dyDescent="0.25">
      <c r="A4153" s="661"/>
      <c r="B4153" s="75" t="s">
        <v>7806</v>
      </c>
      <c r="C4153" s="73"/>
      <c r="D4153" s="73"/>
      <c r="E4153" s="73"/>
      <c r="F4153" s="73"/>
      <c r="G4153" s="74"/>
      <c r="H4153" s="153"/>
      <c r="I4153" s="72"/>
      <c r="K4153" s="658"/>
    </row>
    <row r="4154" spans="1:11" customFormat="1" x14ac:dyDescent="0.25">
      <c r="A4154" s="661"/>
      <c r="B4154" s="77" t="s">
        <v>1054</v>
      </c>
      <c r="C4154" s="73"/>
      <c r="D4154" s="73"/>
      <c r="E4154" s="73"/>
      <c r="F4154" s="152"/>
      <c r="G4154" s="152" t="s">
        <v>3</v>
      </c>
      <c r="H4154" s="427">
        <f>(0.035*6+2.2+0.5+0.2+0.2)*0.08*1.21</f>
        <v>0.32040800000000003</v>
      </c>
      <c r="I4154" s="72"/>
      <c r="K4154" s="658"/>
    </row>
    <row r="4155" spans="1:11" customFormat="1" ht="17.25" x14ac:dyDescent="0.25">
      <c r="A4155" s="661"/>
      <c r="B4155" s="77" t="s">
        <v>1055</v>
      </c>
      <c r="C4155" s="73"/>
      <c r="D4155" s="73"/>
      <c r="E4155" s="73"/>
      <c r="F4155" s="152"/>
      <c r="G4155" s="152" t="s">
        <v>596</v>
      </c>
      <c r="H4155" s="427">
        <f>H4154*1.11-0.001</f>
        <v>0.35465288000000006</v>
      </c>
      <c r="I4155" s="72"/>
      <c r="K4155" s="658"/>
    </row>
    <row r="4156" spans="1:11" customFormat="1" x14ac:dyDescent="0.25">
      <c r="A4156" s="661"/>
      <c r="B4156" s="73" t="s">
        <v>8</v>
      </c>
      <c r="C4156" s="73"/>
      <c r="D4156" s="73"/>
      <c r="E4156" s="73"/>
      <c r="F4156" s="73"/>
      <c r="G4156" s="74" t="s">
        <v>3</v>
      </c>
      <c r="H4156" s="153">
        <f>H4158*0.665</f>
        <v>0.19950000000000001</v>
      </c>
      <c r="I4156" s="72"/>
      <c r="K4156" s="658"/>
    </row>
    <row r="4157" spans="1:11" customFormat="1" x14ac:dyDescent="0.25">
      <c r="A4157" s="661"/>
      <c r="B4157" s="73" t="s">
        <v>12</v>
      </c>
      <c r="C4157" s="73"/>
      <c r="D4157" s="73"/>
      <c r="E4157" s="73"/>
      <c r="F4157" s="73"/>
      <c r="G4157" s="74" t="s">
        <v>3</v>
      </c>
      <c r="H4157" s="153">
        <f>0.3*H4156</f>
        <v>5.985E-2</v>
      </c>
      <c r="I4157" s="72"/>
      <c r="K4157" s="658"/>
    </row>
    <row r="4158" spans="1:11" customFormat="1" x14ac:dyDescent="0.25">
      <c r="A4158" s="661"/>
      <c r="B4158" s="73" t="s">
        <v>9</v>
      </c>
      <c r="C4158" s="73"/>
      <c r="D4158" s="73"/>
      <c r="E4158" s="73"/>
      <c r="F4158" s="73"/>
      <c r="G4158" s="74" t="s">
        <v>3</v>
      </c>
      <c r="H4158" s="153">
        <f>(0.13*1+0.75*0.15+0.08*0.6+0.65*0.13+0.25*0.1)*2*0.15*2*1.25</f>
        <v>0.3</v>
      </c>
      <c r="I4158" s="72"/>
      <c r="K4158" s="658"/>
    </row>
    <row r="4159" spans="1:11" customFormat="1" x14ac:dyDescent="0.25">
      <c r="A4159" s="661"/>
      <c r="B4159" s="73" t="s">
        <v>11</v>
      </c>
      <c r="C4159" s="73"/>
      <c r="D4159" s="73"/>
      <c r="E4159" s="73"/>
      <c r="F4159" s="73"/>
      <c r="G4159" s="74" t="s">
        <v>3</v>
      </c>
      <c r="H4159" s="153">
        <f>0.3*H4158</f>
        <v>0.09</v>
      </c>
      <c r="I4159" s="72"/>
      <c r="K4159" s="658"/>
    </row>
    <row r="4160" spans="1:11" customFormat="1" x14ac:dyDescent="0.25">
      <c r="A4160" s="661"/>
      <c r="B4160" s="73"/>
      <c r="C4160" s="75" t="s">
        <v>7805</v>
      </c>
      <c r="D4160" s="73"/>
      <c r="E4160" s="73"/>
      <c r="F4160" s="73"/>
      <c r="G4160" s="74"/>
      <c r="H4160" s="153"/>
      <c r="I4160" s="72"/>
      <c r="K4160" s="658"/>
    </row>
    <row r="4161" spans="1:11" customFormat="1" x14ac:dyDescent="0.25">
      <c r="A4161" s="661"/>
      <c r="B4161" s="73"/>
      <c r="C4161" s="73" t="s">
        <v>7804</v>
      </c>
      <c r="D4161" s="73"/>
      <c r="E4161" s="73"/>
      <c r="F4161" s="73"/>
      <c r="G4161" s="74" t="s">
        <v>3</v>
      </c>
      <c r="H4161" s="153">
        <f>(0.239*2+0.092*3.14/2)*0.08*3*8*1.1299</f>
        <v>1.35032631552</v>
      </c>
      <c r="I4161" s="72"/>
      <c r="K4161" s="658"/>
    </row>
    <row r="4162" spans="1:11" customFormat="1" x14ac:dyDescent="0.25">
      <c r="A4162" s="661"/>
      <c r="B4162" s="73"/>
      <c r="C4162" s="75" t="s">
        <v>7803</v>
      </c>
      <c r="D4162" s="73"/>
      <c r="E4162" s="73"/>
      <c r="F4162" s="73"/>
      <c r="G4162" s="74"/>
      <c r="H4162" s="153"/>
      <c r="I4162" s="72"/>
      <c r="K4162" s="658"/>
    </row>
    <row r="4163" spans="1:11" customFormat="1" x14ac:dyDescent="0.25">
      <c r="A4163" s="661"/>
      <c r="B4163" s="73"/>
      <c r="C4163" s="73" t="s">
        <v>7783</v>
      </c>
      <c r="D4163" s="73"/>
      <c r="E4163" s="73"/>
      <c r="F4163" s="73"/>
      <c r="G4163" s="74" t="s">
        <v>3</v>
      </c>
      <c r="H4163" s="153">
        <f>1*0.13*5*8*1.1+(0.08*0.11*5*8*1.08)</f>
        <v>6.1001600000000007</v>
      </c>
      <c r="I4163" s="72"/>
      <c r="K4163" s="658"/>
    </row>
    <row r="4164" spans="1:11" customFormat="1" x14ac:dyDescent="0.25">
      <c r="A4164" s="661"/>
      <c r="B4164" s="73"/>
      <c r="C4164" s="77" t="s">
        <v>1054</v>
      </c>
      <c r="D4164" s="73"/>
      <c r="E4164" s="73"/>
      <c r="F4164" s="73"/>
      <c r="G4164" s="152" t="s">
        <v>3</v>
      </c>
      <c r="H4164" s="427">
        <f>0.15*0.08*1.25</f>
        <v>1.4999999999999999E-2</v>
      </c>
      <c r="I4164" s="72"/>
      <c r="K4164" s="658"/>
    </row>
    <row r="4165" spans="1:11" customFormat="1" ht="17.25" x14ac:dyDescent="0.25">
      <c r="A4165" s="661"/>
      <c r="B4165" s="73"/>
      <c r="C4165" s="77" t="s">
        <v>1055</v>
      </c>
      <c r="D4165" s="73"/>
      <c r="E4165" s="73"/>
      <c r="F4165" s="73"/>
      <c r="G4165" s="152" t="s">
        <v>596</v>
      </c>
      <c r="H4165" s="427">
        <f>H4164*1.11</f>
        <v>1.6650000000000002E-2</v>
      </c>
      <c r="I4165" s="72"/>
      <c r="K4165" s="658"/>
    </row>
    <row r="4166" spans="1:11" customFormat="1" x14ac:dyDescent="0.25">
      <c r="A4166" s="661"/>
      <c r="B4166" s="73"/>
      <c r="C4166" s="75" t="s">
        <v>7802</v>
      </c>
      <c r="D4166" s="73"/>
      <c r="E4166" s="73"/>
      <c r="F4166" s="73"/>
      <c r="G4166" s="74"/>
      <c r="H4166" s="153"/>
      <c r="I4166" s="72"/>
      <c r="K4166" s="658"/>
    </row>
    <row r="4167" spans="1:11" customFormat="1" x14ac:dyDescent="0.25">
      <c r="A4167" s="661"/>
      <c r="B4167" s="73"/>
      <c r="C4167" s="73" t="s">
        <v>7783</v>
      </c>
      <c r="D4167" s="73"/>
      <c r="E4167" s="73"/>
      <c r="F4167" s="73"/>
      <c r="G4167" s="74" t="s">
        <v>3</v>
      </c>
      <c r="H4167" s="153">
        <f>0.75*0.3*5*8*1.1111-(0.6*0.16*5*8)</f>
        <v>6.1599000000000004</v>
      </c>
      <c r="I4167" s="72"/>
      <c r="K4167" s="658"/>
    </row>
    <row r="4168" spans="1:11" customFormat="1" x14ac:dyDescent="0.25">
      <c r="A4168" s="661"/>
      <c r="B4168" s="73"/>
      <c r="C4168" s="73"/>
      <c r="D4168" s="73"/>
      <c r="E4168" s="73"/>
      <c r="F4168" s="73"/>
      <c r="G4168" s="74"/>
      <c r="H4168" s="153"/>
      <c r="I4168" s="72"/>
      <c r="K4168" s="658"/>
    </row>
    <row r="4169" spans="1:11" customFormat="1" x14ac:dyDescent="0.25">
      <c r="A4169" s="661"/>
      <c r="B4169" s="75" t="s">
        <v>7801</v>
      </c>
      <c r="C4169" s="73"/>
      <c r="D4169" s="73"/>
      <c r="E4169" s="73"/>
      <c r="F4169" s="73"/>
      <c r="G4169" s="74"/>
      <c r="H4169" s="153"/>
      <c r="I4169" s="72"/>
      <c r="K4169" s="658"/>
    </row>
    <row r="4170" spans="1:11" customFormat="1" x14ac:dyDescent="0.25">
      <c r="A4170" s="661"/>
      <c r="B4170" s="77" t="s">
        <v>1054</v>
      </c>
      <c r="C4170" s="73"/>
      <c r="D4170" s="73"/>
      <c r="E4170" s="73"/>
      <c r="F4170" s="152"/>
      <c r="G4170" s="152" t="s">
        <v>3</v>
      </c>
      <c r="H4170" s="427">
        <f>0.05*0.08*1.15</f>
        <v>4.5999999999999999E-3</v>
      </c>
      <c r="I4170" s="72"/>
      <c r="K4170" s="658"/>
    </row>
    <row r="4171" spans="1:11" customFormat="1" ht="17.25" x14ac:dyDescent="0.25">
      <c r="A4171" s="661"/>
      <c r="B4171" s="77" t="s">
        <v>1055</v>
      </c>
      <c r="C4171" s="73"/>
      <c r="D4171" s="73"/>
      <c r="E4171" s="73"/>
      <c r="F4171" s="152"/>
      <c r="G4171" s="152" t="s">
        <v>596</v>
      </c>
      <c r="H4171" s="427">
        <f>H4170*1.11-0.001</f>
        <v>4.1060000000000003E-3</v>
      </c>
      <c r="I4171" s="72"/>
      <c r="K4171" s="658"/>
    </row>
    <row r="4172" spans="1:11" customFormat="1" x14ac:dyDescent="0.25">
      <c r="A4172" s="661"/>
      <c r="B4172" s="73" t="s">
        <v>8</v>
      </c>
      <c r="C4172" s="73"/>
      <c r="D4172" s="73"/>
      <c r="E4172" s="73"/>
      <c r="F4172" s="73"/>
      <c r="G4172" s="74" t="s">
        <v>3</v>
      </c>
      <c r="H4172" s="153">
        <f>H4173</f>
        <v>3.9000000000000007E-3</v>
      </c>
      <c r="I4172" s="72"/>
      <c r="K4172" s="658"/>
    </row>
    <row r="4173" spans="1:11" customFormat="1" x14ac:dyDescent="0.25">
      <c r="A4173" s="661"/>
      <c r="B4173" s="73" t="s">
        <v>3643</v>
      </c>
      <c r="C4173" s="73"/>
      <c r="D4173" s="73"/>
      <c r="E4173" s="73"/>
      <c r="F4173" s="73"/>
      <c r="G4173" s="74" t="s">
        <v>3</v>
      </c>
      <c r="H4173" s="153">
        <f>0.1*0.05*2*0.15*2*1.3</f>
        <v>3.9000000000000007E-3</v>
      </c>
      <c r="I4173" s="72"/>
      <c r="K4173" s="658"/>
    </row>
    <row r="4174" spans="1:11" customFormat="1" x14ac:dyDescent="0.25">
      <c r="A4174" s="661"/>
      <c r="B4174" s="73" t="s">
        <v>12</v>
      </c>
      <c r="C4174" s="73"/>
      <c r="D4174" s="73"/>
      <c r="E4174" s="73"/>
      <c r="F4174" s="73"/>
      <c r="G4174" s="74" t="s">
        <v>3</v>
      </c>
      <c r="H4174" s="153">
        <f>0.3*(H4173+H4172)</f>
        <v>2.3400000000000005E-3</v>
      </c>
      <c r="I4174" s="72"/>
      <c r="K4174" s="658"/>
    </row>
    <row r="4175" spans="1:11" customFormat="1" x14ac:dyDescent="0.25">
      <c r="A4175" s="661"/>
      <c r="B4175" s="73"/>
      <c r="C4175" s="75" t="s">
        <v>6238</v>
      </c>
      <c r="D4175" s="73"/>
      <c r="E4175" s="73"/>
      <c r="F4175" s="73"/>
      <c r="G4175" s="74"/>
      <c r="H4175" s="153"/>
      <c r="I4175" s="72"/>
      <c r="K4175" s="658"/>
    </row>
    <row r="4176" spans="1:11" customFormat="1" x14ac:dyDescent="0.25">
      <c r="A4176" s="661"/>
      <c r="B4176" s="73"/>
      <c r="C4176" s="73" t="s">
        <v>7800</v>
      </c>
      <c r="D4176" s="73"/>
      <c r="E4176" s="73"/>
      <c r="F4176" s="73"/>
      <c r="G4176" s="74" t="s">
        <v>3</v>
      </c>
      <c r="H4176" s="153">
        <f>0.08*0.022*4*8*1.1</f>
        <v>6.1952E-2</v>
      </c>
      <c r="I4176" s="72"/>
      <c r="K4176" s="658"/>
    </row>
    <row r="4177" spans="1:11" customFormat="1" x14ac:dyDescent="0.25">
      <c r="A4177" s="661"/>
      <c r="B4177" s="73"/>
      <c r="C4177" s="73"/>
      <c r="D4177" s="73"/>
      <c r="E4177" s="73"/>
      <c r="F4177" s="73"/>
      <c r="G4177" s="74"/>
      <c r="H4177" s="153"/>
      <c r="I4177" s="72"/>
      <c r="K4177" s="658"/>
    </row>
    <row r="4178" spans="1:11" customFormat="1" x14ac:dyDescent="0.25">
      <c r="A4178" s="661"/>
      <c r="B4178" s="75" t="s">
        <v>7799</v>
      </c>
      <c r="C4178" s="73"/>
      <c r="D4178" s="73"/>
      <c r="E4178" s="73"/>
      <c r="F4178" s="73"/>
      <c r="G4178" s="74"/>
      <c r="H4178" s="153"/>
      <c r="I4178" s="72"/>
      <c r="K4178" s="658"/>
    </row>
    <row r="4179" spans="1:11" customFormat="1" x14ac:dyDescent="0.25">
      <c r="A4179" s="661"/>
      <c r="B4179" s="77" t="s">
        <v>1054</v>
      </c>
      <c r="C4179" s="73"/>
      <c r="D4179" s="73"/>
      <c r="E4179" s="73"/>
      <c r="F4179" s="152"/>
      <c r="G4179" s="152" t="s">
        <v>3</v>
      </c>
      <c r="H4179" s="427">
        <f>(0.1+0.1)*0.08*1.15</f>
        <v>1.84E-2</v>
      </c>
      <c r="I4179" s="72"/>
      <c r="K4179" s="658"/>
    </row>
    <row r="4180" spans="1:11" customFormat="1" ht="17.25" x14ac:dyDescent="0.25">
      <c r="A4180" s="661"/>
      <c r="B4180" s="77" t="s">
        <v>1055</v>
      </c>
      <c r="C4180" s="73"/>
      <c r="D4180" s="73"/>
      <c r="E4180" s="73"/>
      <c r="F4180" s="152"/>
      <c r="G4180" s="152" t="s">
        <v>596</v>
      </c>
      <c r="H4180" s="427">
        <f>H4179*1.11-0.001</f>
        <v>1.9424E-2</v>
      </c>
      <c r="I4180" s="72"/>
      <c r="K4180" s="658"/>
    </row>
    <row r="4181" spans="1:11" customFormat="1" x14ac:dyDescent="0.25">
      <c r="A4181" s="661"/>
      <c r="B4181" s="73" t="s">
        <v>8</v>
      </c>
      <c r="C4181" s="73"/>
      <c r="D4181" s="73"/>
      <c r="E4181" s="73"/>
      <c r="F4181" s="73"/>
      <c r="G4181" s="74" t="s">
        <v>3</v>
      </c>
      <c r="H4181" s="153">
        <f>0.63*H4182</f>
        <v>3.4420755599999991E-2</v>
      </c>
      <c r="I4181" s="72"/>
      <c r="K4181" s="658"/>
    </row>
    <row r="4182" spans="1:11" customFormat="1" x14ac:dyDescent="0.25">
      <c r="A4182" s="661"/>
      <c r="B4182" s="73" t="s">
        <v>5630</v>
      </c>
      <c r="C4182" s="73"/>
      <c r="D4182" s="73"/>
      <c r="E4182" s="73"/>
      <c r="F4182" s="73"/>
      <c r="G4182" s="74" t="s">
        <v>3</v>
      </c>
      <c r="H4182" s="153">
        <f>0.365*0.18*2*0.18*2*1.155</f>
        <v>5.4636119999999989E-2</v>
      </c>
      <c r="I4182" s="72"/>
      <c r="K4182" s="658"/>
    </row>
    <row r="4183" spans="1:11" customFormat="1" x14ac:dyDescent="0.25">
      <c r="A4183" s="661"/>
      <c r="B4183" s="73" t="s">
        <v>6310</v>
      </c>
      <c r="C4183" s="73"/>
      <c r="D4183" s="73"/>
      <c r="E4183" s="73"/>
      <c r="F4183" s="73"/>
      <c r="G4183" s="74" t="s">
        <v>3</v>
      </c>
      <c r="H4183" s="153">
        <f>0.3*(H4182+H4181)</f>
        <v>2.671706267999999E-2</v>
      </c>
      <c r="I4183" s="72"/>
      <c r="K4183" s="658"/>
    </row>
    <row r="4184" spans="1:11" customFormat="1" x14ac:dyDescent="0.25">
      <c r="A4184" s="661"/>
      <c r="B4184" s="73"/>
      <c r="C4184" s="75" t="s">
        <v>7798</v>
      </c>
      <c r="D4184" s="73"/>
      <c r="E4184" s="73"/>
      <c r="F4184" s="73"/>
      <c r="G4184" s="74"/>
      <c r="H4184" s="153"/>
      <c r="I4184" s="72"/>
      <c r="K4184" s="658"/>
    </row>
    <row r="4185" spans="1:11" customFormat="1" x14ac:dyDescent="0.25">
      <c r="A4185" s="661"/>
      <c r="B4185" s="73"/>
      <c r="C4185" s="73" t="s">
        <v>7797</v>
      </c>
      <c r="D4185" s="73"/>
      <c r="E4185" s="73"/>
      <c r="F4185" s="73"/>
      <c r="G4185" s="74" t="s">
        <v>3</v>
      </c>
      <c r="H4185" s="153">
        <f>0.365*0.18*3*8*1.1415</f>
        <v>1.7999171999999999</v>
      </c>
      <c r="I4185" s="72"/>
      <c r="K4185" s="658"/>
    </row>
    <row r="4186" spans="1:11" customFormat="1" x14ac:dyDescent="0.25">
      <c r="A4186" s="661"/>
      <c r="B4186" s="73"/>
      <c r="C4186" s="75" t="s">
        <v>5622</v>
      </c>
      <c r="D4186" s="73"/>
      <c r="E4186" s="73"/>
      <c r="F4186" s="73"/>
      <c r="G4186" s="74"/>
      <c r="H4186" s="153"/>
      <c r="I4186" s="72"/>
      <c r="K4186" s="658"/>
    </row>
    <row r="4187" spans="1:11" customFormat="1" x14ac:dyDescent="0.25">
      <c r="A4187" s="661"/>
      <c r="B4187" s="73"/>
      <c r="C4187" s="73" t="s">
        <v>7797</v>
      </c>
      <c r="D4187" s="73"/>
      <c r="E4187" s="73"/>
      <c r="F4187" s="73"/>
      <c r="G4187" s="74" t="s">
        <v>3</v>
      </c>
      <c r="H4187" s="153">
        <f>0.042*0.05*2*8*1.1</f>
        <v>3.6960000000000007E-2</v>
      </c>
      <c r="I4187" s="72"/>
      <c r="K4187" s="658"/>
    </row>
    <row r="4188" spans="1:11" customFormat="1" x14ac:dyDescent="0.25">
      <c r="A4188" s="661"/>
      <c r="B4188" s="73"/>
      <c r="C4188" s="73"/>
      <c r="D4188" s="73"/>
      <c r="E4188" s="73"/>
      <c r="F4188" s="73"/>
      <c r="G4188" s="74"/>
      <c r="H4188" s="153"/>
      <c r="I4188" s="72"/>
      <c r="K4188" s="658"/>
    </row>
    <row r="4189" spans="1:11" customFormat="1" x14ac:dyDescent="0.25">
      <c r="A4189" s="661"/>
      <c r="B4189" s="75" t="s">
        <v>7796</v>
      </c>
      <c r="C4189" s="73"/>
      <c r="D4189" s="73"/>
      <c r="E4189" s="73"/>
      <c r="F4189" s="73"/>
      <c r="G4189" s="74"/>
      <c r="H4189" s="153"/>
      <c r="I4189" s="72"/>
      <c r="K4189" s="658"/>
    </row>
    <row r="4190" spans="1:11" customFormat="1" x14ac:dyDescent="0.25">
      <c r="A4190" s="661"/>
      <c r="B4190" s="73" t="s">
        <v>7795</v>
      </c>
      <c r="C4190" s="73"/>
      <c r="D4190" s="73"/>
      <c r="E4190" s="73"/>
      <c r="F4190" s="73"/>
      <c r="G4190" s="74" t="s">
        <v>3</v>
      </c>
      <c r="H4190" s="153">
        <f>1.91*4.1-0.001</f>
        <v>7.8299999999999983</v>
      </c>
      <c r="I4190" s="72"/>
      <c r="K4190" s="658" t="s">
        <v>7794</v>
      </c>
    </row>
    <row r="4191" spans="1:11" customFormat="1" x14ac:dyDescent="0.25">
      <c r="A4191" s="661"/>
      <c r="B4191" s="73"/>
      <c r="C4191" s="73"/>
      <c r="D4191" s="73"/>
      <c r="E4191" s="73"/>
      <c r="F4191" s="73"/>
      <c r="G4191" s="74"/>
      <c r="H4191" s="153"/>
      <c r="I4191" s="72"/>
      <c r="K4191" s="658"/>
    </row>
    <row r="4192" spans="1:11" customFormat="1" x14ac:dyDescent="0.25">
      <c r="A4192" s="661"/>
      <c r="B4192" s="75" t="s">
        <v>7793</v>
      </c>
      <c r="C4192" s="73"/>
      <c r="D4192" s="73"/>
      <c r="E4192" s="73"/>
      <c r="F4192" s="73"/>
      <c r="G4192" s="74"/>
      <c r="H4192" s="153"/>
      <c r="I4192" s="72"/>
      <c r="K4192" s="658"/>
    </row>
    <row r="4193" spans="1:11" customFormat="1" x14ac:dyDescent="0.25">
      <c r="A4193" s="661"/>
      <c r="B4193" s="73" t="s">
        <v>7792</v>
      </c>
      <c r="C4193" s="73"/>
      <c r="D4193" s="73"/>
      <c r="E4193" s="73"/>
      <c r="F4193" s="73"/>
      <c r="G4193" s="74" t="s">
        <v>3</v>
      </c>
      <c r="H4193" s="153">
        <f>1.745*0.58*1.5*8*1.1198</f>
        <v>13.600194959999998</v>
      </c>
      <c r="I4193" s="72"/>
      <c r="K4193" s="658"/>
    </row>
    <row r="4194" spans="1:11" customFormat="1" x14ac:dyDescent="0.25">
      <c r="A4194" s="661"/>
      <c r="B4194" s="73"/>
      <c r="C4194" s="73"/>
      <c r="D4194" s="73"/>
      <c r="E4194" s="73"/>
      <c r="F4194" s="73"/>
      <c r="G4194" s="74"/>
      <c r="H4194" s="153"/>
      <c r="I4194" s="72"/>
      <c r="K4194" s="658"/>
    </row>
    <row r="4195" spans="1:11" customFormat="1" x14ac:dyDescent="0.25">
      <c r="A4195" s="661"/>
      <c r="B4195" s="75" t="s">
        <v>7791</v>
      </c>
      <c r="C4195" s="73"/>
      <c r="D4195" s="73"/>
      <c r="E4195" s="73"/>
      <c r="F4195" s="73"/>
      <c r="G4195" s="74"/>
      <c r="H4195" s="153"/>
      <c r="I4195" s="72"/>
      <c r="K4195" s="658"/>
    </row>
    <row r="4196" spans="1:11" customFormat="1" x14ac:dyDescent="0.25">
      <c r="A4196" s="661"/>
      <c r="B4196" s="73" t="s">
        <v>7790</v>
      </c>
      <c r="C4196" s="73"/>
      <c r="D4196" s="73"/>
      <c r="E4196" s="73"/>
      <c r="F4196" s="73"/>
      <c r="G4196" s="74" t="s">
        <v>3</v>
      </c>
      <c r="H4196" s="153">
        <f>2.2*2.5</f>
        <v>5.5</v>
      </c>
      <c r="I4196" s="72"/>
      <c r="K4196" s="658" t="s">
        <v>7789</v>
      </c>
    </row>
    <row r="4197" spans="1:11" customFormat="1" x14ac:dyDescent="0.25">
      <c r="A4197" s="661"/>
      <c r="B4197" s="73"/>
      <c r="C4197" s="73"/>
      <c r="D4197" s="73"/>
      <c r="E4197" s="73"/>
      <c r="F4197" s="73"/>
      <c r="G4197" s="74"/>
      <c r="H4197" s="153"/>
      <c r="I4197" s="72"/>
      <c r="K4197" s="658"/>
    </row>
    <row r="4198" spans="1:11" customFormat="1" x14ac:dyDescent="0.25">
      <c r="A4198" s="661"/>
      <c r="B4198" s="75" t="s">
        <v>7788</v>
      </c>
      <c r="C4198" s="73"/>
      <c r="D4198" s="73"/>
      <c r="E4198" s="73"/>
      <c r="F4198" s="73"/>
      <c r="G4198" s="74"/>
      <c r="H4198" s="153"/>
      <c r="I4198" s="72"/>
      <c r="K4198" s="658"/>
    </row>
    <row r="4199" spans="1:11" customFormat="1" x14ac:dyDescent="0.25">
      <c r="A4199" s="661"/>
      <c r="B4199" s="73" t="s">
        <v>7787</v>
      </c>
      <c r="C4199" s="73"/>
      <c r="D4199" s="73"/>
      <c r="E4199" s="73"/>
      <c r="F4199" s="73"/>
      <c r="G4199" s="74" t="s">
        <v>3</v>
      </c>
      <c r="H4199" s="153">
        <f>0.115*0.026*3*8*1.12</f>
        <v>8.0371200000000018E-2</v>
      </c>
      <c r="I4199" s="72"/>
      <c r="K4199" s="658"/>
    </row>
    <row r="4200" spans="1:11" customFormat="1" x14ac:dyDescent="0.25">
      <c r="A4200" s="661"/>
      <c r="B4200" s="73"/>
      <c r="C4200" s="73"/>
      <c r="D4200" s="73"/>
      <c r="E4200" s="73"/>
      <c r="F4200" s="73"/>
      <c r="G4200" s="74"/>
      <c r="H4200" s="153"/>
      <c r="I4200" s="72"/>
      <c r="K4200" s="658"/>
    </row>
    <row r="4201" spans="1:11" customFormat="1" x14ac:dyDescent="0.25">
      <c r="A4201" s="661"/>
      <c r="B4201" s="75" t="s">
        <v>7786</v>
      </c>
      <c r="C4201" s="73"/>
      <c r="D4201" s="73"/>
      <c r="E4201" s="73"/>
      <c r="F4201" s="73"/>
      <c r="G4201" s="74"/>
      <c r="H4201" s="153"/>
      <c r="I4201" s="72"/>
      <c r="K4201" s="658"/>
    </row>
    <row r="4202" spans="1:11" customFormat="1" x14ac:dyDescent="0.25">
      <c r="A4202" s="661"/>
      <c r="B4202" s="73" t="s">
        <v>7785</v>
      </c>
      <c r="C4202" s="73"/>
      <c r="D4202" s="73"/>
      <c r="E4202" s="73"/>
      <c r="F4202" s="73"/>
      <c r="G4202" s="74" t="s">
        <v>3</v>
      </c>
      <c r="H4202" s="153">
        <f>(0.19+0.063+0.063)*0.085*2*8*1.164</f>
        <v>0.50024064000000001</v>
      </c>
      <c r="I4202" s="72"/>
      <c r="K4202" s="658"/>
    </row>
    <row r="4203" spans="1:11" customFormat="1" x14ac:dyDescent="0.25">
      <c r="A4203" s="661"/>
      <c r="B4203" s="73"/>
      <c r="C4203" s="73"/>
      <c r="D4203" s="73"/>
      <c r="E4203" s="73"/>
      <c r="F4203" s="73"/>
      <c r="G4203" s="74"/>
      <c r="H4203" s="153"/>
      <c r="I4203" s="72"/>
      <c r="K4203" s="658"/>
    </row>
    <row r="4204" spans="1:11" customFormat="1" x14ac:dyDescent="0.25">
      <c r="A4204" s="661"/>
      <c r="B4204" s="75" t="s">
        <v>7784</v>
      </c>
      <c r="C4204" s="73"/>
      <c r="D4204" s="73"/>
      <c r="E4204" s="73"/>
      <c r="F4204" s="73"/>
      <c r="G4204" s="74"/>
      <c r="H4204" s="153"/>
      <c r="I4204" s="72"/>
      <c r="K4204" s="658"/>
    </row>
    <row r="4205" spans="1:11" customFormat="1" x14ac:dyDescent="0.25">
      <c r="A4205" s="661"/>
      <c r="B4205" s="73" t="s">
        <v>7783</v>
      </c>
      <c r="C4205" s="73"/>
      <c r="D4205" s="73"/>
      <c r="E4205" s="73"/>
      <c r="F4205" s="73"/>
      <c r="G4205" s="74" t="s">
        <v>3</v>
      </c>
      <c r="H4205" s="153">
        <f>0.095*0.025*5*8*1.16</f>
        <v>0.11020000000000001</v>
      </c>
      <c r="I4205" s="72"/>
      <c r="K4205" s="658"/>
    </row>
    <row r="4206" spans="1:11" customFormat="1" ht="15.75" thickBot="1" x14ac:dyDescent="0.3">
      <c r="A4206" s="660"/>
      <c r="B4206" s="68"/>
      <c r="C4206" s="68"/>
      <c r="D4206" s="68"/>
      <c r="E4206" s="68"/>
      <c r="F4206" s="68"/>
      <c r="G4206" s="82"/>
      <c r="H4206" s="89"/>
      <c r="I4206" s="83"/>
      <c r="K4206" s="658"/>
    </row>
    <row r="4207" spans="1:11" customFormat="1" x14ac:dyDescent="0.25">
      <c r="A4207" s="662"/>
      <c r="B4207" s="93"/>
      <c r="C4207" s="93"/>
      <c r="D4207" s="93"/>
      <c r="E4207" s="93"/>
      <c r="F4207" s="93" t="s">
        <v>4259</v>
      </c>
      <c r="G4207" s="160"/>
      <c r="H4207" s="261" t="s">
        <v>7782</v>
      </c>
      <c r="I4207" s="261"/>
      <c r="K4207" s="658"/>
    </row>
    <row r="4208" spans="1:11" customFormat="1" x14ac:dyDescent="0.25">
      <c r="A4208" s="661"/>
      <c r="B4208" s="73"/>
      <c r="C4208" s="73"/>
      <c r="D4208" s="73"/>
      <c r="E4208" s="73"/>
      <c r="F4208" s="73"/>
      <c r="G4208" s="74"/>
      <c r="H4208" s="153"/>
      <c r="I4208" s="72"/>
      <c r="K4208" s="658"/>
    </row>
    <row r="4209" spans="1:11" customFormat="1" x14ac:dyDescent="0.25">
      <c r="A4209" s="661"/>
      <c r="B4209" s="75" t="s">
        <v>7781</v>
      </c>
      <c r="C4209" s="73"/>
      <c r="D4209" s="73"/>
      <c r="E4209" s="73"/>
      <c r="F4209" s="73"/>
      <c r="G4209" s="74"/>
      <c r="H4209" s="153"/>
      <c r="I4209" s="72"/>
      <c r="K4209" s="658"/>
    </row>
    <row r="4210" spans="1:11" customFormat="1" x14ac:dyDescent="0.25">
      <c r="A4210" s="661"/>
      <c r="B4210" s="73" t="s">
        <v>7780</v>
      </c>
      <c r="C4210" s="73"/>
      <c r="D4210" s="73"/>
      <c r="E4210" s="73"/>
      <c r="F4210" s="73"/>
      <c r="G4210" s="74" t="s">
        <v>3</v>
      </c>
      <c r="H4210" s="153">
        <f>0.1*0.1*4*2.7*1.11</f>
        <v>0.11988000000000004</v>
      </c>
      <c r="I4210" s="72"/>
      <c r="K4210" s="658"/>
    </row>
    <row r="4211" spans="1:11" customFormat="1" x14ac:dyDescent="0.25">
      <c r="A4211" s="661"/>
      <c r="B4211" s="73"/>
      <c r="C4211" s="73"/>
      <c r="D4211" s="73"/>
      <c r="E4211" s="73"/>
      <c r="F4211" s="73"/>
      <c r="G4211" s="74"/>
      <c r="H4211" s="153"/>
      <c r="I4211" s="72"/>
      <c r="K4211" s="658"/>
    </row>
    <row r="4212" spans="1:11" customFormat="1" x14ac:dyDescent="0.25">
      <c r="A4212" s="661"/>
      <c r="B4212" s="75" t="s">
        <v>7779</v>
      </c>
      <c r="C4212" s="73"/>
      <c r="D4212" s="73"/>
      <c r="E4212" s="73"/>
      <c r="F4212" s="73"/>
      <c r="G4212" s="74"/>
      <c r="H4212" s="153"/>
      <c r="I4212" s="72"/>
      <c r="K4212" s="658"/>
    </row>
    <row r="4213" spans="1:11" customFormat="1" x14ac:dyDescent="0.25">
      <c r="A4213" s="661"/>
      <c r="B4213" s="77" t="s">
        <v>1054</v>
      </c>
      <c r="C4213" s="73"/>
      <c r="D4213" s="73"/>
      <c r="E4213" s="73"/>
      <c r="F4213" s="152"/>
      <c r="G4213" s="152" t="s">
        <v>3</v>
      </c>
      <c r="H4213" s="427">
        <f>0.16*0.08*1.15</f>
        <v>1.4719999999999999E-2</v>
      </c>
      <c r="I4213" s="72"/>
      <c r="K4213" s="658"/>
    </row>
    <row r="4214" spans="1:11" customFormat="1" ht="17.25" x14ac:dyDescent="0.25">
      <c r="A4214" s="661"/>
      <c r="B4214" s="77" t="s">
        <v>1055</v>
      </c>
      <c r="C4214" s="73"/>
      <c r="D4214" s="73"/>
      <c r="E4214" s="73"/>
      <c r="F4214" s="152"/>
      <c r="G4214" s="152" t="s">
        <v>596</v>
      </c>
      <c r="H4214" s="427">
        <f>H4213*1.11-0.001</f>
        <v>1.5339200000000001E-2</v>
      </c>
      <c r="I4214" s="72"/>
      <c r="K4214" s="658"/>
    </row>
    <row r="4215" spans="1:11" customFormat="1" x14ac:dyDescent="0.25">
      <c r="A4215" s="661"/>
      <c r="B4215" s="73"/>
      <c r="C4215" s="75" t="s">
        <v>7778</v>
      </c>
      <c r="D4215" s="73"/>
      <c r="E4215" s="73"/>
      <c r="F4215" s="73"/>
      <c r="G4215" s="74"/>
      <c r="H4215" s="153"/>
      <c r="I4215" s="72"/>
      <c r="K4215" s="658"/>
    </row>
    <row r="4216" spans="1:11" customFormat="1" x14ac:dyDescent="0.25">
      <c r="A4216" s="661"/>
      <c r="B4216" s="73"/>
      <c r="C4216" s="73" t="s">
        <v>6284</v>
      </c>
      <c r="D4216" s="73"/>
      <c r="E4216" s="73"/>
      <c r="F4216" s="73"/>
      <c r="G4216" s="74" t="s">
        <v>3</v>
      </c>
      <c r="H4216" s="153">
        <f>0.1*0.12*3*8*1.095</f>
        <v>0.31536000000000003</v>
      </c>
      <c r="I4216" s="72"/>
      <c r="K4216" s="658"/>
    </row>
    <row r="4217" spans="1:11" customFormat="1" x14ac:dyDescent="0.25">
      <c r="A4217" s="661"/>
      <c r="B4217" s="73"/>
      <c r="C4217" s="75" t="s">
        <v>7777</v>
      </c>
      <c r="D4217" s="73"/>
      <c r="E4217" s="73"/>
      <c r="F4217" s="73"/>
      <c r="G4217" s="74"/>
      <c r="H4217" s="153"/>
      <c r="I4217" s="72"/>
      <c r="K4217" s="658"/>
    </row>
    <row r="4218" spans="1:11" customFormat="1" x14ac:dyDescent="0.25">
      <c r="A4218" s="661"/>
      <c r="B4218" s="73"/>
      <c r="C4218" s="73" t="s">
        <v>6284</v>
      </c>
      <c r="D4218" s="73"/>
      <c r="E4218" s="73"/>
      <c r="F4218" s="73"/>
      <c r="G4218" s="74" t="s">
        <v>3</v>
      </c>
      <c r="H4218" s="153">
        <f>0.13*0.05*3*8*1.12</f>
        <v>0.17472000000000004</v>
      </c>
      <c r="I4218" s="72"/>
      <c r="K4218" s="658"/>
    </row>
    <row r="4219" spans="1:11" customFormat="1" x14ac:dyDescent="0.25">
      <c r="A4219" s="661"/>
      <c r="B4219" s="73"/>
      <c r="C4219" s="73"/>
      <c r="D4219" s="73"/>
      <c r="E4219" s="73"/>
      <c r="F4219" s="73"/>
      <c r="G4219" s="74"/>
      <c r="H4219" s="153"/>
      <c r="I4219" s="72"/>
      <c r="K4219" s="658"/>
    </row>
    <row r="4220" spans="1:11" customFormat="1" x14ac:dyDescent="0.25">
      <c r="A4220" s="661"/>
      <c r="B4220" s="75" t="s">
        <v>7776</v>
      </c>
      <c r="C4220" s="73"/>
      <c r="D4220" s="73"/>
      <c r="E4220" s="73"/>
      <c r="F4220" s="73"/>
      <c r="G4220" s="74"/>
      <c r="H4220" s="153"/>
      <c r="I4220" s="72"/>
      <c r="K4220" s="658"/>
    </row>
    <row r="4221" spans="1:11" customFormat="1" x14ac:dyDescent="0.25">
      <c r="A4221" s="661"/>
      <c r="B4221" s="73" t="s">
        <v>7760</v>
      </c>
      <c r="C4221" s="73"/>
      <c r="D4221" s="73"/>
      <c r="E4221" s="73"/>
      <c r="F4221" s="73"/>
      <c r="G4221" s="74" t="s">
        <v>3</v>
      </c>
      <c r="H4221" s="153">
        <f>0.0986*0.065</f>
        <v>6.4089999999999998E-3</v>
      </c>
      <c r="I4221" s="72"/>
      <c r="K4221" s="658"/>
    </row>
    <row r="4222" spans="1:11" customFormat="1" x14ac:dyDescent="0.25">
      <c r="A4222" s="661"/>
      <c r="B4222" s="73"/>
      <c r="C4222" s="73"/>
      <c r="D4222" s="73"/>
      <c r="E4222" s="73"/>
      <c r="F4222" s="73"/>
      <c r="G4222" s="74"/>
      <c r="H4222" s="153"/>
      <c r="I4222" s="72"/>
      <c r="K4222" s="658"/>
    </row>
    <row r="4223" spans="1:11" customFormat="1" x14ac:dyDescent="0.25">
      <c r="A4223" s="661"/>
      <c r="B4223" s="75" t="s">
        <v>7775</v>
      </c>
      <c r="C4223" s="73"/>
      <c r="D4223" s="73"/>
      <c r="E4223" s="73"/>
      <c r="F4223" s="73"/>
      <c r="G4223" s="74"/>
      <c r="H4223" s="153"/>
      <c r="I4223" s="72"/>
      <c r="K4223" s="658"/>
    </row>
    <row r="4224" spans="1:11" customFormat="1" x14ac:dyDescent="0.25">
      <c r="A4224" s="661"/>
      <c r="B4224" s="73" t="s">
        <v>723</v>
      </c>
      <c r="C4224" s="73"/>
      <c r="D4224" s="73"/>
      <c r="E4224" s="73"/>
      <c r="F4224" s="73"/>
      <c r="G4224" s="74" t="s">
        <v>3</v>
      </c>
      <c r="H4224" s="153">
        <v>2E-3</v>
      </c>
      <c r="I4224" s="72"/>
      <c r="K4224" s="658" t="s">
        <v>1174</v>
      </c>
    </row>
    <row r="4225" spans="1:11" customFormat="1" x14ac:dyDescent="0.25">
      <c r="A4225" s="661"/>
      <c r="B4225" s="73"/>
      <c r="C4225" s="75" t="s">
        <v>7774</v>
      </c>
      <c r="D4225" s="73"/>
      <c r="E4225" s="73"/>
      <c r="F4225" s="73"/>
      <c r="G4225" s="74"/>
      <c r="H4225" s="153"/>
      <c r="I4225" s="72"/>
      <c r="K4225" s="658"/>
    </row>
    <row r="4226" spans="1:11" customFormat="1" x14ac:dyDescent="0.25">
      <c r="A4226" s="661"/>
      <c r="B4226" s="73"/>
      <c r="C4226" s="73" t="s">
        <v>7773</v>
      </c>
      <c r="D4226" s="73"/>
      <c r="E4226" s="73"/>
      <c r="F4226" s="73"/>
      <c r="G4226" s="74" t="s">
        <v>195</v>
      </c>
      <c r="H4226" s="153">
        <v>0.15</v>
      </c>
      <c r="I4226" s="72"/>
      <c r="K4226" s="658" t="s">
        <v>7772</v>
      </c>
    </row>
    <row r="4227" spans="1:11" customFormat="1" x14ac:dyDescent="0.25">
      <c r="A4227" s="661"/>
      <c r="B4227" s="73"/>
      <c r="C4227" s="75" t="s">
        <v>7771</v>
      </c>
      <c r="D4227" s="73"/>
      <c r="E4227" s="73"/>
      <c r="F4227" s="73"/>
      <c r="G4227" s="74"/>
      <c r="H4227" s="153"/>
      <c r="I4227" s="72"/>
      <c r="K4227" s="658"/>
    </row>
    <row r="4228" spans="1:11" customFormat="1" x14ac:dyDescent="0.25">
      <c r="A4228" s="661"/>
      <c r="B4228" s="73"/>
      <c r="C4228" s="100" t="s">
        <v>140</v>
      </c>
      <c r="D4228" s="75"/>
      <c r="E4228" s="73"/>
      <c r="F4228" s="73"/>
      <c r="G4228" s="74" t="s">
        <v>3</v>
      </c>
      <c r="H4228" s="153">
        <f>0.01*3.14*4*0.08*1.15</f>
        <v>1.15552E-2</v>
      </c>
      <c r="I4228" s="72"/>
      <c r="K4228" s="658"/>
    </row>
    <row r="4229" spans="1:11" customFormat="1" ht="17.25" x14ac:dyDescent="0.25">
      <c r="A4229" s="661"/>
      <c r="B4229" s="73"/>
      <c r="C4229" s="100" t="s">
        <v>23</v>
      </c>
      <c r="D4229" s="75"/>
      <c r="E4229" s="73"/>
      <c r="F4229" s="73"/>
      <c r="G4229" s="74" t="s">
        <v>596</v>
      </c>
      <c r="H4229" s="153">
        <f>H4228*2</f>
        <v>2.31104E-2</v>
      </c>
      <c r="I4229" s="72"/>
      <c r="K4229" s="658"/>
    </row>
    <row r="4230" spans="1:11" customFormat="1" x14ac:dyDescent="0.25">
      <c r="A4230" s="661"/>
      <c r="B4230" s="73"/>
      <c r="C4230" s="100" t="s">
        <v>142</v>
      </c>
      <c r="D4230" s="75"/>
      <c r="E4230" s="73"/>
      <c r="F4230" s="73"/>
      <c r="G4230" s="74" t="s">
        <v>3</v>
      </c>
      <c r="H4230" s="153">
        <f>H4228/4</f>
        <v>2.8888E-3</v>
      </c>
      <c r="I4230" s="72"/>
      <c r="K4230" s="658"/>
    </row>
    <row r="4231" spans="1:11" customFormat="1" x14ac:dyDescent="0.25">
      <c r="A4231" s="661"/>
      <c r="B4231" s="73"/>
      <c r="C4231" s="186" t="s">
        <v>8</v>
      </c>
      <c r="D4231" s="73"/>
      <c r="E4231" s="73"/>
      <c r="F4231" s="73"/>
      <c r="G4231" s="74" t="s">
        <v>3</v>
      </c>
      <c r="H4231" s="153">
        <f>H4232</f>
        <v>7.9199999999999982E-3</v>
      </c>
      <c r="I4231" s="72"/>
      <c r="K4231" s="658"/>
    </row>
    <row r="4232" spans="1:11" customFormat="1" x14ac:dyDescent="0.25">
      <c r="A4232" s="661"/>
      <c r="B4232" s="73"/>
      <c r="C4232" s="186" t="s">
        <v>115</v>
      </c>
      <c r="D4232" s="73"/>
      <c r="E4232" s="73"/>
      <c r="F4232" s="73"/>
      <c r="G4232" s="74" t="s">
        <v>3</v>
      </c>
      <c r="H4232" s="153">
        <f>0.3*0.011*2*1.2</f>
        <v>7.9199999999999982E-3</v>
      </c>
      <c r="I4232" s="72"/>
      <c r="K4232" s="658"/>
    </row>
    <row r="4233" spans="1:11" customFormat="1" x14ac:dyDescent="0.25">
      <c r="A4233" s="661"/>
      <c r="B4233" s="73"/>
      <c r="C4233" s="186" t="s">
        <v>12</v>
      </c>
      <c r="D4233" s="73"/>
      <c r="E4233" s="73"/>
      <c r="F4233" s="73"/>
      <c r="G4233" s="74" t="s">
        <v>3</v>
      </c>
      <c r="H4233" s="153">
        <f>0.3*(H4232+H4231)</f>
        <v>4.7519999999999984E-3</v>
      </c>
      <c r="I4233" s="72"/>
      <c r="K4233" s="658"/>
    </row>
    <row r="4234" spans="1:11" customFormat="1" x14ac:dyDescent="0.25">
      <c r="A4234" s="661"/>
      <c r="B4234" s="73"/>
      <c r="C4234" s="73"/>
      <c r="D4234" s="75" t="s">
        <v>7770</v>
      </c>
      <c r="E4234" s="73"/>
      <c r="F4234" s="73"/>
      <c r="G4234" s="74"/>
      <c r="H4234" s="153"/>
      <c r="I4234" s="72"/>
      <c r="K4234" s="658"/>
    </row>
    <row r="4235" spans="1:11" customFormat="1" x14ac:dyDescent="0.25">
      <c r="A4235" s="661"/>
      <c r="B4235" s="73"/>
      <c r="C4235" s="73"/>
      <c r="D4235" s="73" t="s">
        <v>7768</v>
      </c>
      <c r="E4235" s="73"/>
      <c r="F4235" s="73"/>
      <c r="G4235" s="74" t="s">
        <v>3</v>
      </c>
      <c r="H4235" s="153">
        <f>0.222*0.23</f>
        <v>5.1060000000000001E-2</v>
      </c>
      <c r="I4235" s="72"/>
      <c r="K4235" s="658" t="s">
        <v>6503</v>
      </c>
    </row>
    <row r="4236" spans="1:11" customFormat="1" x14ac:dyDescent="0.25">
      <c r="A4236" s="661"/>
      <c r="B4236" s="73"/>
      <c r="C4236" s="73"/>
      <c r="D4236" s="75" t="s">
        <v>7769</v>
      </c>
      <c r="E4236" s="73"/>
      <c r="F4236" s="73"/>
      <c r="G4236" s="74"/>
      <c r="H4236" s="153"/>
      <c r="I4236" s="72"/>
      <c r="K4236" s="658"/>
    </row>
    <row r="4237" spans="1:11" customFormat="1" x14ac:dyDescent="0.25">
      <c r="A4237" s="661"/>
      <c r="B4237" s="73"/>
      <c r="C4237" s="73"/>
      <c r="D4237" s="73" t="s">
        <v>7768</v>
      </c>
      <c r="E4237" s="73"/>
      <c r="F4237" s="73"/>
      <c r="G4237" s="74" t="s">
        <v>3</v>
      </c>
      <c r="H4237" s="153">
        <f>0.222*0.05</f>
        <v>1.11E-2</v>
      </c>
      <c r="I4237" s="72"/>
      <c r="K4237" s="658"/>
    </row>
    <row r="4238" spans="1:11" customFormat="1" x14ac:dyDescent="0.25">
      <c r="A4238" s="661"/>
      <c r="B4238" s="73"/>
      <c r="C4238" s="75" t="s">
        <v>7767</v>
      </c>
      <c r="D4238" s="73"/>
      <c r="E4238" s="73"/>
      <c r="F4238" s="73"/>
      <c r="G4238" s="74"/>
      <c r="H4238" s="153"/>
      <c r="I4238" s="72"/>
      <c r="K4238" s="658"/>
    </row>
    <row r="4239" spans="1:11" customFormat="1" x14ac:dyDescent="0.25">
      <c r="A4239" s="661"/>
      <c r="B4239" s="73"/>
      <c r="C4239" s="100" t="s">
        <v>140</v>
      </c>
      <c r="D4239" s="75"/>
      <c r="E4239" s="73"/>
      <c r="F4239" s="73"/>
      <c r="G4239" s="74" t="s">
        <v>3</v>
      </c>
      <c r="H4239" s="153">
        <f>0.006*3.14*3*0.08*1.15</f>
        <v>5.1998400000000007E-3</v>
      </c>
      <c r="I4239" s="72"/>
      <c r="K4239" s="658"/>
    </row>
    <row r="4240" spans="1:11" customFormat="1" ht="17.25" x14ac:dyDescent="0.25">
      <c r="A4240" s="661"/>
      <c r="B4240" s="73"/>
      <c r="C4240" s="100" t="s">
        <v>23</v>
      </c>
      <c r="D4240" s="75"/>
      <c r="E4240" s="73"/>
      <c r="F4240" s="73"/>
      <c r="G4240" s="74" t="s">
        <v>596</v>
      </c>
      <c r="H4240" s="153">
        <f>H4239*2</f>
        <v>1.0399680000000001E-2</v>
      </c>
      <c r="I4240" s="72"/>
      <c r="K4240" s="658"/>
    </row>
    <row r="4241" spans="1:11" customFormat="1" x14ac:dyDescent="0.25">
      <c r="A4241" s="661"/>
      <c r="B4241" s="73"/>
      <c r="C4241" s="100" t="s">
        <v>142</v>
      </c>
      <c r="D4241" s="75"/>
      <c r="E4241" s="73"/>
      <c r="F4241" s="73"/>
      <c r="G4241" s="74" t="s">
        <v>3</v>
      </c>
      <c r="H4241" s="153">
        <f>H4239/4</f>
        <v>1.2999600000000002E-3</v>
      </c>
      <c r="I4241" s="72"/>
      <c r="K4241" s="658"/>
    </row>
    <row r="4242" spans="1:11" customFormat="1" x14ac:dyDescent="0.25">
      <c r="A4242" s="661"/>
      <c r="B4242" s="73"/>
      <c r="C4242" s="186" t="s">
        <v>8</v>
      </c>
      <c r="D4242" s="73"/>
      <c r="E4242" s="73"/>
      <c r="F4242" s="73"/>
      <c r="G4242" s="74" t="s">
        <v>3</v>
      </c>
      <c r="H4242" s="153">
        <f>H4243*0.63</f>
        <v>2.4948000000000001E-2</v>
      </c>
      <c r="I4242" s="72"/>
      <c r="K4242" s="658"/>
    </row>
    <row r="4243" spans="1:11" customFormat="1" x14ac:dyDescent="0.25">
      <c r="A4243" s="661"/>
      <c r="B4243" s="73"/>
      <c r="C4243" s="186" t="s">
        <v>115</v>
      </c>
      <c r="D4243" s="73"/>
      <c r="E4243" s="73"/>
      <c r="F4243" s="73"/>
      <c r="G4243" s="74" t="s">
        <v>3</v>
      </c>
      <c r="H4243" s="153">
        <f>1.5*0.011*2*1.2</f>
        <v>3.9600000000000003E-2</v>
      </c>
      <c r="I4243" s="72"/>
      <c r="K4243" s="658"/>
    </row>
    <row r="4244" spans="1:11" customFormat="1" x14ac:dyDescent="0.25">
      <c r="A4244" s="661"/>
      <c r="B4244" s="73"/>
      <c r="C4244" s="186" t="s">
        <v>143</v>
      </c>
      <c r="D4244" s="73"/>
      <c r="E4244" s="73"/>
      <c r="F4244" s="73"/>
      <c r="G4244" s="74" t="s">
        <v>3</v>
      </c>
      <c r="H4244" s="153">
        <f>H4242</f>
        <v>2.4948000000000001E-2</v>
      </c>
      <c r="I4244" s="72"/>
      <c r="K4244" s="658"/>
    </row>
    <row r="4245" spans="1:11" customFormat="1" x14ac:dyDescent="0.25">
      <c r="A4245" s="661"/>
      <c r="B4245" s="73"/>
      <c r="C4245" s="186" t="s">
        <v>12</v>
      </c>
      <c r="D4245" s="73"/>
      <c r="E4245" s="73"/>
      <c r="F4245" s="73"/>
      <c r="G4245" s="74" t="s">
        <v>3</v>
      </c>
      <c r="H4245" s="153">
        <f>0.3*(H4243+H4242+H4244)</f>
        <v>2.6848800000000003E-2</v>
      </c>
      <c r="I4245" s="72"/>
      <c r="K4245" s="658"/>
    </row>
    <row r="4246" spans="1:11" customFormat="1" x14ac:dyDescent="0.25">
      <c r="A4246" s="661"/>
      <c r="B4246" s="73"/>
      <c r="C4246" s="73"/>
      <c r="D4246" s="75" t="s">
        <v>7766</v>
      </c>
      <c r="E4246" s="73"/>
      <c r="F4246" s="73"/>
      <c r="G4246" s="74"/>
      <c r="H4246" s="153"/>
      <c r="I4246" s="72"/>
      <c r="K4246" s="658"/>
    </row>
    <row r="4247" spans="1:11" customFormat="1" x14ac:dyDescent="0.25">
      <c r="A4247" s="661"/>
      <c r="B4247" s="73"/>
      <c r="C4247" s="73"/>
      <c r="D4247" s="73" t="s">
        <v>7765</v>
      </c>
      <c r="E4247" s="73"/>
      <c r="F4247" s="73"/>
      <c r="G4247" s="74" t="s">
        <v>3</v>
      </c>
      <c r="H4247" s="153">
        <f>0.123*1.2+0.002</f>
        <v>0.14959999999999998</v>
      </c>
      <c r="I4247" s="72"/>
      <c r="K4247" s="658" t="s">
        <v>7764</v>
      </c>
    </row>
    <row r="4248" spans="1:11" customFormat="1" x14ac:dyDescent="0.25">
      <c r="A4248" s="661"/>
      <c r="B4248" s="73"/>
      <c r="C4248" s="73"/>
      <c r="D4248" s="75" t="s">
        <v>7763</v>
      </c>
      <c r="E4248" s="73"/>
      <c r="F4248" s="73"/>
      <c r="G4248" s="74"/>
      <c r="H4248" s="153"/>
      <c r="I4248" s="72"/>
      <c r="K4248" s="658"/>
    </row>
    <row r="4249" spans="1:11" customFormat="1" x14ac:dyDescent="0.25">
      <c r="A4249" s="661"/>
      <c r="B4249" s="73"/>
      <c r="C4249" s="73"/>
      <c r="D4249" s="73" t="s">
        <v>3656</v>
      </c>
      <c r="E4249" s="73"/>
      <c r="F4249" s="73"/>
      <c r="G4249" s="74" t="s">
        <v>3</v>
      </c>
      <c r="H4249" s="153">
        <f>0.123*0.3+0.003</f>
        <v>3.9899999999999998E-2</v>
      </c>
      <c r="I4249" s="72"/>
      <c r="K4249" s="658" t="s">
        <v>7762</v>
      </c>
    </row>
    <row r="4250" spans="1:11" customFormat="1" x14ac:dyDescent="0.25">
      <c r="A4250" s="661"/>
      <c r="B4250" s="73"/>
      <c r="C4250" s="73"/>
      <c r="D4250" s="73"/>
      <c r="E4250" s="73"/>
      <c r="F4250" s="73"/>
      <c r="G4250" s="74"/>
      <c r="H4250" s="153"/>
      <c r="I4250" s="72"/>
      <c r="K4250" s="658"/>
    </row>
    <row r="4251" spans="1:11" customFormat="1" x14ac:dyDescent="0.25">
      <c r="A4251" s="661"/>
      <c r="B4251" s="75" t="s">
        <v>7761</v>
      </c>
      <c r="C4251" s="73"/>
      <c r="D4251" s="73"/>
      <c r="E4251" s="73"/>
      <c r="F4251" s="73"/>
      <c r="G4251" s="74"/>
      <c r="H4251" s="153"/>
      <c r="I4251" s="72"/>
      <c r="K4251" s="658"/>
    </row>
    <row r="4252" spans="1:11" customFormat="1" x14ac:dyDescent="0.25">
      <c r="A4252" s="661"/>
      <c r="B4252" s="73" t="s">
        <v>7760</v>
      </c>
      <c r="C4252" s="73"/>
      <c r="D4252" s="73"/>
      <c r="E4252" s="73"/>
      <c r="F4252" s="73"/>
      <c r="G4252" s="74" t="s">
        <v>3</v>
      </c>
      <c r="H4252" s="153">
        <f>0.0986*0.12</f>
        <v>1.1831999999999999E-2</v>
      </c>
      <c r="I4252" s="72"/>
      <c r="K4252" s="658"/>
    </row>
    <row r="4253" spans="1:11" customFormat="1" x14ac:dyDescent="0.25">
      <c r="A4253" s="661"/>
      <c r="B4253" s="73"/>
      <c r="C4253" s="73"/>
      <c r="D4253" s="73"/>
      <c r="E4253" s="73"/>
      <c r="F4253" s="73"/>
      <c r="G4253" s="74"/>
      <c r="H4253" s="153"/>
      <c r="I4253" s="72"/>
      <c r="K4253" s="658"/>
    </row>
    <row r="4254" spans="1:11" customFormat="1" x14ac:dyDescent="0.25">
      <c r="A4254" s="661"/>
      <c r="B4254" s="75" t="s">
        <v>7759</v>
      </c>
      <c r="C4254" s="73"/>
      <c r="D4254" s="73"/>
      <c r="E4254" s="73"/>
      <c r="F4254" s="73"/>
      <c r="G4254" s="74"/>
      <c r="H4254" s="153"/>
      <c r="I4254" s="72"/>
      <c r="K4254" s="658"/>
    </row>
    <row r="4255" spans="1:11" customFormat="1" x14ac:dyDescent="0.25">
      <c r="A4255" s="661"/>
      <c r="B4255" s="77" t="s">
        <v>1054</v>
      </c>
      <c r="C4255" s="73"/>
      <c r="D4255" s="73"/>
      <c r="E4255" s="73"/>
      <c r="F4255" s="152"/>
      <c r="G4255" s="152" t="s">
        <v>3</v>
      </c>
      <c r="H4255" s="427">
        <f>0.25*0.08*1.155</f>
        <v>2.3100000000000002E-2</v>
      </c>
      <c r="I4255" s="72"/>
      <c r="K4255" s="658"/>
    </row>
    <row r="4256" spans="1:11" customFormat="1" ht="17.25" x14ac:dyDescent="0.25">
      <c r="A4256" s="661"/>
      <c r="B4256" s="77" t="s">
        <v>1055</v>
      </c>
      <c r="C4256" s="73"/>
      <c r="D4256" s="73"/>
      <c r="E4256" s="73"/>
      <c r="F4256" s="152"/>
      <c r="G4256" s="152" t="s">
        <v>596</v>
      </c>
      <c r="H4256" s="427">
        <f>H4255*1.11</f>
        <v>2.5641000000000004E-2</v>
      </c>
      <c r="I4256" s="72"/>
      <c r="K4256" s="658"/>
    </row>
    <row r="4257" spans="1:11" customFormat="1" x14ac:dyDescent="0.25">
      <c r="A4257" s="661"/>
      <c r="B4257" s="73" t="s">
        <v>37</v>
      </c>
      <c r="C4257" s="73"/>
      <c r="D4257" s="73"/>
      <c r="E4257" s="73"/>
      <c r="F4257" s="73"/>
      <c r="G4257" s="74" t="s">
        <v>3</v>
      </c>
      <c r="H4257" s="153">
        <f>0.07*0.07*0.2*2*1.3</f>
        <v>2.5480000000000008E-3</v>
      </c>
      <c r="I4257" s="72"/>
      <c r="K4257" s="658"/>
    </row>
    <row r="4258" spans="1:11" customFormat="1" x14ac:dyDescent="0.25">
      <c r="A4258" s="661"/>
      <c r="B4258" s="73" t="s">
        <v>8</v>
      </c>
      <c r="C4258" s="73"/>
      <c r="D4258" s="73"/>
      <c r="E4258" s="73"/>
      <c r="F4258" s="73"/>
      <c r="G4258" s="74" t="s">
        <v>3</v>
      </c>
      <c r="H4258" s="153">
        <f>H4259*0.6</f>
        <v>1.4903999999999995E-2</v>
      </c>
      <c r="I4258" s="72"/>
      <c r="K4258" s="658"/>
    </row>
    <row r="4259" spans="1:11" customFormat="1" x14ac:dyDescent="0.25">
      <c r="A4259" s="661"/>
      <c r="B4259" s="73" t="s">
        <v>6248</v>
      </c>
      <c r="C4259" s="73"/>
      <c r="D4259" s="73"/>
      <c r="E4259" s="73"/>
      <c r="F4259" s="73"/>
      <c r="G4259" s="74" t="s">
        <v>3</v>
      </c>
      <c r="H4259" s="153">
        <f>0.3*0.12*2*0.15*2*1.15</f>
        <v>2.4839999999999994E-2</v>
      </c>
      <c r="I4259" s="72"/>
      <c r="K4259" s="658"/>
    </row>
    <row r="4260" spans="1:11" customFormat="1" x14ac:dyDescent="0.25">
      <c r="A4260" s="661"/>
      <c r="B4260" s="73" t="s">
        <v>12</v>
      </c>
      <c r="C4260" s="73"/>
      <c r="D4260" s="73"/>
      <c r="E4260" s="73"/>
      <c r="F4260" s="73"/>
      <c r="G4260" s="74" t="s">
        <v>3</v>
      </c>
      <c r="H4260" s="153">
        <f>0.3*(H4259+H4258)</f>
        <v>1.1923199999999997E-2</v>
      </c>
      <c r="I4260" s="72"/>
      <c r="K4260" s="658"/>
    </row>
    <row r="4261" spans="1:11" customFormat="1" x14ac:dyDescent="0.25">
      <c r="A4261" s="661"/>
      <c r="B4261" s="73"/>
      <c r="C4261" s="75" t="s">
        <v>7758</v>
      </c>
      <c r="D4261" s="73"/>
      <c r="E4261" s="73"/>
      <c r="F4261" s="73"/>
      <c r="G4261" s="74"/>
      <c r="H4261" s="153"/>
      <c r="I4261" s="72"/>
      <c r="K4261" s="658"/>
    </row>
    <row r="4262" spans="1:11" customFormat="1" x14ac:dyDescent="0.25">
      <c r="A4262" s="661"/>
      <c r="B4262" s="73"/>
      <c r="C4262" s="77" t="s">
        <v>1054</v>
      </c>
      <c r="D4262" s="73"/>
      <c r="E4262" s="73"/>
      <c r="F4262" s="73"/>
      <c r="G4262" s="152" t="s">
        <v>3</v>
      </c>
      <c r="H4262" s="427">
        <f>0.12*0.08*1.12</f>
        <v>1.0751999999999999E-2</v>
      </c>
      <c r="I4262" s="72"/>
      <c r="K4262" s="658"/>
    </row>
    <row r="4263" spans="1:11" customFormat="1" ht="17.25" x14ac:dyDescent="0.25">
      <c r="A4263" s="661"/>
      <c r="B4263" s="73"/>
      <c r="C4263" s="77" t="s">
        <v>1055</v>
      </c>
      <c r="D4263" s="73"/>
      <c r="E4263" s="73"/>
      <c r="F4263" s="73"/>
      <c r="G4263" s="152" t="s">
        <v>596</v>
      </c>
      <c r="H4263" s="427">
        <f>H4262*1.11</f>
        <v>1.1934720000000001E-2</v>
      </c>
      <c r="I4263" s="72"/>
      <c r="K4263" s="658"/>
    </row>
    <row r="4264" spans="1:11" customFormat="1" x14ac:dyDescent="0.25">
      <c r="A4264" s="661"/>
      <c r="B4264" s="73"/>
      <c r="C4264" s="73" t="s">
        <v>1143</v>
      </c>
      <c r="D4264" s="73"/>
      <c r="E4264" s="73"/>
      <c r="F4264" s="73"/>
      <c r="G4264" s="74" t="s">
        <v>3</v>
      </c>
      <c r="H4264" s="153">
        <f>(0.12*0.19+0.11*0.105)*3*8*1.092</f>
        <v>0.90024480000000007</v>
      </c>
      <c r="I4264" s="72"/>
      <c r="K4264" s="658"/>
    </row>
    <row r="4265" spans="1:11" customFormat="1" x14ac:dyDescent="0.25">
      <c r="A4265" s="661"/>
      <c r="B4265" s="73"/>
      <c r="C4265" s="73"/>
      <c r="D4265" s="73"/>
      <c r="E4265" s="73"/>
      <c r="F4265" s="73"/>
      <c r="G4265" s="74"/>
      <c r="H4265" s="153"/>
      <c r="I4265" s="72"/>
      <c r="K4265" s="658"/>
    </row>
    <row r="4266" spans="1:11" customFormat="1" x14ac:dyDescent="0.25">
      <c r="A4266" s="661"/>
      <c r="B4266" s="75" t="s">
        <v>7757</v>
      </c>
      <c r="C4266" s="73"/>
      <c r="D4266" s="73"/>
      <c r="E4266" s="73"/>
      <c r="F4266" s="73"/>
      <c r="G4266" s="74"/>
      <c r="H4266" s="153"/>
      <c r="I4266" s="72"/>
      <c r="K4266" s="658"/>
    </row>
    <row r="4267" spans="1:11" customFormat="1" x14ac:dyDescent="0.25">
      <c r="A4267" s="661"/>
      <c r="B4267" s="73" t="s">
        <v>114</v>
      </c>
      <c r="C4267" s="73"/>
      <c r="D4267" s="73"/>
      <c r="E4267" s="73"/>
      <c r="F4267" s="73"/>
      <c r="G4267" s="74" t="s">
        <v>3</v>
      </c>
      <c r="H4267" s="153">
        <f>H4269*0.63</f>
        <v>2.4948000000000001E-2</v>
      </c>
      <c r="I4267" s="72"/>
      <c r="K4267" s="658"/>
    </row>
    <row r="4268" spans="1:11" customFormat="1" x14ac:dyDescent="0.25">
      <c r="A4268" s="661"/>
      <c r="B4268" s="73" t="s">
        <v>164</v>
      </c>
      <c r="C4268" s="73"/>
      <c r="D4268" s="73"/>
      <c r="E4268" s="73"/>
      <c r="F4268" s="73"/>
      <c r="G4268" s="74" t="s">
        <v>3</v>
      </c>
      <c r="H4268" s="153">
        <f>0.3*H4267</f>
        <v>7.4844000000000004E-3</v>
      </c>
      <c r="I4268" s="72"/>
      <c r="K4268" s="658"/>
    </row>
    <row r="4269" spans="1:11" customFormat="1" x14ac:dyDescent="0.25">
      <c r="A4269" s="661"/>
      <c r="B4269" s="73" t="s">
        <v>115</v>
      </c>
      <c r="C4269" s="73"/>
      <c r="D4269" s="73"/>
      <c r="E4269" s="73"/>
      <c r="F4269" s="73"/>
      <c r="G4269" s="74" t="s">
        <v>3</v>
      </c>
      <c r="H4269" s="153">
        <f>1.5*0.011*2*1.2</f>
        <v>3.9600000000000003E-2</v>
      </c>
      <c r="I4269" s="72"/>
      <c r="K4269" s="658"/>
    </row>
    <row r="4270" spans="1:11" customFormat="1" x14ac:dyDescent="0.25">
      <c r="A4270" s="661"/>
      <c r="B4270" s="73" t="s">
        <v>12</v>
      </c>
      <c r="C4270" s="73"/>
      <c r="D4270" s="73"/>
      <c r="E4270" s="73"/>
      <c r="F4270" s="73"/>
      <c r="G4270" s="74" t="s">
        <v>3</v>
      </c>
      <c r="H4270" s="153">
        <f>0.3*H4269</f>
        <v>1.188E-2</v>
      </c>
      <c r="I4270" s="72"/>
      <c r="K4270" s="658"/>
    </row>
    <row r="4271" spans="1:11" customFormat="1" x14ac:dyDescent="0.25">
      <c r="A4271" s="661"/>
      <c r="B4271" s="73"/>
      <c r="C4271" s="75" t="s">
        <v>7756</v>
      </c>
      <c r="D4271" s="73"/>
      <c r="E4271" s="73"/>
      <c r="F4271" s="73"/>
      <c r="G4271" s="74"/>
      <c r="H4271" s="153"/>
      <c r="I4271" s="72"/>
      <c r="K4271" s="658"/>
    </row>
    <row r="4272" spans="1:11" customFormat="1" x14ac:dyDescent="0.25">
      <c r="A4272" s="661"/>
      <c r="B4272" s="73"/>
      <c r="C4272" s="73" t="s">
        <v>7755</v>
      </c>
      <c r="D4272" s="73"/>
      <c r="E4272" s="73"/>
      <c r="F4272" s="73"/>
      <c r="G4272" s="74" t="s">
        <v>3</v>
      </c>
      <c r="H4272" s="153">
        <f>0.173*1.62</f>
        <v>0.28026000000000001</v>
      </c>
      <c r="I4272" s="72"/>
      <c r="K4272" s="658" t="s">
        <v>7754</v>
      </c>
    </row>
    <row r="4273" spans="1:11" customFormat="1" x14ac:dyDescent="0.25">
      <c r="A4273" s="661"/>
      <c r="B4273" s="73"/>
      <c r="C4273" s="73"/>
      <c r="D4273" s="73"/>
      <c r="E4273" s="73"/>
      <c r="F4273" s="73"/>
      <c r="G4273" s="74"/>
      <c r="H4273" s="153"/>
      <c r="I4273" s="72"/>
      <c r="K4273" s="658"/>
    </row>
    <row r="4274" spans="1:11" customFormat="1" x14ac:dyDescent="0.25">
      <c r="A4274" s="661"/>
      <c r="B4274" s="75" t="s">
        <v>7753</v>
      </c>
      <c r="C4274" s="73"/>
      <c r="D4274" s="73"/>
      <c r="E4274" s="73"/>
      <c r="F4274" s="73"/>
      <c r="G4274" s="74"/>
      <c r="H4274" s="153"/>
      <c r="I4274" s="72"/>
      <c r="K4274" s="658"/>
    </row>
    <row r="4275" spans="1:11" customFormat="1" x14ac:dyDescent="0.25">
      <c r="A4275" s="661"/>
      <c r="B4275" s="73" t="s">
        <v>2512</v>
      </c>
      <c r="C4275" s="73"/>
      <c r="D4275" s="73"/>
      <c r="E4275" s="73"/>
      <c r="F4275" s="73"/>
      <c r="G4275" s="74" t="s">
        <v>3</v>
      </c>
      <c r="H4275" s="153">
        <f>0.1*0.016*0.8*8*1.13</f>
        <v>1.15712E-2</v>
      </c>
      <c r="I4275" s="72"/>
      <c r="K4275" s="658"/>
    </row>
    <row r="4276" spans="1:11" customFormat="1" x14ac:dyDescent="0.25">
      <c r="A4276" s="661"/>
      <c r="B4276" s="73"/>
      <c r="C4276" s="73"/>
      <c r="D4276" s="73"/>
      <c r="E4276" s="73"/>
      <c r="F4276" s="73"/>
      <c r="G4276" s="74"/>
      <c r="H4276" s="153"/>
      <c r="I4276" s="72"/>
      <c r="K4276" s="658"/>
    </row>
    <row r="4277" spans="1:11" customFormat="1" x14ac:dyDescent="0.25">
      <c r="A4277" s="661"/>
      <c r="B4277" s="75" t="s">
        <v>7752</v>
      </c>
      <c r="C4277" s="73"/>
      <c r="D4277" s="73"/>
      <c r="E4277" s="73"/>
      <c r="F4277" s="73"/>
      <c r="G4277" s="74"/>
      <c r="H4277" s="153"/>
      <c r="I4277" s="72"/>
      <c r="K4277" s="658"/>
    </row>
    <row r="4278" spans="1:11" customFormat="1" x14ac:dyDescent="0.25">
      <c r="A4278" s="661"/>
      <c r="B4278" s="73" t="s">
        <v>2512</v>
      </c>
      <c r="C4278" s="73"/>
      <c r="D4278" s="73"/>
      <c r="E4278" s="73"/>
      <c r="F4278" s="73"/>
      <c r="G4278" s="74" t="s">
        <v>3</v>
      </c>
      <c r="H4278" s="153">
        <f>0.082*0.016*0.8*8*1.13</f>
        <v>9.4883840000000007E-3</v>
      </c>
      <c r="I4278" s="72"/>
      <c r="K4278" s="658"/>
    </row>
    <row r="4279" spans="1:11" customFormat="1" x14ac:dyDescent="0.25">
      <c r="A4279" s="661"/>
      <c r="B4279" s="73"/>
      <c r="C4279" s="73"/>
      <c r="D4279" s="73"/>
      <c r="E4279" s="73"/>
      <c r="F4279" s="73"/>
      <c r="G4279" s="74"/>
      <c r="H4279" s="153"/>
      <c r="I4279" s="72"/>
      <c r="K4279" s="658"/>
    </row>
    <row r="4280" spans="1:11" customFormat="1" x14ac:dyDescent="0.25">
      <c r="A4280" s="661"/>
      <c r="B4280" s="75" t="s">
        <v>7751</v>
      </c>
      <c r="C4280" s="73"/>
      <c r="D4280" s="73"/>
      <c r="E4280" s="73"/>
      <c r="F4280" s="73"/>
      <c r="G4280" s="74"/>
      <c r="H4280" s="153"/>
      <c r="I4280" s="72"/>
      <c r="K4280" s="658"/>
    </row>
    <row r="4281" spans="1:11" customFormat="1" x14ac:dyDescent="0.25">
      <c r="A4281" s="661"/>
      <c r="B4281" s="100" t="s">
        <v>37</v>
      </c>
      <c r="C4281" s="73"/>
      <c r="D4281" s="73"/>
      <c r="E4281" s="73"/>
      <c r="F4281" s="73"/>
      <c r="G4281" s="74" t="s">
        <v>3</v>
      </c>
      <c r="H4281" s="153">
        <f>3*0.04*0.2*1.3-0.001</f>
        <v>3.0200000000000001E-2</v>
      </c>
      <c r="I4281" s="72"/>
      <c r="K4281" s="658"/>
    </row>
    <row r="4282" spans="1:11" customFormat="1" x14ac:dyDescent="0.25">
      <c r="A4282" s="661"/>
      <c r="B4282" s="73" t="s">
        <v>7750</v>
      </c>
      <c r="C4282" s="73"/>
      <c r="D4282" s="73"/>
      <c r="E4282" s="73"/>
      <c r="F4282" s="73"/>
      <c r="G4282" s="74" t="s">
        <v>3</v>
      </c>
      <c r="H4282" s="153">
        <v>5.0000000000000001E-3</v>
      </c>
      <c r="I4282" s="72"/>
      <c r="K4282" s="658"/>
    </row>
    <row r="4283" spans="1:11" customFormat="1" x14ac:dyDescent="0.25">
      <c r="A4283" s="661"/>
      <c r="B4283" s="77" t="s">
        <v>39</v>
      </c>
      <c r="C4283" s="73"/>
      <c r="D4283" s="73"/>
      <c r="E4283" s="73"/>
      <c r="F4283" s="73"/>
      <c r="G4283" s="74" t="s">
        <v>3</v>
      </c>
      <c r="H4283" s="153">
        <f>(0.2+0.28+3/0.15*0.05+0.25)*0.07*1.2</f>
        <v>0.14532</v>
      </c>
      <c r="I4283" s="72"/>
      <c r="K4283" s="658"/>
    </row>
    <row r="4284" spans="1:11" customFormat="1" ht="17.25" x14ac:dyDescent="0.25">
      <c r="A4284" s="661"/>
      <c r="B4284" s="73" t="s">
        <v>1055</v>
      </c>
      <c r="C4284" s="73"/>
      <c r="D4284" s="73"/>
      <c r="E4284" s="73"/>
      <c r="F4284" s="73"/>
      <c r="G4284" s="74" t="s">
        <v>596</v>
      </c>
      <c r="H4284" s="153">
        <f>H4283</f>
        <v>0.14532</v>
      </c>
      <c r="I4284" s="72"/>
      <c r="K4284" s="658"/>
    </row>
    <row r="4285" spans="1:11" customFormat="1" x14ac:dyDescent="0.25">
      <c r="A4285" s="661"/>
      <c r="B4285" s="77" t="s">
        <v>8</v>
      </c>
      <c r="C4285" s="77"/>
      <c r="D4285" s="77"/>
      <c r="E4285" s="73"/>
      <c r="F4285" s="73"/>
      <c r="G4285" s="74" t="s">
        <v>3</v>
      </c>
      <c r="H4285" s="153">
        <f>0.95*0.6*2*0.12*2*1.1-0.001</f>
        <v>0.29995999999999995</v>
      </c>
      <c r="I4285" s="72"/>
      <c r="K4285" s="658"/>
    </row>
    <row r="4286" spans="1:11" customFormat="1" x14ac:dyDescent="0.25">
      <c r="A4286" s="661"/>
      <c r="B4286" s="77" t="s">
        <v>12</v>
      </c>
      <c r="C4286" s="77"/>
      <c r="D4286" s="77"/>
      <c r="E4286" s="73"/>
      <c r="F4286" s="73"/>
      <c r="G4286" s="74" t="s">
        <v>3</v>
      </c>
      <c r="H4286" s="153">
        <f>0.3*H4285</f>
        <v>8.9987999999999985E-2</v>
      </c>
      <c r="I4286" s="72"/>
      <c r="K4286" s="658"/>
    </row>
    <row r="4287" spans="1:11" customFormat="1" x14ac:dyDescent="0.25">
      <c r="A4287" s="661"/>
      <c r="B4287" s="77" t="s">
        <v>9</v>
      </c>
      <c r="C4287" s="77"/>
      <c r="D4287" s="77"/>
      <c r="E4287" s="73"/>
      <c r="F4287" s="73"/>
      <c r="G4287" s="74" t="s">
        <v>3</v>
      </c>
      <c r="H4287" s="153">
        <f>0.95*0.6*2*0.15*2*1.1+0.004</f>
        <v>0.38019999999999998</v>
      </c>
      <c r="I4287" s="72"/>
      <c r="K4287" s="658"/>
    </row>
    <row r="4288" spans="1:11" customFormat="1" x14ac:dyDescent="0.25">
      <c r="A4288" s="661"/>
      <c r="B4288" s="77" t="s">
        <v>11</v>
      </c>
      <c r="C4288" s="77"/>
      <c r="D4288" s="77"/>
      <c r="E4288" s="73"/>
      <c r="F4288" s="73"/>
      <c r="G4288" s="74" t="s">
        <v>3</v>
      </c>
      <c r="H4288" s="153">
        <f>0.3*H4287</f>
        <v>0.11405999999999999</v>
      </c>
      <c r="I4288" s="72"/>
      <c r="K4288" s="658"/>
    </row>
    <row r="4289" spans="1:11" customFormat="1" x14ac:dyDescent="0.25">
      <c r="A4289" s="661"/>
      <c r="B4289" s="73"/>
      <c r="C4289" s="73"/>
      <c r="D4289" s="73"/>
      <c r="E4289" s="73"/>
      <c r="F4289" s="73"/>
      <c r="G4289" s="74"/>
      <c r="H4289" s="153"/>
      <c r="I4289" s="72"/>
      <c r="K4289" s="658"/>
    </row>
    <row r="4290" spans="1:11" customFormat="1" x14ac:dyDescent="0.25">
      <c r="A4290" s="661"/>
      <c r="B4290" s="78" t="s">
        <v>7749</v>
      </c>
      <c r="C4290" s="73"/>
      <c r="D4290" s="73"/>
      <c r="E4290" s="73"/>
      <c r="F4290" s="73"/>
      <c r="G4290" s="74"/>
      <c r="H4290" s="153"/>
      <c r="I4290" s="72"/>
      <c r="K4290" s="658"/>
    </row>
    <row r="4291" spans="1:11" customFormat="1" x14ac:dyDescent="0.25">
      <c r="A4291" s="661"/>
      <c r="B4291" s="77" t="s">
        <v>783</v>
      </c>
      <c r="C4291" s="73"/>
      <c r="D4291" s="73"/>
      <c r="E4291" s="73"/>
      <c r="F4291" s="73"/>
      <c r="G4291" s="74" t="s">
        <v>3</v>
      </c>
      <c r="H4291" s="153">
        <f>0.05*0.038*0.5*8*1.12</f>
        <v>8.5120000000000005E-3</v>
      </c>
      <c r="I4291" s="72"/>
      <c r="K4291" s="658"/>
    </row>
    <row r="4292" spans="1:11" customFormat="1" x14ac:dyDescent="0.25">
      <c r="A4292" s="661"/>
      <c r="B4292" s="73"/>
      <c r="C4292" s="73"/>
      <c r="D4292" s="73"/>
      <c r="E4292" s="73"/>
      <c r="F4292" s="73"/>
      <c r="G4292" s="74"/>
      <c r="H4292" s="153"/>
      <c r="I4292" s="72"/>
      <c r="K4292" s="658"/>
    </row>
    <row r="4293" spans="1:11" customFormat="1" x14ac:dyDescent="0.25">
      <c r="A4293" s="661"/>
      <c r="B4293" s="78" t="s">
        <v>7748</v>
      </c>
      <c r="C4293" s="73"/>
      <c r="D4293" s="73"/>
      <c r="E4293" s="73"/>
      <c r="F4293" s="73"/>
      <c r="G4293" s="74"/>
      <c r="H4293" s="153"/>
      <c r="I4293" s="72"/>
      <c r="K4293" s="658"/>
    </row>
    <row r="4294" spans="1:11" customFormat="1" x14ac:dyDescent="0.25">
      <c r="A4294" s="661"/>
      <c r="B4294" s="77" t="s">
        <v>412</v>
      </c>
      <c r="C4294" s="73"/>
      <c r="D4294" s="73"/>
      <c r="E4294" s="73"/>
      <c r="F4294" s="73"/>
      <c r="G4294" s="74" t="s">
        <v>3</v>
      </c>
      <c r="H4294" s="153">
        <f>0.05*0.038*1*8*1.12</f>
        <v>1.7024000000000001E-2</v>
      </c>
      <c r="I4294" s="72"/>
      <c r="K4294" s="658"/>
    </row>
    <row r="4295" spans="1:11" customFormat="1" x14ac:dyDescent="0.25">
      <c r="A4295" s="661"/>
      <c r="B4295" s="73"/>
      <c r="C4295" s="73"/>
      <c r="D4295" s="73"/>
      <c r="E4295" s="73"/>
      <c r="F4295" s="73"/>
      <c r="G4295" s="74"/>
      <c r="H4295" s="153"/>
      <c r="I4295" s="72"/>
      <c r="K4295" s="658"/>
    </row>
    <row r="4296" spans="1:11" customFormat="1" x14ac:dyDescent="0.25">
      <c r="A4296" s="661"/>
      <c r="B4296" s="78" t="s">
        <v>7747</v>
      </c>
      <c r="C4296" s="73"/>
      <c r="D4296" s="73"/>
      <c r="E4296" s="73"/>
      <c r="F4296" s="73"/>
      <c r="G4296" s="74"/>
      <c r="H4296" s="153"/>
      <c r="I4296" s="72"/>
      <c r="K4296" s="658"/>
    </row>
    <row r="4297" spans="1:11" customFormat="1" x14ac:dyDescent="0.25">
      <c r="A4297" s="661"/>
      <c r="B4297" s="77" t="s">
        <v>783</v>
      </c>
      <c r="C4297" s="73"/>
      <c r="D4297" s="73"/>
      <c r="E4297" s="73"/>
      <c r="F4297" s="73"/>
      <c r="G4297" s="74" t="s">
        <v>3</v>
      </c>
      <c r="H4297" s="153">
        <f>0.05*0.038*2*8*1.15</f>
        <v>3.4959999999999998E-2</v>
      </c>
      <c r="I4297" s="72"/>
      <c r="K4297" s="658"/>
    </row>
    <row r="4298" spans="1:11" customFormat="1" ht="15.75" thickBot="1" x14ac:dyDescent="0.3">
      <c r="A4298" s="660"/>
      <c r="B4298" s="68"/>
      <c r="C4298" s="68"/>
      <c r="D4298" s="68"/>
      <c r="E4298" s="68"/>
      <c r="F4298" s="68"/>
      <c r="G4298" s="82"/>
      <c r="H4298" s="89"/>
      <c r="I4298" s="83"/>
      <c r="K4298" s="658"/>
    </row>
    <row r="4299" spans="1:11" customFormat="1" x14ac:dyDescent="0.25">
      <c r="A4299" s="662"/>
      <c r="B4299" s="93"/>
      <c r="C4299" s="93"/>
      <c r="D4299" s="93"/>
      <c r="E4299" s="93"/>
      <c r="F4299" s="93"/>
      <c r="G4299" s="160"/>
      <c r="H4299" s="261"/>
      <c r="I4299" s="261" t="s">
        <v>7746</v>
      </c>
      <c r="K4299" s="658"/>
    </row>
    <row r="4300" spans="1:11" customFormat="1" x14ac:dyDescent="0.25">
      <c r="A4300" s="661"/>
      <c r="B4300" s="73"/>
      <c r="C4300" s="73"/>
      <c r="D4300" s="73"/>
      <c r="E4300" s="73"/>
      <c r="F4300" s="390" t="s">
        <v>7745</v>
      </c>
      <c r="G4300" s="74"/>
      <c r="H4300" s="153"/>
      <c r="I4300" s="72"/>
      <c r="K4300" s="658"/>
    </row>
    <row r="4301" spans="1:11" customFormat="1" x14ac:dyDescent="0.25">
      <c r="A4301" s="661"/>
      <c r="B4301" s="73"/>
      <c r="C4301" s="73"/>
      <c r="D4301" s="73"/>
      <c r="E4301" s="73"/>
      <c r="F4301" s="73"/>
      <c r="G4301" s="74"/>
      <c r="H4301" s="153"/>
      <c r="I4301" s="72"/>
      <c r="K4301" s="658"/>
    </row>
    <row r="4302" spans="1:11" customFormat="1" x14ac:dyDescent="0.25">
      <c r="A4302" s="661"/>
      <c r="B4302" s="75" t="s">
        <v>7744</v>
      </c>
      <c r="C4302" s="73"/>
      <c r="D4302" s="73"/>
      <c r="E4302" s="73"/>
      <c r="F4302" s="73"/>
      <c r="G4302" s="74"/>
      <c r="H4302" s="153"/>
      <c r="I4302" s="72"/>
      <c r="K4302" s="658"/>
    </row>
    <row r="4303" spans="1:11" customFormat="1" x14ac:dyDescent="0.25">
      <c r="A4303" s="661"/>
      <c r="B4303" s="77" t="s">
        <v>1054</v>
      </c>
      <c r="C4303" s="73"/>
      <c r="D4303" s="73"/>
      <c r="E4303" s="73"/>
      <c r="F4303" s="73"/>
      <c r="G4303" s="152" t="s">
        <v>3</v>
      </c>
      <c r="H4303" s="153">
        <f>(0.055*3.14+0.07*3.14+0.015*3.14)*0.08*1.15</f>
        <v>4.0443200000000012E-2</v>
      </c>
      <c r="I4303" s="72"/>
      <c r="K4303" s="658"/>
    </row>
    <row r="4304" spans="1:11" customFormat="1" ht="17.25" x14ac:dyDescent="0.25">
      <c r="A4304" s="661"/>
      <c r="B4304" s="77" t="s">
        <v>1055</v>
      </c>
      <c r="C4304" s="73"/>
      <c r="D4304" s="73"/>
      <c r="E4304" s="73"/>
      <c r="F4304" s="73"/>
      <c r="G4304" s="74" t="s">
        <v>596</v>
      </c>
      <c r="H4304" s="153">
        <f>H4303*1.1+0.001</f>
        <v>4.5487520000000017E-2</v>
      </c>
      <c r="I4304" s="72"/>
      <c r="K4304" s="658"/>
    </row>
    <row r="4305" spans="1:11" customFormat="1" x14ac:dyDescent="0.25">
      <c r="A4305" s="661"/>
      <c r="B4305" s="77" t="s">
        <v>8</v>
      </c>
      <c r="C4305" s="73"/>
      <c r="D4305" s="73"/>
      <c r="E4305" s="73"/>
      <c r="F4305" s="73"/>
      <c r="G4305" s="74" t="s">
        <v>3</v>
      </c>
      <c r="H4305" s="153">
        <f>H4307*0.65</f>
        <v>1.1914500000000001E-2</v>
      </c>
      <c r="I4305" s="72"/>
      <c r="K4305" s="658"/>
    </row>
    <row r="4306" spans="1:11" customFormat="1" x14ac:dyDescent="0.25">
      <c r="A4306" s="661"/>
      <c r="B4306" s="77" t="s">
        <v>12</v>
      </c>
      <c r="C4306" s="73"/>
      <c r="D4306" s="73"/>
      <c r="E4306" s="73"/>
      <c r="F4306" s="73"/>
      <c r="G4306" s="74" t="s">
        <v>3</v>
      </c>
      <c r="H4306" s="153">
        <f>0.3*H4305+0.001</f>
        <v>4.5743500000000005E-3</v>
      </c>
      <c r="I4306" s="72"/>
      <c r="K4306" s="658"/>
    </row>
    <row r="4307" spans="1:11" customFormat="1" x14ac:dyDescent="0.25">
      <c r="A4307" s="661"/>
      <c r="B4307" s="77" t="s">
        <v>72</v>
      </c>
      <c r="C4307" s="73"/>
      <c r="D4307" s="73"/>
      <c r="E4307" s="73"/>
      <c r="F4307" s="73"/>
      <c r="G4307" s="74" t="s">
        <v>3</v>
      </c>
      <c r="H4307" s="153">
        <f>(0.17*0.03+0.13*0.1*0.15)*2*1.3</f>
        <v>1.8330000000000003E-2</v>
      </c>
      <c r="I4307" s="72"/>
      <c r="K4307" s="658"/>
    </row>
    <row r="4308" spans="1:11" customFormat="1" x14ac:dyDescent="0.25">
      <c r="A4308" s="661"/>
      <c r="B4308" s="77" t="s">
        <v>11</v>
      </c>
      <c r="C4308" s="73"/>
      <c r="D4308" s="73"/>
      <c r="E4308" s="73"/>
      <c r="F4308" s="73"/>
      <c r="G4308" s="74" t="s">
        <v>3</v>
      </c>
      <c r="H4308" s="153">
        <f>0.3*H4307</f>
        <v>5.4990000000000004E-3</v>
      </c>
      <c r="I4308" s="72"/>
      <c r="K4308" s="658"/>
    </row>
    <row r="4309" spans="1:11" customFormat="1" x14ac:dyDescent="0.25">
      <c r="A4309" s="661"/>
      <c r="B4309" s="73"/>
      <c r="C4309" s="75" t="s">
        <v>7743</v>
      </c>
      <c r="D4309" s="73"/>
      <c r="E4309" s="73"/>
      <c r="F4309" s="73"/>
      <c r="G4309" s="74"/>
      <c r="H4309" s="153"/>
      <c r="I4309" s="72"/>
      <c r="K4309" s="658"/>
    </row>
    <row r="4310" spans="1:11" customFormat="1" x14ac:dyDescent="0.25">
      <c r="A4310" s="661"/>
      <c r="B4310" s="73"/>
      <c r="C4310" s="73" t="s">
        <v>7742</v>
      </c>
      <c r="D4310" s="73"/>
      <c r="E4310" s="73"/>
      <c r="F4310" s="73"/>
      <c r="G4310" s="74" t="s">
        <v>3</v>
      </c>
      <c r="H4310" s="153">
        <f>0.13*0.1*4*8*1.129</f>
        <v>0.46966400000000003</v>
      </c>
      <c r="I4310" s="72"/>
      <c r="K4310" s="658"/>
    </row>
    <row r="4311" spans="1:11" customFormat="1" x14ac:dyDescent="0.25">
      <c r="A4311" s="661"/>
      <c r="B4311" s="73"/>
      <c r="C4311" s="73"/>
      <c r="D4311" s="73"/>
      <c r="E4311" s="73"/>
      <c r="F4311" s="73"/>
      <c r="G4311" s="74"/>
      <c r="H4311" s="153"/>
      <c r="I4311" s="72"/>
      <c r="K4311" s="658"/>
    </row>
    <row r="4312" spans="1:11" customFormat="1" x14ac:dyDescent="0.25">
      <c r="A4312" s="661"/>
      <c r="B4312" s="75" t="s">
        <v>7741</v>
      </c>
      <c r="C4312" s="73"/>
      <c r="D4312" s="73"/>
      <c r="E4312" s="73"/>
      <c r="F4312" s="73"/>
      <c r="G4312" s="74"/>
      <c r="H4312" s="153"/>
      <c r="I4312" s="72"/>
      <c r="K4312" s="658"/>
    </row>
    <row r="4313" spans="1:11" customFormat="1" x14ac:dyDescent="0.25">
      <c r="A4313" s="661"/>
      <c r="B4313" s="77" t="s">
        <v>1054</v>
      </c>
      <c r="C4313" s="73"/>
      <c r="D4313" s="73"/>
      <c r="E4313" s="73"/>
      <c r="F4313" s="73"/>
      <c r="G4313" s="152" t="s">
        <v>3</v>
      </c>
      <c r="H4313" s="153">
        <f>(0.21+0.012*3.14*2)*0.08*1.1</f>
        <v>2.5111680000000001E-2</v>
      </c>
      <c r="I4313" s="72"/>
      <c r="K4313" s="658"/>
    </row>
    <row r="4314" spans="1:11" customFormat="1" ht="17.25" x14ac:dyDescent="0.25">
      <c r="A4314" s="661"/>
      <c r="B4314" s="77" t="s">
        <v>1055</v>
      </c>
      <c r="C4314" s="73"/>
      <c r="D4314" s="73"/>
      <c r="E4314" s="73"/>
      <c r="F4314" s="73"/>
      <c r="G4314" s="74" t="s">
        <v>596</v>
      </c>
      <c r="H4314" s="153">
        <f>H4313*1.1+0.002</f>
        <v>2.9622848E-2</v>
      </c>
      <c r="I4314" s="72"/>
      <c r="K4314" s="658"/>
    </row>
    <row r="4315" spans="1:11" customFormat="1" x14ac:dyDescent="0.25">
      <c r="A4315" s="661"/>
      <c r="B4315" s="77" t="s">
        <v>8</v>
      </c>
      <c r="C4315" s="73"/>
      <c r="D4315" s="73"/>
      <c r="E4315" s="73"/>
      <c r="F4315" s="73"/>
      <c r="G4315" s="74" t="s">
        <v>3</v>
      </c>
      <c r="H4315" s="153">
        <f>0.7*H4316</f>
        <v>1.5119999999999998E-2</v>
      </c>
      <c r="I4315" s="72"/>
      <c r="K4315" s="658"/>
    </row>
    <row r="4316" spans="1:11" customFormat="1" x14ac:dyDescent="0.25">
      <c r="A4316" s="661"/>
      <c r="B4316" s="73" t="s">
        <v>3227</v>
      </c>
      <c r="C4316" s="73"/>
      <c r="D4316" s="73"/>
      <c r="E4316" s="73"/>
      <c r="F4316" s="73"/>
      <c r="G4316" s="74" t="s">
        <v>3</v>
      </c>
      <c r="H4316" s="153">
        <f>0.3*0.1*2*0.15*2*1.2</f>
        <v>2.1599999999999998E-2</v>
      </c>
      <c r="I4316" s="72"/>
      <c r="K4316" s="658"/>
    </row>
    <row r="4317" spans="1:11" customFormat="1" x14ac:dyDescent="0.25">
      <c r="A4317" s="661"/>
      <c r="B4317" s="77" t="s">
        <v>12</v>
      </c>
      <c r="C4317" s="73"/>
      <c r="D4317" s="73"/>
      <c r="E4317" s="73"/>
      <c r="F4317" s="73"/>
      <c r="G4317" s="74" t="s">
        <v>3</v>
      </c>
      <c r="H4317" s="153">
        <f>0.3*(H4316+H4315)</f>
        <v>1.1015999999999998E-2</v>
      </c>
      <c r="I4317" s="72"/>
      <c r="K4317" s="658"/>
    </row>
    <row r="4318" spans="1:11" customFormat="1" x14ac:dyDescent="0.25">
      <c r="A4318" s="661"/>
      <c r="B4318" s="73"/>
      <c r="C4318" s="75" t="s">
        <v>7740</v>
      </c>
      <c r="D4318" s="73"/>
      <c r="E4318" s="73"/>
      <c r="F4318" s="73"/>
      <c r="G4318" s="74"/>
      <c r="H4318" s="153"/>
      <c r="I4318" s="72"/>
      <c r="K4318" s="658"/>
    </row>
    <row r="4319" spans="1:11" customFormat="1" x14ac:dyDescent="0.25">
      <c r="A4319" s="661"/>
      <c r="B4319" s="73"/>
      <c r="C4319" s="73" t="s">
        <v>7738</v>
      </c>
      <c r="D4319" s="73"/>
      <c r="E4319" s="73"/>
      <c r="F4319" s="73"/>
      <c r="G4319" s="74" t="s">
        <v>3</v>
      </c>
      <c r="H4319" s="153">
        <f>0.15*0.06*3*8*1.11</f>
        <v>0.23976</v>
      </c>
      <c r="I4319" s="72"/>
      <c r="K4319" s="658"/>
    </row>
    <row r="4320" spans="1:11" customFormat="1" x14ac:dyDescent="0.25">
      <c r="A4320" s="661"/>
      <c r="B4320" s="73"/>
      <c r="C4320" s="75" t="s">
        <v>7739</v>
      </c>
      <c r="D4320" s="73"/>
      <c r="E4320" s="73"/>
      <c r="F4320" s="73"/>
      <c r="G4320" s="74"/>
      <c r="H4320" s="153"/>
      <c r="I4320" s="72"/>
      <c r="K4320" s="658"/>
    </row>
    <row r="4321" spans="1:11" customFormat="1" x14ac:dyDescent="0.25">
      <c r="A4321" s="661"/>
      <c r="B4321" s="73"/>
      <c r="C4321" s="73" t="s">
        <v>7738</v>
      </c>
      <c r="D4321" s="73"/>
      <c r="E4321" s="73"/>
      <c r="F4321" s="73"/>
      <c r="G4321" s="74" t="s">
        <v>3</v>
      </c>
      <c r="H4321" s="153">
        <f>0.25*0.095*3*8*1.122</f>
        <v>0.63954000000000011</v>
      </c>
      <c r="I4321" s="72"/>
      <c r="K4321" s="658"/>
    </row>
    <row r="4322" spans="1:11" customFormat="1" ht="15.75" thickBot="1" x14ac:dyDescent="0.3">
      <c r="A4322" s="660"/>
      <c r="B4322" s="68"/>
      <c r="C4322" s="68"/>
      <c r="D4322" s="68"/>
      <c r="E4322" s="68"/>
      <c r="F4322" s="68"/>
      <c r="G4322" s="82"/>
      <c r="H4322" s="89"/>
      <c r="I4322" s="83"/>
      <c r="K4322" s="658"/>
    </row>
    <row r="4323" spans="1:11" customFormat="1" x14ac:dyDescent="0.25">
      <c r="A4323" s="662"/>
      <c r="B4323" s="93"/>
      <c r="C4323" s="93"/>
      <c r="D4323" s="93"/>
      <c r="E4323" s="93"/>
      <c r="F4323" s="93"/>
      <c r="G4323" s="160"/>
      <c r="H4323" s="182"/>
      <c r="I4323" s="176" t="s">
        <v>7737</v>
      </c>
      <c r="K4323" s="658"/>
    </row>
    <row r="4324" spans="1:11" customFormat="1" x14ac:dyDescent="0.25">
      <c r="A4324" s="661"/>
      <c r="B4324" s="75" t="s">
        <v>7736</v>
      </c>
      <c r="C4324" s="73"/>
      <c r="D4324" s="73"/>
      <c r="E4324" s="73"/>
      <c r="F4324" s="73"/>
      <c r="G4324" s="74"/>
      <c r="H4324" s="153"/>
      <c r="I4324" s="72"/>
      <c r="K4324" s="658"/>
    </row>
    <row r="4325" spans="1:11" customFormat="1" x14ac:dyDescent="0.25">
      <c r="A4325" s="661"/>
      <c r="B4325" s="73" t="s">
        <v>7735</v>
      </c>
      <c r="C4325" s="73"/>
      <c r="D4325" s="73"/>
      <c r="E4325" s="73"/>
      <c r="F4325" s="73"/>
      <c r="G4325" s="74" t="s">
        <v>3</v>
      </c>
      <c r="H4325" s="153">
        <f>0.06*0.007*5*8*1.125</f>
        <v>1.8900000000000004E-2</v>
      </c>
      <c r="I4325" s="72"/>
      <c r="K4325" s="658"/>
    </row>
    <row r="4326" spans="1:11" customFormat="1" x14ac:dyDescent="0.25">
      <c r="A4326" s="661"/>
      <c r="B4326" s="73"/>
      <c r="C4326" s="73"/>
      <c r="D4326" s="73"/>
      <c r="E4326" s="73"/>
      <c r="F4326" s="73"/>
      <c r="G4326" s="74"/>
      <c r="H4326" s="153"/>
      <c r="I4326" s="72"/>
      <c r="K4326" s="658"/>
    </row>
    <row r="4327" spans="1:11" customFormat="1" x14ac:dyDescent="0.25">
      <c r="A4327" s="661"/>
      <c r="B4327" s="75" t="s">
        <v>7734</v>
      </c>
      <c r="C4327" s="73"/>
      <c r="D4327" s="73"/>
      <c r="E4327" s="73"/>
      <c r="F4327" s="73"/>
      <c r="G4327" s="74"/>
      <c r="H4327" s="153"/>
      <c r="I4327" s="72"/>
      <c r="K4327" s="658"/>
    </row>
    <row r="4328" spans="1:11" customFormat="1" x14ac:dyDescent="0.25">
      <c r="A4328" s="661"/>
      <c r="B4328" s="73" t="s">
        <v>7733</v>
      </c>
      <c r="C4328" s="73"/>
      <c r="D4328" s="73"/>
      <c r="E4328" s="73"/>
      <c r="F4328" s="73"/>
      <c r="G4328" s="74" t="s">
        <v>3</v>
      </c>
      <c r="H4328" s="153">
        <f>0.962*0.22-0.002</f>
        <v>0.20963999999999999</v>
      </c>
      <c r="I4328" s="72"/>
      <c r="K4328" s="658" t="s">
        <v>7732</v>
      </c>
    </row>
    <row r="4329" spans="1:11" customFormat="1" x14ac:dyDescent="0.25">
      <c r="A4329" s="661"/>
      <c r="B4329" s="73"/>
      <c r="C4329" s="73"/>
      <c r="D4329" s="73"/>
      <c r="E4329" s="73"/>
      <c r="F4329" s="73"/>
      <c r="G4329" s="74"/>
      <c r="H4329" s="153"/>
      <c r="I4329" s="72"/>
      <c r="K4329" s="658"/>
    </row>
    <row r="4330" spans="1:11" customFormat="1" x14ac:dyDescent="0.25">
      <c r="A4330" s="661"/>
      <c r="B4330" s="75" t="s">
        <v>6237</v>
      </c>
      <c r="C4330" s="73"/>
      <c r="D4330" s="73"/>
      <c r="E4330" s="73"/>
      <c r="F4330" s="73"/>
      <c r="G4330" s="74"/>
      <c r="H4330" s="153"/>
      <c r="I4330" s="72"/>
      <c r="K4330" s="658"/>
    </row>
    <row r="4331" spans="1:11" customFormat="1" x14ac:dyDescent="0.25">
      <c r="A4331" s="661"/>
      <c r="B4331" s="77" t="s">
        <v>1054</v>
      </c>
      <c r="C4331" s="73"/>
      <c r="D4331" s="73"/>
      <c r="E4331" s="73"/>
      <c r="F4331" s="73"/>
      <c r="G4331" s="152" t="s">
        <v>3</v>
      </c>
      <c r="H4331" s="153">
        <f>0.022*3.14*0.08*1.2</f>
        <v>6.63168E-3</v>
      </c>
      <c r="I4331" s="72"/>
      <c r="K4331" s="658"/>
    </row>
    <row r="4332" spans="1:11" customFormat="1" ht="17.25" x14ac:dyDescent="0.25">
      <c r="A4332" s="661"/>
      <c r="B4332" s="77" t="s">
        <v>1055</v>
      </c>
      <c r="C4332" s="73"/>
      <c r="D4332" s="73"/>
      <c r="E4332" s="73"/>
      <c r="F4332" s="73"/>
      <c r="G4332" s="74" t="s">
        <v>596</v>
      </c>
      <c r="H4332" s="153">
        <f>H4331*1.1+0.002</f>
        <v>9.2948480000000014E-3</v>
      </c>
      <c r="I4332" s="72"/>
      <c r="K4332" s="658"/>
    </row>
    <row r="4333" spans="1:11" customFormat="1" x14ac:dyDescent="0.25">
      <c r="A4333" s="661"/>
      <c r="B4333" s="73"/>
      <c r="C4333" s="75" t="s">
        <v>6236</v>
      </c>
      <c r="D4333" s="73"/>
      <c r="E4333" s="73"/>
      <c r="F4333" s="73"/>
      <c r="G4333" s="74"/>
      <c r="H4333" s="153"/>
      <c r="I4333" s="72"/>
      <c r="K4333" s="658"/>
    </row>
    <row r="4334" spans="1:11" customFormat="1" x14ac:dyDescent="0.25">
      <c r="A4334" s="661"/>
      <c r="B4334" s="73"/>
      <c r="C4334" s="73" t="s">
        <v>7731</v>
      </c>
      <c r="D4334" s="73"/>
      <c r="E4334" s="73"/>
      <c r="F4334" s="73"/>
      <c r="G4334" s="74" t="s">
        <v>3</v>
      </c>
      <c r="H4334" s="153">
        <f>2.73*0.055</f>
        <v>0.15015000000000001</v>
      </c>
      <c r="I4334" s="72"/>
      <c r="K4334" s="658" t="s">
        <v>1980</v>
      </c>
    </row>
    <row r="4335" spans="1:11" customFormat="1" x14ac:dyDescent="0.25">
      <c r="A4335" s="661"/>
      <c r="B4335" s="73"/>
      <c r="C4335" s="73"/>
      <c r="D4335" s="73"/>
      <c r="E4335" s="73"/>
      <c r="F4335" s="73"/>
      <c r="G4335" s="74"/>
      <c r="H4335" s="153"/>
      <c r="I4335" s="72"/>
      <c r="K4335" s="658"/>
    </row>
    <row r="4336" spans="1:11" customFormat="1" x14ac:dyDescent="0.25">
      <c r="A4336" s="661"/>
      <c r="B4336" s="75" t="s">
        <v>7730</v>
      </c>
      <c r="C4336" s="73"/>
      <c r="D4336" s="73"/>
      <c r="E4336" s="73"/>
      <c r="F4336" s="73"/>
      <c r="G4336" s="74"/>
      <c r="H4336" s="153"/>
      <c r="I4336" s="72"/>
      <c r="K4336" s="658"/>
    </row>
    <row r="4337" spans="1:11" customFormat="1" x14ac:dyDescent="0.25">
      <c r="A4337" s="661"/>
      <c r="B4337" s="77" t="s">
        <v>1054</v>
      </c>
      <c r="C4337" s="73"/>
      <c r="D4337" s="73"/>
      <c r="E4337" s="73"/>
      <c r="F4337" s="73"/>
      <c r="G4337" s="152" t="s">
        <v>3</v>
      </c>
      <c r="H4337" s="153">
        <f>(0.8+0.07+0.1+0.05)*0.08*1.1</f>
        <v>8.976000000000002E-2</v>
      </c>
      <c r="I4337" s="72"/>
      <c r="K4337" s="658"/>
    </row>
    <row r="4338" spans="1:11" customFormat="1" ht="17.25" x14ac:dyDescent="0.25">
      <c r="A4338" s="661"/>
      <c r="B4338" s="77" t="s">
        <v>1055</v>
      </c>
      <c r="C4338" s="73"/>
      <c r="D4338" s="73"/>
      <c r="E4338" s="73"/>
      <c r="F4338" s="73"/>
      <c r="G4338" s="74" t="s">
        <v>596</v>
      </c>
      <c r="H4338" s="153">
        <f>H4337*1.1+0.001</f>
        <v>9.9736000000000033E-2</v>
      </c>
      <c r="I4338" s="72"/>
      <c r="K4338" s="658"/>
    </row>
    <row r="4339" spans="1:11" customFormat="1" x14ac:dyDescent="0.25">
      <c r="A4339" s="661"/>
      <c r="B4339" s="73" t="s">
        <v>8</v>
      </c>
      <c r="C4339" s="73"/>
      <c r="D4339" s="73"/>
      <c r="E4339" s="73"/>
      <c r="F4339" s="73"/>
      <c r="G4339" s="74" t="s">
        <v>3</v>
      </c>
      <c r="H4339" s="153">
        <f>H4341*0.6</f>
        <v>5.9978879999999991E-2</v>
      </c>
      <c r="I4339" s="72"/>
      <c r="K4339" s="658"/>
    </row>
    <row r="4340" spans="1:11" customFormat="1" x14ac:dyDescent="0.25">
      <c r="A4340" s="661"/>
      <c r="B4340" s="73" t="s">
        <v>12</v>
      </c>
      <c r="C4340" s="73"/>
      <c r="D4340" s="73"/>
      <c r="E4340" s="73"/>
      <c r="F4340" s="73"/>
      <c r="G4340" s="74" t="s">
        <v>3</v>
      </c>
      <c r="H4340" s="153">
        <f>0.3*H4339</f>
        <v>1.7993663999999996E-2</v>
      </c>
      <c r="I4340" s="72"/>
      <c r="K4340" s="658"/>
    </row>
    <row r="4341" spans="1:11" customFormat="1" x14ac:dyDescent="0.25">
      <c r="A4341" s="661"/>
      <c r="B4341" s="73" t="s">
        <v>72</v>
      </c>
      <c r="C4341" s="73"/>
      <c r="D4341" s="73"/>
      <c r="E4341" s="73"/>
      <c r="F4341" s="73"/>
      <c r="G4341" s="74" t="s">
        <v>3</v>
      </c>
      <c r="H4341" s="153">
        <f>(0.3*0.22+0.28*0.17+0.48*0.06)*2*0.15*2*1.17</f>
        <v>9.9964799999999993E-2</v>
      </c>
      <c r="I4341" s="72"/>
      <c r="K4341" s="658"/>
    </row>
    <row r="4342" spans="1:11" customFormat="1" x14ac:dyDescent="0.25">
      <c r="A4342" s="661"/>
      <c r="B4342" s="73" t="s">
        <v>11</v>
      </c>
      <c r="C4342" s="73"/>
      <c r="D4342" s="73"/>
      <c r="E4342" s="73"/>
      <c r="F4342" s="73"/>
      <c r="G4342" s="74" t="s">
        <v>3</v>
      </c>
      <c r="H4342" s="153">
        <f>0.3*H4341</f>
        <v>2.9989439999999996E-2</v>
      </c>
      <c r="I4342" s="72"/>
      <c r="K4342" s="658"/>
    </row>
    <row r="4343" spans="1:11" customFormat="1" x14ac:dyDescent="0.25">
      <c r="A4343" s="661"/>
      <c r="B4343" s="73"/>
      <c r="C4343" s="75" t="s">
        <v>7729</v>
      </c>
      <c r="D4343" s="73"/>
      <c r="E4343" s="73"/>
      <c r="F4343" s="73"/>
      <c r="G4343" s="74"/>
      <c r="H4343" s="153"/>
      <c r="I4343" s="72"/>
      <c r="K4343" s="658"/>
    </row>
    <row r="4344" spans="1:11" customFormat="1" x14ac:dyDescent="0.25">
      <c r="A4344" s="661"/>
      <c r="B4344" s="73"/>
      <c r="C4344" s="73" t="s">
        <v>7648</v>
      </c>
      <c r="D4344" s="73"/>
      <c r="E4344" s="73"/>
      <c r="F4344" s="73"/>
      <c r="G4344" s="74" t="s">
        <v>3</v>
      </c>
      <c r="H4344" s="153">
        <f>0.3*0.22*5*8*1.1365</f>
        <v>3.0003600000000001</v>
      </c>
      <c r="I4344" s="72"/>
      <c r="K4344" s="658"/>
    </row>
    <row r="4345" spans="1:11" customFormat="1" x14ac:dyDescent="0.25">
      <c r="A4345" s="661"/>
      <c r="B4345" s="73"/>
      <c r="C4345" s="75" t="s">
        <v>7728</v>
      </c>
      <c r="D4345" s="73"/>
      <c r="E4345" s="73"/>
      <c r="F4345" s="73"/>
      <c r="G4345" s="74"/>
      <c r="H4345" s="153"/>
      <c r="I4345" s="72"/>
      <c r="K4345" s="658"/>
    </row>
    <row r="4346" spans="1:11" customFormat="1" x14ac:dyDescent="0.25">
      <c r="A4346" s="661"/>
      <c r="B4346" s="73"/>
      <c r="C4346" s="73" t="s">
        <v>7727</v>
      </c>
      <c r="D4346" s="73"/>
      <c r="E4346" s="73"/>
      <c r="F4346" s="73"/>
      <c r="G4346" s="74" t="s">
        <v>3</v>
      </c>
      <c r="H4346" s="153">
        <f>0.29*0.16*3*8*1.1225</f>
        <v>1.250016</v>
      </c>
      <c r="I4346" s="72"/>
      <c r="K4346" s="658"/>
    </row>
    <row r="4347" spans="1:11" customFormat="1" x14ac:dyDescent="0.25">
      <c r="A4347" s="661"/>
      <c r="B4347" s="73"/>
      <c r="C4347" s="75" t="s">
        <v>7726</v>
      </c>
      <c r="D4347" s="73"/>
      <c r="E4347" s="73"/>
      <c r="F4347" s="73"/>
      <c r="G4347" s="74"/>
      <c r="H4347" s="153"/>
      <c r="I4347" s="72"/>
      <c r="K4347" s="658"/>
    </row>
    <row r="4348" spans="1:11" customFormat="1" x14ac:dyDescent="0.25">
      <c r="A4348" s="661"/>
      <c r="B4348" s="73"/>
      <c r="C4348" s="73" t="s">
        <v>7648</v>
      </c>
      <c r="D4348" s="73"/>
      <c r="E4348" s="73"/>
      <c r="F4348" s="73"/>
      <c r="G4348" s="74" t="s">
        <v>3</v>
      </c>
      <c r="H4348" s="153">
        <f>0.036*0.03*5*8*1.15</f>
        <v>4.9679999999999981E-2</v>
      </c>
      <c r="I4348" s="72"/>
      <c r="K4348" s="658"/>
    </row>
    <row r="4349" spans="1:11" customFormat="1" x14ac:dyDescent="0.25">
      <c r="A4349" s="661"/>
      <c r="B4349" s="73"/>
      <c r="C4349" s="75" t="s">
        <v>7725</v>
      </c>
      <c r="D4349" s="73"/>
      <c r="E4349" s="73"/>
      <c r="F4349" s="73"/>
      <c r="G4349" s="74"/>
      <c r="H4349" s="153"/>
      <c r="I4349" s="72"/>
      <c r="K4349" s="658"/>
    </row>
    <row r="4350" spans="1:11" customFormat="1" x14ac:dyDescent="0.25">
      <c r="A4350" s="661"/>
      <c r="B4350" s="73"/>
      <c r="C4350" s="73" t="s">
        <v>7648</v>
      </c>
      <c r="D4350" s="73"/>
      <c r="E4350" s="73"/>
      <c r="F4350" s="73"/>
      <c r="G4350" s="74" t="s">
        <v>3</v>
      </c>
      <c r="H4350" s="153">
        <f>0.48*0.055*5*8*1.136</f>
        <v>1.199616</v>
      </c>
      <c r="I4350" s="72"/>
      <c r="K4350" s="658"/>
    </row>
    <row r="4351" spans="1:11" customFormat="1" x14ac:dyDescent="0.25">
      <c r="A4351" s="661"/>
      <c r="B4351" s="73"/>
      <c r="C4351" s="73"/>
      <c r="D4351" s="73"/>
      <c r="E4351" s="73"/>
      <c r="F4351" s="73"/>
      <c r="G4351" s="74"/>
      <c r="H4351" s="153"/>
      <c r="I4351" s="72"/>
      <c r="K4351" s="658"/>
    </row>
    <row r="4352" spans="1:11" customFormat="1" x14ac:dyDescent="0.25">
      <c r="A4352" s="661"/>
      <c r="B4352" s="75" t="s">
        <v>7724</v>
      </c>
      <c r="C4352" s="73"/>
      <c r="D4352" s="73"/>
      <c r="E4352" s="73"/>
      <c r="F4352" s="73"/>
      <c r="G4352" s="74"/>
      <c r="H4352" s="153"/>
      <c r="I4352" s="72"/>
      <c r="K4352" s="658"/>
    </row>
    <row r="4353" spans="1:11" customFormat="1" x14ac:dyDescent="0.25">
      <c r="A4353" s="661"/>
      <c r="B4353" s="73" t="s">
        <v>7723</v>
      </c>
      <c r="C4353" s="73"/>
      <c r="D4353" s="73"/>
      <c r="E4353" s="73"/>
      <c r="F4353" s="73"/>
      <c r="G4353" s="74" t="s">
        <v>3</v>
      </c>
      <c r="H4353" s="153">
        <f>0.145*0.07*3*8*1.129</f>
        <v>0.27502440000000006</v>
      </c>
      <c r="I4353" s="72"/>
      <c r="K4353" s="658"/>
    </row>
    <row r="4354" spans="1:11" customFormat="1" x14ac:dyDescent="0.25">
      <c r="A4354" s="661"/>
      <c r="B4354" s="73"/>
      <c r="C4354" s="73"/>
      <c r="D4354" s="73"/>
      <c r="E4354" s="73"/>
      <c r="F4354" s="73"/>
      <c r="G4354" s="74"/>
      <c r="H4354" s="153"/>
      <c r="I4354" s="72"/>
      <c r="K4354" s="658"/>
    </row>
    <row r="4355" spans="1:11" customFormat="1" x14ac:dyDescent="0.25">
      <c r="A4355" s="661"/>
      <c r="B4355" s="75" t="s">
        <v>7722</v>
      </c>
      <c r="C4355" s="73"/>
      <c r="D4355" s="73"/>
      <c r="E4355" s="73"/>
      <c r="F4355" s="73"/>
      <c r="G4355" s="74"/>
      <c r="H4355" s="153"/>
      <c r="I4355" s="72"/>
      <c r="K4355" s="658"/>
    </row>
    <row r="4356" spans="1:11" customFormat="1" x14ac:dyDescent="0.25">
      <c r="A4356" s="661"/>
      <c r="B4356" s="73" t="s">
        <v>7721</v>
      </c>
      <c r="C4356" s="73"/>
      <c r="D4356" s="73"/>
      <c r="E4356" s="73"/>
      <c r="F4356" s="73"/>
      <c r="G4356" s="74" t="s">
        <v>3</v>
      </c>
      <c r="H4356" s="153">
        <f>0.065*0.035*3*8*1.1</f>
        <v>6.0060000000000009E-2</v>
      </c>
      <c r="I4356" s="72"/>
      <c r="K4356" s="658"/>
    </row>
    <row r="4357" spans="1:11" customFormat="1" x14ac:dyDescent="0.25">
      <c r="A4357" s="661"/>
      <c r="B4357" s="73"/>
      <c r="C4357" s="73"/>
      <c r="D4357" s="73"/>
      <c r="E4357" s="73"/>
      <c r="F4357" s="73"/>
      <c r="G4357" s="74"/>
      <c r="H4357" s="153"/>
      <c r="I4357" s="72"/>
      <c r="K4357" s="658"/>
    </row>
    <row r="4358" spans="1:11" customFormat="1" x14ac:dyDescent="0.25">
      <c r="A4358" s="661"/>
      <c r="B4358" s="75" t="s">
        <v>7720</v>
      </c>
      <c r="C4358" s="73"/>
      <c r="D4358" s="73"/>
      <c r="E4358" s="73"/>
      <c r="F4358" s="73"/>
      <c r="G4358" s="74"/>
      <c r="H4358" s="153"/>
      <c r="I4358" s="72"/>
      <c r="K4358" s="658"/>
    </row>
    <row r="4359" spans="1:11" customFormat="1" x14ac:dyDescent="0.25">
      <c r="A4359" s="661"/>
      <c r="B4359" s="73" t="s">
        <v>7648</v>
      </c>
      <c r="C4359" s="73"/>
      <c r="D4359" s="73"/>
      <c r="E4359" s="73"/>
      <c r="F4359" s="73"/>
      <c r="G4359" s="74" t="s">
        <v>3</v>
      </c>
      <c r="H4359" s="153">
        <f>0.095*0.115*5*8*1.145</f>
        <v>0.50036500000000006</v>
      </c>
      <c r="I4359" s="72"/>
      <c r="K4359" s="658"/>
    </row>
    <row r="4360" spans="1:11" customFormat="1" x14ac:dyDescent="0.25">
      <c r="A4360" s="661"/>
      <c r="B4360" s="73"/>
      <c r="C4360" s="73"/>
      <c r="D4360" s="73"/>
      <c r="E4360" s="73"/>
      <c r="F4360" s="73"/>
      <c r="G4360" s="74"/>
      <c r="H4360" s="153"/>
      <c r="I4360" s="72"/>
      <c r="K4360" s="658"/>
    </row>
    <row r="4361" spans="1:11" customFormat="1" x14ac:dyDescent="0.25">
      <c r="A4361" s="661"/>
      <c r="B4361" s="75" t="s">
        <v>7719</v>
      </c>
      <c r="C4361" s="73"/>
      <c r="D4361" s="73"/>
      <c r="E4361" s="73"/>
      <c r="F4361" s="73"/>
      <c r="G4361" s="74"/>
      <c r="H4361" s="153"/>
      <c r="I4361" s="72"/>
      <c r="K4361" s="658"/>
    </row>
    <row r="4362" spans="1:11" customFormat="1" x14ac:dyDescent="0.25">
      <c r="A4362" s="661"/>
      <c r="B4362" s="73" t="s">
        <v>7648</v>
      </c>
      <c r="C4362" s="73"/>
      <c r="D4362" s="73"/>
      <c r="E4362" s="73"/>
      <c r="F4362" s="73"/>
      <c r="G4362" s="74" t="s">
        <v>3</v>
      </c>
      <c r="H4362" s="153">
        <f>0.165*0.15*5*8*1.111</f>
        <v>1.09989</v>
      </c>
      <c r="I4362" s="72"/>
      <c r="K4362" s="658"/>
    </row>
    <row r="4363" spans="1:11" customFormat="1" x14ac:dyDescent="0.25">
      <c r="A4363" s="661"/>
      <c r="B4363" s="73"/>
      <c r="C4363" s="73"/>
      <c r="D4363" s="73"/>
      <c r="E4363" s="73"/>
      <c r="F4363" s="73"/>
      <c r="G4363" s="74"/>
      <c r="H4363" s="153"/>
      <c r="I4363" s="72"/>
      <c r="K4363" s="658"/>
    </row>
    <row r="4364" spans="1:11" customFormat="1" x14ac:dyDescent="0.25">
      <c r="A4364" s="661"/>
      <c r="B4364" s="75" t="s">
        <v>7718</v>
      </c>
      <c r="C4364" s="73"/>
      <c r="D4364" s="73"/>
      <c r="E4364" s="73"/>
      <c r="F4364" s="73"/>
      <c r="G4364" s="74"/>
      <c r="H4364" s="153"/>
      <c r="I4364" s="72"/>
      <c r="K4364" s="658"/>
    </row>
    <row r="4365" spans="1:11" customFormat="1" x14ac:dyDescent="0.25">
      <c r="A4365" s="661"/>
      <c r="B4365" s="73" t="s">
        <v>7648</v>
      </c>
      <c r="C4365" s="73"/>
      <c r="D4365" s="73"/>
      <c r="E4365" s="73"/>
      <c r="F4365" s="73"/>
      <c r="G4365" s="74" t="s">
        <v>3</v>
      </c>
      <c r="H4365" s="153">
        <f>0.085*0.018*5*8*1.1</f>
        <v>6.7320000000000005E-2</v>
      </c>
      <c r="I4365" s="72"/>
      <c r="K4365" s="658"/>
    </row>
    <row r="4366" spans="1:11" customFormat="1" x14ac:dyDescent="0.25">
      <c r="A4366" s="661"/>
      <c r="B4366" s="73"/>
      <c r="C4366" s="73"/>
      <c r="D4366" s="73"/>
      <c r="E4366" s="73"/>
      <c r="F4366" s="73"/>
      <c r="G4366" s="74"/>
      <c r="H4366" s="153"/>
      <c r="I4366" s="72"/>
      <c r="K4366" s="658"/>
    </row>
    <row r="4367" spans="1:11" customFormat="1" x14ac:dyDescent="0.25">
      <c r="A4367" s="661"/>
      <c r="B4367" s="75" t="s">
        <v>7717</v>
      </c>
      <c r="C4367" s="73"/>
      <c r="D4367" s="73"/>
      <c r="E4367" s="73"/>
      <c r="F4367" s="73"/>
      <c r="G4367" s="74"/>
      <c r="H4367" s="153"/>
      <c r="I4367" s="72"/>
      <c r="K4367" s="658"/>
    </row>
    <row r="4368" spans="1:11" customFormat="1" x14ac:dyDescent="0.25">
      <c r="A4368" s="661"/>
      <c r="B4368" s="73" t="s">
        <v>7716</v>
      </c>
      <c r="C4368" s="73"/>
      <c r="D4368" s="73"/>
      <c r="E4368" s="73"/>
      <c r="F4368" s="73"/>
      <c r="G4368" s="74" t="s">
        <v>3</v>
      </c>
      <c r="H4368" s="153">
        <f>0.012*3.14*2*0.08*1.2</f>
        <v>7.234560000000001E-3</v>
      </c>
      <c r="I4368" s="72"/>
      <c r="K4368" s="658"/>
    </row>
    <row r="4369" spans="1:11" customFormat="1" ht="17.25" x14ac:dyDescent="0.25">
      <c r="A4369" s="661"/>
      <c r="B4369" s="73" t="s">
        <v>168</v>
      </c>
      <c r="C4369" s="73"/>
      <c r="D4369" s="73"/>
      <c r="E4369" s="73"/>
      <c r="F4369" s="73"/>
      <c r="G4369" s="74" t="s">
        <v>596</v>
      </c>
      <c r="H4369" s="153">
        <f>H4368*1.1</f>
        <v>7.9580160000000018E-3</v>
      </c>
      <c r="I4369" s="72"/>
      <c r="K4369" s="658"/>
    </row>
    <row r="4370" spans="1:11" customFormat="1" x14ac:dyDescent="0.25">
      <c r="A4370" s="661"/>
      <c r="B4370" s="73" t="s">
        <v>114</v>
      </c>
      <c r="C4370" s="73"/>
      <c r="D4370" s="73"/>
      <c r="E4370" s="73"/>
      <c r="F4370" s="73"/>
      <c r="G4370" s="74" t="s">
        <v>3</v>
      </c>
      <c r="H4370" s="153">
        <f>H4372*0.75</f>
        <v>9.8999999999999991E-3</v>
      </c>
      <c r="I4370" s="72"/>
      <c r="K4370" s="658"/>
    </row>
    <row r="4371" spans="1:11" customFormat="1" x14ac:dyDescent="0.25">
      <c r="A4371" s="661"/>
      <c r="B4371" s="73" t="s">
        <v>164</v>
      </c>
      <c r="C4371" s="73"/>
      <c r="D4371" s="73"/>
      <c r="E4371" s="73"/>
      <c r="F4371" s="73"/>
      <c r="G4371" s="74" t="s">
        <v>3</v>
      </c>
      <c r="H4371" s="153">
        <f>0.3*H4370</f>
        <v>2.9699999999999996E-3</v>
      </c>
      <c r="I4371" s="72"/>
      <c r="K4371" s="658"/>
    </row>
    <row r="4372" spans="1:11" customFormat="1" x14ac:dyDescent="0.25">
      <c r="A4372" s="661"/>
      <c r="B4372" s="73" t="s">
        <v>879</v>
      </c>
      <c r="C4372" s="73"/>
      <c r="D4372" s="73"/>
      <c r="E4372" s="73"/>
      <c r="F4372" s="73"/>
      <c r="G4372" s="74" t="s">
        <v>3</v>
      </c>
      <c r="H4372" s="153">
        <f>0.5*0.011*2*1.2</f>
        <v>1.3199999999999998E-2</v>
      </c>
      <c r="I4372" s="72"/>
      <c r="K4372" s="658"/>
    </row>
    <row r="4373" spans="1:11" customFormat="1" x14ac:dyDescent="0.25">
      <c r="A4373" s="661"/>
      <c r="B4373" s="73" t="s">
        <v>12</v>
      </c>
      <c r="C4373" s="73"/>
      <c r="D4373" s="73"/>
      <c r="E4373" s="73"/>
      <c r="F4373" s="73"/>
      <c r="G4373" s="74" t="s">
        <v>3</v>
      </c>
      <c r="H4373" s="153">
        <f>0.3*H4372</f>
        <v>3.9599999999999991E-3</v>
      </c>
      <c r="I4373" s="72"/>
      <c r="K4373" s="658"/>
    </row>
    <row r="4374" spans="1:11" customFormat="1" x14ac:dyDescent="0.25">
      <c r="A4374" s="661"/>
      <c r="B4374" s="73"/>
      <c r="C4374" s="75" t="s">
        <v>7715</v>
      </c>
      <c r="D4374" s="73"/>
      <c r="E4374" s="73"/>
      <c r="F4374" s="73"/>
      <c r="G4374" s="74"/>
      <c r="H4374" s="153"/>
      <c r="I4374" s="72"/>
      <c r="K4374" s="658"/>
    </row>
    <row r="4375" spans="1:11" customFormat="1" x14ac:dyDescent="0.25">
      <c r="A4375" s="661"/>
      <c r="B4375" s="73"/>
      <c r="C4375" s="73" t="s">
        <v>6587</v>
      </c>
      <c r="D4375" s="73"/>
      <c r="E4375" s="73"/>
      <c r="F4375" s="73"/>
      <c r="G4375" s="74" t="s">
        <v>3</v>
      </c>
      <c r="H4375" s="153">
        <f>0.271*0.45</f>
        <v>0.12195000000000002</v>
      </c>
      <c r="I4375" s="72"/>
      <c r="K4375" s="658" t="s">
        <v>7714</v>
      </c>
    </row>
    <row r="4376" spans="1:11" customFormat="1" x14ac:dyDescent="0.25">
      <c r="A4376" s="661"/>
      <c r="B4376" s="73"/>
      <c r="C4376" s="75" t="s">
        <v>7713</v>
      </c>
      <c r="D4376" s="73"/>
      <c r="E4376" s="73"/>
      <c r="F4376" s="73"/>
      <c r="G4376" s="74"/>
      <c r="H4376" s="153"/>
      <c r="I4376" s="72"/>
      <c r="K4376" s="658"/>
    </row>
    <row r="4377" spans="1:11" customFormat="1" x14ac:dyDescent="0.25">
      <c r="A4377" s="661"/>
      <c r="B4377" s="73"/>
      <c r="C4377" s="73" t="s">
        <v>6587</v>
      </c>
      <c r="D4377" s="73"/>
      <c r="E4377" s="73"/>
      <c r="F4377" s="73"/>
      <c r="G4377" s="74" t="s">
        <v>3</v>
      </c>
      <c r="H4377" s="153">
        <f>0.271*0.05</f>
        <v>1.3550000000000001E-2</v>
      </c>
      <c r="I4377" s="72"/>
      <c r="K4377" s="658" t="s">
        <v>7712</v>
      </c>
    </row>
    <row r="4378" spans="1:11" customFormat="1" x14ac:dyDescent="0.25">
      <c r="A4378" s="661"/>
      <c r="B4378" s="73"/>
      <c r="C4378" s="73"/>
      <c r="D4378" s="73"/>
      <c r="E4378" s="73"/>
      <c r="F4378" s="73"/>
      <c r="G4378" s="74"/>
      <c r="H4378" s="153"/>
      <c r="I4378" s="72"/>
      <c r="K4378" s="658"/>
    </row>
    <row r="4379" spans="1:11" customFormat="1" x14ac:dyDescent="0.25">
      <c r="A4379" s="661"/>
      <c r="B4379" s="75" t="s">
        <v>7711</v>
      </c>
      <c r="C4379" s="73"/>
      <c r="D4379" s="73"/>
      <c r="E4379" s="73"/>
      <c r="F4379" s="73"/>
      <c r="G4379" s="74"/>
      <c r="H4379" s="153"/>
      <c r="I4379" s="72"/>
      <c r="K4379" s="658"/>
    </row>
    <row r="4380" spans="1:11" customFormat="1" x14ac:dyDescent="0.25">
      <c r="A4380" s="661"/>
      <c r="B4380" s="73" t="s">
        <v>114</v>
      </c>
      <c r="C4380" s="73"/>
      <c r="D4380" s="73"/>
      <c r="E4380" s="73"/>
      <c r="F4380" s="73"/>
      <c r="G4380" s="74" t="s">
        <v>3</v>
      </c>
      <c r="H4380" s="153">
        <f>H4382*0.75</f>
        <v>1.6829999999999998E-2</v>
      </c>
      <c r="I4380" s="72"/>
      <c r="K4380" s="658"/>
    </row>
    <row r="4381" spans="1:11" customFormat="1" x14ac:dyDescent="0.25">
      <c r="A4381" s="661"/>
      <c r="B4381" s="73" t="s">
        <v>164</v>
      </c>
      <c r="C4381" s="73"/>
      <c r="D4381" s="73"/>
      <c r="E4381" s="73"/>
      <c r="F4381" s="73"/>
      <c r="G4381" s="74" t="s">
        <v>3</v>
      </c>
      <c r="H4381" s="153">
        <f>0.3*H4380</f>
        <v>5.0489999999999988E-3</v>
      </c>
      <c r="I4381" s="72"/>
      <c r="K4381" s="658"/>
    </row>
    <row r="4382" spans="1:11" customFormat="1" x14ac:dyDescent="0.25">
      <c r="A4382" s="661"/>
      <c r="B4382" s="73" t="s">
        <v>879</v>
      </c>
      <c r="C4382" s="73"/>
      <c r="D4382" s="73"/>
      <c r="E4382" s="73"/>
      <c r="F4382" s="73"/>
      <c r="G4382" s="74" t="s">
        <v>3</v>
      </c>
      <c r="H4382" s="153">
        <f>0.85*0.011*2*1.2</f>
        <v>2.2439999999999998E-2</v>
      </c>
      <c r="I4382" s="72"/>
      <c r="K4382" s="658"/>
    </row>
    <row r="4383" spans="1:11" customFormat="1" x14ac:dyDescent="0.25">
      <c r="A4383" s="661"/>
      <c r="B4383" s="73" t="s">
        <v>12</v>
      </c>
      <c r="C4383" s="73"/>
      <c r="D4383" s="73"/>
      <c r="E4383" s="73"/>
      <c r="F4383" s="73"/>
      <c r="G4383" s="74" t="s">
        <v>3</v>
      </c>
      <c r="H4383" s="153">
        <f>0.3*H4382</f>
        <v>6.7319999999999993E-3</v>
      </c>
      <c r="I4383" s="72"/>
      <c r="K4383" s="658"/>
    </row>
    <row r="4384" spans="1:11" customFormat="1" x14ac:dyDescent="0.25">
      <c r="A4384" s="661"/>
      <c r="B4384" s="73"/>
      <c r="C4384" s="75" t="s">
        <v>7710</v>
      </c>
      <c r="D4384" s="73"/>
      <c r="E4384" s="73"/>
      <c r="F4384" s="73"/>
      <c r="G4384" s="74"/>
      <c r="H4384" s="153"/>
      <c r="I4384" s="72"/>
      <c r="K4384" s="658"/>
    </row>
    <row r="4385" spans="1:11" customFormat="1" x14ac:dyDescent="0.25">
      <c r="A4385" s="661"/>
      <c r="B4385" s="73"/>
      <c r="C4385" s="73" t="s">
        <v>6587</v>
      </c>
      <c r="D4385" s="73"/>
      <c r="E4385" s="73"/>
      <c r="F4385" s="73"/>
      <c r="G4385" s="74" t="s">
        <v>3</v>
      </c>
      <c r="H4385" s="153">
        <f>0.271*0.9+0.001</f>
        <v>0.24490000000000003</v>
      </c>
      <c r="I4385" s="72"/>
      <c r="K4385" s="658" t="s">
        <v>7709</v>
      </c>
    </row>
    <row r="4386" spans="1:11" customFormat="1" x14ac:dyDescent="0.25">
      <c r="A4386" s="661"/>
      <c r="B4386" s="73"/>
      <c r="C4386" s="73"/>
      <c r="D4386" s="73"/>
      <c r="E4386" s="73"/>
      <c r="F4386" s="73"/>
      <c r="G4386" s="74"/>
      <c r="H4386" s="153"/>
      <c r="I4386" s="72"/>
      <c r="K4386" s="658"/>
    </row>
    <row r="4387" spans="1:11" customFormat="1" x14ac:dyDescent="0.25">
      <c r="A4387" s="661"/>
      <c r="B4387" s="75" t="s">
        <v>7708</v>
      </c>
      <c r="C4387" s="73"/>
      <c r="D4387" s="73"/>
      <c r="E4387" s="73"/>
      <c r="F4387" s="73"/>
      <c r="G4387" s="74"/>
      <c r="H4387" s="153"/>
      <c r="I4387" s="72"/>
      <c r="K4387" s="658"/>
    </row>
    <row r="4388" spans="1:11" customFormat="1" x14ac:dyDescent="0.25">
      <c r="A4388" s="661"/>
      <c r="B4388" s="73" t="s">
        <v>4296</v>
      </c>
      <c r="C4388" s="73"/>
      <c r="D4388" s="73"/>
      <c r="E4388" s="73"/>
      <c r="F4388" s="73"/>
      <c r="G4388" s="74" t="s">
        <v>3</v>
      </c>
      <c r="H4388" s="153">
        <f>0.27*0.085*3*8*1.125</f>
        <v>0.61965000000000003</v>
      </c>
      <c r="I4388" s="72"/>
      <c r="K4388" s="658"/>
    </row>
    <row r="4389" spans="1:11" customFormat="1" ht="15.75" thickBot="1" x14ac:dyDescent="0.3">
      <c r="A4389" s="660"/>
      <c r="B4389" s="68"/>
      <c r="C4389" s="68"/>
      <c r="D4389" s="68"/>
      <c r="E4389" s="68"/>
      <c r="F4389" s="68"/>
      <c r="G4389" s="82"/>
      <c r="H4389" s="89"/>
      <c r="I4389" s="83"/>
      <c r="K4389" s="658"/>
    </row>
    <row r="4390" spans="1:11" customFormat="1" x14ac:dyDescent="0.25">
      <c r="A4390" s="662"/>
      <c r="B4390" s="93"/>
      <c r="C4390" s="93"/>
      <c r="D4390" s="93"/>
      <c r="E4390" s="93"/>
      <c r="F4390" s="93"/>
      <c r="G4390" s="160"/>
      <c r="H4390" s="161"/>
      <c r="I4390" s="90" t="s">
        <v>7707</v>
      </c>
      <c r="K4390" s="658"/>
    </row>
    <row r="4391" spans="1:11" customFormat="1" x14ac:dyDescent="0.25">
      <c r="A4391" s="661"/>
      <c r="B4391" s="401" t="s">
        <v>7706</v>
      </c>
      <c r="C4391" s="73"/>
      <c r="D4391" s="73"/>
      <c r="E4391" s="73"/>
      <c r="F4391" s="73"/>
      <c r="G4391" s="74"/>
      <c r="H4391" s="153"/>
      <c r="I4391" s="72"/>
      <c r="K4391" s="658"/>
    </row>
    <row r="4392" spans="1:11" customFormat="1" x14ac:dyDescent="0.25">
      <c r="A4392" s="661"/>
      <c r="B4392" s="73" t="s">
        <v>7589</v>
      </c>
      <c r="C4392" s="73"/>
      <c r="D4392" s="73"/>
      <c r="E4392" s="73"/>
      <c r="F4392" s="73"/>
      <c r="G4392" s="74" t="s">
        <v>3</v>
      </c>
      <c r="H4392" s="153">
        <f>0.07*0.07*5*8*1.12</f>
        <v>0.21952000000000005</v>
      </c>
      <c r="I4392" s="72"/>
      <c r="K4392" s="658"/>
    </row>
    <row r="4393" spans="1:11" customFormat="1" x14ac:dyDescent="0.25">
      <c r="A4393" s="661"/>
      <c r="B4393" s="73"/>
      <c r="C4393" s="73"/>
      <c r="D4393" s="73"/>
      <c r="E4393" s="73"/>
      <c r="F4393" s="73"/>
      <c r="G4393" s="74"/>
      <c r="H4393" s="153"/>
      <c r="I4393" s="72"/>
      <c r="K4393" s="658"/>
    </row>
    <row r="4394" spans="1:11" customFormat="1" x14ac:dyDescent="0.25">
      <c r="A4394" s="661"/>
      <c r="B4394" s="73" t="s">
        <v>7705</v>
      </c>
      <c r="C4394" s="73"/>
      <c r="D4394" s="73"/>
      <c r="E4394" s="73"/>
      <c r="F4394" s="73"/>
      <c r="G4394" s="74"/>
      <c r="H4394" s="153"/>
      <c r="I4394" s="72"/>
      <c r="K4394" s="658"/>
    </row>
    <row r="4395" spans="1:11" customFormat="1" x14ac:dyDescent="0.25">
      <c r="A4395" s="661"/>
      <c r="B4395" s="73" t="s">
        <v>7704</v>
      </c>
      <c r="C4395" s="73"/>
      <c r="D4395" s="73"/>
      <c r="E4395" s="73"/>
      <c r="F4395" s="73"/>
      <c r="G4395" s="74" t="s">
        <v>1516</v>
      </c>
      <c r="H4395" s="153">
        <v>4</v>
      </c>
      <c r="I4395" s="72"/>
      <c r="K4395" s="658"/>
    </row>
    <row r="4396" spans="1:11" customFormat="1" x14ac:dyDescent="0.25">
      <c r="A4396" s="661"/>
      <c r="B4396" s="73" t="s">
        <v>7703</v>
      </c>
      <c r="C4396" s="73"/>
      <c r="D4396" s="73"/>
      <c r="E4396" s="73"/>
      <c r="F4396" s="73"/>
      <c r="G4396" s="74" t="s">
        <v>1516</v>
      </c>
      <c r="H4396" s="153">
        <f>4</f>
        <v>4</v>
      </c>
      <c r="I4396" s="72"/>
      <c r="K4396" s="658"/>
    </row>
    <row r="4397" spans="1:11" customFormat="1" x14ac:dyDescent="0.25">
      <c r="A4397" s="661"/>
      <c r="B4397" s="77" t="s">
        <v>1054</v>
      </c>
      <c r="C4397" s="73"/>
      <c r="D4397" s="73"/>
      <c r="E4397" s="73"/>
      <c r="F4397" s="73"/>
      <c r="G4397" s="152" t="s">
        <v>3</v>
      </c>
      <c r="H4397" s="153">
        <f>(0.016*3.14*4+0.012*3.14+0.03*2*4+0.08+0.1+0.02+0.08+0.06*2*8*2+0.12+0.04*8)*0.08*1.203</f>
        <v>0.30013791359999997</v>
      </c>
      <c r="I4397" s="72"/>
      <c r="K4397" s="658"/>
    </row>
    <row r="4398" spans="1:11" customFormat="1" ht="17.25" x14ac:dyDescent="0.25">
      <c r="A4398" s="661"/>
      <c r="B4398" s="77" t="s">
        <v>1055</v>
      </c>
      <c r="C4398" s="73"/>
      <c r="D4398" s="73"/>
      <c r="E4398" s="73"/>
      <c r="F4398" s="73"/>
      <c r="G4398" s="74" t="s">
        <v>596</v>
      </c>
      <c r="H4398" s="153">
        <f>H4397*1.1</f>
        <v>0.33015170496000001</v>
      </c>
      <c r="I4398" s="72"/>
      <c r="K4398" s="658"/>
    </row>
    <row r="4399" spans="1:11" customFormat="1" x14ac:dyDescent="0.25">
      <c r="A4399" s="661"/>
      <c r="B4399" s="73" t="s">
        <v>7702</v>
      </c>
      <c r="C4399" s="73"/>
      <c r="D4399" s="73"/>
      <c r="E4399" s="73"/>
      <c r="F4399" s="73"/>
      <c r="G4399" s="74" t="s">
        <v>3</v>
      </c>
      <c r="H4399" s="153">
        <f>H4400*0.65</f>
        <v>0.24029200000000001</v>
      </c>
      <c r="I4399" s="72"/>
      <c r="K4399" s="658"/>
    </row>
    <row r="4400" spans="1:11" customFormat="1" x14ac:dyDescent="0.25">
      <c r="A4400" s="661"/>
      <c r="B4400" s="73" t="s">
        <v>36</v>
      </c>
      <c r="C4400" s="73"/>
      <c r="D4400" s="73"/>
      <c r="E4400" s="73"/>
      <c r="F4400" s="73"/>
      <c r="G4400" s="74" t="s">
        <v>3</v>
      </c>
      <c r="H4400" s="153">
        <f>(0.85*2+0.28*4+0.4*8+0.28*2)*0.02*2*1.1+(0.3*0.42*2*0.15*2*1.1)-0.003</f>
        <v>0.36968000000000001</v>
      </c>
      <c r="I4400" s="72"/>
      <c r="K4400" s="658"/>
    </row>
    <row r="4401" spans="1:11" customFormat="1" x14ac:dyDescent="0.25">
      <c r="A4401" s="661"/>
      <c r="B4401" s="73" t="s">
        <v>313</v>
      </c>
      <c r="C4401" s="73"/>
      <c r="D4401" s="73"/>
      <c r="E4401" s="73"/>
      <c r="F4401" s="73"/>
      <c r="G4401" s="74" t="s">
        <v>3</v>
      </c>
      <c r="H4401" s="153">
        <f>0.3*(H4400+H4399)+0.002</f>
        <v>0.18499159999999998</v>
      </c>
      <c r="I4401" s="72"/>
      <c r="K4401" s="658"/>
    </row>
    <row r="4402" spans="1:11" customFormat="1" x14ac:dyDescent="0.25">
      <c r="A4402" s="661"/>
      <c r="B4402" s="73"/>
      <c r="C4402" s="73" t="s">
        <v>7701</v>
      </c>
      <c r="D4402" s="73"/>
      <c r="E4402" s="73"/>
      <c r="F4402" s="73"/>
      <c r="G4402" s="74"/>
      <c r="H4402" s="153"/>
      <c r="I4402" s="72"/>
      <c r="K4402" s="658"/>
    </row>
    <row r="4403" spans="1:11" customFormat="1" x14ac:dyDescent="0.25">
      <c r="A4403" s="661"/>
      <c r="B4403" s="73"/>
      <c r="C4403" s="77" t="s">
        <v>1054</v>
      </c>
      <c r="D4403" s="73"/>
      <c r="E4403" s="73"/>
      <c r="F4403" s="73"/>
      <c r="G4403" s="152" t="s">
        <v>3</v>
      </c>
      <c r="H4403" s="153">
        <f>(0.012*3.14*2+0.025)*0.08*1.2</f>
        <v>9.6345600000000003E-3</v>
      </c>
      <c r="I4403" s="72"/>
      <c r="K4403" s="658"/>
    </row>
    <row r="4404" spans="1:11" customFormat="1" ht="17.25" x14ac:dyDescent="0.25">
      <c r="A4404" s="661"/>
      <c r="B4404" s="73"/>
      <c r="C4404" s="77" t="s">
        <v>1055</v>
      </c>
      <c r="D4404" s="73"/>
      <c r="E4404" s="73"/>
      <c r="F4404" s="73"/>
      <c r="G4404" s="74" t="s">
        <v>596</v>
      </c>
      <c r="H4404" s="153">
        <f>H4403*1.1</f>
        <v>1.0598016000000002E-2</v>
      </c>
      <c r="I4404" s="72"/>
      <c r="K4404" s="658"/>
    </row>
    <row r="4405" spans="1:11" customFormat="1" x14ac:dyDescent="0.25">
      <c r="A4405" s="661"/>
      <c r="B4405" s="73"/>
      <c r="C4405" s="73"/>
      <c r="D4405" s="75" t="s">
        <v>7700</v>
      </c>
      <c r="E4405" s="73"/>
      <c r="F4405" s="73"/>
      <c r="G4405" s="74"/>
      <c r="H4405" s="153"/>
      <c r="I4405" s="72"/>
      <c r="K4405" s="658"/>
    </row>
    <row r="4406" spans="1:11" customFormat="1" x14ac:dyDescent="0.25">
      <c r="A4406" s="661"/>
      <c r="B4406" s="73"/>
      <c r="C4406" s="73"/>
      <c r="D4406" s="73" t="s">
        <v>7678</v>
      </c>
      <c r="E4406" s="73"/>
      <c r="F4406" s="73"/>
      <c r="G4406" s="74" t="s">
        <v>3</v>
      </c>
      <c r="H4406" s="153">
        <f>0.02*0.012*1.5*8*1.15</f>
        <v>3.3119999999999998E-3</v>
      </c>
      <c r="I4406" s="72"/>
      <c r="K4406" s="658"/>
    </row>
    <row r="4407" spans="1:11" customFormat="1" x14ac:dyDescent="0.25">
      <c r="A4407" s="661"/>
      <c r="B4407" s="73"/>
      <c r="C4407" s="73"/>
      <c r="D4407" s="75" t="s">
        <v>7699</v>
      </c>
      <c r="E4407" s="73"/>
      <c r="F4407" s="73"/>
      <c r="G4407" s="74"/>
      <c r="H4407" s="153"/>
      <c r="I4407" s="72"/>
      <c r="K4407" s="658"/>
    </row>
    <row r="4408" spans="1:11" customFormat="1" x14ac:dyDescent="0.25">
      <c r="A4408" s="661"/>
      <c r="B4408" s="73"/>
      <c r="C4408" s="73"/>
      <c r="D4408" s="73" t="s">
        <v>4552</v>
      </c>
      <c r="E4408" s="73"/>
      <c r="F4408" s="73"/>
      <c r="G4408" s="74" t="s">
        <v>3</v>
      </c>
      <c r="H4408" s="153">
        <f>0.13*0.13*2*8*1.11</f>
        <v>0.30014400000000008</v>
      </c>
      <c r="I4408" s="72"/>
      <c r="K4408" s="658"/>
    </row>
    <row r="4409" spans="1:11" customFormat="1" x14ac:dyDescent="0.25">
      <c r="A4409" s="661"/>
      <c r="B4409" s="73"/>
      <c r="C4409" s="75" t="s">
        <v>7698</v>
      </c>
      <c r="D4409" s="73"/>
      <c r="E4409" s="73"/>
      <c r="F4409" s="73"/>
      <c r="G4409" s="74"/>
      <c r="H4409" s="153"/>
      <c r="I4409" s="72"/>
      <c r="K4409" s="658"/>
    </row>
    <row r="4410" spans="1:11" customFormat="1" x14ac:dyDescent="0.25">
      <c r="A4410" s="661"/>
      <c r="B4410" s="73"/>
      <c r="C4410" s="73" t="s">
        <v>7690</v>
      </c>
      <c r="D4410" s="73"/>
      <c r="E4410" s="73"/>
      <c r="F4410" s="73"/>
      <c r="G4410" s="74" t="s">
        <v>3</v>
      </c>
      <c r="H4410" s="153">
        <f>0.86*0.06*3*8*1.1305</f>
        <v>1.4000112</v>
      </c>
      <c r="I4410" s="72"/>
      <c r="K4410" s="658"/>
    </row>
    <row r="4411" spans="1:11" customFormat="1" x14ac:dyDescent="0.25">
      <c r="A4411" s="661"/>
      <c r="B4411" s="73"/>
      <c r="C4411" s="75" t="s">
        <v>7697</v>
      </c>
      <c r="D4411" s="73"/>
      <c r="E4411" s="73"/>
      <c r="F4411" s="73"/>
      <c r="G4411" s="74"/>
      <c r="H4411" s="153"/>
      <c r="I4411" s="72"/>
      <c r="K4411" s="658"/>
    </row>
    <row r="4412" spans="1:11" customFormat="1" x14ac:dyDescent="0.25">
      <c r="A4412" s="661"/>
      <c r="B4412" s="73"/>
      <c r="C4412" s="73" t="s">
        <v>4552</v>
      </c>
      <c r="D4412" s="73"/>
      <c r="E4412" s="73"/>
      <c r="F4412" s="73"/>
      <c r="G4412" s="74" t="s">
        <v>3</v>
      </c>
      <c r="H4412" s="153">
        <f>0.055*0.28*2*8*1.117</f>
        <v>0.27522880000000005</v>
      </c>
      <c r="I4412" s="72"/>
      <c r="K4412" s="658"/>
    </row>
    <row r="4413" spans="1:11" customFormat="1" x14ac:dyDescent="0.25">
      <c r="A4413" s="661"/>
      <c r="B4413" s="73"/>
      <c r="C4413" s="75" t="s">
        <v>7696</v>
      </c>
      <c r="D4413" s="73"/>
      <c r="E4413" s="73"/>
      <c r="F4413" s="73"/>
      <c r="G4413" s="74"/>
      <c r="H4413" s="153"/>
      <c r="I4413" s="72"/>
      <c r="K4413" s="658"/>
    </row>
    <row r="4414" spans="1:11" customFormat="1" x14ac:dyDescent="0.25">
      <c r="A4414" s="661"/>
      <c r="B4414" s="73"/>
      <c r="C4414" s="73" t="s">
        <v>7678</v>
      </c>
      <c r="D4414" s="73"/>
      <c r="E4414" s="73"/>
      <c r="F4414" s="73"/>
      <c r="G4414" s="74" t="s">
        <v>3</v>
      </c>
      <c r="H4414" s="153">
        <f>0.44*0.35*1.5*8*1.1361</f>
        <v>2.0995127999999998</v>
      </c>
      <c r="I4414" s="72"/>
      <c r="K4414" s="658"/>
    </row>
    <row r="4415" spans="1:11" customFormat="1" x14ac:dyDescent="0.25">
      <c r="A4415" s="661"/>
      <c r="B4415" s="73"/>
      <c r="C4415" s="75" t="s">
        <v>7695</v>
      </c>
      <c r="D4415" s="73"/>
      <c r="E4415" s="73"/>
      <c r="F4415" s="73"/>
      <c r="G4415" s="74"/>
      <c r="H4415" s="153"/>
      <c r="I4415" s="72"/>
      <c r="K4415" s="658"/>
    </row>
    <row r="4416" spans="1:11" customFormat="1" x14ac:dyDescent="0.25">
      <c r="A4416" s="661"/>
      <c r="B4416" s="73"/>
      <c r="C4416" s="73" t="s">
        <v>7694</v>
      </c>
      <c r="D4416" s="73"/>
      <c r="E4416" s="73"/>
      <c r="F4416" s="73"/>
      <c r="G4416" s="74" t="s">
        <v>3</v>
      </c>
      <c r="H4416" s="153">
        <v>0.36499999999999999</v>
      </c>
      <c r="I4416" s="72"/>
      <c r="K4416" s="658" t="s">
        <v>7693</v>
      </c>
    </row>
    <row r="4417" spans="1:11" customFormat="1" x14ac:dyDescent="0.25">
      <c r="A4417" s="661"/>
      <c r="B4417" s="73"/>
      <c r="C4417" s="75" t="s">
        <v>7692</v>
      </c>
      <c r="D4417" s="73"/>
      <c r="E4417" s="73"/>
      <c r="F4417" s="73"/>
      <c r="G4417" s="74"/>
      <c r="H4417" s="153"/>
      <c r="I4417" s="72"/>
      <c r="K4417" s="658"/>
    </row>
    <row r="4418" spans="1:11" customFormat="1" x14ac:dyDescent="0.25">
      <c r="A4418" s="661"/>
      <c r="B4418" s="73"/>
      <c r="C4418" s="73" t="s">
        <v>7678</v>
      </c>
      <c r="D4418" s="73"/>
      <c r="E4418" s="73"/>
      <c r="F4418" s="73"/>
      <c r="G4418" s="74" t="s">
        <v>3</v>
      </c>
      <c r="H4418" s="153">
        <f>0.28*0.02*1.5*8*1.12</f>
        <v>7.5264000000000011E-2</v>
      </c>
      <c r="I4418" s="72"/>
      <c r="K4418" s="658"/>
    </row>
    <row r="4419" spans="1:11" customFormat="1" x14ac:dyDescent="0.25">
      <c r="A4419" s="661"/>
      <c r="B4419" s="73"/>
      <c r="C4419" s="75" t="s">
        <v>7691</v>
      </c>
      <c r="D4419" s="73"/>
      <c r="E4419" s="73"/>
      <c r="F4419" s="73"/>
      <c r="G4419" s="74"/>
      <c r="H4419" s="153"/>
      <c r="I4419" s="72"/>
      <c r="K4419" s="658"/>
    </row>
    <row r="4420" spans="1:11" customFormat="1" x14ac:dyDescent="0.25">
      <c r="A4420" s="661"/>
      <c r="B4420" s="73"/>
      <c r="C4420" s="73" t="s">
        <v>7690</v>
      </c>
      <c r="D4420" s="73"/>
      <c r="E4420" s="73"/>
      <c r="F4420" s="73"/>
      <c r="G4420" s="74" t="s">
        <v>3</v>
      </c>
      <c r="H4420" s="153">
        <f>0.025*0.03*3*8*1.12</f>
        <v>2.0160000000000004E-2</v>
      </c>
      <c r="I4420" s="72"/>
      <c r="K4420" s="658"/>
    </row>
    <row r="4421" spans="1:11" customFormat="1" x14ac:dyDescent="0.25">
      <c r="A4421" s="661"/>
      <c r="B4421" s="73"/>
      <c r="C4421" s="75" t="s">
        <v>7689</v>
      </c>
      <c r="D4421" s="73"/>
      <c r="E4421" s="73"/>
      <c r="F4421" s="73"/>
      <c r="G4421" s="74"/>
      <c r="H4421" s="153"/>
      <c r="I4421" s="72"/>
      <c r="K4421" s="658"/>
    </row>
    <row r="4422" spans="1:11" customFormat="1" x14ac:dyDescent="0.25">
      <c r="A4422" s="661"/>
      <c r="B4422" s="73"/>
      <c r="C4422" s="73" t="s">
        <v>4306</v>
      </c>
      <c r="D4422" s="73"/>
      <c r="E4422" s="73"/>
      <c r="F4422" s="73"/>
      <c r="G4422" s="74" t="s">
        <v>3</v>
      </c>
      <c r="H4422" s="153">
        <f>0.3*0.038*4*8*1.15</f>
        <v>0.41951999999999989</v>
      </c>
      <c r="I4422" s="72"/>
      <c r="K4422" s="658"/>
    </row>
    <row r="4423" spans="1:11" customFormat="1" x14ac:dyDescent="0.25">
      <c r="A4423" s="661"/>
      <c r="B4423" s="73"/>
      <c r="C4423" s="75" t="s">
        <v>7688</v>
      </c>
      <c r="D4423" s="73"/>
      <c r="E4423" s="73"/>
      <c r="F4423" s="73"/>
      <c r="G4423" s="74"/>
      <c r="H4423" s="153"/>
      <c r="I4423" s="72"/>
      <c r="K4423" s="658"/>
    </row>
    <row r="4424" spans="1:11" customFormat="1" x14ac:dyDescent="0.25">
      <c r="A4424" s="661"/>
      <c r="B4424" s="73"/>
      <c r="C4424" s="77" t="s">
        <v>7687</v>
      </c>
      <c r="D4424" s="73"/>
      <c r="E4424" s="73"/>
      <c r="F4424" s="73"/>
      <c r="G4424" s="74" t="s">
        <v>3</v>
      </c>
      <c r="H4424" s="153">
        <f>0.493*0.065</f>
        <v>3.2045000000000004E-2</v>
      </c>
      <c r="I4424" s="72"/>
      <c r="K4424" s="658" t="s">
        <v>3685</v>
      </c>
    </row>
    <row r="4425" spans="1:11" customFormat="1" x14ac:dyDescent="0.25">
      <c r="A4425" s="661"/>
      <c r="B4425" s="73"/>
      <c r="C4425" s="75" t="s">
        <v>7686</v>
      </c>
      <c r="D4425" s="73"/>
      <c r="E4425" s="73"/>
      <c r="F4425" s="73"/>
      <c r="G4425" s="74"/>
      <c r="H4425" s="153"/>
      <c r="I4425" s="72"/>
      <c r="K4425" s="658"/>
    </row>
    <row r="4426" spans="1:11" customFormat="1" x14ac:dyDescent="0.25">
      <c r="A4426" s="661"/>
      <c r="B4426" s="73"/>
      <c r="C4426" s="77" t="s">
        <v>4339</v>
      </c>
      <c r="D4426" s="73"/>
      <c r="E4426" s="73"/>
      <c r="F4426" s="73"/>
      <c r="G4426" s="74" t="s">
        <v>3</v>
      </c>
      <c r="H4426" s="153">
        <f>0.09*0.09*2*2.7*1.139</f>
        <v>4.9819860000000001E-2</v>
      </c>
      <c r="I4426" s="72"/>
      <c r="K4426" s="658"/>
    </row>
    <row r="4427" spans="1:11" customFormat="1" x14ac:dyDescent="0.25">
      <c r="A4427" s="661"/>
      <c r="B4427" s="73"/>
      <c r="C4427" s="73"/>
      <c r="D4427" s="73"/>
      <c r="E4427" s="73"/>
      <c r="F4427" s="73"/>
      <c r="G4427" s="74"/>
      <c r="H4427" s="153"/>
      <c r="I4427" s="72"/>
      <c r="K4427" s="658"/>
    </row>
    <row r="4428" spans="1:11" customFormat="1" x14ac:dyDescent="0.25">
      <c r="A4428" s="661"/>
      <c r="B4428" s="73"/>
      <c r="C4428" s="75" t="s">
        <v>7685</v>
      </c>
      <c r="D4428" s="73"/>
      <c r="E4428" s="73"/>
      <c r="F4428" s="73"/>
      <c r="G4428" s="74"/>
      <c r="H4428" s="153"/>
      <c r="I4428" s="72"/>
      <c r="K4428" s="658"/>
    </row>
    <row r="4429" spans="1:11" customFormat="1" x14ac:dyDescent="0.25">
      <c r="A4429" s="661"/>
      <c r="B4429" s="73"/>
      <c r="C4429" s="73" t="s">
        <v>7678</v>
      </c>
      <c r="D4429" s="73"/>
      <c r="E4429" s="73"/>
      <c r="F4429" s="73"/>
      <c r="G4429" s="74" t="s">
        <v>3</v>
      </c>
      <c r="H4429" s="153">
        <f>0.045*0.046*1.5*8*1.15</f>
        <v>2.8565999999999994E-2</v>
      </c>
      <c r="I4429" s="72"/>
      <c r="K4429" s="658"/>
    </row>
    <row r="4430" spans="1:11" customFormat="1" x14ac:dyDescent="0.25">
      <c r="A4430" s="661"/>
      <c r="B4430" s="73"/>
      <c r="C4430" s="73"/>
      <c r="D4430" s="73"/>
      <c r="E4430" s="73"/>
      <c r="F4430" s="73"/>
      <c r="G4430" s="74"/>
      <c r="H4430" s="153"/>
      <c r="I4430" s="72"/>
      <c r="K4430" s="658"/>
    </row>
    <row r="4431" spans="1:11" customFormat="1" x14ac:dyDescent="0.25">
      <c r="A4431" s="661"/>
      <c r="B4431" s="73"/>
      <c r="C4431" s="75" t="s">
        <v>7684</v>
      </c>
      <c r="D4431" s="73"/>
      <c r="E4431" s="73"/>
      <c r="F4431" s="73"/>
      <c r="G4431" s="74"/>
      <c r="H4431" s="153"/>
      <c r="I4431" s="72"/>
      <c r="K4431" s="658"/>
    </row>
    <row r="4432" spans="1:11" customFormat="1" x14ac:dyDescent="0.25">
      <c r="A4432" s="661"/>
      <c r="B4432" s="73"/>
      <c r="C4432" s="73" t="s">
        <v>7683</v>
      </c>
      <c r="D4432" s="73"/>
      <c r="E4432" s="73"/>
      <c r="F4432" s="73"/>
      <c r="G4432" s="74" t="s">
        <v>3</v>
      </c>
      <c r="H4432" s="153">
        <f>0.12*0.075*2*8*1.125</f>
        <v>0.16199999999999998</v>
      </c>
      <c r="I4432" s="72"/>
      <c r="K4432" s="658"/>
    </row>
    <row r="4433" spans="1:12" customFormat="1" x14ac:dyDescent="0.25">
      <c r="A4433" s="661"/>
      <c r="B4433" s="73"/>
      <c r="C4433" s="73"/>
      <c r="D4433" s="73"/>
      <c r="E4433" s="73"/>
      <c r="F4433" s="73"/>
      <c r="G4433" s="74"/>
      <c r="H4433" s="153"/>
      <c r="I4433" s="72"/>
      <c r="K4433" s="658"/>
    </row>
    <row r="4434" spans="1:12" customFormat="1" x14ac:dyDescent="0.25">
      <c r="A4434" s="661"/>
      <c r="B4434" s="73"/>
      <c r="C4434" s="75" t="s">
        <v>7682</v>
      </c>
      <c r="D4434" s="73"/>
      <c r="E4434" s="73"/>
      <c r="F4434" s="73"/>
      <c r="G4434" s="74"/>
      <c r="H4434" s="153"/>
      <c r="I4434" s="72"/>
      <c r="K4434" s="658"/>
    </row>
    <row r="4435" spans="1:12" customFormat="1" x14ac:dyDescent="0.25">
      <c r="A4435" s="661"/>
      <c r="B4435" s="73"/>
      <c r="C4435" s="73" t="s">
        <v>1484</v>
      </c>
      <c r="D4435" s="73"/>
      <c r="E4435" s="73"/>
      <c r="F4435" s="73"/>
      <c r="G4435" s="74" t="s">
        <v>3</v>
      </c>
      <c r="H4435" s="153">
        <f>0.271*0.5</f>
        <v>0.13550000000000001</v>
      </c>
      <c r="I4435" s="72"/>
      <c r="K4435" s="10" t="s">
        <v>7681</v>
      </c>
      <c r="L4435" t="s">
        <v>7680</v>
      </c>
    </row>
    <row r="4436" spans="1:12" customFormat="1" x14ac:dyDescent="0.25">
      <c r="A4436" s="661"/>
      <c r="B4436" s="73"/>
      <c r="C4436" s="73"/>
      <c r="D4436" s="73"/>
      <c r="E4436" s="73"/>
      <c r="F4436" s="73"/>
      <c r="G4436" s="74"/>
      <c r="H4436" s="153"/>
      <c r="I4436" s="72"/>
      <c r="K4436" s="658"/>
    </row>
    <row r="4437" spans="1:12" customFormat="1" x14ac:dyDescent="0.25">
      <c r="A4437" s="661"/>
      <c r="B4437" s="73"/>
      <c r="C4437" s="75" t="s">
        <v>7679</v>
      </c>
      <c r="D4437" s="73"/>
      <c r="E4437" s="73"/>
      <c r="F4437" s="73"/>
      <c r="G4437" s="74"/>
      <c r="H4437" s="153"/>
      <c r="I4437" s="72"/>
      <c r="K4437" s="658"/>
    </row>
    <row r="4438" spans="1:12" customFormat="1" x14ac:dyDescent="0.25">
      <c r="A4438" s="661"/>
      <c r="B4438" s="73"/>
      <c r="C4438" s="73" t="s">
        <v>7678</v>
      </c>
      <c r="D4438" s="73"/>
      <c r="E4438" s="73"/>
      <c r="F4438" s="73"/>
      <c r="G4438" s="74" t="s">
        <v>3</v>
      </c>
      <c r="H4438" s="153">
        <f>0.1*0.32*1.5*8*1.145</f>
        <v>0.43968000000000002</v>
      </c>
      <c r="I4438" s="72"/>
      <c r="K4438" s="658"/>
    </row>
    <row r="4439" spans="1:12" customFormat="1" x14ac:dyDescent="0.25">
      <c r="A4439" s="661"/>
      <c r="B4439" s="73"/>
      <c r="C4439" s="73"/>
      <c r="D4439" s="73"/>
      <c r="E4439" s="73"/>
      <c r="F4439" s="73"/>
      <c r="G4439" s="74"/>
      <c r="H4439" s="153"/>
      <c r="I4439" s="72"/>
      <c r="K4439" s="658"/>
    </row>
    <row r="4440" spans="1:12" customFormat="1" x14ac:dyDescent="0.25">
      <c r="A4440" s="661"/>
      <c r="B4440" s="73"/>
      <c r="C4440" s="73" t="s">
        <v>7677</v>
      </c>
      <c r="D4440" s="73"/>
      <c r="E4440" s="73"/>
      <c r="F4440" s="73"/>
      <c r="G4440" s="74"/>
      <c r="H4440" s="153"/>
      <c r="I4440" s="72"/>
      <c r="K4440" s="658"/>
    </row>
    <row r="4441" spans="1:12" customFormat="1" x14ac:dyDescent="0.25">
      <c r="A4441" s="661"/>
      <c r="B4441" s="73"/>
      <c r="C4441" s="73" t="s">
        <v>8</v>
      </c>
      <c r="D4441" s="73"/>
      <c r="E4441" s="73"/>
      <c r="F4441" s="73"/>
      <c r="G4441" s="74" t="s">
        <v>3</v>
      </c>
      <c r="H4441" s="153">
        <v>2E-3</v>
      </c>
      <c r="I4441" s="72"/>
      <c r="K4441" s="658"/>
    </row>
    <row r="4442" spans="1:12" customFormat="1" x14ac:dyDescent="0.25">
      <c r="A4442" s="661"/>
      <c r="B4442" s="73"/>
      <c r="C4442" s="73" t="s">
        <v>115</v>
      </c>
      <c r="D4442" s="73"/>
      <c r="E4442" s="73"/>
      <c r="F4442" s="73"/>
      <c r="G4442" s="74" t="s">
        <v>3</v>
      </c>
      <c r="H4442" s="153">
        <v>2E-3</v>
      </c>
      <c r="I4442" s="72"/>
      <c r="K4442" s="658"/>
    </row>
    <row r="4443" spans="1:12" customFormat="1" x14ac:dyDescent="0.25">
      <c r="A4443" s="661"/>
      <c r="B4443" s="73"/>
      <c r="C4443" s="73" t="s">
        <v>12</v>
      </c>
      <c r="D4443" s="73"/>
      <c r="E4443" s="73"/>
      <c r="F4443" s="73"/>
      <c r="G4443" s="74" t="s">
        <v>3</v>
      </c>
      <c r="H4443" s="153">
        <f>0.3*(H4442+H4441)</f>
        <v>1.1999999999999999E-3</v>
      </c>
      <c r="I4443" s="72"/>
      <c r="K4443" s="658"/>
    </row>
    <row r="4444" spans="1:12" customFormat="1" x14ac:dyDescent="0.25">
      <c r="A4444" s="661"/>
      <c r="B4444" s="73"/>
      <c r="C4444" s="73"/>
      <c r="D4444" s="73"/>
      <c r="E4444" s="73"/>
      <c r="F4444" s="73"/>
      <c r="G4444" s="74"/>
      <c r="H4444" s="153"/>
      <c r="I4444" s="72"/>
      <c r="K4444" s="658"/>
    </row>
    <row r="4445" spans="1:12" customFormat="1" x14ac:dyDescent="0.25">
      <c r="A4445" s="661"/>
      <c r="B4445" s="73"/>
      <c r="C4445" s="73" t="s">
        <v>7676</v>
      </c>
      <c r="D4445" s="73"/>
      <c r="E4445" s="73"/>
      <c r="F4445" s="73"/>
      <c r="G4445" s="74" t="s">
        <v>2180</v>
      </c>
      <c r="H4445" s="153"/>
      <c r="I4445" s="72"/>
      <c r="K4445" s="658"/>
    </row>
    <row r="4446" spans="1:12" customFormat="1" x14ac:dyDescent="0.25">
      <c r="A4446" s="661"/>
      <c r="B4446" s="73"/>
      <c r="C4446" s="73" t="s">
        <v>7675</v>
      </c>
      <c r="D4446" s="73"/>
      <c r="E4446" s="73"/>
      <c r="F4446" s="73"/>
      <c r="G4446" s="74" t="s">
        <v>1516</v>
      </c>
      <c r="H4446" s="153">
        <v>3</v>
      </c>
      <c r="I4446" s="72"/>
      <c r="K4446" s="658"/>
    </row>
    <row r="4447" spans="1:12" customFormat="1" ht="15.75" thickBot="1" x14ac:dyDescent="0.3">
      <c r="A4447" s="660"/>
      <c r="B4447" s="68"/>
      <c r="C4447" s="68"/>
      <c r="D4447" s="68"/>
      <c r="E4447" s="68"/>
      <c r="F4447" s="68"/>
      <c r="G4447" s="82"/>
      <c r="H4447" s="89"/>
      <c r="I4447" s="83"/>
      <c r="K4447" s="658"/>
    </row>
    <row r="4448" spans="1:12" customFormat="1" x14ac:dyDescent="0.25">
      <c r="A4448" s="662"/>
      <c r="B4448" s="93"/>
      <c r="C4448" s="93"/>
      <c r="D4448" s="93"/>
      <c r="E4448" s="93"/>
      <c r="F4448" s="93"/>
      <c r="G4448" s="160"/>
      <c r="H4448" s="284" t="s">
        <v>7674</v>
      </c>
      <c r="I4448" s="284"/>
      <c r="K4448" s="658"/>
    </row>
    <row r="4449" spans="1:12" customFormat="1" ht="15.75" x14ac:dyDescent="0.25">
      <c r="A4449" s="661"/>
      <c r="B4449" s="73"/>
      <c r="C4449" s="73"/>
      <c r="D4449" s="73"/>
      <c r="E4449" s="73"/>
      <c r="F4449" s="187" t="s">
        <v>7673</v>
      </c>
      <c r="G4449" s="74"/>
      <c r="H4449" s="153"/>
      <c r="I4449" s="72"/>
      <c r="K4449" s="658"/>
    </row>
    <row r="4450" spans="1:12" customFormat="1" x14ac:dyDescent="0.25">
      <c r="A4450" s="661"/>
      <c r="B4450" s="73"/>
      <c r="C4450" s="73"/>
      <c r="D4450" s="73"/>
      <c r="E4450" s="73"/>
      <c r="F4450" s="73"/>
      <c r="G4450" s="74"/>
      <c r="H4450" s="153"/>
      <c r="I4450" s="72"/>
      <c r="K4450" s="658"/>
    </row>
    <row r="4451" spans="1:12" customFormat="1" x14ac:dyDescent="0.25">
      <c r="A4451" s="661"/>
      <c r="B4451" s="73" t="s">
        <v>7672</v>
      </c>
      <c r="C4451" s="73"/>
      <c r="D4451" s="73"/>
      <c r="E4451" s="73"/>
      <c r="F4451" s="73"/>
      <c r="G4451" s="74"/>
      <c r="H4451" s="153"/>
      <c r="I4451" s="72"/>
      <c r="K4451" s="658"/>
    </row>
    <row r="4452" spans="1:12" customFormat="1" x14ac:dyDescent="0.25">
      <c r="A4452" s="661"/>
      <c r="B4452" s="73" t="s">
        <v>8</v>
      </c>
      <c r="C4452" s="73"/>
      <c r="D4452" s="73"/>
      <c r="E4452" s="73"/>
      <c r="F4452" s="73"/>
      <c r="G4452" s="74" t="s">
        <v>3</v>
      </c>
      <c r="H4452" s="153">
        <f>H4453*0.7</f>
        <v>1.2396999999999997E-2</v>
      </c>
      <c r="I4452" s="72"/>
      <c r="K4452" s="658"/>
    </row>
    <row r="4453" spans="1:12" customFormat="1" x14ac:dyDescent="0.25">
      <c r="A4453" s="661"/>
      <c r="B4453" s="73" t="s">
        <v>442</v>
      </c>
      <c r="C4453" s="73"/>
      <c r="D4453" s="73"/>
      <c r="E4453" s="73"/>
      <c r="F4453" s="73"/>
      <c r="G4453" s="74" t="s">
        <v>3</v>
      </c>
      <c r="H4453" s="153">
        <f>0.7*0.011*2*1.15</f>
        <v>1.7709999999999997E-2</v>
      </c>
      <c r="I4453" s="72"/>
      <c r="K4453" s="658"/>
    </row>
    <row r="4454" spans="1:12" customFormat="1" x14ac:dyDescent="0.25">
      <c r="A4454" s="661"/>
      <c r="B4454" s="73" t="s">
        <v>12</v>
      </c>
      <c r="C4454" s="73"/>
      <c r="D4454" s="73"/>
      <c r="E4454" s="73"/>
      <c r="F4454" s="73"/>
      <c r="G4454" s="74" t="s">
        <v>3</v>
      </c>
      <c r="H4454" s="153">
        <f>0.3*(H4453+H4452)</f>
        <v>9.0320999999999978E-3</v>
      </c>
      <c r="I4454" s="72"/>
      <c r="K4454" s="658"/>
    </row>
    <row r="4455" spans="1:12" customFormat="1" x14ac:dyDescent="0.25">
      <c r="A4455" s="661"/>
      <c r="B4455" s="73"/>
      <c r="C4455" s="75" t="s">
        <v>7671</v>
      </c>
      <c r="D4455" s="73"/>
      <c r="E4455" s="73"/>
      <c r="F4455" s="73"/>
      <c r="G4455" s="74"/>
      <c r="H4455" s="153"/>
      <c r="I4455" s="72"/>
      <c r="K4455" s="658"/>
    </row>
    <row r="4456" spans="1:12" customFormat="1" x14ac:dyDescent="0.25">
      <c r="A4456" s="661"/>
      <c r="B4456" s="73"/>
      <c r="C4456" s="73" t="s">
        <v>2957</v>
      </c>
      <c r="D4456" s="73"/>
      <c r="E4456" s="73"/>
      <c r="F4456" s="73"/>
      <c r="G4456" s="74" t="s">
        <v>3</v>
      </c>
      <c r="H4456" s="153">
        <f>0.307*0.781</f>
        <v>0.23976700000000001</v>
      </c>
      <c r="I4456" s="72"/>
      <c r="K4456" s="658" t="s">
        <v>7662</v>
      </c>
      <c r="L4456" t="s">
        <v>7661</v>
      </c>
    </row>
    <row r="4457" spans="1:12" customFormat="1" x14ac:dyDescent="0.25">
      <c r="A4457" s="661"/>
      <c r="B4457" s="73"/>
      <c r="C4457" s="73"/>
      <c r="D4457" s="73"/>
      <c r="E4457" s="73"/>
      <c r="F4457" s="73"/>
      <c r="G4457" s="74"/>
      <c r="H4457" s="153"/>
      <c r="I4457" s="72"/>
      <c r="K4457" s="658"/>
    </row>
    <row r="4458" spans="1:12" customFormat="1" x14ac:dyDescent="0.25">
      <c r="A4458" s="661"/>
      <c r="B4458" s="73" t="s">
        <v>7670</v>
      </c>
      <c r="C4458" s="73"/>
      <c r="D4458" s="73"/>
      <c r="E4458" s="73"/>
      <c r="F4458" s="73"/>
      <c r="G4458" s="74"/>
      <c r="H4458" s="153"/>
      <c r="I4458" s="72"/>
      <c r="K4458" s="658"/>
    </row>
    <row r="4459" spans="1:12" customFormat="1" x14ac:dyDescent="0.25">
      <c r="A4459" s="661"/>
      <c r="B4459" s="73" t="s">
        <v>8</v>
      </c>
      <c r="C4459" s="73"/>
      <c r="D4459" s="73"/>
      <c r="E4459" s="73"/>
      <c r="F4459" s="73"/>
      <c r="G4459" s="74" t="s">
        <v>3</v>
      </c>
      <c r="H4459" s="153">
        <f>H4460*0.7+0.001</f>
        <v>1.4860000000000002E-2</v>
      </c>
      <c r="I4459" s="72"/>
      <c r="K4459" s="658"/>
    </row>
    <row r="4460" spans="1:12" customFormat="1" x14ac:dyDescent="0.25">
      <c r="A4460" s="661"/>
      <c r="B4460" s="73" t="s">
        <v>442</v>
      </c>
      <c r="C4460" s="73"/>
      <c r="D4460" s="73"/>
      <c r="E4460" s="73"/>
      <c r="F4460" s="73"/>
      <c r="G4460" s="74" t="s">
        <v>3</v>
      </c>
      <c r="H4460" s="153">
        <f>0.75*0.011*2*1.2</f>
        <v>1.9800000000000002E-2</v>
      </c>
      <c r="I4460" s="72"/>
      <c r="K4460" s="658"/>
    </row>
    <row r="4461" spans="1:12" customFormat="1" x14ac:dyDescent="0.25">
      <c r="A4461" s="661"/>
      <c r="B4461" s="73" t="s">
        <v>12</v>
      </c>
      <c r="C4461" s="73"/>
      <c r="D4461" s="73"/>
      <c r="E4461" s="73"/>
      <c r="F4461" s="73"/>
      <c r="G4461" s="74" t="s">
        <v>3</v>
      </c>
      <c r="H4461" s="153">
        <f>0.3*(H4460+H4459)</f>
        <v>1.0398000000000001E-2</v>
      </c>
      <c r="I4461" s="72"/>
      <c r="K4461" s="658"/>
    </row>
    <row r="4462" spans="1:12" customFormat="1" x14ac:dyDescent="0.25">
      <c r="A4462" s="661"/>
      <c r="B4462" s="73"/>
      <c r="C4462" s="75" t="s">
        <v>7669</v>
      </c>
      <c r="D4462" s="73"/>
      <c r="E4462" s="73"/>
      <c r="F4462" s="73"/>
      <c r="G4462" s="74"/>
      <c r="H4462" s="153"/>
      <c r="I4462" s="72"/>
      <c r="K4462" s="658"/>
    </row>
    <row r="4463" spans="1:12" customFormat="1" x14ac:dyDescent="0.25">
      <c r="A4463" s="661"/>
      <c r="B4463" s="73"/>
      <c r="C4463" s="73" t="s">
        <v>2957</v>
      </c>
      <c r="D4463" s="73"/>
      <c r="E4463" s="73"/>
      <c r="F4463" s="73"/>
      <c r="G4463" s="74" t="s">
        <v>3</v>
      </c>
      <c r="H4463" s="153">
        <f>0.307*0.82-0.002</f>
        <v>0.24973999999999996</v>
      </c>
      <c r="I4463" s="72"/>
      <c r="K4463" s="658" t="s">
        <v>7668</v>
      </c>
      <c r="L4463" t="s">
        <v>7661</v>
      </c>
    </row>
    <row r="4464" spans="1:12" customFormat="1" x14ac:dyDescent="0.25">
      <c r="A4464" s="661"/>
      <c r="B4464" s="73"/>
      <c r="C4464" s="73"/>
      <c r="D4464" s="73"/>
      <c r="E4464" s="73"/>
      <c r="F4464" s="73"/>
      <c r="G4464" s="74"/>
      <c r="H4464" s="153"/>
      <c r="I4464" s="72"/>
      <c r="K4464" s="658"/>
    </row>
    <row r="4465" spans="1:12" customFormat="1" x14ac:dyDescent="0.25">
      <c r="A4465" s="661"/>
      <c r="B4465" s="73" t="s">
        <v>7667</v>
      </c>
      <c r="C4465" s="73"/>
      <c r="D4465" s="73"/>
      <c r="E4465" s="73"/>
      <c r="F4465" s="73"/>
      <c r="G4465" s="74"/>
      <c r="H4465" s="153"/>
      <c r="I4465" s="72"/>
      <c r="K4465" s="658"/>
    </row>
    <row r="4466" spans="1:12" customFormat="1" x14ac:dyDescent="0.25">
      <c r="A4466" s="661"/>
      <c r="B4466" s="73" t="s">
        <v>8</v>
      </c>
      <c r="C4466" s="73"/>
      <c r="D4466" s="73"/>
      <c r="E4466" s="73"/>
      <c r="F4466" s="73"/>
      <c r="G4466" s="74" t="s">
        <v>3</v>
      </c>
      <c r="H4466" s="153">
        <f>H4467*0.7+0.001</f>
        <v>1.5137199999999996E-2</v>
      </c>
      <c r="I4466" s="72"/>
      <c r="K4466" s="658"/>
    </row>
    <row r="4467" spans="1:12" customFormat="1" x14ac:dyDescent="0.25">
      <c r="A4467" s="661"/>
      <c r="B4467" s="73" t="s">
        <v>442</v>
      </c>
      <c r="C4467" s="73"/>
      <c r="D4467" s="73"/>
      <c r="E4467" s="73"/>
      <c r="F4467" s="73"/>
      <c r="G4467" s="74" t="s">
        <v>3</v>
      </c>
      <c r="H4467" s="153">
        <f>0.765*0.011*2*1.2</f>
        <v>2.0195999999999995E-2</v>
      </c>
      <c r="I4467" s="72"/>
      <c r="K4467" s="658"/>
    </row>
    <row r="4468" spans="1:12" customFormat="1" x14ac:dyDescent="0.25">
      <c r="A4468" s="661"/>
      <c r="B4468" s="73" t="s">
        <v>12</v>
      </c>
      <c r="C4468" s="73"/>
      <c r="D4468" s="73"/>
      <c r="E4468" s="73"/>
      <c r="F4468" s="73"/>
      <c r="G4468" s="74" t="s">
        <v>3</v>
      </c>
      <c r="H4468" s="153">
        <f>0.3*(H4467+H4466)</f>
        <v>1.0599959999999999E-2</v>
      </c>
      <c r="I4468" s="72"/>
      <c r="K4468" s="658"/>
    </row>
    <row r="4469" spans="1:12" customFormat="1" x14ac:dyDescent="0.25">
      <c r="A4469" s="661"/>
      <c r="B4469" s="73"/>
      <c r="C4469" s="75" t="s">
        <v>7666</v>
      </c>
      <c r="D4469" s="73"/>
      <c r="E4469" s="73"/>
      <c r="F4469" s="73"/>
      <c r="G4469" s="74"/>
      <c r="H4469" s="153"/>
      <c r="I4469" s="72"/>
      <c r="K4469" s="658"/>
    </row>
    <row r="4470" spans="1:12" customFormat="1" x14ac:dyDescent="0.25">
      <c r="A4470" s="661"/>
      <c r="B4470" s="73"/>
      <c r="C4470" s="73" t="s">
        <v>2957</v>
      </c>
      <c r="D4470" s="73"/>
      <c r="E4470" s="73"/>
      <c r="F4470" s="73"/>
      <c r="G4470" s="74" t="s">
        <v>3</v>
      </c>
      <c r="H4470" s="153">
        <f>0.307*0.83</f>
        <v>0.25480999999999998</v>
      </c>
      <c r="I4470" s="72"/>
      <c r="K4470" s="658" t="s">
        <v>7665</v>
      </c>
      <c r="L4470" t="s">
        <v>7661</v>
      </c>
    </row>
    <row r="4471" spans="1:12" customFormat="1" x14ac:dyDescent="0.25">
      <c r="A4471" s="661"/>
      <c r="B4471" s="73"/>
      <c r="C4471" s="73"/>
      <c r="D4471" s="73"/>
      <c r="E4471" s="73"/>
      <c r="F4471" s="73"/>
      <c r="G4471" s="74"/>
      <c r="H4471" s="153"/>
      <c r="I4471" s="72"/>
      <c r="K4471" s="658"/>
    </row>
    <row r="4472" spans="1:12" customFormat="1" x14ac:dyDescent="0.25">
      <c r="A4472" s="661"/>
      <c r="B4472" s="73" t="s">
        <v>7664</v>
      </c>
      <c r="C4472" s="73"/>
      <c r="D4472" s="73"/>
      <c r="E4472" s="73"/>
      <c r="F4472" s="73"/>
      <c r="G4472" s="74"/>
      <c r="H4472" s="153"/>
      <c r="I4472" s="72"/>
      <c r="K4472" s="658"/>
    </row>
    <row r="4473" spans="1:12" customFormat="1" x14ac:dyDescent="0.25">
      <c r="A4473" s="661"/>
      <c r="B4473" s="73" t="s">
        <v>8</v>
      </c>
      <c r="C4473" s="73"/>
      <c r="D4473" s="73"/>
      <c r="E4473" s="73"/>
      <c r="F4473" s="73"/>
      <c r="G4473" s="74" t="s">
        <v>3</v>
      </c>
      <c r="H4473" s="153">
        <f>H4474*0.7</f>
        <v>1.2396999999999997E-2</v>
      </c>
      <c r="I4473" s="72"/>
      <c r="K4473" s="658"/>
    </row>
    <row r="4474" spans="1:12" customFormat="1" x14ac:dyDescent="0.25">
      <c r="A4474" s="661"/>
      <c r="B4474" s="73" t="s">
        <v>442</v>
      </c>
      <c r="C4474" s="73"/>
      <c r="D4474" s="73"/>
      <c r="E4474" s="73"/>
      <c r="F4474" s="73"/>
      <c r="G4474" s="74" t="s">
        <v>3</v>
      </c>
      <c r="H4474" s="153">
        <f>0.7*0.011*2*1.15</f>
        <v>1.7709999999999997E-2</v>
      </c>
      <c r="I4474" s="72"/>
      <c r="K4474" s="658"/>
    </row>
    <row r="4475" spans="1:12" customFormat="1" x14ac:dyDescent="0.25">
      <c r="A4475" s="661"/>
      <c r="B4475" s="73" t="s">
        <v>12</v>
      </c>
      <c r="C4475" s="73"/>
      <c r="D4475" s="73"/>
      <c r="E4475" s="73"/>
      <c r="F4475" s="73"/>
      <c r="G4475" s="74" t="s">
        <v>3</v>
      </c>
      <c r="H4475" s="153">
        <f>0.3*(H4474+H4473)</f>
        <v>9.0320999999999978E-3</v>
      </c>
      <c r="I4475" s="72"/>
      <c r="K4475" s="658"/>
    </row>
    <row r="4476" spans="1:12" customFormat="1" x14ac:dyDescent="0.25">
      <c r="A4476" s="661"/>
      <c r="B4476" s="73"/>
      <c r="C4476" s="75" t="s">
        <v>7663</v>
      </c>
      <c r="D4476" s="73"/>
      <c r="E4476" s="73"/>
      <c r="F4476" s="73"/>
      <c r="G4476" s="74"/>
      <c r="H4476" s="153"/>
      <c r="I4476" s="72"/>
      <c r="K4476" s="658"/>
    </row>
    <row r="4477" spans="1:12" customFormat="1" x14ac:dyDescent="0.25">
      <c r="A4477" s="661"/>
      <c r="B4477" s="73"/>
      <c r="C4477" s="73" t="s">
        <v>2957</v>
      </c>
      <c r="D4477" s="73"/>
      <c r="E4477" s="73"/>
      <c r="F4477" s="73"/>
      <c r="G4477" s="74" t="s">
        <v>3</v>
      </c>
      <c r="H4477" s="153">
        <f>0.307*0.782</f>
        <v>0.24007400000000001</v>
      </c>
      <c r="I4477" s="72"/>
      <c r="K4477" s="658" t="s">
        <v>7662</v>
      </c>
      <c r="L4477" t="s">
        <v>7661</v>
      </c>
    </row>
    <row r="4478" spans="1:12" customFormat="1" x14ac:dyDescent="0.25">
      <c r="A4478" s="661"/>
      <c r="B4478" s="73"/>
      <c r="C4478" s="73"/>
      <c r="D4478" s="73"/>
      <c r="E4478" s="73"/>
      <c r="F4478" s="73"/>
      <c r="G4478" s="74"/>
      <c r="H4478" s="153"/>
      <c r="I4478" s="72"/>
      <c r="K4478" s="658"/>
    </row>
    <row r="4479" spans="1:12" customFormat="1" x14ac:dyDescent="0.25">
      <c r="A4479" s="661"/>
      <c r="B4479" s="75" t="s">
        <v>7660</v>
      </c>
      <c r="C4479" s="73"/>
      <c r="D4479" s="73"/>
      <c r="E4479" s="73"/>
      <c r="F4479" s="73"/>
      <c r="G4479" s="74"/>
      <c r="H4479" s="153"/>
      <c r="I4479" s="72"/>
      <c r="K4479" s="658"/>
    </row>
    <row r="4480" spans="1:12" customFormat="1" x14ac:dyDescent="0.25">
      <c r="A4480" s="661"/>
      <c r="B4480" s="73" t="s">
        <v>7658</v>
      </c>
      <c r="C4480" s="73"/>
      <c r="D4480" s="73"/>
      <c r="E4480" s="73"/>
      <c r="F4480" s="73"/>
      <c r="G4480" s="74" t="s">
        <v>3</v>
      </c>
      <c r="H4480" s="153">
        <f>0.74*0.34*2*8*1.12/2+0.006</f>
        <v>2.2603360000000001</v>
      </c>
      <c r="I4480" s="72"/>
      <c r="K4480" s="658"/>
    </row>
    <row r="4481" spans="1:11" customFormat="1" x14ac:dyDescent="0.25">
      <c r="A4481" s="661"/>
      <c r="B4481" s="77" t="s">
        <v>1054</v>
      </c>
      <c r="C4481" s="73"/>
      <c r="D4481" s="73"/>
      <c r="E4481" s="73"/>
      <c r="F4481" s="73"/>
      <c r="G4481" s="152" t="s">
        <v>3</v>
      </c>
      <c r="H4481" s="153">
        <f>0.5*0.08*1.25</f>
        <v>0.05</v>
      </c>
      <c r="I4481" s="72"/>
      <c r="K4481" s="658"/>
    </row>
    <row r="4482" spans="1:11" customFormat="1" ht="17.25" x14ac:dyDescent="0.25">
      <c r="A4482" s="661"/>
      <c r="B4482" s="77" t="s">
        <v>1055</v>
      </c>
      <c r="C4482" s="73"/>
      <c r="D4482" s="73"/>
      <c r="E4482" s="73"/>
      <c r="F4482" s="73"/>
      <c r="G4482" s="74" t="s">
        <v>596</v>
      </c>
      <c r="H4482" s="153">
        <f>H4481*1.1</f>
        <v>5.5000000000000007E-2</v>
      </c>
      <c r="I4482" s="72"/>
      <c r="K4482" s="658"/>
    </row>
    <row r="4483" spans="1:11" customFormat="1" x14ac:dyDescent="0.25">
      <c r="A4483" s="661"/>
      <c r="B4483" s="73" t="s">
        <v>8</v>
      </c>
      <c r="C4483" s="73"/>
      <c r="D4483" s="73"/>
      <c r="E4483" s="73"/>
      <c r="F4483" s="73"/>
      <c r="G4483" s="74" t="s">
        <v>3</v>
      </c>
      <c r="H4483" s="153">
        <f>H4485*0.6</f>
        <v>6.0224999999999987E-2</v>
      </c>
      <c r="I4483" s="72"/>
      <c r="K4483" s="658"/>
    </row>
    <row r="4484" spans="1:11" customFormat="1" x14ac:dyDescent="0.25">
      <c r="A4484" s="661"/>
      <c r="B4484" s="73" t="s">
        <v>12</v>
      </c>
      <c r="C4484" s="73"/>
      <c r="D4484" s="73"/>
      <c r="E4484" s="73"/>
      <c r="F4484" s="73"/>
      <c r="G4484" s="74" t="s">
        <v>3</v>
      </c>
      <c r="H4484" s="153">
        <f>0.3*H4483+0.002</f>
        <v>2.0067499999999995E-2</v>
      </c>
      <c r="I4484" s="72"/>
      <c r="K4484" s="658"/>
    </row>
    <row r="4485" spans="1:11" customFormat="1" x14ac:dyDescent="0.25">
      <c r="A4485" s="661"/>
      <c r="B4485" s="73" t="s">
        <v>72</v>
      </c>
      <c r="C4485" s="73"/>
      <c r="D4485" s="73"/>
      <c r="E4485" s="73"/>
      <c r="F4485" s="73"/>
      <c r="G4485" s="74" t="s">
        <v>3</v>
      </c>
      <c r="H4485" s="153">
        <f>0.75*0.35*2*0.15*2*1.3/2-0.002</f>
        <v>0.10037499999999998</v>
      </c>
      <c r="I4485" s="72"/>
      <c r="K4485" s="658"/>
    </row>
    <row r="4486" spans="1:11" customFormat="1" x14ac:dyDescent="0.25">
      <c r="A4486" s="661"/>
      <c r="B4486" s="73" t="s">
        <v>444</v>
      </c>
      <c r="C4486" s="73"/>
      <c r="D4486" s="73"/>
      <c r="E4486" s="73"/>
      <c r="F4486" s="73"/>
      <c r="G4486" s="74" t="s">
        <v>3</v>
      </c>
      <c r="H4486" s="153">
        <f>0.3*H4485</f>
        <v>3.0112499999999993E-2</v>
      </c>
      <c r="I4486" s="72"/>
      <c r="K4486" s="658"/>
    </row>
    <row r="4487" spans="1:11" customFormat="1" x14ac:dyDescent="0.25">
      <c r="A4487" s="661"/>
      <c r="B4487" s="73"/>
      <c r="C4487" s="73"/>
      <c r="D4487" s="73"/>
      <c r="E4487" s="73"/>
      <c r="F4487" s="73"/>
      <c r="G4487" s="74"/>
      <c r="H4487" s="153"/>
      <c r="I4487" s="72"/>
      <c r="K4487" s="658"/>
    </row>
    <row r="4488" spans="1:11" customFormat="1" x14ac:dyDescent="0.25">
      <c r="A4488" s="661"/>
      <c r="B4488" s="75" t="s">
        <v>7659</v>
      </c>
      <c r="C4488" s="73"/>
      <c r="D4488" s="73"/>
      <c r="E4488" s="73"/>
      <c r="F4488" s="73"/>
      <c r="G4488" s="74"/>
      <c r="H4488" s="153"/>
      <c r="I4488" s="72"/>
      <c r="K4488" s="658"/>
    </row>
    <row r="4489" spans="1:11" customFormat="1" x14ac:dyDescent="0.25">
      <c r="A4489" s="661"/>
      <c r="B4489" s="73" t="s">
        <v>7658</v>
      </c>
      <c r="C4489" s="73"/>
      <c r="D4489" s="73"/>
      <c r="E4489" s="73"/>
      <c r="F4489" s="73"/>
      <c r="G4489" s="74" t="s">
        <v>3</v>
      </c>
      <c r="H4489" s="153">
        <f>0.74*0.34*2*8*1.12/2+0.006</f>
        <v>2.2603360000000001</v>
      </c>
      <c r="I4489" s="72"/>
      <c r="K4489" s="658"/>
    </row>
    <row r="4490" spans="1:11" customFormat="1" x14ac:dyDescent="0.25">
      <c r="A4490" s="661"/>
      <c r="B4490" s="77" t="s">
        <v>1054</v>
      </c>
      <c r="C4490" s="73"/>
      <c r="D4490" s="73"/>
      <c r="E4490" s="73"/>
      <c r="F4490" s="73"/>
      <c r="G4490" s="152" t="s">
        <v>3</v>
      </c>
      <c r="H4490" s="153">
        <f>0.5*0.08*1.25</f>
        <v>0.05</v>
      </c>
      <c r="I4490" s="72"/>
      <c r="K4490" s="658"/>
    </row>
    <row r="4491" spans="1:11" customFormat="1" ht="17.25" x14ac:dyDescent="0.25">
      <c r="A4491" s="661"/>
      <c r="B4491" s="77" t="s">
        <v>1055</v>
      </c>
      <c r="C4491" s="73"/>
      <c r="D4491" s="73"/>
      <c r="E4491" s="73"/>
      <c r="F4491" s="73"/>
      <c r="G4491" s="74" t="s">
        <v>596</v>
      </c>
      <c r="H4491" s="153">
        <f>H4490*1.1</f>
        <v>5.5000000000000007E-2</v>
      </c>
      <c r="I4491" s="72"/>
      <c r="K4491" s="658"/>
    </row>
    <row r="4492" spans="1:11" customFormat="1" x14ac:dyDescent="0.25">
      <c r="A4492" s="661"/>
      <c r="B4492" s="73" t="s">
        <v>8</v>
      </c>
      <c r="C4492" s="73"/>
      <c r="D4492" s="73"/>
      <c r="E4492" s="73"/>
      <c r="F4492" s="73"/>
      <c r="G4492" s="74" t="s">
        <v>3</v>
      </c>
      <c r="H4492" s="153">
        <f>H4494*0.6</f>
        <v>6.0224999999999987E-2</v>
      </c>
      <c r="I4492" s="72"/>
      <c r="K4492" s="658"/>
    </row>
    <row r="4493" spans="1:11" customFormat="1" x14ac:dyDescent="0.25">
      <c r="A4493" s="661"/>
      <c r="B4493" s="73" t="s">
        <v>12</v>
      </c>
      <c r="C4493" s="73"/>
      <c r="D4493" s="73"/>
      <c r="E4493" s="73"/>
      <c r="F4493" s="73"/>
      <c r="G4493" s="74" t="s">
        <v>3</v>
      </c>
      <c r="H4493" s="153">
        <f>0.3*H4492+0.002</f>
        <v>2.0067499999999995E-2</v>
      </c>
      <c r="I4493" s="72"/>
      <c r="K4493" s="658"/>
    </row>
    <row r="4494" spans="1:11" customFormat="1" x14ac:dyDescent="0.25">
      <c r="A4494" s="661"/>
      <c r="B4494" s="73" t="s">
        <v>72</v>
      </c>
      <c r="C4494" s="73"/>
      <c r="D4494" s="73"/>
      <c r="E4494" s="73"/>
      <c r="F4494" s="73"/>
      <c r="G4494" s="74" t="s">
        <v>3</v>
      </c>
      <c r="H4494" s="153">
        <f>0.75*0.35*2*0.15*2*1.3/2-0.002</f>
        <v>0.10037499999999998</v>
      </c>
      <c r="I4494" s="72"/>
      <c r="K4494" s="658"/>
    </row>
    <row r="4495" spans="1:11" customFormat="1" x14ac:dyDescent="0.25">
      <c r="A4495" s="661"/>
      <c r="B4495" s="73" t="s">
        <v>444</v>
      </c>
      <c r="C4495" s="73"/>
      <c r="D4495" s="73"/>
      <c r="E4495" s="73"/>
      <c r="F4495" s="73"/>
      <c r="G4495" s="74" t="s">
        <v>3</v>
      </c>
      <c r="H4495" s="153">
        <f>0.3*H4494</f>
        <v>3.0112499999999993E-2</v>
      </c>
      <c r="I4495" s="72"/>
      <c r="K4495" s="658"/>
    </row>
    <row r="4496" spans="1:11" customFormat="1" ht="15.75" thickBot="1" x14ac:dyDescent="0.3">
      <c r="A4496" s="660"/>
      <c r="B4496" s="68"/>
      <c r="C4496" s="68"/>
      <c r="D4496" s="68"/>
      <c r="E4496" s="68"/>
      <c r="F4496" s="68"/>
      <c r="G4496" s="82"/>
      <c r="H4496" s="89"/>
      <c r="I4496" s="83"/>
      <c r="K4496" s="658"/>
    </row>
    <row r="4497" spans="1:11" customFormat="1" x14ac:dyDescent="0.25">
      <c r="A4497" s="662"/>
      <c r="B4497" s="93"/>
      <c r="C4497" s="93"/>
      <c r="D4497" s="93"/>
      <c r="E4497" s="93"/>
      <c r="F4497" s="93"/>
      <c r="G4497" s="160"/>
      <c r="H4497" s="284" t="s">
        <v>7657</v>
      </c>
      <c r="I4497" s="284"/>
      <c r="K4497" s="658"/>
    </row>
    <row r="4498" spans="1:11" customFormat="1" x14ac:dyDescent="0.25">
      <c r="A4498" s="661"/>
      <c r="B4498" s="75" t="s">
        <v>7656</v>
      </c>
      <c r="C4498" s="73"/>
      <c r="D4498" s="73"/>
      <c r="E4498" s="73"/>
      <c r="F4498" s="73"/>
      <c r="G4498" s="74"/>
      <c r="H4498" s="153"/>
      <c r="I4498" s="72"/>
      <c r="K4498" s="658"/>
    </row>
    <row r="4499" spans="1:11" customFormat="1" x14ac:dyDescent="0.25">
      <c r="A4499" s="661"/>
      <c r="B4499" s="73" t="s">
        <v>7655</v>
      </c>
      <c r="C4499" s="73"/>
      <c r="D4499" s="73"/>
      <c r="E4499" s="73"/>
      <c r="F4499" s="73"/>
      <c r="G4499" s="74" t="s">
        <v>3</v>
      </c>
      <c r="H4499" s="153">
        <v>6.6000000000000003E-2</v>
      </c>
      <c r="I4499" s="72"/>
      <c r="K4499" s="658" t="s">
        <v>7654</v>
      </c>
    </row>
    <row r="4500" spans="1:11" customFormat="1" x14ac:dyDescent="0.25">
      <c r="A4500" s="661"/>
      <c r="B4500" s="73"/>
      <c r="C4500" s="73"/>
      <c r="D4500" s="73"/>
      <c r="E4500" s="73"/>
      <c r="F4500" s="73"/>
      <c r="G4500" s="74"/>
      <c r="H4500" s="153"/>
      <c r="I4500" s="72"/>
      <c r="K4500" s="658"/>
    </row>
    <row r="4501" spans="1:11" customFormat="1" x14ac:dyDescent="0.25">
      <c r="A4501" s="661"/>
      <c r="B4501" s="73" t="s">
        <v>7653</v>
      </c>
      <c r="C4501" s="73"/>
      <c r="D4501" s="73"/>
      <c r="E4501" s="73"/>
      <c r="F4501" s="73"/>
      <c r="G4501" s="74" t="s">
        <v>2180</v>
      </c>
      <c r="H4501" s="153"/>
      <c r="I4501" s="72"/>
      <c r="K4501" s="658"/>
    </row>
    <row r="4502" spans="1:11" customFormat="1" x14ac:dyDescent="0.25">
      <c r="A4502" s="661"/>
      <c r="B4502" s="73" t="s">
        <v>7652</v>
      </c>
      <c r="C4502" s="73"/>
      <c r="D4502" s="73"/>
      <c r="E4502" s="73"/>
      <c r="F4502" s="73"/>
      <c r="G4502" s="74" t="s">
        <v>1516</v>
      </c>
      <c r="H4502" s="153">
        <v>10</v>
      </c>
      <c r="I4502" s="72"/>
      <c r="K4502" s="658"/>
    </row>
    <row r="4503" spans="1:11" customFormat="1" x14ac:dyDescent="0.25">
      <c r="A4503" s="661"/>
      <c r="B4503" s="73"/>
      <c r="C4503" s="75"/>
      <c r="D4503" s="73"/>
      <c r="E4503" s="73"/>
      <c r="F4503" s="73"/>
      <c r="G4503" s="74"/>
      <c r="H4503" s="153"/>
      <c r="I4503" s="72"/>
      <c r="K4503" s="658"/>
    </row>
    <row r="4504" spans="1:11" customFormat="1" x14ac:dyDescent="0.25">
      <c r="A4504" s="661"/>
      <c r="B4504" s="73" t="s">
        <v>7651</v>
      </c>
      <c r="C4504" s="77"/>
      <c r="D4504" s="73"/>
      <c r="E4504" s="73"/>
      <c r="F4504" s="73"/>
      <c r="G4504" s="152"/>
      <c r="H4504" s="153"/>
      <c r="I4504" s="72"/>
      <c r="K4504" s="658"/>
    </row>
    <row r="4505" spans="1:11" customFormat="1" x14ac:dyDescent="0.25">
      <c r="A4505" s="661"/>
      <c r="B4505" s="77" t="s">
        <v>1054</v>
      </c>
      <c r="C4505" s="73"/>
      <c r="D4505" s="73"/>
      <c r="E4505" s="73"/>
      <c r="F4505" s="73"/>
      <c r="G4505" s="152" t="s">
        <v>3</v>
      </c>
      <c r="H4505" s="153">
        <f>1*0.08*1.12</f>
        <v>8.9600000000000013E-2</v>
      </c>
      <c r="I4505" s="72"/>
      <c r="K4505" s="658"/>
    </row>
    <row r="4506" spans="1:11" customFormat="1" ht="17.25" x14ac:dyDescent="0.25">
      <c r="A4506" s="661"/>
      <c r="B4506" s="77" t="s">
        <v>1055</v>
      </c>
      <c r="C4506" s="73"/>
      <c r="D4506" s="73"/>
      <c r="E4506" s="73"/>
      <c r="F4506" s="73"/>
      <c r="G4506" s="74" t="s">
        <v>596</v>
      </c>
      <c r="H4506" s="153">
        <f>H4505*1.1+0.001</f>
        <v>9.9560000000000023E-2</v>
      </c>
      <c r="I4506" s="72"/>
      <c r="K4506" s="658"/>
    </row>
    <row r="4507" spans="1:11" customFormat="1" x14ac:dyDescent="0.25">
      <c r="A4507" s="661"/>
      <c r="B4507" s="73" t="s">
        <v>8</v>
      </c>
      <c r="C4507" s="73"/>
      <c r="D4507" s="73"/>
      <c r="E4507" s="73"/>
      <c r="F4507" s="73"/>
      <c r="G4507" s="74" t="s">
        <v>3</v>
      </c>
      <c r="H4507" s="153">
        <f>H4509*0.6</f>
        <v>5.9978879999999991E-2</v>
      </c>
      <c r="I4507" s="72"/>
      <c r="K4507" s="658"/>
    </row>
    <row r="4508" spans="1:11" customFormat="1" x14ac:dyDescent="0.25">
      <c r="A4508" s="661"/>
      <c r="B4508" s="73" t="s">
        <v>12</v>
      </c>
      <c r="C4508" s="73"/>
      <c r="D4508" s="73"/>
      <c r="E4508" s="73"/>
      <c r="F4508" s="73"/>
      <c r="G4508" s="74" t="s">
        <v>3</v>
      </c>
      <c r="H4508" s="153">
        <f>0.3*H4507</f>
        <v>1.7993663999999996E-2</v>
      </c>
      <c r="I4508" s="72"/>
      <c r="K4508" s="658"/>
    </row>
    <row r="4509" spans="1:11" customFormat="1" x14ac:dyDescent="0.25">
      <c r="A4509" s="661"/>
      <c r="B4509" s="73" t="s">
        <v>72</v>
      </c>
      <c r="C4509" s="73"/>
      <c r="D4509" s="73"/>
      <c r="E4509" s="73"/>
      <c r="F4509" s="73"/>
      <c r="G4509" s="74" t="s">
        <v>3</v>
      </c>
      <c r="H4509" s="153">
        <f>(0.3*0.22+0.28*0.17+0.48*0.06)*2*0.15*2*1.17</f>
        <v>9.9964799999999993E-2</v>
      </c>
      <c r="I4509" s="72"/>
      <c r="K4509" s="658"/>
    </row>
    <row r="4510" spans="1:11" customFormat="1" x14ac:dyDescent="0.25">
      <c r="A4510" s="661"/>
      <c r="B4510" s="73" t="s">
        <v>11</v>
      </c>
      <c r="C4510" s="73"/>
      <c r="D4510" s="73"/>
      <c r="E4510" s="73"/>
      <c r="F4510" s="73"/>
      <c r="G4510" s="74" t="s">
        <v>3</v>
      </c>
      <c r="H4510" s="153">
        <f>0.3*H4509</f>
        <v>2.9989439999999996E-2</v>
      </c>
      <c r="I4510" s="72"/>
      <c r="K4510" s="658"/>
    </row>
    <row r="4511" spans="1:11" customFormat="1" x14ac:dyDescent="0.25">
      <c r="A4511" s="661"/>
      <c r="B4511" s="73" t="s">
        <v>7650</v>
      </c>
      <c r="C4511" s="73"/>
      <c r="D4511" s="73"/>
      <c r="E4511" s="73"/>
      <c r="F4511" s="73"/>
      <c r="G4511" s="74" t="s">
        <v>3</v>
      </c>
      <c r="H4511" s="153">
        <v>0.08</v>
      </c>
      <c r="I4511" s="72"/>
      <c r="K4511" s="658"/>
    </row>
    <row r="4512" spans="1:11" customFormat="1" x14ac:dyDescent="0.25">
      <c r="A4512" s="661"/>
      <c r="B4512" s="73"/>
      <c r="C4512" s="75" t="s">
        <v>7649</v>
      </c>
      <c r="D4512" s="73"/>
      <c r="E4512" s="73"/>
      <c r="F4512" s="73"/>
      <c r="G4512" s="74"/>
      <c r="H4512" s="153"/>
      <c r="I4512" s="72"/>
      <c r="K4512" s="658"/>
    </row>
    <row r="4513" spans="1:11" customFormat="1" x14ac:dyDescent="0.25">
      <c r="A4513" s="661"/>
      <c r="B4513" s="73"/>
      <c r="C4513" s="73" t="s">
        <v>7648</v>
      </c>
      <c r="D4513" s="73"/>
      <c r="E4513" s="73"/>
      <c r="F4513" s="73"/>
      <c r="G4513" s="74" t="s">
        <v>3</v>
      </c>
      <c r="H4513" s="153">
        <f>0.48*0.055*5*8*1.136</f>
        <v>1.199616</v>
      </c>
      <c r="I4513" s="72"/>
      <c r="K4513" s="658"/>
    </row>
    <row r="4514" spans="1:11" customFormat="1" x14ac:dyDescent="0.25">
      <c r="A4514" s="661"/>
      <c r="B4514" s="73"/>
      <c r="C4514" s="73"/>
      <c r="D4514" s="73"/>
      <c r="E4514" s="73"/>
      <c r="F4514" s="73"/>
      <c r="G4514" s="74"/>
      <c r="H4514" s="153"/>
      <c r="I4514" s="72"/>
      <c r="K4514" s="658"/>
    </row>
    <row r="4515" spans="1:11" customFormat="1" x14ac:dyDescent="0.25">
      <c r="A4515" s="661"/>
      <c r="B4515" s="73"/>
      <c r="C4515" s="73"/>
      <c r="D4515" s="73"/>
      <c r="E4515" s="73"/>
      <c r="F4515" s="390" t="s">
        <v>7647</v>
      </c>
      <c r="G4515" s="74"/>
      <c r="H4515" s="153"/>
      <c r="I4515" s="72"/>
      <c r="K4515" s="658"/>
    </row>
    <row r="4516" spans="1:11" customFormat="1" x14ac:dyDescent="0.25">
      <c r="A4516" s="661"/>
      <c r="B4516" s="73"/>
      <c r="C4516" s="73"/>
      <c r="D4516" s="73"/>
      <c r="E4516" s="73"/>
      <c r="F4516" s="73"/>
      <c r="G4516" s="74"/>
      <c r="H4516" s="153"/>
      <c r="I4516" s="72"/>
      <c r="K4516" s="658"/>
    </row>
    <row r="4517" spans="1:11" customFormat="1" x14ac:dyDescent="0.25">
      <c r="A4517" s="661"/>
      <c r="B4517" s="75" t="s">
        <v>7646</v>
      </c>
      <c r="C4517" s="73"/>
      <c r="D4517" s="73"/>
      <c r="E4517" s="73"/>
      <c r="F4517" s="73"/>
      <c r="G4517" s="74"/>
      <c r="H4517" s="153"/>
      <c r="I4517" s="72"/>
      <c r="K4517" s="658"/>
    </row>
    <row r="4518" spans="1:11" customFormat="1" x14ac:dyDescent="0.25">
      <c r="A4518" s="661"/>
      <c r="B4518" s="73" t="s">
        <v>7645</v>
      </c>
      <c r="C4518" s="73"/>
      <c r="D4518" s="73"/>
      <c r="E4518" s="73"/>
      <c r="F4518" s="73"/>
      <c r="G4518" s="74" t="s">
        <v>3</v>
      </c>
      <c r="H4518" s="153">
        <f>0.05*0.04*3*8*1.15</f>
        <v>5.5199999999999999E-2</v>
      </c>
      <c r="I4518" s="72"/>
      <c r="K4518" s="658"/>
    </row>
    <row r="4519" spans="1:11" customFormat="1" ht="15.75" thickBot="1" x14ac:dyDescent="0.3">
      <c r="A4519" s="660"/>
      <c r="B4519" s="68"/>
      <c r="C4519" s="68"/>
      <c r="D4519" s="68"/>
      <c r="E4519" s="68"/>
      <c r="F4519" s="68"/>
      <c r="G4519" s="82"/>
      <c r="H4519" s="89"/>
      <c r="I4519" s="83"/>
      <c r="K4519" s="658"/>
    </row>
    <row r="4520" spans="1:11" customFormat="1" x14ac:dyDescent="0.25">
      <c r="A4520" s="662"/>
      <c r="B4520" s="93"/>
      <c r="C4520" s="93"/>
      <c r="D4520" s="93"/>
      <c r="E4520" s="93"/>
      <c r="F4520" s="93"/>
      <c r="G4520" s="160"/>
      <c r="H4520" s="284" t="s">
        <v>7644</v>
      </c>
      <c r="I4520" s="284"/>
      <c r="K4520" s="658"/>
    </row>
    <row r="4521" spans="1:11" customFormat="1" x14ac:dyDescent="0.25">
      <c r="A4521" s="661"/>
      <c r="B4521" s="73"/>
      <c r="C4521" s="73"/>
      <c r="D4521" s="73"/>
      <c r="E4521" s="73"/>
      <c r="F4521" s="454" t="s">
        <v>4259</v>
      </c>
      <c r="G4521" s="74"/>
      <c r="H4521" s="74"/>
      <c r="I4521" s="72"/>
      <c r="K4521" s="658"/>
    </row>
    <row r="4522" spans="1:11" customFormat="1" x14ac:dyDescent="0.25">
      <c r="A4522" s="661"/>
      <c r="B4522" s="73" t="s">
        <v>7643</v>
      </c>
      <c r="C4522" s="73"/>
      <c r="D4522" s="73"/>
      <c r="E4522" s="73"/>
      <c r="F4522" s="73"/>
      <c r="G4522" s="74"/>
      <c r="H4522" s="153"/>
      <c r="I4522" s="72"/>
      <c r="K4522" s="658"/>
    </row>
    <row r="4523" spans="1:11" customFormat="1" x14ac:dyDescent="0.25">
      <c r="A4523" s="661"/>
      <c r="B4523" s="73" t="s">
        <v>378</v>
      </c>
      <c r="C4523" s="73"/>
      <c r="D4523" s="73"/>
      <c r="E4523" s="73"/>
      <c r="F4523" s="73"/>
      <c r="G4523" s="74" t="s">
        <v>3</v>
      </c>
      <c r="H4523" s="153">
        <v>8.0000000000000002E-3</v>
      </c>
      <c r="I4523" s="72"/>
      <c r="K4523" s="658"/>
    </row>
    <row r="4524" spans="1:11" customFormat="1" x14ac:dyDescent="0.25">
      <c r="A4524" s="661"/>
      <c r="B4524" s="73" t="s">
        <v>7641</v>
      </c>
      <c r="C4524" s="73"/>
      <c r="D4524" s="73"/>
      <c r="E4524" s="73"/>
      <c r="F4524" s="73"/>
      <c r="G4524" s="74" t="s">
        <v>195</v>
      </c>
      <c r="H4524" s="153">
        <v>0.41</v>
      </c>
      <c r="I4524" s="72"/>
      <c r="K4524" s="658"/>
    </row>
    <row r="4525" spans="1:11" customFormat="1" x14ac:dyDescent="0.25">
      <c r="A4525" s="661"/>
      <c r="B4525" s="73" t="s">
        <v>671</v>
      </c>
      <c r="C4525" s="73"/>
      <c r="D4525" s="73"/>
      <c r="E4525" s="73"/>
      <c r="F4525" s="73"/>
      <c r="G4525" s="74" t="s">
        <v>3</v>
      </c>
      <c r="H4525" s="153">
        <v>0.02</v>
      </c>
      <c r="I4525" s="72"/>
      <c r="K4525" s="658"/>
    </row>
    <row r="4526" spans="1:11" customFormat="1" x14ac:dyDescent="0.25">
      <c r="A4526" s="661"/>
      <c r="B4526" s="73" t="s">
        <v>672</v>
      </c>
      <c r="C4526" s="73"/>
      <c r="D4526" s="73"/>
      <c r="E4526" s="73"/>
      <c r="F4526" s="73"/>
      <c r="G4526" s="74" t="s">
        <v>3</v>
      </c>
      <c r="H4526" s="153">
        <f>2.5*H4525</f>
        <v>0.05</v>
      </c>
      <c r="I4526" s="72"/>
      <c r="K4526" s="658"/>
    </row>
    <row r="4527" spans="1:11" customFormat="1" x14ac:dyDescent="0.25">
      <c r="A4527" s="661"/>
      <c r="B4527" s="73"/>
      <c r="C4527" s="73"/>
      <c r="D4527" s="73"/>
      <c r="E4527" s="73"/>
      <c r="F4527" s="73"/>
      <c r="G4527" s="74"/>
      <c r="H4527" s="153"/>
      <c r="I4527" s="72"/>
      <c r="K4527" s="658"/>
    </row>
    <row r="4528" spans="1:11" customFormat="1" x14ac:dyDescent="0.25">
      <c r="A4528" s="661"/>
      <c r="B4528" s="75" t="s">
        <v>7642</v>
      </c>
      <c r="C4528" s="73"/>
      <c r="D4528" s="73"/>
      <c r="E4528" s="73"/>
      <c r="F4528" s="73"/>
      <c r="G4528" s="74"/>
      <c r="H4528" s="153"/>
      <c r="I4528" s="72"/>
      <c r="K4528" s="658"/>
    </row>
    <row r="4529" spans="1:11" customFormat="1" x14ac:dyDescent="0.25">
      <c r="A4529" s="661"/>
      <c r="B4529" s="73" t="s">
        <v>378</v>
      </c>
      <c r="C4529" s="73"/>
      <c r="D4529" s="73"/>
      <c r="E4529" s="73"/>
      <c r="F4529" s="73"/>
      <c r="G4529" s="74" t="s">
        <v>3</v>
      </c>
      <c r="H4529" s="153">
        <v>8.0000000000000002E-3</v>
      </c>
      <c r="I4529" s="72"/>
      <c r="K4529" s="658"/>
    </row>
    <row r="4530" spans="1:11" customFormat="1" x14ac:dyDescent="0.25">
      <c r="A4530" s="661"/>
      <c r="B4530" s="73" t="s">
        <v>7641</v>
      </c>
      <c r="C4530" s="73"/>
      <c r="D4530" s="73"/>
      <c r="E4530" s="73"/>
      <c r="F4530" s="73"/>
      <c r="G4530" s="74" t="s">
        <v>195</v>
      </c>
      <c r="H4530" s="153">
        <v>0.5</v>
      </c>
      <c r="I4530" s="72"/>
      <c r="K4530" s="658"/>
    </row>
    <row r="4531" spans="1:11" customFormat="1" x14ac:dyDescent="0.25">
      <c r="A4531" s="661"/>
      <c r="B4531" s="73" t="s">
        <v>671</v>
      </c>
      <c r="C4531" s="73"/>
      <c r="D4531" s="73"/>
      <c r="E4531" s="73"/>
      <c r="F4531" s="73"/>
      <c r="G4531" s="74" t="s">
        <v>3</v>
      </c>
      <c r="H4531" s="153">
        <v>0.02</v>
      </c>
      <c r="I4531" s="72"/>
      <c r="K4531" s="658"/>
    </row>
    <row r="4532" spans="1:11" customFormat="1" x14ac:dyDescent="0.25">
      <c r="A4532" s="661"/>
      <c r="B4532" s="73" t="s">
        <v>672</v>
      </c>
      <c r="C4532" s="73"/>
      <c r="D4532" s="73"/>
      <c r="E4532" s="73"/>
      <c r="F4532" s="73"/>
      <c r="G4532" s="74" t="s">
        <v>3</v>
      </c>
      <c r="H4532" s="153">
        <f>2.5*H4531</f>
        <v>0.05</v>
      </c>
      <c r="I4532" s="72"/>
      <c r="K4532" s="658"/>
    </row>
    <row r="4533" spans="1:11" customFormat="1" x14ac:dyDescent="0.25">
      <c r="A4533" s="661"/>
      <c r="B4533" s="73"/>
      <c r="C4533" s="73"/>
      <c r="D4533" s="73"/>
      <c r="E4533" s="73"/>
      <c r="F4533" s="73"/>
      <c r="G4533" s="74"/>
      <c r="H4533" s="153"/>
      <c r="I4533" s="72"/>
      <c r="K4533" s="658"/>
    </row>
    <row r="4534" spans="1:11" customFormat="1" x14ac:dyDescent="0.25">
      <c r="A4534" s="661"/>
      <c r="B4534" s="73" t="s">
        <v>7640</v>
      </c>
      <c r="C4534" s="73"/>
      <c r="D4534" s="73"/>
      <c r="E4534" s="73"/>
      <c r="F4534" s="73"/>
      <c r="G4534" s="74"/>
      <c r="H4534" s="153"/>
      <c r="I4534" s="72"/>
      <c r="K4534" s="658"/>
    </row>
    <row r="4535" spans="1:11" customFormat="1" x14ac:dyDescent="0.25">
      <c r="A4535" s="661"/>
      <c r="B4535" s="73" t="s">
        <v>4666</v>
      </c>
      <c r="C4535" s="73"/>
      <c r="D4535" s="73"/>
      <c r="E4535" s="73"/>
      <c r="F4535" s="73"/>
      <c r="G4535" s="74" t="s">
        <v>3</v>
      </c>
      <c r="H4535" s="428">
        <v>5.0000000000000001E-4</v>
      </c>
      <c r="I4535" s="72"/>
      <c r="K4535" t="s">
        <v>4667</v>
      </c>
    </row>
    <row r="4536" spans="1:11" customFormat="1" x14ac:dyDescent="0.25">
      <c r="A4536" s="661"/>
      <c r="B4536" s="73" t="s">
        <v>8</v>
      </c>
      <c r="C4536" s="73"/>
      <c r="D4536" s="73"/>
      <c r="E4536" s="73"/>
      <c r="F4536" s="73"/>
      <c r="G4536" s="74" t="s">
        <v>3</v>
      </c>
      <c r="H4536" s="153">
        <f>H4537*0.68</f>
        <v>2.0323160000000003E-2</v>
      </c>
      <c r="I4536" s="72"/>
      <c r="K4536" s="658"/>
    </row>
    <row r="4537" spans="1:11" customFormat="1" x14ac:dyDescent="0.25">
      <c r="A4537" s="661"/>
      <c r="B4537" s="73" t="s">
        <v>115</v>
      </c>
      <c r="C4537" s="73"/>
      <c r="D4537" s="73"/>
      <c r="E4537" s="73"/>
      <c r="F4537" s="73"/>
      <c r="G4537" s="74" t="s">
        <v>3</v>
      </c>
      <c r="H4537" s="153">
        <f>1.235*0.011*2*1.1</f>
        <v>2.9887E-2</v>
      </c>
      <c r="I4537" s="72"/>
      <c r="K4537" s="658"/>
    </row>
    <row r="4538" spans="1:11" customFormat="1" x14ac:dyDescent="0.25">
      <c r="A4538" s="661"/>
      <c r="B4538" s="73" t="s">
        <v>12</v>
      </c>
      <c r="C4538" s="73"/>
      <c r="D4538" s="73"/>
      <c r="E4538" s="73"/>
      <c r="F4538" s="73"/>
      <c r="G4538" s="74" t="s">
        <v>3</v>
      </c>
      <c r="H4538" s="153">
        <f>0.3*(H4537+H4536)</f>
        <v>1.5063048000000001E-2</v>
      </c>
      <c r="I4538" s="72"/>
      <c r="K4538" s="658"/>
    </row>
    <row r="4539" spans="1:11" customFormat="1" x14ac:dyDescent="0.25">
      <c r="A4539" s="661"/>
      <c r="B4539" s="73"/>
      <c r="C4539" s="73" t="s">
        <v>7639</v>
      </c>
      <c r="D4539" s="73"/>
      <c r="E4539" s="73"/>
      <c r="F4539" s="73"/>
      <c r="G4539" s="74"/>
      <c r="H4539" s="153"/>
      <c r="I4539" s="72"/>
      <c r="K4539" s="658"/>
    </row>
    <row r="4540" spans="1:11" customFormat="1" x14ac:dyDescent="0.25">
      <c r="A4540" s="661"/>
      <c r="B4540" s="73"/>
      <c r="C4540" s="77" t="s">
        <v>39</v>
      </c>
      <c r="D4540" s="73"/>
      <c r="E4540" s="73"/>
      <c r="F4540" s="73"/>
      <c r="G4540" s="74" t="s">
        <v>3</v>
      </c>
      <c r="H4540" s="153">
        <f>0.012*3.14*2*0.08*1.2</f>
        <v>7.234560000000001E-3</v>
      </c>
      <c r="I4540" s="72"/>
      <c r="K4540" s="658"/>
    </row>
    <row r="4541" spans="1:11" customFormat="1" x14ac:dyDescent="0.25">
      <c r="A4541" s="661"/>
      <c r="B4541" s="73"/>
      <c r="C4541" s="77" t="s">
        <v>1055</v>
      </c>
      <c r="D4541" s="73"/>
      <c r="E4541" s="73"/>
      <c r="F4541" s="73"/>
      <c r="G4541" s="74" t="s">
        <v>3</v>
      </c>
      <c r="H4541" s="153">
        <f>1.5*H4540</f>
        <v>1.0851840000000001E-2</v>
      </c>
      <c r="I4541" s="72"/>
      <c r="K4541" s="658"/>
    </row>
    <row r="4542" spans="1:11" customFormat="1" x14ac:dyDescent="0.25">
      <c r="A4542" s="661"/>
      <c r="B4542" s="73"/>
      <c r="C4542" s="77" t="s">
        <v>4669</v>
      </c>
      <c r="D4542" s="73"/>
      <c r="E4542" s="73"/>
      <c r="F4542" s="73"/>
      <c r="G4542" s="74" t="s">
        <v>3</v>
      </c>
      <c r="H4542" s="153">
        <f>0.012*3.14*0.6*0.2*2*1.3</f>
        <v>1.1756160000000002E-2</v>
      </c>
      <c r="I4542" s="72"/>
      <c r="K4542" s="658"/>
    </row>
    <row r="4543" spans="1:11" customFormat="1" x14ac:dyDescent="0.25">
      <c r="A4543" s="661"/>
      <c r="B4543" s="73"/>
      <c r="C4543" s="73"/>
      <c r="D4543" s="75" t="s">
        <v>7638</v>
      </c>
      <c r="E4543" s="73"/>
      <c r="F4543" s="73"/>
      <c r="G4543" s="74"/>
      <c r="H4543" s="153"/>
      <c r="I4543" s="72"/>
      <c r="K4543" s="658"/>
    </row>
    <row r="4544" spans="1:11" customFormat="1" x14ac:dyDescent="0.25">
      <c r="A4544" s="661"/>
      <c r="B4544" s="73"/>
      <c r="C4544" s="73"/>
      <c r="D4544" s="73" t="s">
        <v>404</v>
      </c>
      <c r="E4544" s="73"/>
      <c r="F4544" s="73"/>
      <c r="G4544" s="74" t="s">
        <v>3</v>
      </c>
      <c r="H4544" s="153">
        <f>0.666*1.306</f>
        <v>0.86979600000000012</v>
      </c>
      <c r="I4544" s="72"/>
      <c r="K4544" t="s">
        <v>4671</v>
      </c>
    </row>
    <row r="4545" spans="1:11" customFormat="1" x14ac:dyDescent="0.25">
      <c r="A4545" s="661"/>
      <c r="B4545" s="73"/>
      <c r="C4545" s="73"/>
      <c r="D4545" s="73"/>
      <c r="E4545" s="73"/>
      <c r="F4545" s="73"/>
      <c r="G4545" s="74"/>
      <c r="H4545" s="153"/>
      <c r="I4545" s="72"/>
      <c r="K4545" s="658"/>
    </row>
    <row r="4546" spans="1:11" customFormat="1" x14ac:dyDescent="0.25">
      <c r="A4546" s="661"/>
      <c r="B4546" s="73" t="s">
        <v>7637</v>
      </c>
      <c r="C4546" s="73"/>
      <c r="D4546" s="73"/>
      <c r="E4546" s="73"/>
      <c r="F4546" s="73"/>
      <c r="G4546" s="74"/>
      <c r="H4546" s="153"/>
      <c r="I4546" s="72"/>
      <c r="K4546" s="658"/>
    </row>
    <row r="4547" spans="1:11" customFormat="1" x14ac:dyDescent="0.25">
      <c r="A4547" s="661"/>
      <c r="B4547" s="73"/>
      <c r="C4547" s="73" t="s">
        <v>7636</v>
      </c>
      <c r="D4547" s="73"/>
      <c r="E4547" s="73"/>
      <c r="F4547" s="73"/>
      <c r="G4547" s="74"/>
      <c r="H4547" s="153"/>
      <c r="I4547" s="72"/>
      <c r="K4547" s="658"/>
    </row>
    <row r="4548" spans="1:11" customFormat="1" x14ac:dyDescent="0.25">
      <c r="A4548" s="661"/>
      <c r="B4548" s="73"/>
      <c r="C4548" s="73" t="s">
        <v>7629</v>
      </c>
      <c r="D4548" s="73"/>
      <c r="E4548" s="73"/>
      <c r="F4548" s="73"/>
      <c r="G4548" s="74" t="s">
        <v>1516</v>
      </c>
      <c r="H4548" s="153">
        <v>4</v>
      </c>
      <c r="I4548" s="72"/>
      <c r="K4548" s="658"/>
    </row>
    <row r="4549" spans="1:11" customFormat="1" x14ac:dyDescent="0.25">
      <c r="A4549" s="661"/>
      <c r="B4549" s="73"/>
      <c r="C4549" s="580" t="s">
        <v>6724</v>
      </c>
      <c r="D4549" s="75"/>
      <c r="E4549" s="75"/>
      <c r="F4549" s="75"/>
      <c r="G4549" s="74" t="s">
        <v>3</v>
      </c>
      <c r="H4549" s="427">
        <f>(0.3*2+0.02*3.14*2+0.024*3.14*2+0.06*2+0.2)*0.05*1.25</f>
        <v>7.4770000000000003E-2</v>
      </c>
      <c r="I4549" s="72"/>
      <c r="K4549" s="658"/>
    </row>
    <row r="4550" spans="1:11" customFormat="1" ht="17.25" x14ac:dyDescent="0.25">
      <c r="A4550" s="661"/>
      <c r="B4550" s="73"/>
      <c r="C4550" s="204" t="s">
        <v>6723</v>
      </c>
      <c r="D4550" s="75"/>
      <c r="E4550" s="75"/>
      <c r="F4550" s="75"/>
      <c r="G4550" s="74" t="s">
        <v>596</v>
      </c>
      <c r="H4550" s="153">
        <f>1.09*H4549</f>
        <v>8.1499300000000011E-2</v>
      </c>
      <c r="I4550" s="72"/>
      <c r="K4550" s="658"/>
    </row>
    <row r="4551" spans="1:11" customFormat="1" x14ac:dyDescent="0.25">
      <c r="A4551" s="661"/>
      <c r="B4551" s="73"/>
      <c r="C4551" s="73" t="s">
        <v>7628</v>
      </c>
      <c r="D4551" s="73"/>
      <c r="E4551" s="73"/>
      <c r="F4551" s="73"/>
      <c r="G4551" s="74" t="s">
        <v>3</v>
      </c>
      <c r="H4551" s="153">
        <v>5.0000000000000001E-3</v>
      </c>
      <c r="I4551" s="72"/>
      <c r="K4551" s="658"/>
    </row>
    <row r="4552" spans="1:11" customFormat="1" x14ac:dyDescent="0.25">
      <c r="A4552" s="661"/>
      <c r="B4552" s="73"/>
      <c r="C4552" s="73"/>
      <c r="D4552" s="75" t="s">
        <v>7635</v>
      </c>
      <c r="E4552" s="73"/>
      <c r="F4552" s="73"/>
      <c r="G4552" s="74"/>
      <c r="H4552" s="153"/>
      <c r="I4552" s="72"/>
      <c r="K4552" s="658"/>
    </row>
    <row r="4553" spans="1:11" customFormat="1" x14ac:dyDescent="0.25">
      <c r="A4553" s="661"/>
      <c r="B4553" s="73"/>
      <c r="C4553" s="73"/>
      <c r="D4553" s="73" t="s">
        <v>4339</v>
      </c>
      <c r="E4553" s="73"/>
      <c r="F4553" s="73"/>
      <c r="G4553" s="74" t="s">
        <v>3</v>
      </c>
      <c r="H4553" s="153">
        <f>0.35*0.47*2*2.7*1.126</f>
        <v>1.0002257999999999</v>
      </c>
      <c r="I4553" s="72"/>
      <c r="K4553" s="658"/>
    </row>
    <row r="4554" spans="1:11" customFormat="1" x14ac:dyDescent="0.25">
      <c r="A4554" s="661"/>
      <c r="B4554" s="73"/>
      <c r="C4554" s="73"/>
      <c r="D4554" s="580" t="s">
        <v>6724</v>
      </c>
      <c r="E4554" s="75"/>
      <c r="F4554" s="75"/>
      <c r="G4554" s="74" t="s">
        <v>3</v>
      </c>
      <c r="H4554" s="427">
        <f>0.15*0.05*1.3</f>
        <v>9.75E-3</v>
      </c>
      <c r="I4554" s="72"/>
      <c r="K4554" s="658"/>
    </row>
    <row r="4555" spans="1:11" customFormat="1" ht="17.25" x14ac:dyDescent="0.25">
      <c r="A4555" s="661"/>
      <c r="B4555" s="73"/>
      <c r="C4555" s="73"/>
      <c r="D4555" s="204" t="s">
        <v>6723</v>
      </c>
      <c r="E4555" s="75"/>
      <c r="F4555" s="75"/>
      <c r="G4555" s="74" t="s">
        <v>596</v>
      </c>
      <c r="H4555" s="153">
        <f>1.09*H4554</f>
        <v>1.0627500000000002E-2</v>
      </c>
      <c r="I4555" s="72"/>
      <c r="K4555" s="658"/>
    </row>
    <row r="4556" spans="1:11" customFormat="1" x14ac:dyDescent="0.25">
      <c r="A4556" s="661"/>
      <c r="B4556" s="73"/>
      <c r="C4556" s="73"/>
      <c r="D4556" s="75" t="s">
        <v>7634</v>
      </c>
      <c r="E4556" s="73"/>
      <c r="F4556" s="73"/>
      <c r="G4556" s="74"/>
      <c r="H4556" s="153"/>
      <c r="I4556" s="72"/>
      <c r="K4556" s="658"/>
    </row>
    <row r="4557" spans="1:11" customFormat="1" x14ac:dyDescent="0.25">
      <c r="A4557" s="661"/>
      <c r="B4557" s="73"/>
      <c r="C4557" s="73"/>
      <c r="D4557" s="73" t="s">
        <v>7633</v>
      </c>
      <c r="E4557" s="73"/>
      <c r="F4557" s="73"/>
      <c r="G4557" s="74" t="s">
        <v>3</v>
      </c>
      <c r="H4557" s="153">
        <v>5.5E-2</v>
      </c>
      <c r="I4557" s="72"/>
      <c r="K4557" s="658" t="s">
        <v>7632</v>
      </c>
    </row>
    <row r="4558" spans="1:11" customFormat="1" x14ac:dyDescent="0.25">
      <c r="A4558" s="661"/>
      <c r="B4558" s="73"/>
      <c r="C4558" s="73"/>
      <c r="D4558" s="73"/>
      <c r="E4558" s="73"/>
      <c r="F4558" s="73"/>
      <c r="G4558" s="74"/>
      <c r="H4558" s="153"/>
      <c r="I4558" s="72"/>
      <c r="K4558" s="658"/>
    </row>
    <row r="4559" spans="1:11" customFormat="1" x14ac:dyDescent="0.25">
      <c r="A4559" s="661"/>
      <c r="B4559" s="73" t="s">
        <v>7631</v>
      </c>
      <c r="C4559" s="73"/>
      <c r="D4559" s="73"/>
      <c r="E4559" s="73"/>
      <c r="F4559" s="73"/>
      <c r="G4559" s="74"/>
      <c r="H4559" s="153"/>
      <c r="I4559" s="72"/>
      <c r="K4559" s="658"/>
    </row>
    <row r="4560" spans="1:11" customFormat="1" x14ac:dyDescent="0.25">
      <c r="A4560" s="661"/>
      <c r="B4560" s="73"/>
      <c r="C4560" s="73" t="s">
        <v>7630</v>
      </c>
      <c r="D4560" s="73"/>
      <c r="E4560" s="73"/>
      <c r="F4560" s="73"/>
      <c r="G4560" s="74"/>
      <c r="H4560" s="153"/>
      <c r="I4560" s="72"/>
      <c r="K4560" s="658"/>
    </row>
    <row r="4561" spans="1:11" customFormat="1" x14ac:dyDescent="0.25">
      <c r="A4561" s="661"/>
      <c r="B4561" s="73"/>
      <c r="C4561" s="73" t="s">
        <v>7629</v>
      </c>
      <c r="D4561" s="73"/>
      <c r="E4561" s="73"/>
      <c r="F4561" s="73"/>
      <c r="G4561" s="74" t="s">
        <v>1516</v>
      </c>
      <c r="H4561" s="153">
        <v>4</v>
      </c>
      <c r="I4561" s="72"/>
      <c r="K4561" s="658"/>
    </row>
    <row r="4562" spans="1:11" customFormat="1" x14ac:dyDescent="0.25">
      <c r="A4562" s="661"/>
      <c r="B4562" s="73"/>
      <c r="C4562" s="580" t="s">
        <v>6724</v>
      </c>
      <c r="D4562" s="75"/>
      <c r="E4562" s="75"/>
      <c r="F4562" s="75"/>
      <c r="G4562" s="74" t="s">
        <v>3</v>
      </c>
      <c r="H4562" s="427">
        <f>(0.3*2+0.02*3.14*2+0.024*3.14*2+0.06*2+0.2)*0.05*1.25</f>
        <v>7.4770000000000003E-2</v>
      </c>
      <c r="I4562" s="72"/>
      <c r="K4562" s="658"/>
    </row>
    <row r="4563" spans="1:11" customFormat="1" ht="17.25" x14ac:dyDescent="0.25">
      <c r="A4563" s="661"/>
      <c r="B4563" s="73"/>
      <c r="C4563" s="204" t="s">
        <v>6723</v>
      </c>
      <c r="D4563" s="75"/>
      <c r="E4563" s="75"/>
      <c r="F4563" s="75"/>
      <c r="G4563" s="74" t="s">
        <v>596</v>
      </c>
      <c r="H4563" s="153">
        <f>1.09*H4562</f>
        <v>8.1499300000000011E-2</v>
      </c>
      <c r="I4563" s="72"/>
      <c r="K4563" s="658"/>
    </row>
    <row r="4564" spans="1:11" customFormat="1" x14ac:dyDescent="0.25">
      <c r="A4564" s="661"/>
      <c r="B4564" s="73"/>
      <c r="C4564" s="73" t="s">
        <v>7628</v>
      </c>
      <c r="D4564" s="73"/>
      <c r="E4564" s="73"/>
      <c r="F4564" s="73"/>
      <c r="G4564" s="74" t="s">
        <v>3</v>
      </c>
      <c r="H4564" s="153">
        <v>5.0000000000000001E-3</v>
      </c>
      <c r="I4564" s="72"/>
      <c r="K4564" s="658"/>
    </row>
    <row r="4565" spans="1:11" customFormat="1" x14ac:dyDescent="0.25">
      <c r="A4565" s="661"/>
      <c r="B4565" s="73"/>
      <c r="C4565" s="73"/>
      <c r="D4565" s="75"/>
      <c r="E4565" s="73"/>
      <c r="F4565" s="73"/>
      <c r="G4565" s="74"/>
      <c r="H4565" s="153"/>
      <c r="I4565" s="72"/>
      <c r="K4565" s="658"/>
    </row>
    <row r="4566" spans="1:11" customFormat="1" x14ac:dyDescent="0.25">
      <c r="A4566" s="661"/>
      <c r="B4566" s="73" t="s">
        <v>7627</v>
      </c>
      <c r="C4566" s="73"/>
      <c r="D4566" s="73"/>
      <c r="E4566" s="73"/>
      <c r="F4566" s="73"/>
      <c r="G4566" s="74"/>
      <c r="H4566" s="153"/>
      <c r="I4566" s="72"/>
      <c r="K4566" s="658"/>
    </row>
    <row r="4567" spans="1:11" customFormat="1" x14ac:dyDescent="0.25">
      <c r="A4567" s="661"/>
      <c r="B4567" s="73"/>
      <c r="C4567" s="73" t="s">
        <v>7626</v>
      </c>
      <c r="D4567" s="580"/>
      <c r="E4567" s="75"/>
      <c r="F4567" s="75"/>
      <c r="G4567" s="74"/>
      <c r="H4567" s="427"/>
      <c r="I4567" s="72"/>
      <c r="K4567" s="658"/>
    </row>
    <row r="4568" spans="1:11" customFormat="1" x14ac:dyDescent="0.25">
      <c r="A4568" s="661"/>
      <c r="B4568" s="73"/>
      <c r="C4568" s="73" t="s">
        <v>8</v>
      </c>
      <c r="D4568" s="204"/>
      <c r="E4568" s="75"/>
      <c r="F4568" s="75"/>
      <c r="G4568" s="74" t="s">
        <v>3</v>
      </c>
      <c r="H4568" s="153">
        <f>H4569*0.74+0.001</f>
        <v>5.998096E-2</v>
      </c>
      <c r="I4568" s="72"/>
      <c r="K4568" s="658"/>
    </row>
    <row r="4569" spans="1:11" customFormat="1" x14ac:dyDescent="0.25">
      <c r="A4569" s="661"/>
      <c r="B4569" s="73"/>
      <c r="C4569" s="73" t="s">
        <v>6248</v>
      </c>
      <c r="D4569" s="75"/>
      <c r="E4569" s="73"/>
      <c r="F4569" s="73"/>
      <c r="G4569" s="74" t="s">
        <v>3</v>
      </c>
      <c r="H4569" s="153">
        <f>0.36*0.3*2*0.15*2*1.23</f>
        <v>7.9703999999999997E-2</v>
      </c>
      <c r="I4569" s="72"/>
      <c r="K4569" s="658"/>
    </row>
    <row r="4570" spans="1:11" customFormat="1" x14ac:dyDescent="0.25">
      <c r="A4570" s="661"/>
      <c r="B4570" s="73"/>
      <c r="C4570" s="73" t="s">
        <v>12</v>
      </c>
      <c r="D4570" s="73"/>
      <c r="E4570" s="73"/>
      <c r="F4570" s="73"/>
      <c r="G4570" s="74" t="s">
        <v>3</v>
      </c>
      <c r="H4570" s="153">
        <f>0.3*(H4569+H4568)</f>
        <v>4.1905487999999998E-2</v>
      </c>
      <c r="I4570" s="72"/>
      <c r="K4570" s="658"/>
    </row>
    <row r="4571" spans="1:11" customFormat="1" x14ac:dyDescent="0.25">
      <c r="A4571" s="661"/>
      <c r="B4571" s="73"/>
      <c r="C4571" s="77" t="s">
        <v>39</v>
      </c>
      <c r="D4571" s="73"/>
      <c r="E4571" s="73"/>
      <c r="F4571" s="73"/>
      <c r="G4571" s="74" t="s">
        <v>3</v>
      </c>
      <c r="H4571" s="153">
        <f>0.6*0.08*1.25</f>
        <v>0.06</v>
      </c>
      <c r="I4571" s="72"/>
      <c r="K4571" s="658"/>
    </row>
    <row r="4572" spans="1:11" customFormat="1" x14ac:dyDescent="0.25">
      <c r="A4572" s="661"/>
      <c r="B4572" s="73"/>
      <c r="C4572" s="77" t="s">
        <v>1055</v>
      </c>
      <c r="D4572" s="73"/>
      <c r="E4572" s="73"/>
      <c r="F4572" s="73"/>
      <c r="G4572" s="74" t="s">
        <v>3</v>
      </c>
      <c r="H4572" s="153">
        <f>1.5*H4571</f>
        <v>0.09</v>
      </c>
      <c r="I4572" s="72"/>
      <c r="K4572" s="658"/>
    </row>
    <row r="4573" spans="1:11" customFormat="1" x14ac:dyDescent="0.25">
      <c r="A4573" s="661"/>
      <c r="B4573" s="73"/>
      <c r="C4573" s="73"/>
      <c r="D4573" s="75" t="s">
        <v>7625</v>
      </c>
      <c r="E4573" s="73"/>
      <c r="F4573" s="73"/>
      <c r="G4573" s="74"/>
      <c r="H4573" s="153"/>
      <c r="I4573" s="72"/>
      <c r="K4573" s="658"/>
    </row>
    <row r="4574" spans="1:11" customFormat="1" x14ac:dyDescent="0.25">
      <c r="A4574" s="661"/>
      <c r="B4574" s="73"/>
      <c r="C4574" s="73"/>
      <c r="D4574" s="73" t="s">
        <v>7624</v>
      </c>
      <c r="E4574" s="73"/>
      <c r="F4574" s="73"/>
      <c r="G4574" s="74" t="s">
        <v>3</v>
      </c>
      <c r="H4574" s="153">
        <f>0.42*0.35*2*8*1.106-0.001</f>
        <v>2.6003120000000002</v>
      </c>
      <c r="I4574" s="72"/>
      <c r="K4574" s="658"/>
    </row>
    <row r="4575" spans="1:11" customFormat="1" ht="15.75" thickBot="1" x14ac:dyDescent="0.3">
      <c r="A4575" s="660"/>
      <c r="B4575" s="68"/>
      <c r="C4575" s="68"/>
      <c r="D4575" s="68"/>
      <c r="E4575" s="68"/>
      <c r="F4575" s="68"/>
      <c r="G4575" s="82"/>
      <c r="H4575" s="89"/>
      <c r="I4575" s="83"/>
      <c r="K4575" s="658"/>
    </row>
    <row r="4576" spans="1:11" customFormat="1" x14ac:dyDescent="0.25">
      <c r="A4576" s="662"/>
      <c r="B4576" s="93"/>
      <c r="C4576" s="93"/>
      <c r="D4576" s="93"/>
      <c r="E4576" s="93"/>
      <c r="F4576" s="93"/>
      <c r="G4576" s="160"/>
      <c r="H4576" s="182" t="s">
        <v>7623</v>
      </c>
      <c r="I4576" s="176"/>
      <c r="K4576" s="658"/>
    </row>
    <row r="4577" spans="1:11" customFormat="1" x14ac:dyDescent="0.25">
      <c r="A4577" s="661"/>
      <c r="B4577" s="73"/>
      <c r="C4577" s="73"/>
      <c r="D4577" s="73"/>
      <c r="E4577" s="73"/>
      <c r="F4577" s="390" t="s">
        <v>7622</v>
      </c>
      <c r="G4577" s="74"/>
      <c r="H4577" s="153"/>
      <c r="I4577" s="72"/>
      <c r="K4577" s="658"/>
    </row>
    <row r="4578" spans="1:11" customFormat="1" x14ac:dyDescent="0.25">
      <c r="A4578" s="661"/>
      <c r="B4578" s="73"/>
      <c r="C4578" s="73"/>
      <c r="D4578" s="73"/>
      <c r="E4578" s="73"/>
      <c r="F4578" s="73"/>
      <c r="G4578" s="74"/>
      <c r="H4578" s="153"/>
      <c r="I4578" s="72"/>
      <c r="K4578" s="658"/>
    </row>
    <row r="4579" spans="1:11" customFormat="1" x14ac:dyDescent="0.25">
      <c r="A4579" s="661"/>
      <c r="B4579" s="73" t="s">
        <v>7621</v>
      </c>
      <c r="C4579" s="73"/>
      <c r="D4579" s="73"/>
      <c r="E4579" s="73"/>
      <c r="F4579" s="73"/>
      <c r="G4579" s="74"/>
      <c r="H4579" s="153"/>
      <c r="I4579" s="72"/>
      <c r="K4579" s="658"/>
    </row>
    <row r="4580" spans="1:11" customFormat="1" x14ac:dyDescent="0.25">
      <c r="A4580" s="661"/>
      <c r="B4580" s="77" t="s">
        <v>39</v>
      </c>
      <c r="C4580" s="73"/>
      <c r="D4580" s="73"/>
      <c r="E4580" s="73"/>
      <c r="F4580" s="73"/>
      <c r="G4580" s="74" t="s">
        <v>3</v>
      </c>
      <c r="H4580" s="153">
        <f>0.05*0.08*1.1</f>
        <v>4.4000000000000003E-3</v>
      </c>
      <c r="I4580" s="72"/>
      <c r="K4580" s="658"/>
    </row>
    <row r="4581" spans="1:11" customFormat="1" x14ac:dyDescent="0.25">
      <c r="A4581" s="661"/>
      <c r="B4581" s="77" t="s">
        <v>1055</v>
      </c>
      <c r="C4581" s="73"/>
      <c r="D4581" s="73"/>
      <c r="E4581" s="73"/>
      <c r="F4581" s="73"/>
      <c r="G4581" s="74" t="s">
        <v>3</v>
      </c>
      <c r="H4581" s="153">
        <f>1.5*H4580</f>
        <v>6.6E-3</v>
      </c>
      <c r="I4581" s="72"/>
      <c r="K4581" s="658"/>
    </row>
    <row r="4582" spans="1:11" customFormat="1" x14ac:dyDescent="0.25">
      <c r="A4582" s="661"/>
      <c r="B4582" s="73" t="s">
        <v>7620</v>
      </c>
      <c r="C4582" s="73"/>
      <c r="D4582" s="73"/>
      <c r="E4582" s="73"/>
      <c r="F4582" s="73"/>
      <c r="G4582" s="74" t="s">
        <v>3</v>
      </c>
      <c r="H4582" s="153">
        <f>0.11*0.025*0.2*2*1.3+0.003</f>
        <v>4.4299999999999999E-3</v>
      </c>
      <c r="I4582" s="72"/>
      <c r="K4582" s="658"/>
    </row>
    <row r="4583" spans="1:11" customFormat="1" x14ac:dyDescent="0.25">
      <c r="A4583" s="661"/>
      <c r="B4583" s="73"/>
      <c r="C4583" s="75" t="s">
        <v>7619</v>
      </c>
      <c r="D4583" s="73"/>
      <c r="E4583" s="73"/>
      <c r="F4583" s="73"/>
      <c r="G4583" s="74"/>
      <c r="H4583" s="153"/>
      <c r="I4583" s="72"/>
      <c r="K4583" s="658"/>
    </row>
    <row r="4584" spans="1:11" customFormat="1" x14ac:dyDescent="0.25">
      <c r="A4584" s="661"/>
      <c r="B4584" s="73"/>
      <c r="C4584" s="73" t="s">
        <v>7618</v>
      </c>
      <c r="D4584" s="73"/>
      <c r="E4584" s="73"/>
      <c r="F4584" s="73"/>
      <c r="G4584" s="74" t="s">
        <v>3</v>
      </c>
      <c r="H4584" s="153">
        <f>0.13*0.025*2.5*8*1.15</f>
        <v>7.4749999999999997E-2</v>
      </c>
      <c r="I4584" s="72"/>
      <c r="K4584" s="658"/>
    </row>
    <row r="4585" spans="1:11" customFormat="1" x14ac:dyDescent="0.25">
      <c r="A4585" s="661"/>
      <c r="B4585" s="73"/>
      <c r="C4585" s="75" t="s">
        <v>7617</v>
      </c>
      <c r="D4585" s="73"/>
      <c r="E4585" s="73"/>
      <c r="F4585" s="73"/>
      <c r="G4585" s="74"/>
      <c r="H4585" s="153"/>
      <c r="I4585" s="72"/>
      <c r="K4585" s="658"/>
    </row>
    <row r="4586" spans="1:11" customFormat="1" x14ac:dyDescent="0.25">
      <c r="A4586" s="661"/>
      <c r="B4586" s="73"/>
      <c r="C4586" s="73" t="s">
        <v>7615</v>
      </c>
      <c r="D4586" s="73"/>
      <c r="E4586" s="73"/>
      <c r="F4586" s="73"/>
      <c r="G4586" s="74" t="s">
        <v>3</v>
      </c>
      <c r="H4586" s="153">
        <f>0.15*0.025*3*8*1.11</f>
        <v>9.9900000000000003E-2</v>
      </c>
      <c r="I4586" s="72"/>
      <c r="K4586" s="658"/>
    </row>
    <row r="4587" spans="1:11" customFormat="1" x14ac:dyDescent="0.25">
      <c r="A4587" s="661"/>
      <c r="B4587" s="73"/>
      <c r="C4587" s="75" t="s">
        <v>7616</v>
      </c>
      <c r="D4587" s="73"/>
      <c r="E4587" s="73"/>
      <c r="F4587" s="73"/>
      <c r="G4587" s="74"/>
      <c r="H4587" s="153"/>
      <c r="I4587" s="72"/>
      <c r="K4587" s="658"/>
    </row>
    <row r="4588" spans="1:11" customFormat="1" x14ac:dyDescent="0.25">
      <c r="A4588" s="661"/>
      <c r="B4588" s="73"/>
      <c r="C4588" s="73" t="s">
        <v>7615</v>
      </c>
      <c r="D4588" s="73"/>
      <c r="E4588" s="73"/>
      <c r="F4588" s="73"/>
      <c r="G4588" s="74" t="s">
        <v>3</v>
      </c>
      <c r="H4588" s="153">
        <f>0.03*0.03*3*8*1.125</f>
        <v>2.4300000000000002E-2</v>
      </c>
      <c r="I4588" s="72"/>
      <c r="K4588" s="658"/>
    </row>
    <row r="4589" spans="1:11" customFormat="1" ht="15.75" thickBot="1" x14ac:dyDescent="0.3">
      <c r="A4589" s="660"/>
      <c r="B4589" s="68"/>
      <c r="C4589" s="68"/>
      <c r="D4589" s="68"/>
      <c r="E4589" s="68"/>
      <c r="F4589" s="68"/>
      <c r="G4589" s="82"/>
      <c r="H4589" s="89"/>
      <c r="I4589" s="83"/>
      <c r="K4589" s="658"/>
    </row>
    <row r="4590" spans="1:11" customFormat="1" x14ac:dyDescent="0.25">
      <c r="A4590" s="662"/>
      <c r="B4590" s="93"/>
      <c r="C4590" s="93"/>
      <c r="D4590" s="93"/>
      <c r="E4590" s="93"/>
      <c r="F4590" s="93"/>
      <c r="G4590" s="160"/>
      <c r="H4590" s="182" t="s">
        <v>7614</v>
      </c>
      <c r="I4590" s="176"/>
      <c r="K4590" s="658"/>
    </row>
    <row r="4591" spans="1:11" customFormat="1" x14ac:dyDescent="0.25">
      <c r="A4591" s="661"/>
      <c r="B4591" s="73"/>
      <c r="C4591" s="73"/>
      <c r="D4591" s="73"/>
      <c r="E4591" s="73"/>
      <c r="F4591" s="73"/>
      <c r="G4591" s="74"/>
      <c r="H4591" s="153"/>
      <c r="I4591" s="72"/>
      <c r="K4591" s="658"/>
    </row>
    <row r="4592" spans="1:11" customFormat="1" x14ac:dyDescent="0.25">
      <c r="A4592" s="661"/>
      <c r="B4592" s="75" t="s">
        <v>7613</v>
      </c>
      <c r="C4592" s="73"/>
      <c r="D4592" s="73"/>
      <c r="E4592" s="73"/>
      <c r="F4592" s="73"/>
      <c r="G4592" s="74"/>
      <c r="H4592" s="153"/>
      <c r="I4592" s="72"/>
      <c r="K4592" s="658"/>
    </row>
    <row r="4593" spans="1:11" customFormat="1" x14ac:dyDescent="0.25">
      <c r="A4593" s="661"/>
      <c r="B4593" s="73" t="s">
        <v>7612</v>
      </c>
      <c r="C4593" s="73"/>
      <c r="D4593" s="73"/>
      <c r="E4593" s="73"/>
      <c r="F4593" s="73"/>
      <c r="G4593" s="74" t="s">
        <v>3</v>
      </c>
      <c r="H4593" s="153">
        <f>0.018*0.018*1*8</f>
        <v>2.5919999999999997E-3</v>
      </c>
      <c r="I4593" s="72"/>
      <c r="K4593" s="658"/>
    </row>
    <row r="4594" spans="1:11" customFormat="1" x14ac:dyDescent="0.25">
      <c r="A4594" s="661"/>
      <c r="B4594" s="73"/>
      <c r="C4594" s="73"/>
      <c r="D4594" s="73"/>
      <c r="E4594" s="73"/>
      <c r="F4594" s="73"/>
      <c r="G4594" s="74"/>
      <c r="H4594" s="153"/>
      <c r="I4594" s="72"/>
      <c r="K4594" s="658"/>
    </row>
    <row r="4595" spans="1:11" customFormat="1" x14ac:dyDescent="0.25">
      <c r="A4595" s="661"/>
      <c r="B4595" s="75" t="s">
        <v>7611</v>
      </c>
      <c r="C4595" s="73"/>
      <c r="D4595" s="73"/>
      <c r="E4595" s="73"/>
      <c r="F4595" s="73"/>
      <c r="G4595" s="74"/>
      <c r="H4595" s="153"/>
      <c r="I4595" s="72"/>
      <c r="K4595" s="658"/>
    </row>
    <row r="4596" spans="1:11" customFormat="1" x14ac:dyDescent="0.25">
      <c r="A4596" s="661"/>
      <c r="B4596" s="73" t="s">
        <v>7610</v>
      </c>
      <c r="C4596" s="73"/>
      <c r="D4596" s="73"/>
      <c r="E4596" s="73"/>
      <c r="F4596" s="73"/>
      <c r="G4596" s="74" t="s">
        <v>3</v>
      </c>
      <c r="H4596" s="153">
        <f>0.28*0.006*1*2.7*1.15</f>
        <v>5.2164000000000004E-3</v>
      </c>
      <c r="I4596" s="72"/>
      <c r="K4596" s="658"/>
    </row>
    <row r="4597" spans="1:11" customFormat="1" x14ac:dyDescent="0.25">
      <c r="A4597" s="661"/>
      <c r="B4597" s="73"/>
      <c r="C4597" s="73"/>
      <c r="D4597" s="73"/>
      <c r="E4597" s="73"/>
      <c r="F4597" s="73"/>
      <c r="G4597" s="74"/>
      <c r="H4597" s="153"/>
      <c r="I4597" s="72"/>
      <c r="K4597" s="658"/>
    </row>
    <row r="4598" spans="1:11" customFormat="1" x14ac:dyDescent="0.25">
      <c r="A4598" s="661"/>
      <c r="B4598" s="73" t="s">
        <v>7609</v>
      </c>
      <c r="C4598" s="73"/>
      <c r="D4598" s="73"/>
      <c r="E4598" s="73"/>
      <c r="F4598" s="73"/>
      <c r="G4598" s="74"/>
      <c r="H4598" s="153"/>
      <c r="I4598" s="72"/>
      <c r="K4598" s="658"/>
    </row>
    <row r="4599" spans="1:11" customFormat="1" x14ac:dyDescent="0.25">
      <c r="A4599" s="661"/>
      <c r="B4599" s="73" t="s">
        <v>8</v>
      </c>
      <c r="C4599" s="204"/>
      <c r="D4599" s="75"/>
      <c r="E4599" s="75"/>
      <c r="F4599" s="73"/>
      <c r="G4599" s="74" t="s">
        <v>3</v>
      </c>
      <c r="H4599" s="153">
        <f>H4600*0.74+0.001</f>
        <v>1.9721999999999996E-2</v>
      </c>
      <c r="I4599" s="72"/>
      <c r="K4599" s="658"/>
    </row>
    <row r="4600" spans="1:11" customFormat="1" x14ac:dyDescent="0.25">
      <c r="A4600" s="661"/>
      <c r="B4600" s="73" t="s">
        <v>649</v>
      </c>
      <c r="C4600" s="75"/>
      <c r="D4600" s="73"/>
      <c r="E4600" s="73"/>
      <c r="F4600" s="73"/>
      <c r="G4600" s="74" t="s">
        <v>3</v>
      </c>
      <c r="H4600" s="153">
        <f>1*0.011*2*1.15</f>
        <v>2.5299999999999996E-2</v>
      </c>
      <c r="I4600" s="72"/>
      <c r="K4600" s="658"/>
    </row>
    <row r="4601" spans="1:11" customFormat="1" x14ac:dyDescent="0.25">
      <c r="A4601" s="661"/>
      <c r="B4601" s="73" t="s">
        <v>12</v>
      </c>
      <c r="C4601" s="73"/>
      <c r="D4601" s="73"/>
      <c r="E4601" s="73"/>
      <c r="F4601" s="73"/>
      <c r="G4601" s="74" t="s">
        <v>3</v>
      </c>
      <c r="H4601" s="153">
        <f>0.3*(H4600+H4599)</f>
        <v>1.3506599999999997E-2</v>
      </c>
      <c r="I4601" s="72"/>
      <c r="K4601" s="658"/>
    </row>
    <row r="4602" spans="1:11" customFormat="1" x14ac:dyDescent="0.25">
      <c r="A4602" s="661"/>
      <c r="B4602" s="100" t="s">
        <v>140</v>
      </c>
      <c r="C4602" s="75"/>
      <c r="D4602" s="73"/>
      <c r="E4602" s="73"/>
      <c r="F4602" s="73"/>
      <c r="G4602" s="74" t="s">
        <v>3</v>
      </c>
      <c r="H4602" s="153">
        <f>0.01*3.14*2*0.08*1.2</f>
        <v>6.0288000000000008E-3</v>
      </c>
      <c r="I4602" s="72"/>
      <c r="K4602" s="658"/>
    </row>
    <row r="4603" spans="1:11" customFormat="1" ht="17.25" x14ac:dyDescent="0.25">
      <c r="A4603" s="661"/>
      <c r="B4603" s="100" t="s">
        <v>23</v>
      </c>
      <c r="C4603" s="75"/>
      <c r="D4603" s="73"/>
      <c r="E4603" s="73"/>
      <c r="F4603" s="73"/>
      <c r="G4603" s="74" t="s">
        <v>596</v>
      </c>
      <c r="H4603" s="153">
        <f>H4602*2</f>
        <v>1.2057600000000002E-2</v>
      </c>
      <c r="I4603" s="72"/>
      <c r="K4603" s="658"/>
    </row>
    <row r="4604" spans="1:11" customFormat="1" x14ac:dyDescent="0.25">
      <c r="A4604" s="661"/>
      <c r="B4604" s="100" t="s">
        <v>142</v>
      </c>
      <c r="C4604" s="75"/>
      <c r="D4604" s="73"/>
      <c r="E4604" s="73"/>
      <c r="F4604" s="73"/>
      <c r="G4604" s="74" t="s">
        <v>3</v>
      </c>
      <c r="H4604" s="153">
        <f>H4602/4</f>
        <v>1.5072000000000002E-3</v>
      </c>
      <c r="I4604" s="72"/>
      <c r="K4604" s="658"/>
    </row>
    <row r="4605" spans="1:11" customFormat="1" x14ac:dyDescent="0.25">
      <c r="A4605" s="661"/>
      <c r="B4605" s="73"/>
      <c r="C4605" s="75" t="s">
        <v>7608</v>
      </c>
      <c r="D4605" s="73"/>
      <c r="E4605" s="73"/>
      <c r="F4605" s="73"/>
      <c r="G4605" s="74"/>
      <c r="H4605" s="153"/>
      <c r="I4605" s="72"/>
      <c r="K4605" s="658"/>
    </row>
    <row r="4606" spans="1:11" customFormat="1" x14ac:dyDescent="0.25">
      <c r="A4606" s="661"/>
      <c r="B4606" s="73"/>
      <c r="C4606" s="73" t="s">
        <v>7607</v>
      </c>
      <c r="D4606" s="73"/>
      <c r="E4606" s="73"/>
      <c r="F4606" s="73"/>
      <c r="G4606" s="74" t="s">
        <v>3</v>
      </c>
      <c r="H4606" s="153">
        <v>0.24</v>
      </c>
      <c r="I4606" s="72"/>
      <c r="K4606" s="658" t="s">
        <v>4226</v>
      </c>
    </row>
    <row r="4607" spans="1:11" customFormat="1" x14ac:dyDescent="0.25">
      <c r="A4607" s="661"/>
      <c r="B4607" s="73"/>
      <c r="C4607" s="73"/>
      <c r="D4607" s="73"/>
      <c r="E4607" s="73"/>
      <c r="F4607" s="73"/>
      <c r="G4607" s="74"/>
      <c r="H4607" s="153"/>
      <c r="I4607" s="72"/>
      <c r="K4607" s="658"/>
    </row>
    <row r="4608" spans="1:11" customFormat="1" x14ac:dyDescent="0.25">
      <c r="A4608" s="661"/>
      <c r="B4608" s="401" t="s">
        <v>7606</v>
      </c>
      <c r="C4608" s="73"/>
      <c r="D4608" s="73"/>
      <c r="E4608" s="73"/>
      <c r="F4608" s="73"/>
      <c r="G4608" s="74"/>
      <c r="H4608" s="153"/>
      <c r="I4608" s="72"/>
      <c r="K4608" s="658"/>
    </row>
    <row r="4609" spans="1:11" customFormat="1" x14ac:dyDescent="0.25">
      <c r="A4609" s="661"/>
      <c r="B4609" s="73" t="s">
        <v>7605</v>
      </c>
      <c r="C4609" s="73"/>
      <c r="D4609" s="73"/>
      <c r="E4609" s="73"/>
      <c r="F4609" s="73"/>
      <c r="G4609" s="74" t="s">
        <v>3</v>
      </c>
      <c r="H4609" s="153">
        <f>0.012*3.14*0.08*1.2</f>
        <v>3.6172800000000005E-3</v>
      </c>
      <c r="I4609" s="72"/>
      <c r="K4609" s="658"/>
    </row>
    <row r="4610" spans="1:11" customFormat="1" ht="17.25" x14ac:dyDescent="0.25">
      <c r="A4610" s="661"/>
      <c r="B4610" s="73" t="s">
        <v>168</v>
      </c>
      <c r="C4610" s="73"/>
      <c r="D4610" s="73"/>
      <c r="E4610" s="73"/>
      <c r="F4610" s="73"/>
      <c r="G4610" s="74" t="s">
        <v>596</v>
      </c>
      <c r="H4610" s="153">
        <f>H4609*1.1</f>
        <v>3.9790080000000009E-3</v>
      </c>
      <c r="I4610" s="72"/>
      <c r="K4610" s="658"/>
    </row>
    <row r="4611" spans="1:11" customFormat="1" x14ac:dyDescent="0.25">
      <c r="A4611" s="661"/>
      <c r="B4611" s="73" t="s">
        <v>114</v>
      </c>
      <c r="C4611" s="73"/>
      <c r="D4611" s="73"/>
      <c r="E4611" s="73"/>
      <c r="F4611" s="73"/>
      <c r="G4611" s="74" t="s">
        <v>3</v>
      </c>
      <c r="H4611" s="153">
        <f>H4613*0.68</f>
        <v>2.0106240000000001E-2</v>
      </c>
      <c r="I4611" s="72"/>
      <c r="K4611" s="658"/>
    </row>
    <row r="4612" spans="1:11" customFormat="1" x14ac:dyDescent="0.25">
      <c r="A4612" s="661"/>
      <c r="B4612" s="73" t="s">
        <v>164</v>
      </c>
      <c r="C4612" s="73"/>
      <c r="D4612" s="73"/>
      <c r="E4612" s="73"/>
      <c r="F4612" s="73"/>
      <c r="G4612" s="74" t="s">
        <v>3</v>
      </c>
      <c r="H4612" s="153">
        <f>0.3*H4611</f>
        <v>6.0318719999999998E-3</v>
      </c>
      <c r="I4612" s="72"/>
      <c r="K4612" s="658"/>
    </row>
    <row r="4613" spans="1:11" customFormat="1" x14ac:dyDescent="0.25">
      <c r="A4613" s="661"/>
      <c r="B4613" s="73" t="s">
        <v>115</v>
      </c>
      <c r="C4613" s="73"/>
      <c r="D4613" s="73"/>
      <c r="E4613" s="73"/>
      <c r="F4613" s="73"/>
      <c r="G4613" s="74" t="s">
        <v>3</v>
      </c>
      <c r="H4613" s="153">
        <f>1.12*0.011*2*1.2</f>
        <v>2.9568000000000001E-2</v>
      </c>
      <c r="I4613" s="72"/>
      <c r="K4613" s="658"/>
    </row>
    <row r="4614" spans="1:11" customFormat="1" x14ac:dyDescent="0.25">
      <c r="A4614" s="661"/>
      <c r="B4614" s="73" t="s">
        <v>12</v>
      </c>
      <c r="C4614" s="73"/>
      <c r="D4614" s="73"/>
      <c r="E4614" s="73"/>
      <c r="F4614" s="73"/>
      <c r="G4614" s="74" t="s">
        <v>3</v>
      </c>
      <c r="H4614" s="153">
        <f>0.3*H4613</f>
        <v>8.8704000000000005E-3</v>
      </c>
      <c r="I4614" s="72"/>
      <c r="K4614" s="658"/>
    </row>
    <row r="4615" spans="1:11" customFormat="1" x14ac:dyDescent="0.25">
      <c r="A4615" s="661"/>
      <c r="B4615" s="73"/>
      <c r="C4615" s="75" t="s">
        <v>7604</v>
      </c>
      <c r="D4615" s="73"/>
      <c r="E4615" s="73"/>
      <c r="F4615" s="73"/>
      <c r="G4615" s="74"/>
      <c r="H4615" s="153"/>
      <c r="I4615" s="72"/>
      <c r="K4615" s="658"/>
    </row>
    <row r="4616" spans="1:11" customFormat="1" x14ac:dyDescent="0.25">
      <c r="A4616" s="661"/>
      <c r="B4616" s="73"/>
      <c r="C4616" s="73" t="s">
        <v>7600</v>
      </c>
      <c r="D4616" s="73"/>
      <c r="E4616" s="73"/>
      <c r="F4616" s="73"/>
      <c r="G4616" s="74" t="s">
        <v>3</v>
      </c>
      <c r="H4616" s="153">
        <f>0.271*1.2</f>
        <v>0.32519999999999999</v>
      </c>
      <c r="I4616" s="72"/>
      <c r="K4616" s="658" t="s">
        <v>7603</v>
      </c>
    </row>
    <row r="4617" spans="1:11" customFormat="1" x14ac:dyDescent="0.25">
      <c r="A4617" s="661"/>
      <c r="B4617" s="73"/>
      <c r="C4617" s="73"/>
      <c r="D4617" s="73"/>
      <c r="E4617" s="73"/>
      <c r="F4617" s="73"/>
      <c r="G4617" s="74"/>
      <c r="H4617" s="153"/>
      <c r="I4617" s="72"/>
      <c r="K4617" s="658"/>
    </row>
    <row r="4618" spans="1:11" customFormat="1" x14ac:dyDescent="0.25">
      <c r="A4618" s="661"/>
      <c r="B4618" s="401" t="s">
        <v>7602</v>
      </c>
      <c r="C4618" s="73"/>
      <c r="D4618" s="73"/>
      <c r="E4618" s="73"/>
      <c r="F4618" s="73"/>
      <c r="G4618" s="74"/>
      <c r="H4618" s="153"/>
      <c r="I4618" s="72"/>
      <c r="K4618" s="658"/>
    </row>
    <row r="4619" spans="1:11" customFormat="1" x14ac:dyDescent="0.25">
      <c r="A4619" s="661"/>
      <c r="B4619" s="73" t="s">
        <v>114</v>
      </c>
      <c r="C4619" s="73"/>
      <c r="D4619" s="73"/>
      <c r="E4619" s="73"/>
      <c r="F4619" s="73"/>
      <c r="G4619" s="74" t="s">
        <v>3</v>
      </c>
      <c r="H4619" s="153">
        <f>H4621*0.68</f>
        <v>1.0015040000000001E-2</v>
      </c>
      <c r="I4619" s="72"/>
      <c r="K4619" s="658"/>
    </row>
    <row r="4620" spans="1:11" customFormat="1" x14ac:dyDescent="0.25">
      <c r="A4620" s="661"/>
      <c r="B4620" s="73" t="s">
        <v>164</v>
      </c>
      <c r="C4620" s="73"/>
      <c r="D4620" s="73"/>
      <c r="E4620" s="73"/>
      <c r="F4620" s="73"/>
      <c r="G4620" s="74" t="s">
        <v>3</v>
      </c>
      <c r="H4620" s="153">
        <f>0.3*H4619</f>
        <v>3.0045120000000004E-3</v>
      </c>
      <c r="I4620" s="72"/>
      <c r="K4620" s="658"/>
    </row>
    <row r="4621" spans="1:11" customFormat="1" x14ac:dyDescent="0.25">
      <c r="A4621" s="661"/>
      <c r="B4621" s="73" t="s">
        <v>115</v>
      </c>
      <c r="C4621" s="73"/>
      <c r="D4621" s="73"/>
      <c r="E4621" s="73"/>
      <c r="F4621" s="73"/>
      <c r="G4621" s="74" t="s">
        <v>3</v>
      </c>
      <c r="H4621" s="153">
        <f>0.52*0.011*2*1.2+0.001</f>
        <v>1.4728000000000002E-2</v>
      </c>
      <c r="I4621" s="72"/>
      <c r="K4621" s="658"/>
    </row>
    <row r="4622" spans="1:11" customFormat="1" x14ac:dyDescent="0.25">
      <c r="A4622" s="661"/>
      <c r="B4622" s="73" t="s">
        <v>12</v>
      </c>
      <c r="C4622" s="73"/>
      <c r="D4622" s="73"/>
      <c r="E4622" s="73"/>
      <c r="F4622" s="73"/>
      <c r="G4622" s="74" t="s">
        <v>3</v>
      </c>
      <c r="H4622" s="153">
        <f>0.3*H4621</f>
        <v>4.4184000000000003E-3</v>
      </c>
      <c r="I4622" s="72"/>
      <c r="K4622" s="658"/>
    </row>
    <row r="4623" spans="1:11" customFormat="1" x14ac:dyDescent="0.25">
      <c r="A4623" s="661"/>
      <c r="B4623" s="73"/>
      <c r="C4623" s="75" t="s">
        <v>7601</v>
      </c>
      <c r="D4623" s="73"/>
      <c r="E4623" s="73"/>
      <c r="F4623" s="73"/>
      <c r="G4623" s="74"/>
      <c r="H4623" s="153"/>
      <c r="I4623" s="72"/>
      <c r="K4623" s="658"/>
    </row>
    <row r="4624" spans="1:11" customFormat="1" x14ac:dyDescent="0.25">
      <c r="A4624" s="661"/>
      <c r="B4624" s="73"/>
      <c r="C4624" s="73" t="s">
        <v>7600</v>
      </c>
      <c r="D4624" s="73"/>
      <c r="E4624" s="73"/>
      <c r="F4624" s="73"/>
      <c r="G4624" s="74" t="s">
        <v>3</v>
      </c>
      <c r="H4624" s="153">
        <v>0.126</v>
      </c>
      <c r="I4624" s="72"/>
      <c r="K4624" s="658" t="s">
        <v>7599</v>
      </c>
    </row>
    <row r="4625" spans="1:11" customFormat="1" x14ac:dyDescent="0.25">
      <c r="A4625" s="661"/>
      <c r="B4625" s="73"/>
      <c r="C4625" s="73"/>
      <c r="D4625" s="73"/>
      <c r="E4625" s="73"/>
      <c r="F4625" s="73"/>
      <c r="G4625" s="74"/>
      <c r="H4625" s="153"/>
      <c r="I4625" s="72"/>
      <c r="K4625" s="658"/>
    </row>
    <row r="4626" spans="1:11" customFormat="1" x14ac:dyDescent="0.25">
      <c r="A4626" s="661"/>
      <c r="B4626" s="73" t="s">
        <v>7598</v>
      </c>
      <c r="C4626" s="73"/>
      <c r="D4626" s="73"/>
      <c r="E4626" s="73"/>
      <c r="F4626" s="73"/>
      <c r="G4626" s="74"/>
      <c r="H4626" s="153"/>
      <c r="I4626" s="72"/>
      <c r="K4626" s="658"/>
    </row>
    <row r="4627" spans="1:11" customFormat="1" x14ac:dyDescent="0.25">
      <c r="A4627" s="661"/>
      <c r="B4627" s="77" t="s">
        <v>39</v>
      </c>
      <c r="C4627" s="73"/>
      <c r="D4627" s="73"/>
      <c r="E4627" s="73"/>
      <c r="F4627" s="73"/>
      <c r="G4627" s="74" t="s">
        <v>3</v>
      </c>
      <c r="H4627" s="153">
        <f>(0.025*3.14+0.07)*0.08*1.25</f>
        <v>1.4850000000000002E-2</v>
      </c>
      <c r="I4627" s="72"/>
      <c r="K4627" s="658"/>
    </row>
    <row r="4628" spans="1:11" customFormat="1" x14ac:dyDescent="0.25">
      <c r="A4628" s="661"/>
      <c r="B4628" s="77" t="s">
        <v>1055</v>
      </c>
      <c r="C4628" s="73"/>
      <c r="D4628" s="73"/>
      <c r="E4628" s="73"/>
      <c r="F4628" s="73"/>
      <c r="G4628" s="74" t="s">
        <v>3</v>
      </c>
      <c r="H4628" s="153">
        <f>1.5*H4627</f>
        <v>2.2275000000000003E-2</v>
      </c>
      <c r="I4628" s="72"/>
      <c r="K4628" s="658"/>
    </row>
    <row r="4629" spans="1:11" customFormat="1" x14ac:dyDescent="0.25">
      <c r="A4629" s="661"/>
      <c r="B4629" s="73"/>
      <c r="C4629" s="75" t="s">
        <v>7597</v>
      </c>
      <c r="D4629" s="73"/>
      <c r="E4629" s="73"/>
      <c r="F4629" s="73"/>
      <c r="G4629" s="74"/>
      <c r="H4629" s="153"/>
      <c r="I4629" s="72"/>
      <c r="K4629" s="658"/>
    </row>
    <row r="4630" spans="1:11" customFormat="1" x14ac:dyDescent="0.25">
      <c r="A4630" s="661"/>
      <c r="B4630" s="73"/>
      <c r="C4630" s="73" t="s">
        <v>7596</v>
      </c>
      <c r="D4630" s="73"/>
      <c r="E4630" s="73"/>
      <c r="F4630" s="73"/>
      <c r="G4630" s="74" t="s">
        <v>3</v>
      </c>
      <c r="H4630" s="153">
        <f>1.13*0.5</f>
        <v>0.56499999999999995</v>
      </c>
      <c r="I4630" s="72"/>
      <c r="K4630" s="658" t="s">
        <v>1927</v>
      </c>
    </row>
    <row r="4631" spans="1:11" customFormat="1" x14ac:dyDescent="0.25">
      <c r="A4631" s="661"/>
      <c r="B4631" s="73"/>
      <c r="C4631" s="75" t="s">
        <v>7595</v>
      </c>
      <c r="D4631" s="73"/>
      <c r="E4631" s="73"/>
      <c r="F4631" s="73"/>
      <c r="G4631" s="74"/>
      <c r="H4631" s="153"/>
      <c r="I4631" s="72"/>
      <c r="K4631" s="658"/>
    </row>
    <row r="4632" spans="1:11" customFormat="1" x14ac:dyDescent="0.25">
      <c r="A4632" s="661"/>
      <c r="B4632" s="73"/>
      <c r="C4632" s="73" t="s">
        <v>7593</v>
      </c>
      <c r="D4632" s="73"/>
      <c r="E4632" s="73"/>
      <c r="F4632" s="73"/>
      <c r="G4632" s="74" t="s">
        <v>3</v>
      </c>
      <c r="H4632" s="153">
        <f>0.1*0.03*3*8*1.14</f>
        <v>8.208E-2</v>
      </c>
      <c r="I4632" s="72"/>
      <c r="K4632" s="658"/>
    </row>
    <row r="4633" spans="1:11" customFormat="1" x14ac:dyDescent="0.25">
      <c r="A4633" s="661"/>
      <c r="B4633" s="73"/>
      <c r="C4633" s="75" t="s">
        <v>7594</v>
      </c>
      <c r="D4633" s="73"/>
      <c r="E4633" s="73"/>
      <c r="F4633" s="73"/>
      <c r="G4633" s="74"/>
      <c r="H4633" s="153"/>
      <c r="I4633" s="72"/>
      <c r="K4633" s="658"/>
    </row>
    <row r="4634" spans="1:11" customFormat="1" x14ac:dyDescent="0.25">
      <c r="A4634" s="661"/>
      <c r="B4634" s="73"/>
      <c r="C4634" s="73" t="s">
        <v>7593</v>
      </c>
      <c r="D4634" s="73"/>
      <c r="E4634" s="73"/>
      <c r="F4634" s="73"/>
      <c r="G4634" s="74" t="s">
        <v>3</v>
      </c>
      <c r="H4634" s="153">
        <f>0.055*0.03*3*8*1.14</f>
        <v>4.514399999999999E-2</v>
      </c>
      <c r="I4634" s="72"/>
      <c r="K4634" s="658"/>
    </row>
    <row r="4635" spans="1:11" customFormat="1" ht="15.75" thickBot="1" x14ac:dyDescent="0.3">
      <c r="A4635" s="660"/>
      <c r="B4635" s="68"/>
      <c r="C4635" s="68"/>
      <c r="D4635" s="68"/>
      <c r="E4635" s="68"/>
      <c r="F4635" s="68"/>
      <c r="G4635" s="82"/>
      <c r="H4635" s="89"/>
      <c r="I4635" s="83"/>
      <c r="K4635" s="658"/>
    </row>
    <row r="4636" spans="1:11" customFormat="1" x14ac:dyDescent="0.25">
      <c r="A4636" s="662"/>
      <c r="B4636" s="93"/>
      <c r="C4636" s="93"/>
      <c r="D4636" s="93"/>
      <c r="E4636" s="93"/>
      <c r="F4636" s="93"/>
      <c r="G4636" s="160"/>
      <c r="H4636" s="182" t="s">
        <v>7592</v>
      </c>
      <c r="I4636" s="176"/>
      <c r="K4636" s="658"/>
    </row>
    <row r="4637" spans="1:11" customFormat="1" x14ac:dyDescent="0.25">
      <c r="A4637" s="661"/>
      <c r="B4637" s="73"/>
      <c r="C4637" s="73"/>
      <c r="D4637" s="73"/>
      <c r="E4637" s="73"/>
      <c r="F4637" s="390" t="s">
        <v>7591</v>
      </c>
      <c r="G4637" s="74"/>
      <c r="H4637" s="153"/>
      <c r="I4637" s="72"/>
      <c r="K4637" s="658"/>
    </row>
    <row r="4638" spans="1:11" customFormat="1" ht="18.75" x14ac:dyDescent="0.3">
      <c r="A4638" s="661"/>
      <c r="B4638" s="73"/>
      <c r="C4638" s="73"/>
      <c r="D4638" s="73"/>
      <c r="E4638" s="73"/>
      <c r="F4638" s="188"/>
      <c r="G4638" s="74"/>
      <c r="H4638" s="153"/>
      <c r="I4638" s="72"/>
      <c r="K4638" s="658"/>
    </row>
    <row r="4639" spans="1:11" customFormat="1" x14ac:dyDescent="0.25">
      <c r="A4639" s="661"/>
      <c r="B4639" s="75" t="s">
        <v>7590</v>
      </c>
      <c r="C4639" s="73"/>
      <c r="D4639" s="73"/>
      <c r="E4639" s="73"/>
      <c r="F4639" s="73"/>
      <c r="G4639" s="74"/>
      <c r="H4639" s="153"/>
      <c r="I4639" s="72"/>
      <c r="K4639" s="658"/>
    </row>
    <row r="4640" spans="1:11" customFormat="1" x14ac:dyDescent="0.25">
      <c r="A4640" s="661"/>
      <c r="B4640" s="73" t="s">
        <v>7589</v>
      </c>
      <c r="C4640" s="73"/>
      <c r="D4640" s="73"/>
      <c r="E4640" s="73"/>
      <c r="F4640" s="73"/>
      <c r="G4640" s="74" t="s">
        <v>3</v>
      </c>
      <c r="H4640" s="153">
        <f>0.125*0.045*5*8*1.11</f>
        <v>0.24975</v>
      </c>
      <c r="I4640" s="72"/>
      <c r="K4640" s="658"/>
    </row>
    <row r="4641" spans="1:11" customFormat="1" x14ac:dyDescent="0.25">
      <c r="A4641" s="661"/>
      <c r="B4641" s="73"/>
      <c r="C4641" s="73"/>
      <c r="D4641" s="73"/>
      <c r="E4641" s="73"/>
      <c r="F4641" s="73"/>
      <c r="G4641" s="74"/>
      <c r="H4641" s="153"/>
      <c r="I4641" s="72"/>
      <c r="K4641" s="658"/>
    </row>
    <row r="4642" spans="1:11" customFormat="1" x14ac:dyDescent="0.25">
      <c r="A4642" s="661"/>
      <c r="B4642" s="75" t="s">
        <v>7588</v>
      </c>
      <c r="C4642" s="73"/>
      <c r="D4642" s="73"/>
      <c r="E4642" s="73"/>
      <c r="F4642" s="73"/>
      <c r="G4642" s="74"/>
      <c r="H4642" s="153"/>
      <c r="I4642" s="72"/>
      <c r="K4642" s="658"/>
    </row>
    <row r="4643" spans="1:11" customFormat="1" x14ac:dyDescent="0.25">
      <c r="A4643" s="661"/>
      <c r="B4643" s="73" t="s">
        <v>4346</v>
      </c>
      <c r="C4643" s="73"/>
      <c r="D4643" s="73"/>
      <c r="E4643" s="73"/>
      <c r="F4643" s="73"/>
      <c r="G4643" s="74" t="s">
        <v>3</v>
      </c>
      <c r="H4643" s="153">
        <f>0.1*0.27*3*2.7*1.12</f>
        <v>0.24494400000000008</v>
      </c>
      <c r="I4643" s="72"/>
      <c r="K4643" s="658"/>
    </row>
    <row r="4644" spans="1:11" customFormat="1" ht="15.75" thickBot="1" x14ac:dyDescent="0.3">
      <c r="A4644" s="660"/>
      <c r="B4644" s="68"/>
      <c r="C4644" s="68"/>
      <c r="D4644" s="68"/>
      <c r="E4644" s="68"/>
      <c r="F4644" s="68"/>
      <c r="G4644" s="82"/>
      <c r="H4644" s="89"/>
      <c r="I4644" s="83"/>
      <c r="K4644" s="658"/>
    </row>
    <row r="4645" spans="1:11" customFormat="1" x14ac:dyDescent="0.25">
      <c r="A4645" s="662"/>
      <c r="B4645" s="93"/>
      <c r="C4645" s="93"/>
      <c r="D4645" s="93"/>
      <c r="E4645" s="93"/>
      <c r="F4645" s="93"/>
      <c r="G4645" s="160"/>
      <c r="H4645" s="182" t="s">
        <v>7587</v>
      </c>
      <c r="I4645" s="176"/>
      <c r="K4645" s="658"/>
    </row>
    <row r="4646" spans="1:11" customFormat="1" x14ac:dyDescent="0.25">
      <c r="A4646" s="661"/>
      <c r="B4646" s="75" t="s">
        <v>7586</v>
      </c>
      <c r="C4646" s="73"/>
      <c r="D4646" s="73"/>
      <c r="E4646" s="73"/>
      <c r="F4646" s="73"/>
      <c r="G4646" s="74"/>
      <c r="H4646" s="153"/>
      <c r="I4646" s="72"/>
      <c r="K4646" s="658"/>
    </row>
    <row r="4647" spans="1:11" customFormat="1" x14ac:dyDescent="0.25">
      <c r="A4647" s="661"/>
      <c r="B4647" s="73"/>
      <c r="C4647" s="73" t="s">
        <v>7585</v>
      </c>
      <c r="D4647" s="73"/>
      <c r="E4647" s="73"/>
      <c r="F4647" s="73"/>
      <c r="G4647" s="74" t="s">
        <v>3</v>
      </c>
      <c r="H4647" s="153">
        <f>0.222*2.3-0.001</f>
        <v>0.50959999999999994</v>
      </c>
      <c r="I4647" s="72"/>
      <c r="K4647" s="658" t="s">
        <v>7584</v>
      </c>
    </row>
    <row r="4648" spans="1:11" customFormat="1" x14ac:dyDescent="0.25">
      <c r="A4648" s="661"/>
      <c r="B4648" s="73"/>
      <c r="C4648" s="73" t="s">
        <v>8</v>
      </c>
      <c r="D4648" s="73"/>
      <c r="E4648" s="73"/>
      <c r="F4648" s="73"/>
      <c r="G4648" s="74" t="s">
        <v>3</v>
      </c>
      <c r="H4648" s="153">
        <f>H4649*0.74</f>
        <v>4.0439519999999993E-2</v>
      </c>
      <c r="I4648" s="72"/>
      <c r="K4648" s="658"/>
    </row>
    <row r="4649" spans="1:11" customFormat="1" x14ac:dyDescent="0.25">
      <c r="A4649" s="661"/>
      <c r="B4649" s="73"/>
      <c r="C4649" s="73" t="s">
        <v>148</v>
      </c>
      <c r="D4649" s="73"/>
      <c r="E4649" s="73"/>
      <c r="F4649" s="73"/>
      <c r="G4649" s="74" t="s">
        <v>3</v>
      </c>
      <c r="H4649" s="153">
        <f>2.3*0.011*2*1.08</f>
        <v>5.4647999999999995E-2</v>
      </c>
      <c r="I4649" s="72"/>
      <c r="K4649" s="658"/>
    </row>
    <row r="4650" spans="1:11" customFormat="1" x14ac:dyDescent="0.25">
      <c r="A4650" s="661"/>
      <c r="B4650" s="100"/>
      <c r="C4650" s="100" t="s">
        <v>143</v>
      </c>
      <c r="D4650" s="73"/>
      <c r="E4650" s="73"/>
      <c r="F4650" s="73"/>
      <c r="G4650" s="74" t="s">
        <v>3</v>
      </c>
      <c r="H4650" s="153">
        <f>H4648</f>
        <v>4.0439519999999993E-2</v>
      </c>
      <c r="I4650" s="72"/>
      <c r="K4650" s="658"/>
    </row>
    <row r="4651" spans="1:11" customFormat="1" x14ac:dyDescent="0.25">
      <c r="A4651" s="661"/>
      <c r="B4651" s="100"/>
      <c r="C4651" s="100" t="s">
        <v>12</v>
      </c>
      <c r="D4651" s="73"/>
      <c r="E4651" s="73"/>
      <c r="F4651" s="73"/>
      <c r="G4651" s="74" t="s">
        <v>3</v>
      </c>
      <c r="H4651" s="153">
        <f>0.3*(H4650+H4649+H4648)-0.001</f>
        <v>3.9658111999999995E-2</v>
      </c>
      <c r="I4651" s="72"/>
      <c r="K4651" s="658"/>
    </row>
    <row r="4652" spans="1:11" customFormat="1" ht="15.75" thickBot="1" x14ac:dyDescent="0.3">
      <c r="A4652" s="660"/>
      <c r="B4652" s="235"/>
      <c r="C4652" s="235"/>
      <c r="D4652" s="68"/>
      <c r="E4652" s="68"/>
      <c r="F4652" s="68"/>
      <c r="G4652" s="82"/>
      <c r="H4652" s="89"/>
      <c r="I4652" s="83"/>
      <c r="K4652" s="658"/>
    </row>
    <row r="4653" spans="1:11" customFormat="1" x14ac:dyDescent="0.25">
      <c r="A4653" s="128"/>
      <c r="B4653" s="3"/>
      <c r="G4653" s="537"/>
      <c r="H4653" s="10"/>
      <c r="I4653" s="659"/>
      <c r="K4653" s="658"/>
    </row>
    <row r="4654" spans="1:11" customFormat="1" ht="15.75" x14ac:dyDescent="0.25">
      <c r="A4654" s="128"/>
      <c r="B4654" s="3"/>
      <c r="F4654" s="306" t="s">
        <v>7583</v>
      </c>
      <c r="G4654" s="537"/>
      <c r="H4654" s="10"/>
      <c r="I4654" s="581"/>
      <c r="K4654" s="658"/>
    </row>
    <row r="4655" spans="1:11" customFormat="1" x14ac:dyDescent="0.25">
      <c r="A4655" s="545"/>
      <c r="G4655" s="537"/>
      <c r="H4655" s="10"/>
      <c r="I4655" s="538"/>
      <c r="J4655" s="242"/>
      <c r="K4655" s="326"/>
    </row>
    <row r="4656" spans="1:11" customFormat="1" x14ac:dyDescent="0.25">
      <c r="A4656" s="545">
        <v>32</v>
      </c>
      <c r="B4656" s="549" t="s">
        <v>7285</v>
      </c>
      <c r="G4656" s="529" t="s">
        <v>646</v>
      </c>
      <c r="H4656" s="123"/>
      <c r="I4656" s="538"/>
      <c r="J4656" s="242"/>
      <c r="K4656" s="326"/>
    </row>
    <row r="4657" spans="1:11" customFormat="1" x14ac:dyDescent="0.25">
      <c r="A4657" s="545"/>
      <c r="B4657" s="11" t="s">
        <v>6724</v>
      </c>
      <c r="C4657" s="11"/>
      <c r="D4657" s="11"/>
      <c r="E4657" s="11"/>
      <c r="F4657" s="11"/>
      <c r="G4657" s="603" t="s">
        <v>3</v>
      </c>
      <c r="H4657" s="12">
        <v>1.4999999999999999E-2</v>
      </c>
      <c r="I4657" s="538"/>
      <c r="J4657" s="242"/>
      <c r="K4657" s="326"/>
    </row>
    <row r="4658" spans="1:11" customFormat="1" ht="17.25" x14ac:dyDescent="0.25">
      <c r="A4658" s="545"/>
      <c r="B4658" s="42" t="s">
        <v>6723</v>
      </c>
      <c r="C4658" s="11"/>
      <c r="D4658" s="11"/>
      <c r="E4658" s="11"/>
      <c r="F4658" s="11"/>
      <c r="G4658" s="603" t="s">
        <v>596</v>
      </c>
      <c r="H4658" s="12">
        <f>H4657*1.5/1.4</f>
        <v>1.6071428571428573E-2</v>
      </c>
      <c r="I4658" s="538"/>
      <c r="J4658" s="242"/>
      <c r="K4658" s="326"/>
    </row>
    <row r="4659" spans="1:11" customFormat="1" x14ac:dyDescent="0.25">
      <c r="A4659" s="545"/>
      <c r="B4659" t="s">
        <v>114</v>
      </c>
      <c r="G4659" s="603" t="s">
        <v>3</v>
      </c>
      <c r="H4659" s="32">
        <f>H4662/4</f>
        <v>0.25600640000000002</v>
      </c>
      <c r="I4659" s="538"/>
      <c r="J4659" s="242"/>
      <c r="K4659" s="326"/>
    </row>
    <row r="4660" spans="1:11" customFormat="1" x14ac:dyDescent="0.25">
      <c r="A4660" s="545"/>
      <c r="B4660" t="s">
        <v>163</v>
      </c>
      <c r="G4660" s="603" t="s">
        <v>3</v>
      </c>
      <c r="H4660" s="32">
        <f>H4662/4</f>
        <v>0.25600640000000002</v>
      </c>
      <c r="I4660" s="538"/>
      <c r="J4660" s="242"/>
      <c r="K4660" s="326"/>
    </row>
    <row r="4661" spans="1:11" customFormat="1" x14ac:dyDescent="0.25">
      <c r="A4661" s="545"/>
      <c r="B4661" t="s">
        <v>164</v>
      </c>
      <c r="G4661" s="603" t="s">
        <v>3</v>
      </c>
      <c r="H4661" s="32">
        <f>3*(H4660+H4659)</f>
        <v>1.5360384000000002</v>
      </c>
      <c r="I4661" s="538"/>
      <c r="J4661" s="242"/>
      <c r="K4661" s="326"/>
    </row>
    <row r="4662" spans="1:11" customFormat="1" x14ac:dyDescent="0.25">
      <c r="A4662" s="545"/>
      <c r="B4662" t="s">
        <v>72</v>
      </c>
      <c r="G4662" s="603" t="s">
        <v>3</v>
      </c>
      <c r="H4662" s="32">
        <f>(0.2*1.392*2+0.285*0.55+0.125*0.55+0.55*1.395*2)*0.17*2*1.3</f>
        <v>1.0240256000000001</v>
      </c>
      <c r="I4662" s="538"/>
      <c r="J4662" s="242"/>
      <c r="K4662" s="326"/>
    </row>
    <row r="4663" spans="1:11" customFormat="1" x14ac:dyDescent="0.25">
      <c r="A4663" s="545"/>
      <c r="B4663" t="s">
        <v>11</v>
      </c>
      <c r="G4663" s="603" t="s">
        <v>3</v>
      </c>
      <c r="H4663" s="32">
        <f>0.3*H4662</f>
        <v>0.30720768000000004</v>
      </c>
      <c r="I4663" s="538"/>
      <c r="J4663" s="242"/>
      <c r="K4663" s="326"/>
    </row>
    <row r="4664" spans="1:11" customFormat="1" x14ac:dyDescent="0.25">
      <c r="A4664" s="545"/>
      <c r="B4664" t="s">
        <v>13</v>
      </c>
      <c r="G4664" s="603" t="s">
        <v>3</v>
      </c>
      <c r="H4664" s="32">
        <v>0.44</v>
      </c>
      <c r="I4664" s="538"/>
      <c r="J4664" s="242"/>
      <c r="K4664" s="326"/>
    </row>
    <row r="4665" spans="1:11" customFormat="1" x14ac:dyDescent="0.25">
      <c r="A4665" s="545"/>
      <c r="B4665" t="s">
        <v>37</v>
      </c>
      <c r="G4665" s="603" t="s">
        <v>3</v>
      </c>
      <c r="H4665" s="32">
        <f>0.05</f>
        <v>0.05</v>
      </c>
      <c r="I4665" s="538"/>
      <c r="J4665" s="242"/>
      <c r="K4665" s="326"/>
    </row>
    <row r="4666" spans="1:11" customFormat="1" x14ac:dyDescent="0.25">
      <c r="A4666" s="545"/>
      <c r="G4666" s="537"/>
      <c r="H4666" s="10"/>
      <c r="I4666" s="538"/>
      <c r="J4666" s="242"/>
      <c r="K4666" s="326"/>
    </row>
    <row r="4667" spans="1:11" customFormat="1" x14ac:dyDescent="0.25">
      <c r="A4667" s="545">
        <v>103</v>
      </c>
      <c r="B4667" s="643" t="s">
        <v>7168</v>
      </c>
      <c r="G4667" s="537" t="s">
        <v>195</v>
      </c>
      <c r="H4667" s="10">
        <f>0.06</f>
        <v>0.06</v>
      </c>
      <c r="I4667" s="538"/>
      <c r="J4667" s="242"/>
      <c r="K4667" s="326"/>
    </row>
    <row r="4668" spans="1:11" customFormat="1" x14ac:dyDescent="0.25">
      <c r="A4668" s="545"/>
      <c r="G4668" s="537"/>
      <c r="H4668" s="10"/>
      <c r="I4668" s="538"/>
      <c r="J4668" s="242"/>
      <c r="K4668" s="326"/>
    </row>
    <row r="4669" spans="1:11" customFormat="1" x14ac:dyDescent="0.25">
      <c r="A4669" s="545">
        <v>104</v>
      </c>
      <c r="B4669" s="643" t="s">
        <v>7166</v>
      </c>
      <c r="G4669" s="537" t="s">
        <v>195</v>
      </c>
      <c r="H4669" s="10">
        <f>0.09</f>
        <v>0.09</v>
      </c>
      <c r="I4669" s="538"/>
      <c r="J4669" s="242"/>
      <c r="K4669" s="326"/>
    </row>
    <row r="4670" spans="1:11" customFormat="1" x14ac:dyDescent="0.25">
      <c r="A4670" s="545"/>
      <c r="G4670" s="537"/>
      <c r="H4670" s="10"/>
      <c r="I4670" s="538"/>
      <c r="J4670" s="242"/>
      <c r="K4670" s="326"/>
    </row>
    <row r="4671" spans="1:11" customFormat="1" x14ac:dyDescent="0.25">
      <c r="A4671" s="545">
        <v>188</v>
      </c>
      <c r="B4671" s="3" t="s">
        <v>7582</v>
      </c>
      <c r="G4671" s="537"/>
      <c r="H4671" s="10"/>
      <c r="I4671" s="538"/>
      <c r="J4671" s="242"/>
      <c r="K4671" s="326"/>
    </row>
    <row r="4672" spans="1:11" customFormat="1" ht="18.75" x14ac:dyDescent="0.3">
      <c r="A4672" s="545"/>
      <c r="B4672" t="s">
        <v>579</v>
      </c>
      <c r="C4672" s="120"/>
      <c r="E4672" s="2"/>
      <c r="G4672" s="537" t="s">
        <v>195</v>
      </c>
      <c r="H4672" s="10">
        <f>0.033*3.14+0.006</f>
        <v>0.10962000000000001</v>
      </c>
      <c r="I4672" s="538"/>
      <c r="J4672" s="242"/>
      <c r="K4672" s="326"/>
    </row>
    <row r="4673" spans="1:11" customFormat="1" ht="18.75" x14ac:dyDescent="0.3">
      <c r="A4673" s="545"/>
      <c r="B4673" t="s">
        <v>578</v>
      </c>
      <c r="C4673" s="120"/>
      <c r="E4673" s="2"/>
      <c r="G4673" s="537" t="s">
        <v>3</v>
      </c>
      <c r="H4673" s="15">
        <f>0.05*0.05*0.3*9*1.06</f>
        <v>7.1550000000000008E-3</v>
      </c>
      <c r="I4673" s="538"/>
      <c r="J4673" s="242"/>
      <c r="K4673" s="326"/>
    </row>
    <row r="4674" spans="1:11" customFormat="1" x14ac:dyDescent="0.25">
      <c r="A4674" s="545"/>
      <c r="G4674" s="537"/>
      <c r="H4674" s="10"/>
      <c r="I4674" s="538"/>
      <c r="J4674" s="242"/>
      <c r="K4674" s="326"/>
    </row>
    <row r="4675" spans="1:11" customFormat="1" x14ac:dyDescent="0.25">
      <c r="A4675" s="545">
        <v>245</v>
      </c>
      <c r="B4675" s="3" t="s">
        <v>7581</v>
      </c>
      <c r="G4675" s="537"/>
      <c r="H4675" s="10"/>
      <c r="I4675" s="538"/>
      <c r="J4675" s="242"/>
      <c r="K4675" s="326"/>
    </row>
    <row r="4676" spans="1:11" customFormat="1" x14ac:dyDescent="0.25">
      <c r="A4676" s="545"/>
      <c r="B4676" s="3"/>
      <c r="C4676" t="s">
        <v>7580</v>
      </c>
      <c r="G4676" s="603" t="s">
        <v>7579</v>
      </c>
      <c r="H4676" s="10">
        <f>0.009*12*0.5*8*1.03</f>
        <v>0.44495999999999997</v>
      </c>
      <c r="I4676" s="538"/>
      <c r="J4676" s="242"/>
      <c r="K4676" s="326"/>
    </row>
    <row r="4677" spans="1:11" customFormat="1" x14ac:dyDescent="0.25">
      <c r="A4677" s="545"/>
      <c r="G4677" s="537"/>
      <c r="H4677" s="10"/>
      <c r="I4677" s="538"/>
      <c r="J4677" s="242"/>
      <c r="K4677" s="326"/>
    </row>
    <row r="4678" spans="1:11" customFormat="1" x14ac:dyDescent="0.25">
      <c r="A4678" s="545">
        <v>307</v>
      </c>
      <c r="B4678" s="3" t="s">
        <v>7578</v>
      </c>
      <c r="G4678" s="529" t="s">
        <v>646</v>
      </c>
      <c r="H4678" s="123"/>
      <c r="I4678" s="538"/>
      <c r="J4678" s="242"/>
      <c r="K4678" s="326"/>
    </row>
    <row r="4679" spans="1:11" customFormat="1" x14ac:dyDescent="0.25">
      <c r="A4679" s="545"/>
      <c r="B4679" s="11" t="s">
        <v>6724</v>
      </c>
      <c r="C4679" s="11"/>
      <c r="D4679" s="11"/>
      <c r="E4679" s="11"/>
      <c r="F4679" s="11"/>
      <c r="G4679" s="603" t="s">
        <v>3</v>
      </c>
      <c r="H4679" s="12">
        <f>1*0.038</f>
        <v>3.7999999999999999E-2</v>
      </c>
      <c r="I4679" s="538"/>
      <c r="J4679" s="242"/>
      <c r="K4679" s="326"/>
    </row>
    <row r="4680" spans="1:11" customFormat="1" ht="17.25" x14ac:dyDescent="0.25">
      <c r="A4680" s="545"/>
      <c r="B4680" s="42" t="s">
        <v>6723</v>
      </c>
      <c r="C4680" s="11"/>
      <c r="D4680" s="11"/>
      <c r="E4680" s="11"/>
      <c r="F4680" s="11"/>
      <c r="G4680" s="603" t="s">
        <v>596</v>
      </c>
      <c r="H4680" s="12">
        <f>H4679*1.5/1.4</f>
        <v>4.0714285714285717E-2</v>
      </c>
      <c r="I4680" s="538"/>
      <c r="J4680" s="242"/>
      <c r="K4680" s="326"/>
    </row>
    <row r="4681" spans="1:11" customFormat="1" x14ac:dyDescent="0.25">
      <c r="A4681" s="545"/>
      <c r="B4681" t="s">
        <v>114</v>
      </c>
      <c r="G4681" s="603" t="s">
        <v>3</v>
      </c>
      <c r="H4681" s="32">
        <f>H4684/4</f>
        <v>0.37309772500000005</v>
      </c>
      <c r="I4681" s="538"/>
      <c r="J4681" s="242"/>
      <c r="K4681" s="326"/>
    </row>
    <row r="4682" spans="1:11" customFormat="1" x14ac:dyDescent="0.25">
      <c r="A4682" s="545"/>
      <c r="B4682" t="s">
        <v>163</v>
      </c>
      <c r="G4682" s="603" t="s">
        <v>3</v>
      </c>
      <c r="H4682" s="32">
        <f>H4684/4</f>
        <v>0.37309772500000005</v>
      </c>
      <c r="I4682" s="538"/>
      <c r="J4682" s="242"/>
      <c r="K4682" s="326"/>
    </row>
    <row r="4683" spans="1:11" customFormat="1" x14ac:dyDescent="0.25">
      <c r="A4683" s="545"/>
      <c r="B4683" t="s">
        <v>164</v>
      </c>
      <c r="G4683" s="603" t="s">
        <v>3</v>
      </c>
      <c r="H4683" s="32">
        <f>3*(H4682+H4681)</f>
        <v>2.2385863500000003</v>
      </c>
      <c r="I4683" s="538"/>
      <c r="J4683" s="242"/>
      <c r="K4683" s="326"/>
    </row>
    <row r="4684" spans="1:11" customFormat="1" x14ac:dyDescent="0.25">
      <c r="A4684" s="545"/>
      <c r="B4684" t="s">
        <v>72</v>
      </c>
      <c r="G4684" s="603" t="s">
        <v>3</v>
      </c>
      <c r="H4684" s="32">
        <f>(0.48*1.32*2+0.435*0.55+0.52*0.55+1.32*0.6*2)*0.17*2*1.3</f>
        <v>1.4923909000000002</v>
      </c>
      <c r="I4684" s="538"/>
      <c r="J4684" s="242"/>
      <c r="K4684" s="326"/>
    </row>
    <row r="4685" spans="1:11" customFormat="1" x14ac:dyDescent="0.25">
      <c r="A4685" s="545"/>
      <c r="B4685" t="s">
        <v>11</v>
      </c>
      <c r="G4685" s="603" t="s">
        <v>3</v>
      </c>
      <c r="H4685" s="32">
        <f>0.3*H4684</f>
        <v>0.44771727000000006</v>
      </c>
      <c r="I4685" s="538"/>
      <c r="J4685" s="242"/>
      <c r="K4685" s="326"/>
    </row>
    <row r="4686" spans="1:11" customFormat="1" x14ac:dyDescent="0.25">
      <c r="A4686" s="545"/>
      <c r="B4686" t="s">
        <v>13</v>
      </c>
      <c r="G4686" s="603" t="s">
        <v>3</v>
      </c>
      <c r="H4686" s="32">
        <v>0.67</v>
      </c>
      <c r="I4686" s="538"/>
      <c r="J4686" s="242"/>
      <c r="K4686" s="326"/>
    </row>
    <row r="4687" spans="1:11" customFormat="1" x14ac:dyDescent="0.25">
      <c r="A4687" s="545"/>
      <c r="B4687" t="s">
        <v>37</v>
      </c>
      <c r="G4687" s="603" t="s">
        <v>3</v>
      </c>
      <c r="H4687" s="32">
        <f>0.05</f>
        <v>0.05</v>
      </c>
      <c r="I4687" s="538"/>
      <c r="J4687" s="242"/>
      <c r="K4687" s="326"/>
    </row>
    <row r="4688" spans="1:11" customFormat="1" x14ac:dyDescent="0.25">
      <c r="A4688" s="545"/>
      <c r="G4688" s="128"/>
      <c r="H4688" s="32"/>
      <c r="I4688" s="538"/>
      <c r="J4688" s="242"/>
      <c r="K4688" s="326"/>
    </row>
    <row r="4689" spans="1:11" customFormat="1" x14ac:dyDescent="0.25">
      <c r="A4689" s="545">
        <v>351</v>
      </c>
      <c r="B4689" s="3" t="s">
        <v>7577</v>
      </c>
      <c r="G4689" s="128" t="s">
        <v>7576</v>
      </c>
      <c r="H4689" s="32"/>
      <c r="I4689" s="538"/>
      <c r="J4689" s="242"/>
      <c r="K4689" s="326"/>
    </row>
    <row r="4690" spans="1:11" customFormat="1" x14ac:dyDescent="0.25">
      <c r="A4690" s="545"/>
      <c r="B4690" t="s">
        <v>7575</v>
      </c>
      <c r="G4690" s="603" t="s">
        <v>195</v>
      </c>
      <c r="H4690" s="32">
        <f>0.89</f>
        <v>0.89</v>
      </c>
      <c r="I4690" s="538"/>
      <c r="J4690" s="242"/>
      <c r="K4690" s="326"/>
    </row>
    <row r="4691" spans="1:11" customFormat="1" x14ac:dyDescent="0.25">
      <c r="A4691" s="545"/>
      <c r="G4691" s="537"/>
      <c r="H4691" s="10"/>
      <c r="I4691" s="538"/>
      <c r="J4691" s="242"/>
      <c r="K4691" s="326"/>
    </row>
    <row r="4692" spans="1:11" customFormat="1" x14ac:dyDescent="0.25">
      <c r="A4692" s="545">
        <v>362</v>
      </c>
      <c r="B4692" s="3" t="s">
        <v>7574</v>
      </c>
      <c r="G4692" s="537"/>
      <c r="H4692" s="10"/>
      <c r="I4692" s="538"/>
      <c r="J4692" s="242"/>
      <c r="K4692" s="326"/>
    </row>
    <row r="4693" spans="1:11" customFormat="1" x14ac:dyDescent="0.25">
      <c r="A4693" s="545"/>
      <c r="B4693" s="25" t="s">
        <v>557</v>
      </c>
      <c r="G4693" s="603" t="s">
        <v>3</v>
      </c>
      <c r="H4693" s="10">
        <f>0.95</f>
        <v>0.95</v>
      </c>
      <c r="I4693" s="538" t="s">
        <v>7573</v>
      </c>
      <c r="J4693" s="242"/>
      <c r="K4693" s="326"/>
    </row>
    <row r="4694" spans="1:11" customFormat="1" x14ac:dyDescent="0.25">
      <c r="A4694" s="545"/>
      <c r="B4694" s="77" t="s">
        <v>143</v>
      </c>
      <c r="G4694" s="603" t="s">
        <v>3</v>
      </c>
      <c r="H4694" s="10">
        <f>0.03</f>
        <v>0.03</v>
      </c>
      <c r="I4694" s="538"/>
      <c r="J4694" s="242"/>
      <c r="K4694" s="326"/>
    </row>
    <row r="4695" spans="1:11" customFormat="1" x14ac:dyDescent="0.25">
      <c r="A4695" s="545"/>
      <c r="B4695" s="77" t="s">
        <v>8</v>
      </c>
      <c r="G4695" s="603" t="s">
        <v>3</v>
      </c>
      <c r="H4695" s="10">
        <f>H4696*0.6</f>
        <v>2.1420000000000002E-2</v>
      </c>
      <c r="I4695" s="538"/>
      <c r="J4695" s="242"/>
      <c r="K4695" s="326"/>
    </row>
    <row r="4696" spans="1:11" customFormat="1" x14ac:dyDescent="0.25">
      <c r="A4696" s="545"/>
      <c r="B4696" s="77" t="s">
        <v>148</v>
      </c>
      <c r="G4696" s="603" t="s">
        <v>3</v>
      </c>
      <c r="H4696" s="10">
        <f>0.85*0.02*2*1.05</f>
        <v>3.5700000000000003E-2</v>
      </c>
      <c r="I4696" s="538"/>
      <c r="J4696" s="242"/>
      <c r="K4696" s="326"/>
    </row>
    <row r="4697" spans="1:11" customFormat="1" x14ac:dyDescent="0.25">
      <c r="A4697" s="545"/>
      <c r="B4697" s="77" t="s">
        <v>12</v>
      </c>
      <c r="G4697" s="603" t="s">
        <v>3</v>
      </c>
      <c r="H4697" s="10">
        <f>(H4696+H4694+H4695)*0.3</f>
        <v>2.6136E-2</v>
      </c>
      <c r="I4697" s="538"/>
      <c r="J4697" s="242"/>
      <c r="K4697" s="326"/>
    </row>
    <row r="4698" spans="1:11" customFormat="1" x14ac:dyDescent="0.25">
      <c r="A4698" s="545"/>
      <c r="B4698" s="77"/>
      <c r="G4698" s="603"/>
      <c r="H4698" s="10"/>
      <c r="I4698" s="538"/>
      <c r="J4698" s="242"/>
      <c r="K4698" s="326"/>
    </row>
    <row r="4699" spans="1:11" customFormat="1" x14ac:dyDescent="0.25">
      <c r="A4699" s="545">
        <v>363</v>
      </c>
      <c r="B4699" s="3" t="s">
        <v>7572</v>
      </c>
      <c r="G4699" s="537"/>
      <c r="H4699" s="10"/>
      <c r="I4699" s="538"/>
      <c r="J4699" s="242"/>
      <c r="K4699" s="326"/>
    </row>
    <row r="4700" spans="1:11" customFormat="1" x14ac:dyDescent="0.25">
      <c r="A4700" s="545"/>
      <c r="B4700" s="25" t="s">
        <v>140</v>
      </c>
      <c r="G4700" s="603" t="s">
        <v>3</v>
      </c>
      <c r="H4700" s="10">
        <f>0.012*3.14*2*0.07*1.2</f>
        <v>6.3302400000000017E-3</v>
      </c>
      <c r="I4700" s="538"/>
      <c r="J4700" s="242"/>
      <c r="K4700" s="326"/>
    </row>
    <row r="4701" spans="1:11" customFormat="1" x14ac:dyDescent="0.25">
      <c r="A4701" s="545"/>
      <c r="B4701" s="25" t="s">
        <v>23</v>
      </c>
      <c r="G4701" s="603" t="s">
        <v>3</v>
      </c>
      <c r="H4701" s="10">
        <f>H4700*2</f>
        <v>1.2660480000000003E-2</v>
      </c>
      <c r="I4701" s="538"/>
      <c r="J4701" s="242"/>
      <c r="K4701" s="326"/>
    </row>
    <row r="4702" spans="1:11" customFormat="1" x14ac:dyDescent="0.25">
      <c r="A4702" s="545"/>
      <c r="B4702" s="25" t="s">
        <v>142</v>
      </c>
      <c r="G4702" s="603" t="s">
        <v>3</v>
      </c>
      <c r="H4702" s="10">
        <f>H4700/4</f>
        <v>1.5825600000000004E-3</v>
      </c>
      <c r="I4702" s="538"/>
      <c r="J4702" s="242"/>
      <c r="K4702" s="326"/>
    </row>
    <row r="4703" spans="1:11" customFormat="1" x14ac:dyDescent="0.25">
      <c r="A4703" s="545"/>
      <c r="B4703" s="73" t="s">
        <v>8</v>
      </c>
      <c r="C4703" s="73"/>
      <c r="D4703" s="73"/>
      <c r="G4703" s="74" t="s">
        <v>3</v>
      </c>
      <c r="H4703" s="153">
        <f>0.005</f>
        <v>5.0000000000000001E-3</v>
      </c>
      <c r="I4703" s="538"/>
      <c r="J4703" s="242"/>
      <c r="K4703" s="326"/>
    </row>
    <row r="4704" spans="1:11" customFormat="1" x14ac:dyDescent="0.25">
      <c r="A4704" s="545"/>
      <c r="B4704" s="73" t="s">
        <v>12</v>
      </c>
      <c r="C4704" s="73"/>
      <c r="D4704" s="73"/>
      <c r="G4704" s="74" t="s">
        <v>3</v>
      </c>
      <c r="H4704" s="153">
        <f>0.3*(H4703+H4707)</f>
        <v>3.4499999999999999E-3</v>
      </c>
      <c r="I4704" s="538"/>
      <c r="J4704" s="242"/>
      <c r="K4704" s="326"/>
    </row>
    <row r="4705" spans="1:11" customFormat="1" x14ac:dyDescent="0.25">
      <c r="A4705" s="545"/>
      <c r="B4705" s="73" t="s">
        <v>72</v>
      </c>
      <c r="C4705" s="73"/>
      <c r="D4705" s="73"/>
      <c r="G4705" s="74" t="s">
        <v>3</v>
      </c>
      <c r="H4705" s="153">
        <f>0.2*0.011*2*1.3</f>
        <v>5.7200000000000003E-3</v>
      </c>
      <c r="I4705" s="538"/>
      <c r="J4705" s="242"/>
      <c r="K4705" s="326"/>
    </row>
    <row r="4706" spans="1:11" customFormat="1" x14ac:dyDescent="0.25">
      <c r="A4706" s="545"/>
      <c r="B4706" s="73" t="s">
        <v>444</v>
      </c>
      <c r="C4706" s="73"/>
      <c r="D4706" s="73"/>
      <c r="G4706" s="74" t="s">
        <v>3</v>
      </c>
      <c r="H4706" s="153">
        <f>0.3*H4705</f>
        <v>1.7160000000000001E-3</v>
      </c>
      <c r="I4706" s="538"/>
      <c r="J4706" s="242"/>
      <c r="K4706" s="326"/>
    </row>
    <row r="4707" spans="1:11" customFormat="1" x14ac:dyDescent="0.25">
      <c r="A4707" s="545"/>
      <c r="B4707" s="77" t="s">
        <v>143</v>
      </c>
      <c r="C4707" s="77"/>
      <c r="D4707" s="77"/>
      <c r="G4707" s="74" t="s">
        <v>3</v>
      </c>
      <c r="H4707" s="153">
        <f>H4703*1.3</f>
        <v>6.5000000000000006E-3</v>
      </c>
      <c r="I4707" s="538"/>
      <c r="J4707" s="242"/>
      <c r="K4707" s="326"/>
    </row>
    <row r="4708" spans="1:11" customFormat="1" x14ac:dyDescent="0.25">
      <c r="A4708" s="545"/>
      <c r="B4708" s="3"/>
      <c r="C4708" s="4" t="s">
        <v>7571</v>
      </c>
      <c r="G4708" s="537"/>
      <c r="H4708" s="10"/>
      <c r="I4708" s="538"/>
      <c r="J4708" s="242"/>
      <c r="K4708" s="326"/>
    </row>
    <row r="4709" spans="1:11" customFormat="1" x14ac:dyDescent="0.25">
      <c r="A4709" s="545"/>
      <c r="B4709" s="3"/>
      <c r="C4709" t="s">
        <v>1279</v>
      </c>
      <c r="G4709" s="74" t="s">
        <v>3</v>
      </c>
      <c r="H4709" s="10">
        <v>0.06</v>
      </c>
      <c r="I4709" s="538"/>
      <c r="J4709" s="242"/>
      <c r="K4709" s="326"/>
    </row>
    <row r="4710" spans="1:11" customFormat="1" x14ac:dyDescent="0.25">
      <c r="A4710" s="545"/>
      <c r="B4710" s="3"/>
      <c r="G4710" s="537"/>
      <c r="H4710" s="10"/>
      <c r="I4710" s="538"/>
      <c r="J4710" s="242"/>
      <c r="K4710" s="326"/>
    </row>
    <row r="4711" spans="1:11" customFormat="1" x14ac:dyDescent="0.25">
      <c r="A4711" s="545">
        <v>364</v>
      </c>
      <c r="B4711" s="3" t="s">
        <v>7570</v>
      </c>
      <c r="G4711" s="537"/>
      <c r="H4711" s="10"/>
      <c r="I4711" s="538"/>
      <c r="J4711" s="242"/>
      <c r="K4711" s="326"/>
    </row>
    <row r="4712" spans="1:11" customFormat="1" x14ac:dyDescent="0.25">
      <c r="A4712" s="545"/>
      <c r="B4712" s="25" t="s">
        <v>140</v>
      </c>
      <c r="G4712" s="603" t="s">
        <v>3</v>
      </c>
      <c r="H4712" s="10">
        <f>0.012*3.14*2*0.07*1.2</f>
        <v>6.3302400000000017E-3</v>
      </c>
      <c r="I4712" s="538"/>
      <c r="J4712" s="242"/>
      <c r="K4712" s="326"/>
    </row>
    <row r="4713" spans="1:11" customFormat="1" x14ac:dyDescent="0.25">
      <c r="A4713" s="545"/>
      <c r="B4713" s="25" t="s">
        <v>23</v>
      </c>
      <c r="G4713" s="603" t="s">
        <v>3</v>
      </c>
      <c r="H4713" s="10">
        <f>H4712*2</f>
        <v>1.2660480000000003E-2</v>
      </c>
      <c r="I4713" s="538"/>
      <c r="J4713" s="242"/>
      <c r="K4713" s="326"/>
    </row>
    <row r="4714" spans="1:11" customFormat="1" x14ac:dyDescent="0.25">
      <c r="A4714" s="545"/>
      <c r="B4714" s="25" t="s">
        <v>142</v>
      </c>
      <c r="G4714" s="603" t="s">
        <v>3</v>
      </c>
      <c r="H4714" s="10">
        <f>H4712/4</f>
        <v>1.5825600000000004E-3</v>
      </c>
      <c r="I4714" s="538"/>
      <c r="J4714" s="242"/>
      <c r="K4714" s="326"/>
    </row>
    <row r="4715" spans="1:11" customFormat="1" x14ac:dyDescent="0.25">
      <c r="A4715" s="545"/>
      <c r="B4715" s="77" t="s">
        <v>143</v>
      </c>
      <c r="C4715" s="8"/>
      <c r="D4715" s="8"/>
      <c r="G4715" s="603" t="s">
        <v>3</v>
      </c>
      <c r="H4715" s="10">
        <f>H4716*1.1</f>
        <v>2.4393600000000008E-2</v>
      </c>
      <c r="I4715" s="538"/>
      <c r="J4715" s="242"/>
      <c r="K4715" s="326"/>
    </row>
    <row r="4716" spans="1:11" customFormat="1" x14ac:dyDescent="0.25">
      <c r="A4716" s="545"/>
      <c r="B4716" s="77" t="s">
        <v>8</v>
      </c>
      <c r="C4716" s="8"/>
      <c r="D4716" s="8"/>
      <c r="G4716" s="603" t="s">
        <v>3</v>
      </c>
      <c r="H4716" s="10">
        <f>H4717*0.6</f>
        <v>2.2176000000000005E-2</v>
      </c>
      <c r="I4716" s="538"/>
      <c r="J4716" s="242"/>
      <c r="K4716" s="326"/>
    </row>
    <row r="4717" spans="1:11" customFormat="1" x14ac:dyDescent="0.25">
      <c r="A4717" s="545"/>
      <c r="B4717" s="77" t="s">
        <v>148</v>
      </c>
      <c r="C4717" s="8"/>
      <c r="D4717" s="8"/>
      <c r="G4717" s="603" t="s">
        <v>3</v>
      </c>
      <c r="H4717" s="10">
        <f>1.6*0.011*2*1.05</f>
        <v>3.6960000000000007E-2</v>
      </c>
      <c r="I4717" s="538"/>
      <c r="J4717" s="242"/>
      <c r="K4717" s="326"/>
    </row>
    <row r="4718" spans="1:11" customFormat="1" x14ac:dyDescent="0.25">
      <c r="A4718" s="545"/>
      <c r="B4718" s="77" t="s">
        <v>12</v>
      </c>
      <c r="C4718" s="8"/>
      <c r="D4718" s="8"/>
      <c r="G4718" s="603" t="s">
        <v>3</v>
      </c>
      <c r="H4718" s="10">
        <f>(H4717+H4715+H4716)*0.3</f>
        <v>2.5058880000000006E-2</v>
      </c>
      <c r="I4718" s="538"/>
      <c r="J4718" s="242"/>
      <c r="K4718" s="326"/>
    </row>
    <row r="4719" spans="1:11" customFormat="1" x14ac:dyDescent="0.25">
      <c r="A4719" s="545"/>
      <c r="B4719" s="77"/>
      <c r="C4719" s="4" t="s">
        <v>7569</v>
      </c>
      <c r="G4719" s="603"/>
      <c r="H4719" s="10"/>
      <c r="I4719" s="538"/>
      <c r="J4719" s="242"/>
      <c r="K4719" s="326"/>
    </row>
    <row r="4720" spans="1:11" customFormat="1" x14ac:dyDescent="0.25">
      <c r="A4720" s="545"/>
      <c r="B4720" s="77"/>
      <c r="C4720" t="s">
        <v>1279</v>
      </c>
      <c r="G4720" s="603" t="s">
        <v>3</v>
      </c>
      <c r="H4720" s="10">
        <v>0.43</v>
      </c>
      <c r="I4720" s="538" t="s">
        <v>7568</v>
      </c>
      <c r="J4720" s="242"/>
      <c r="K4720" s="326"/>
    </row>
    <row r="4721" spans="1:11" customFormat="1" x14ac:dyDescent="0.25">
      <c r="A4721" s="545"/>
      <c r="G4721" s="537"/>
      <c r="H4721" s="10"/>
      <c r="I4721" s="538"/>
      <c r="J4721" s="242"/>
      <c r="K4721" s="326"/>
    </row>
    <row r="4722" spans="1:11" customFormat="1" x14ac:dyDescent="0.25">
      <c r="A4722" s="545">
        <v>365</v>
      </c>
      <c r="B4722" s="3" t="s">
        <v>7567</v>
      </c>
      <c r="G4722" s="537"/>
      <c r="H4722" s="10"/>
      <c r="I4722" s="538"/>
      <c r="J4722" s="242"/>
      <c r="K4722" s="326"/>
    </row>
    <row r="4723" spans="1:11" customFormat="1" x14ac:dyDescent="0.25">
      <c r="A4723" s="545"/>
      <c r="B4723" t="s">
        <v>557</v>
      </c>
      <c r="G4723" s="603" t="s">
        <v>3</v>
      </c>
      <c r="H4723" s="10">
        <f>1.25</f>
        <v>1.25</v>
      </c>
      <c r="I4723" s="538" t="s">
        <v>7566</v>
      </c>
      <c r="J4723" s="242"/>
      <c r="K4723" s="326"/>
    </row>
    <row r="4724" spans="1:11" customFormat="1" x14ac:dyDescent="0.25">
      <c r="A4724" s="545"/>
      <c r="B4724" s="77" t="s">
        <v>143</v>
      </c>
      <c r="C4724" s="8"/>
      <c r="D4724" s="8"/>
      <c r="G4724" s="603" t="s">
        <v>3</v>
      </c>
      <c r="H4724" s="10">
        <f>0.03</f>
        <v>0.03</v>
      </c>
      <c r="I4724" s="538"/>
      <c r="J4724" s="242"/>
      <c r="K4724" s="326"/>
    </row>
    <row r="4725" spans="1:11" customFormat="1" x14ac:dyDescent="0.25">
      <c r="A4725" s="545"/>
      <c r="B4725" s="77" t="s">
        <v>8</v>
      </c>
      <c r="C4725" s="8"/>
      <c r="D4725" s="8"/>
      <c r="G4725" s="603" t="s">
        <v>3</v>
      </c>
      <c r="H4725" s="10">
        <f>0.6*H4726</f>
        <v>2.7720000000000002E-2</v>
      </c>
      <c r="I4725" s="538"/>
      <c r="J4725" s="242"/>
      <c r="K4725" s="326"/>
    </row>
    <row r="4726" spans="1:11" customFormat="1" x14ac:dyDescent="0.25">
      <c r="A4726" s="545"/>
      <c r="B4726" s="77" t="s">
        <v>148</v>
      </c>
      <c r="C4726" s="8"/>
      <c r="D4726" s="8"/>
      <c r="G4726" s="603" t="s">
        <v>3</v>
      </c>
      <c r="H4726" s="10">
        <f>1.1*0.02*2*1.05</f>
        <v>4.6200000000000005E-2</v>
      </c>
      <c r="I4726" s="538"/>
      <c r="J4726" s="242"/>
      <c r="K4726" s="326"/>
    </row>
    <row r="4727" spans="1:11" customFormat="1" x14ac:dyDescent="0.25">
      <c r="A4727" s="545"/>
      <c r="B4727" s="77" t="s">
        <v>12</v>
      </c>
      <c r="C4727" s="8"/>
      <c r="D4727" s="8"/>
      <c r="G4727" s="603" t="s">
        <v>3</v>
      </c>
      <c r="H4727" s="10">
        <f>(H4726+H4724+H4725)*0.3</f>
        <v>3.1176000000000002E-2</v>
      </c>
      <c r="I4727" s="538"/>
      <c r="J4727" s="242"/>
      <c r="K4727" s="326"/>
    </row>
    <row r="4728" spans="1:11" customFormat="1" x14ac:dyDescent="0.25">
      <c r="A4728" s="545"/>
      <c r="G4728" s="537"/>
      <c r="H4728" s="10"/>
      <c r="I4728" s="538"/>
      <c r="J4728" s="242"/>
      <c r="K4728" s="326"/>
    </row>
    <row r="4729" spans="1:11" customFormat="1" x14ac:dyDescent="0.25">
      <c r="A4729" s="545">
        <v>366</v>
      </c>
      <c r="B4729" s="3" t="s">
        <v>7565</v>
      </c>
      <c r="G4729" s="537"/>
      <c r="H4729" s="10"/>
      <c r="I4729" s="538"/>
      <c r="J4729" s="242"/>
      <c r="K4729" s="326"/>
    </row>
    <row r="4730" spans="1:11" customFormat="1" x14ac:dyDescent="0.25">
      <c r="A4730" s="545"/>
      <c r="B4730" s="25" t="s">
        <v>140</v>
      </c>
      <c r="G4730" s="603" t="s">
        <v>3</v>
      </c>
      <c r="H4730" s="10">
        <f>0.012*3.14*2*0.07*1.2</f>
        <v>6.3302400000000017E-3</v>
      </c>
      <c r="I4730" s="538"/>
      <c r="J4730" s="242"/>
      <c r="K4730" s="326"/>
    </row>
    <row r="4731" spans="1:11" customFormat="1" x14ac:dyDescent="0.25">
      <c r="A4731" s="545"/>
      <c r="B4731" s="25" t="s">
        <v>23</v>
      </c>
      <c r="G4731" s="603" t="s">
        <v>3</v>
      </c>
      <c r="H4731" s="10">
        <f>H4730*2</f>
        <v>1.2660480000000003E-2</v>
      </c>
      <c r="I4731" s="538"/>
      <c r="J4731" s="242"/>
      <c r="K4731" s="326"/>
    </row>
    <row r="4732" spans="1:11" customFormat="1" x14ac:dyDescent="0.25">
      <c r="A4732" s="545"/>
      <c r="B4732" s="25" t="s">
        <v>142</v>
      </c>
      <c r="G4732" s="603" t="s">
        <v>3</v>
      </c>
      <c r="H4732" s="10">
        <f>H4730/4</f>
        <v>1.5825600000000004E-3</v>
      </c>
      <c r="I4732" s="538"/>
      <c r="J4732" s="242"/>
      <c r="K4732" s="326"/>
    </row>
    <row r="4733" spans="1:11" customFormat="1" x14ac:dyDescent="0.25">
      <c r="A4733" s="545"/>
      <c r="B4733" s="77" t="s">
        <v>143</v>
      </c>
      <c r="C4733" s="8"/>
      <c r="D4733" s="8"/>
      <c r="G4733" s="603" t="s">
        <v>3</v>
      </c>
      <c r="H4733" s="10">
        <v>1.4999999999999999E-2</v>
      </c>
      <c r="I4733" s="538"/>
      <c r="J4733" s="242"/>
      <c r="K4733" s="326"/>
    </row>
    <row r="4734" spans="1:11" customFormat="1" x14ac:dyDescent="0.25">
      <c r="A4734" s="545"/>
      <c r="B4734" s="77" t="s">
        <v>8</v>
      </c>
      <c r="C4734" s="8"/>
      <c r="D4734" s="8"/>
      <c r="G4734" s="603" t="s">
        <v>3</v>
      </c>
      <c r="H4734" s="10">
        <v>1.2E-2</v>
      </c>
      <c r="I4734" s="538"/>
      <c r="J4734" s="242"/>
      <c r="K4734" s="326"/>
    </row>
    <row r="4735" spans="1:11" customFormat="1" x14ac:dyDescent="0.25">
      <c r="A4735" s="545"/>
      <c r="B4735" s="77" t="s">
        <v>148</v>
      </c>
      <c r="C4735" s="8"/>
      <c r="D4735" s="8"/>
      <c r="G4735" s="603" t="s">
        <v>3</v>
      </c>
      <c r="H4735" s="10">
        <f>0.7*0.011*2*1.2</f>
        <v>1.8479999999999996E-2</v>
      </c>
      <c r="I4735" s="538"/>
      <c r="J4735" s="242"/>
      <c r="K4735" s="326"/>
    </row>
    <row r="4736" spans="1:11" customFormat="1" x14ac:dyDescent="0.25">
      <c r="A4736" s="545"/>
      <c r="B4736" s="77" t="s">
        <v>12</v>
      </c>
      <c r="C4736" s="8"/>
      <c r="D4736" s="8"/>
      <c r="G4736" s="603" t="s">
        <v>3</v>
      </c>
      <c r="H4736" s="10">
        <f>(H4735+H4733+H4734)*0.3</f>
        <v>1.3643999999999998E-2</v>
      </c>
      <c r="I4736" s="538"/>
      <c r="J4736" s="242"/>
      <c r="K4736" s="326"/>
    </row>
    <row r="4737" spans="1:15" customFormat="1" x14ac:dyDescent="0.25">
      <c r="A4737" s="545"/>
      <c r="C4737" s="4" t="s">
        <v>7564</v>
      </c>
      <c r="G4737" s="537"/>
      <c r="H4737" s="10"/>
      <c r="I4737" s="538"/>
      <c r="J4737" s="242"/>
      <c r="K4737" s="326"/>
    </row>
    <row r="4738" spans="1:15" customFormat="1" x14ac:dyDescent="0.25">
      <c r="A4738" s="545"/>
      <c r="C4738" t="s">
        <v>1279</v>
      </c>
      <c r="G4738" s="603" t="s">
        <v>3</v>
      </c>
      <c r="H4738" s="10">
        <f>0.19</f>
        <v>0.19</v>
      </c>
      <c r="I4738" s="538" t="s">
        <v>7563</v>
      </c>
      <c r="J4738" s="242"/>
      <c r="K4738" s="326"/>
    </row>
    <row r="4739" spans="1:15" customFormat="1" x14ac:dyDescent="0.25">
      <c r="A4739" s="545"/>
      <c r="G4739" s="537"/>
      <c r="H4739" s="10"/>
      <c r="I4739" s="538"/>
      <c r="J4739" s="242"/>
      <c r="K4739" s="326"/>
    </row>
    <row r="4740" spans="1:15" customFormat="1" x14ac:dyDescent="0.25">
      <c r="A4740" s="554">
        <v>367</v>
      </c>
      <c r="B4740" s="3" t="s">
        <v>7562</v>
      </c>
      <c r="G4740" s="537"/>
      <c r="H4740" s="10"/>
      <c r="I4740" s="538"/>
      <c r="J4740" s="242"/>
      <c r="K4740" s="326"/>
    </row>
    <row r="4741" spans="1:15" customFormat="1" x14ac:dyDescent="0.25">
      <c r="A4741" s="545"/>
      <c r="B4741" s="8" t="s">
        <v>7561</v>
      </c>
      <c r="G4741" s="603" t="s">
        <v>3</v>
      </c>
      <c r="H4741" s="10">
        <f>0.025*3.14*2*0.03*1.2</f>
        <v>5.6520000000000008E-3</v>
      </c>
      <c r="I4741" s="538"/>
      <c r="J4741" s="242"/>
      <c r="K4741" s="326"/>
    </row>
    <row r="4742" spans="1:15" customFormat="1" x14ac:dyDescent="0.25">
      <c r="A4742" s="545"/>
      <c r="B4742" s="8" t="s">
        <v>40</v>
      </c>
      <c r="G4742" s="603" t="s">
        <v>3</v>
      </c>
      <c r="H4742" s="10">
        <f>1.5*H4741</f>
        <v>8.4780000000000012E-3</v>
      </c>
      <c r="I4742" s="538"/>
      <c r="J4742" s="242"/>
      <c r="K4742" s="326"/>
    </row>
    <row r="4743" spans="1:15" customFormat="1" x14ac:dyDescent="0.25">
      <c r="A4743" s="545"/>
      <c r="C4743" s="54" t="s">
        <v>567</v>
      </c>
      <c r="G4743" s="537"/>
      <c r="H4743" s="10"/>
      <c r="I4743" s="538"/>
      <c r="J4743" s="242"/>
      <c r="K4743" s="326"/>
    </row>
    <row r="4744" spans="1:15" customFormat="1" x14ac:dyDescent="0.25">
      <c r="A4744" s="545"/>
      <c r="C4744" s="8" t="s">
        <v>7560</v>
      </c>
      <c r="G4744" s="537" t="s">
        <v>3</v>
      </c>
      <c r="H4744" s="10">
        <f>0.225</f>
        <v>0.22500000000000001</v>
      </c>
      <c r="I4744" s="538"/>
      <c r="J4744" s="242"/>
      <c r="K4744" s="326"/>
    </row>
    <row r="4745" spans="1:15" customFormat="1" x14ac:dyDescent="0.25">
      <c r="A4745" s="545"/>
      <c r="C4745" s="8"/>
      <c r="G4745" s="537"/>
      <c r="H4745" s="10"/>
      <c r="I4745" s="538"/>
      <c r="J4745" s="242"/>
      <c r="K4745" s="326"/>
    </row>
    <row r="4746" spans="1:15" customFormat="1" x14ac:dyDescent="0.25">
      <c r="A4746" s="545">
        <v>335</v>
      </c>
      <c r="B4746" t="s">
        <v>7557</v>
      </c>
      <c r="C4746" s="8"/>
      <c r="F4746" t="s">
        <v>7559</v>
      </c>
      <c r="G4746" s="537" t="s">
        <v>195</v>
      </c>
      <c r="H4746" s="10">
        <v>0.115</v>
      </c>
      <c r="I4746" s="538"/>
      <c r="J4746" s="242"/>
      <c r="K4746" s="326"/>
    </row>
    <row r="4747" spans="1:15" customFormat="1" x14ac:dyDescent="0.25">
      <c r="A4747" s="545">
        <v>336</v>
      </c>
      <c r="B4747" t="s">
        <v>7557</v>
      </c>
      <c r="C4747" s="8"/>
      <c r="F4747" t="s">
        <v>7558</v>
      </c>
      <c r="G4747" s="537" t="s">
        <v>195</v>
      </c>
      <c r="H4747" s="10">
        <v>0.14499999999999999</v>
      </c>
      <c r="I4747" s="538"/>
      <c r="J4747" s="242"/>
      <c r="K4747" s="326"/>
    </row>
    <row r="4748" spans="1:15" customFormat="1" x14ac:dyDescent="0.25">
      <c r="A4748" s="545">
        <v>347</v>
      </c>
      <c r="B4748" t="s">
        <v>7557</v>
      </c>
      <c r="C4748" s="8"/>
      <c r="F4748" t="s">
        <v>7556</v>
      </c>
      <c r="G4748" s="537" t="s">
        <v>195</v>
      </c>
      <c r="H4748" s="10">
        <v>0.105</v>
      </c>
      <c r="I4748" s="538"/>
      <c r="J4748" s="242"/>
      <c r="K4748" s="326"/>
    </row>
    <row r="4749" spans="1:15" customFormat="1" x14ac:dyDescent="0.25">
      <c r="A4749" s="545">
        <v>348</v>
      </c>
      <c r="B4749" t="s">
        <v>7557</v>
      </c>
      <c r="C4749" s="8"/>
      <c r="F4749" t="s">
        <v>7556</v>
      </c>
      <c r="G4749" s="537" t="s">
        <v>195</v>
      </c>
      <c r="H4749" s="10">
        <v>0.86</v>
      </c>
      <c r="I4749" s="538"/>
      <c r="J4749" s="242"/>
      <c r="K4749" s="326"/>
    </row>
    <row r="4750" spans="1:15" customFormat="1" x14ac:dyDescent="0.25">
      <c r="A4750" s="545">
        <v>349</v>
      </c>
      <c r="B4750" t="s">
        <v>7557</v>
      </c>
      <c r="C4750" s="8"/>
      <c r="F4750" t="s">
        <v>7556</v>
      </c>
      <c r="G4750" s="537" t="s">
        <v>195</v>
      </c>
      <c r="H4750" s="10">
        <v>0.91</v>
      </c>
      <c r="I4750" s="538"/>
      <c r="J4750" s="242"/>
      <c r="K4750" s="326"/>
    </row>
    <row r="4751" spans="1:15" customFormat="1" x14ac:dyDescent="0.25">
      <c r="A4751" s="545"/>
      <c r="B4751" s="274"/>
      <c r="C4751" s="274"/>
      <c r="D4751" s="274"/>
      <c r="E4751" s="274"/>
      <c r="F4751" s="274"/>
      <c r="G4751" s="529"/>
      <c r="H4751" s="123"/>
      <c r="I4751" s="635"/>
      <c r="J4751" s="545"/>
      <c r="K4751" s="547"/>
      <c r="L4751" s="8"/>
      <c r="M4751" s="8"/>
      <c r="N4751" s="8"/>
      <c r="O4751" s="8"/>
    </row>
    <row r="4752" spans="1:15" customFormat="1" x14ac:dyDescent="0.25">
      <c r="A4752" s="545"/>
      <c r="G4752" s="537"/>
      <c r="H4752" s="10"/>
      <c r="I4752" s="538"/>
      <c r="J4752" s="242"/>
      <c r="K4752" s="326"/>
    </row>
    <row r="4753" spans="1:11" customFormat="1" x14ac:dyDescent="0.25">
      <c r="A4753" s="545"/>
      <c r="B4753" s="117" t="s">
        <v>7555</v>
      </c>
      <c r="G4753" s="657" t="s">
        <v>646</v>
      </c>
      <c r="H4753" s="58"/>
      <c r="I4753" s="538"/>
      <c r="J4753" s="242"/>
      <c r="K4753" s="326"/>
    </row>
    <row r="4754" spans="1:11" customFormat="1" x14ac:dyDescent="0.25">
      <c r="A4754" s="545"/>
      <c r="B4754" t="s">
        <v>114</v>
      </c>
      <c r="G4754" s="537" t="s">
        <v>3</v>
      </c>
      <c r="H4754" s="10">
        <f>0.06</f>
        <v>0.06</v>
      </c>
      <c r="I4754" s="538"/>
      <c r="J4754" s="242"/>
      <c r="K4754" s="326"/>
    </row>
    <row r="4755" spans="1:11" customFormat="1" x14ac:dyDescent="0.25">
      <c r="A4755" s="545"/>
      <c r="B4755" t="s">
        <v>163</v>
      </c>
      <c r="G4755" s="537" t="s">
        <v>3</v>
      </c>
      <c r="H4755" s="10">
        <v>0.1</v>
      </c>
      <c r="I4755" s="538"/>
      <c r="J4755" s="242"/>
      <c r="K4755" s="326"/>
    </row>
    <row r="4756" spans="1:11" customFormat="1" x14ac:dyDescent="0.25">
      <c r="A4756" s="545"/>
      <c r="B4756" t="s">
        <v>164</v>
      </c>
      <c r="G4756" s="537" t="s">
        <v>3</v>
      </c>
      <c r="H4756" s="10">
        <f>0.3*(H4755+H4754)</f>
        <v>4.8000000000000001E-2</v>
      </c>
      <c r="I4756" s="538"/>
      <c r="J4756" s="242"/>
      <c r="K4756" s="326"/>
    </row>
    <row r="4757" spans="1:11" customFormat="1" x14ac:dyDescent="0.25">
      <c r="A4757" s="545"/>
      <c r="B4757" t="s">
        <v>72</v>
      </c>
      <c r="G4757" s="537" t="s">
        <v>3</v>
      </c>
      <c r="H4757" s="10">
        <v>0.2</v>
      </c>
      <c r="I4757" s="538"/>
      <c r="J4757" s="242"/>
      <c r="K4757" s="326"/>
    </row>
    <row r="4758" spans="1:11" customFormat="1" x14ac:dyDescent="0.25">
      <c r="A4758" s="545"/>
      <c r="B4758" t="s">
        <v>7554</v>
      </c>
      <c r="G4758" s="537" t="s">
        <v>3</v>
      </c>
      <c r="H4758" s="10">
        <f>0.3*H4757</f>
        <v>0.06</v>
      </c>
      <c r="I4758" s="538"/>
      <c r="J4758" s="242"/>
      <c r="K4758" s="326"/>
    </row>
    <row r="4759" spans="1:11" customFormat="1" x14ac:dyDescent="0.25">
      <c r="A4759" s="545"/>
      <c r="B4759" t="s">
        <v>13</v>
      </c>
      <c r="G4759" s="537" t="s">
        <v>3</v>
      </c>
      <c r="H4759" s="10">
        <v>0.2</v>
      </c>
      <c r="I4759" s="538"/>
      <c r="J4759" s="242"/>
      <c r="K4759" s="326"/>
    </row>
    <row r="4760" spans="1:11" customFormat="1" x14ac:dyDescent="0.25">
      <c r="A4760" s="545"/>
      <c r="B4760" t="s">
        <v>37</v>
      </c>
      <c r="G4760" s="537" t="s">
        <v>3</v>
      </c>
      <c r="H4760" s="10">
        <f>0.07</f>
        <v>7.0000000000000007E-2</v>
      </c>
      <c r="I4760" s="538"/>
      <c r="J4760" s="242"/>
      <c r="K4760" s="326"/>
    </row>
    <row r="4761" spans="1:11" customFormat="1" x14ac:dyDescent="0.25">
      <c r="A4761" s="545"/>
      <c r="B4761" s="25" t="s">
        <v>2107</v>
      </c>
      <c r="G4761" s="537" t="s">
        <v>3</v>
      </c>
      <c r="H4761" s="10">
        <f>1*0.015</f>
        <v>1.4999999999999999E-2</v>
      </c>
      <c r="I4761" s="538"/>
      <c r="J4761" s="242"/>
      <c r="K4761" s="326"/>
    </row>
    <row r="4762" spans="1:11" customFormat="1" ht="17.25" x14ac:dyDescent="0.25">
      <c r="A4762" s="545"/>
      <c r="B4762" s="25" t="s">
        <v>168</v>
      </c>
      <c r="G4762" s="537" t="s">
        <v>596</v>
      </c>
      <c r="H4762" s="10">
        <f>1.09*H4761</f>
        <v>1.635E-2</v>
      </c>
      <c r="I4762" s="538"/>
      <c r="J4762" s="242"/>
      <c r="K4762" s="326"/>
    </row>
    <row r="4763" spans="1:11" customFormat="1" x14ac:dyDescent="0.25">
      <c r="A4763" s="545"/>
      <c r="G4763" s="537"/>
      <c r="H4763" s="10"/>
      <c r="I4763" s="538"/>
      <c r="J4763" s="242"/>
      <c r="K4763" s="326"/>
    </row>
    <row r="4764" spans="1:11" customFormat="1" x14ac:dyDescent="0.25">
      <c r="A4764" s="545"/>
      <c r="D4764" s="656" t="s">
        <v>6830</v>
      </c>
      <c r="E4764" s="26"/>
      <c r="F4764" s="26"/>
      <c r="G4764" s="30" t="s">
        <v>7553</v>
      </c>
      <c r="H4764" s="28"/>
      <c r="I4764" s="538"/>
      <c r="J4764" s="242"/>
      <c r="K4764" s="326"/>
    </row>
    <row r="4765" spans="1:11" customFormat="1" x14ac:dyDescent="0.25">
      <c r="A4765" s="545"/>
      <c r="G4765" s="537"/>
      <c r="H4765" s="10"/>
      <c r="I4765" s="538"/>
      <c r="J4765" s="242"/>
      <c r="K4765" s="326"/>
    </row>
    <row r="4766" spans="1:11" customFormat="1" x14ac:dyDescent="0.25">
      <c r="A4766" s="545"/>
      <c r="D4766" s="4" t="s">
        <v>7552</v>
      </c>
      <c r="G4766" s="537"/>
      <c r="H4766" s="10"/>
      <c r="I4766" s="538"/>
      <c r="J4766" s="242"/>
      <c r="K4766" s="326"/>
    </row>
    <row r="4767" spans="1:11" customFormat="1" x14ac:dyDescent="0.25">
      <c r="A4767" s="545"/>
      <c r="D4767" t="s">
        <v>7551</v>
      </c>
      <c r="G4767" s="537" t="s">
        <v>3</v>
      </c>
      <c r="H4767" s="10">
        <f>0.025</f>
        <v>2.5000000000000001E-2</v>
      </c>
      <c r="I4767" s="538"/>
      <c r="J4767" s="242"/>
      <c r="K4767" s="326"/>
    </row>
    <row r="4768" spans="1:11" customFormat="1" x14ac:dyDescent="0.25">
      <c r="A4768" s="545"/>
      <c r="D4768" s="4" t="s">
        <v>7550</v>
      </c>
      <c r="G4768" s="537"/>
      <c r="H4768" s="10"/>
      <c r="I4768" s="538"/>
      <c r="J4768" s="242"/>
      <c r="K4768" s="326"/>
    </row>
    <row r="4769" spans="1:17" customFormat="1" x14ac:dyDescent="0.25">
      <c r="A4769" s="545"/>
      <c r="D4769" t="s">
        <v>1138</v>
      </c>
      <c r="G4769" s="537" t="s">
        <v>3</v>
      </c>
      <c r="H4769" s="10">
        <f>0.04*0.02*2*2.7*1.08</f>
        <v>4.6656000000000015E-3</v>
      </c>
      <c r="I4769" s="538"/>
      <c r="J4769" s="242"/>
      <c r="K4769" s="326"/>
    </row>
    <row r="4770" spans="1:17" customFormat="1" x14ac:dyDescent="0.25">
      <c r="A4770" s="545"/>
      <c r="D4770" s="4" t="s">
        <v>7549</v>
      </c>
      <c r="G4770" s="537"/>
      <c r="H4770" s="10"/>
      <c r="I4770" s="538"/>
      <c r="J4770" s="242"/>
      <c r="K4770" s="326"/>
    </row>
    <row r="4771" spans="1:17" customFormat="1" x14ac:dyDescent="0.25">
      <c r="A4771" s="545"/>
      <c r="G4771" s="537" t="s">
        <v>3</v>
      </c>
      <c r="H4771" s="10"/>
      <c r="I4771" s="538"/>
      <c r="J4771" s="242"/>
      <c r="K4771" s="326"/>
    </row>
    <row r="4772" spans="1:17" customFormat="1" x14ac:dyDescent="0.25">
      <c r="A4772" s="654"/>
      <c r="B4772" s="653"/>
      <c r="C4772" s="653"/>
      <c r="D4772" s="653"/>
      <c r="E4772" s="653"/>
      <c r="F4772" s="653"/>
      <c r="G4772" s="652"/>
      <c r="H4772" s="651"/>
      <c r="I4772" s="635"/>
      <c r="J4772" s="545"/>
      <c r="K4772" s="547"/>
      <c r="L4772" s="8"/>
      <c r="M4772" s="8"/>
      <c r="N4772" s="8"/>
      <c r="O4772" s="8"/>
      <c r="P4772" s="8"/>
      <c r="Q4772" s="8"/>
    </row>
    <row r="4773" spans="1:17" customFormat="1" ht="18.75" x14ac:dyDescent="0.3">
      <c r="A4773" s="654"/>
      <c r="B4773" s="655" t="s">
        <v>7548</v>
      </c>
      <c r="C4773" s="653"/>
      <c r="D4773" s="653"/>
      <c r="E4773" s="653"/>
      <c r="F4773" s="653"/>
      <c r="G4773" s="652"/>
      <c r="H4773" s="651"/>
      <c r="I4773" s="635"/>
      <c r="J4773" s="545"/>
      <c r="K4773" s="547"/>
      <c r="L4773" s="8"/>
      <c r="M4773" s="8"/>
      <c r="N4773" s="8"/>
      <c r="O4773" s="8"/>
      <c r="P4773" s="8"/>
      <c r="Q4773" s="8"/>
    </row>
    <row r="4774" spans="1:17" customFormat="1" x14ac:dyDescent="0.25">
      <c r="A4774" s="654"/>
      <c r="B4774" s="653"/>
      <c r="C4774" s="653"/>
      <c r="D4774" s="653"/>
      <c r="E4774" s="653"/>
      <c r="F4774" s="653"/>
      <c r="G4774" s="652"/>
      <c r="H4774" s="651"/>
      <c r="I4774" s="635"/>
      <c r="J4774" s="545"/>
      <c r="K4774" s="547"/>
      <c r="L4774" s="8"/>
      <c r="M4774" s="8"/>
      <c r="N4774" s="8"/>
      <c r="O4774" s="8"/>
      <c r="P4774" s="8"/>
      <c r="Q4774" s="8"/>
    </row>
    <row r="4775" spans="1:17" customFormat="1" x14ac:dyDescent="0.25">
      <c r="A4775" s="545"/>
      <c r="G4775" s="537"/>
      <c r="H4775" s="10"/>
      <c r="I4775" s="635"/>
      <c r="J4775" s="545"/>
      <c r="K4775" s="547"/>
      <c r="L4775" s="556"/>
      <c r="M4775" s="556"/>
      <c r="N4775" s="8"/>
      <c r="O4775" s="8"/>
      <c r="P4775" s="8"/>
      <c r="Q4775" s="8"/>
    </row>
    <row r="4776" spans="1:17" customFormat="1" x14ac:dyDescent="0.25">
      <c r="A4776" s="545" t="s">
        <v>5915</v>
      </c>
      <c r="B4776" s="3" t="s">
        <v>7547</v>
      </c>
      <c r="G4776" s="537"/>
      <c r="H4776" s="10"/>
      <c r="I4776" s="538"/>
      <c r="J4776" s="242"/>
      <c r="K4776" s="326"/>
      <c r="L4776" s="623"/>
      <c r="M4776" s="623"/>
    </row>
    <row r="4777" spans="1:17" customFormat="1" x14ac:dyDescent="0.25">
      <c r="A4777" s="545"/>
      <c r="C4777" t="s">
        <v>7546</v>
      </c>
      <c r="G4777" s="537" t="s">
        <v>3</v>
      </c>
      <c r="H4777" s="10">
        <f>0.19*0.19*3.5*8*1.08</f>
        <v>1.091664</v>
      </c>
      <c r="I4777" s="538"/>
      <c r="J4777" s="242"/>
      <c r="K4777" s="326"/>
    </row>
    <row r="4778" spans="1:17" customFormat="1" x14ac:dyDescent="0.25">
      <c r="A4778" s="545"/>
      <c r="G4778" s="537"/>
      <c r="H4778" s="10"/>
      <c r="I4778" s="538"/>
      <c r="J4778" s="242"/>
      <c r="K4778" s="326"/>
    </row>
    <row r="4779" spans="1:17" customFormat="1" x14ac:dyDescent="0.25">
      <c r="A4779" s="545" t="s">
        <v>7545</v>
      </c>
      <c r="B4779" s="3" t="s">
        <v>7544</v>
      </c>
      <c r="G4779" s="537"/>
      <c r="H4779" s="10"/>
      <c r="I4779" s="538"/>
      <c r="J4779" s="242"/>
      <c r="K4779" s="326"/>
    </row>
    <row r="4780" spans="1:17" customFormat="1" x14ac:dyDescent="0.25">
      <c r="A4780" s="545"/>
      <c r="C4780" t="s">
        <v>7543</v>
      </c>
      <c r="G4780" s="537" t="s">
        <v>3</v>
      </c>
      <c r="H4780" s="10">
        <f>0.025*0.025*1*1.45</f>
        <v>9.0625000000000015E-4</v>
      </c>
      <c r="I4780" s="538"/>
      <c r="J4780" s="242"/>
      <c r="K4780" s="326"/>
    </row>
    <row r="4781" spans="1:17" customFormat="1" x14ac:dyDescent="0.25">
      <c r="A4781" s="545"/>
      <c r="G4781" s="537"/>
      <c r="H4781" s="10"/>
      <c r="I4781" s="538"/>
      <c r="J4781" s="242"/>
      <c r="K4781" s="326"/>
    </row>
    <row r="4782" spans="1:17" customFormat="1" x14ac:dyDescent="0.25">
      <c r="A4782" s="545" t="s">
        <v>5138</v>
      </c>
      <c r="B4782" s="3" t="s">
        <v>7542</v>
      </c>
      <c r="G4782" s="537"/>
      <c r="H4782" s="10"/>
      <c r="I4782" s="538"/>
      <c r="J4782" s="242"/>
      <c r="K4782" s="326"/>
    </row>
    <row r="4783" spans="1:17" customFormat="1" x14ac:dyDescent="0.25">
      <c r="A4783" s="545"/>
      <c r="B4783" s="25" t="s">
        <v>2107</v>
      </c>
      <c r="G4783" s="537" t="s">
        <v>3</v>
      </c>
      <c r="H4783" s="10">
        <f>1.91*0.6-0.125</f>
        <v>1.0209999999999999</v>
      </c>
      <c r="I4783" s="538"/>
      <c r="J4783" s="242"/>
      <c r="K4783" s="326"/>
    </row>
    <row r="4784" spans="1:17" customFormat="1" x14ac:dyDescent="0.25">
      <c r="A4784" s="545"/>
      <c r="B4784" s="25" t="s">
        <v>7519</v>
      </c>
      <c r="G4784" s="537" t="s">
        <v>3</v>
      </c>
      <c r="H4784" s="10">
        <f>0.015</f>
        <v>1.4999999999999999E-2</v>
      </c>
      <c r="I4784" s="538"/>
      <c r="J4784" s="242"/>
      <c r="K4784" s="326"/>
    </row>
    <row r="4785" spans="1:18" customFormat="1" ht="17.25" x14ac:dyDescent="0.25">
      <c r="A4785" s="545"/>
      <c r="B4785" s="25" t="s">
        <v>168</v>
      </c>
      <c r="G4785" s="537" t="s">
        <v>596</v>
      </c>
      <c r="H4785" s="32">
        <f>1.09*H4783-0.136</f>
        <v>0.97688999999999993</v>
      </c>
      <c r="I4785" s="538"/>
      <c r="J4785" s="242"/>
      <c r="K4785" s="326"/>
    </row>
    <row r="4786" spans="1:18" customFormat="1" x14ac:dyDescent="0.25">
      <c r="A4786" s="545"/>
      <c r="B4786" s="25" t="s">
        <v>72</v>
      </c>
      <c r="G4786" s="537" t="s">
        <v>3</v>
      </c>
      <c r="H4786" s="10">
        <f>4.23*0.6+0.12</f>
        <v>2.6580000000000004</v>
      </c>
      <c r="I4786" s="538"/>
      <c r="J4786" s="242"/>
      <c r="K4786" s="326"/>
    </row>
    <row r="4787" spans="1:18" customFormat="1" x14ac:dyDescent="0.25">
      <c r="A4787" s="545"/>
      <c r="B4787" s="25" t="s">
        <v>11</v>
      </c>
      <c r="G4787" s="537" t="s">
        <v>3</v>
      </c>
      <c r="H4787" s="10">
        <f>0.3*H4786</f>
        <v>0.79740000000000011</v>
      </c>
      <c r="I4787" s="538"/>
      <c r="J4787" s="242"/>
      <c r="K4787" s="326"/>
    </row>
    <row r="4788" spans="1:18" customFormat="1" x14ac:dyDescent="0.25">
      <c r="A4788" s="545"/>
      <c r="B4788" s="25" t="s">
        <v>114</v>
      </c>
      <c r="G4788" s="537" t="s">
        <v>3</v>
      </c>
      <c r="H4788" s="10">
        <f>6*0.6</f>
        <v>3.5999999999999996</v>
      </c>
      <c r="I4788" s="538"/>
      <c r="J4788" s="242"/>
      <c r="K4788" s="326"/>
    </row>
    <row r="4789" spans="1:18" customFormat="1" x14ac:dyDescent="0.25">
      <c r="A4789" s="545"/>
      <c r="B4789" s="25" t="s">
        <v>163</v>
      </c>
      <c r="G4789" s="537" t="s">
        <v>3</v>
      </c>
      <c r="H4789" s="10">
        <f>4.2*0.6</f>
        <v>2.52</v>
      </c>
      <c r="I4789" s="538"/>
      <c r="J4789" s="242"/>
      <c r="K4789" s="326"/>
    </row>
    <row r="4790" spans="1:18" customFormat="1" x14ac:dyDescent="0.25">
      <c r="A4790" s="545"/>
      <c r="B4790" s="25" t="s">
        <v>164</v>
      </c>
      <c r="G4790" s="537" t="s">
        <v>3</v>
      </c>
      <c r="H4790" s="10">
        <f>0.3*(H4789+H4788)*1.07</f>
        <v>1.9645199999999998</v>
      </c>
      <c r="I4790" s="538"/>
      <c r="J4790" s="242"/>
      <c r="K4790" s="326"/>
    </row>
    <row r="4791" spans="1:18" customFormat="1" x14ac:dyDescent="0.25">
      <c r="A4791" s="545"/>
      <c r="B4791" s="25" t="s">
        <v>8</v>
      </c>
      <c r="G4791" s="537" t="s">
        <v>3</v>
      </c>
      <c r="H4791" s="10">
        <v>0.19</v>
      </c>
      <c r="I4791" s="538"/>
      <c r="J4791" s="242"/>
      <c r="K4791" s="326"/>
    </row>
    <row r="4792" spans="1:18" customFormat="1" x14ac:dyDescent="0.25">
      <c r="A4792" s="545"/>
      <c r="B4792" s="25" t="s">
        <v>12</v>
      </c>
      <c r="G4792" s="537" t="s">
        <v>3</v>
      </c>
      <c r="H4792" s="10">
        <f>0.3*H4791</f>
        <v>5.6999999999999995E-2</v>
      </c>
      <c r="I4792" s="538"/>
      <c r="J4792" s="242"/>
      <c r="K4792" s="326"/>
    </row>
    <row r="4793" spans="1:18" customFormat="1" x14ac:dyDescent="0.25">
      <c r="A4793" s="545"/>
      <c r="B4793" s="25" t="s">
        <v>13</v>
      </c>
      <c r="G4793" s="537" t="s">
        <v>3</v>
      </c>
      <c r="H4793" s="10">
        <v>0.6</v>
      </c>
      <c r="I4793" s="538"/>
      <c r="J4793" s="242"/>
      <c r="K4793" s="326"/>
    </row>
    <row r="4794" spans="1:18" customFormat="1" x14ac:dyDescent="0.25">
      <c r="A4794" s="545"/>
      <c r="B4794" t="s">
        <v>147</v>
      </c>
      <c r="G4794" s="537" t="s">
        <v>3</v>
      </c>
      <c r="H4794" s="10">
        <v>0.25</v>
      </c>
      <c r="I4794" s="538"/>
      <c r="J4794" s="242"/>
      <c r="K4794" s="326"/>
    </row>
    <row r="4795" spans="1:18" customFormat="1" x14ac:dyDescent="0.25">
      <c r="A4795" s="545" t="s">
        <v>5140</v>
      </c>
      <c r="C4795" s="4" t="s">
        <v>7541</v>
      </c>
      <c r="G4795" s="537"/>
      <c r="H4795" s="10"/>
      <c r="I4795" s="538" t="s">
        <v>5532</v>
      </c>
      <c r="J4795" s="242" t="s">
        <v>5757</v>
      </c>
      <c r="K4795" s="326"/>
    </row>
    <row r="4796" spans="1:18" customFormat="1" x14ac:dyDescent="0.25">
      <c r="A4796" s="545"/>
      <c r="C4796" s="25" t="s">
        <v>2107</v>
      </c>
      <c r="G4796" s="537" t="s">
        <v>3</v>
      </c>
      <c r="H4796" s="10">
        <f>0.08*0.03*1.2</f>
        <v>2.8799999999999997E-3</v>
      </c>
      <c r="I4796" s="538"/>
      <c r="J4796" s="242"/>
      <c r="K4796" s="326"/>
    </row>
    <row r="4797" spans="1:18" customFormat="1" ht="17.25" x14ac:dyDescent="0.25">
      <c r="A4797" s="545"/>
      <c r="C4797" s="25" t="s">
        <v>168</v>
      </c>
      <c r="G4797" s="537" t="s">
        <v>596</v>
      </c>
      <c r="H4797" s="10">
        <f>1.09*H4796</f>
        <v>3.1392E-3</v>
      </c>
      <c r="I4797" s="538"/>
      <c r="J4797" s="242"/>
      <c r="K4797" s="326"/>
      <c r="N4797" s="650"/>
      <c r="O4797" s="154"/>
      <c r="P4797" s="154"/>
      <c r="Q4797" s="650"/>
      <c r="R4797" s="154"/>
    </row>
    <row r="4798" spans="1:18" customFormat="1" x14ac:dyDescent="0.25">
      <c r="A4798" s="545" t="s">
        <v>7540</v>
      </c>
      <c r="C4798" s="4"/>
      <c r="D4798" s="4" t="s">
        <v>7539</v>
      </c>
      <c r="G4798" s="537"/>
      <c r="H4798" s="10"/>
      <c r="I4798" s="538" t="s">
        <v>549</v>
      </c>
      <c r="J4798" s="565" t="s">
        <v>7491</v>
      </c>
      <c r="K4798" s="326"/>
      <c r="N4798" s="154"/>
      <c r="O4798" s="154"/>
      <c r="P4798" s="154"/>
      <c r="Q4798" s="154"/>
      <c r="R4798" s="154"/>
    </row>
    <row r="4799" spans="1:18" customFormat="1" x14ac:dyDescent="0.25">
      <c r="A4799" s="545"/>
      <c r="C4799" s="4"/>
      <c r="D4799" t="s">
        <v>7471</v>
      </c>
      <c r="G4799" s="537" t="s">
        <v>3</v>
      </c>
      <c r="H4799" s="10">
        <f>0.042*0.272*4*2.7*1.1</f>
        <v>0.13571712000000002</v>
      </c>
      <c r="I4799" s="538"/>
      <c r="J4799" s="242"/>
      <c r="K4799" s="326"/>
      <c r="N4799" s="154"/>
      <c r="O4799" s="154"/>
      <c r="P4799" s="154"/>
      <c r="Q4799" s="154"/>
      <c r="R4799" s="154"/>
    </row>
    <row r="4800" spans="1:18" customFormat="1" x14ac:dyDescent="0.25">
      <c r="A4800" s="545" t="s">
        <v>7538</v>
      </c>
      <c r="C4800" s="4"/>
      <c r="D4800" s="4" t="s">
        <v>7502</v>
      </c>
      <c r="G4800" s="537"/>
      <c r="H4800" s="10"/>
      <c r="I4800" s="538" t="s">
        <v>4858</v>
      </c>
      <c r="J4800" s="565" t="s">
        <v>7491</v>
      </c>
      <c r="K4800" s="326"/>
      <c r="N4800" s="154"/>
      <c r="O4800" s="154"/>
      <c r="P4800" s="154"/>
      <c r="Q4800" s="154"/>
      <c r="R4800" s="154"/>
    </row>
    <row r="4801" spans="1:18" customFormat="1" x14ac:dyDescent="0.25">
      <c r="A4801" s="545"/>
      <c r="D4801" t="s">
        <v>7471</v>
      </c>
      <c r="G4801" s="537" t="s">
        <v>3</v>
      </c>
      <c r="H4801" s="10">
        <f>0.06*0.06*4*2.7*1.08</f>
        <v>4.1990400000000011E-2</v>
      </c>
      <c r="I4801" s="538"/>
      <c r="J4801" s="242"/>
      <c r="K4801" s="326"/>
      <c r="N4801" s="154"/>
      <c r="O4801" s="154"/>
      <c r="P4801" s="154"/>
      <c r="Q4801" s="154"/>
      <c r="R4801" s="154"/>
    </row>
    <row r="4802" spans="1:18" customFormat="1" x14ac:dyDescent="0.25">
      <c r="A4802" s="545" t="s">
        <v>5940</v>
      </c>
      <c r="C4802" s="4" t="s">
        <v>7537</v>
      </c>
      <c r="G4802" s="537"/>
      <c r="H4802" s="10"/>
      <c r="I4802" s="538" t="s">
        <v>549</v>
      </c>
      <c r="J4802" s="565" t="s">
        <v>5757</v>
      </c>
      <c r="K4802" s="326"/>
      <c r="N4802" s="154"/>
      <c r="O4802" s="154"/>
      <c r="P4802" s="154"/>
      <c r="Q4802" s="8"/>
      <c r="R4802" s="154"/>
    </row>
    <row r="4803" spans="1:18" customFormat="1" x14ac:dyDescent="0.25">
      <c r="A4803" s="545" t="s">
        <v>7536</v>
      </c>
      <c r="D4803" s="4" t="s">
        <v>7535</v>
      </c>
      <c r="G4803" s="537"/>
      <c r="H4803" s="10"/>
      <c r="I4803" s="538" t="s">
        <v>5534</v>
      </c>
      <c r="J4803" s="565" t="s">
        <v>5757</v>
      </c>
      <c r="K4803" s="326"/>
      <c r="N4803" s="154"/>
      <c r="O4803" s="154"/>
      <c r="P4803" s="154"/>
      <c r="Q4803" s="154"/>
      <c r="R4803" s="154"/>
    </row>
    <row r="4804" spans="1:18" customFormat="1" x14ac:dyDescent="0.25">
      <c r="A4804" s="545"/>
      <c r="D4804" t="s">
        <v>7478</v>
      </c>
      <c r="G4804" s="537" t="s">
        <v>3</v>
      </c>
      <c r="H4804" s="10">
        <f>0.019*1.1</f>
        <v>2.0900000000000002E-2</v>
      </c>
      <c r="I4804" s="638"/>
      <c r="J4804" s="242"/>
      <c r="K4804" s="326"/>
      <c r="N4804" s="154"/>
      <c r="O4804" s="154"/>
      <c r="P4804" s="154"/>
      <c r="Q4804" s="154"/>
      <c r="R4804" s="154"/>
    </row>
    <row r="4805" spans="1:18" customFormat="1" x14ac:dyDescent="0.25">
      <c r="A4805" s="545" t="s">
        <v>7534</v>
      </c>
      <c r="C4805" s="4" t="s">
        <v>7533</v>
      </c>
      <c r="G4805" s="537"/>
      <c r="H4805" s="10"/>
      <c r="I4805" s="538" t="s">
        <v>5532</v>
      </c>
      <c r="J4805" s="565" t="s">
        <v>5757</v>
      </c>
      <c r="K4805" s="326"/>
      <c r="N4805" s="154"/>
      <c r="O4805" s="154"/>
      <c r="P4805" s="154"/>
      <c r="Q4805" s="154"/>
      <c r="R4805" s="154"/>
    </row>
    <row r="4806" spans="1:18" customFormat="1" x14ac:dyDescent="0.25">
      <c r="A4806" s="545"/>
      <c r="C4806" s="25" t="s">
        <v>2107</v>
      </c>
      <c r="G4806" s="537" t="s">
        <v>3</v>
      </c>
      <c r="H4806" s="10">
        <f>0.12*0.03*1.2</f>
        <v>4.3200000000000001E-3</v>
      </c>
      <c r="I4806" s="538"/>
      <c r="J4806" s="242"/>
      <c r="K4806" s="326" t="s">
        <v>7532</v>
      </c>
      <c r="N4806" s="154"/>
      <c r="O4806" s="154"/>
      <c r="P4806" s="154"/>
      <c r="Q4806" s="154"/>
      <c r="R4806" s="154"/>
    </row>
    <row r="4807" spans="1:18" customFormat="1" x14ac:dyDescent="0.25">
      <c r="A4807" s="545"/>
      <c r="C4807" s="25" t="s">
        <v>168</v>
      </c>
      <c r="G4807" s="537" t="s">
        <v>3</v>
      </c>
      <c r="H4807" s="10">
        <f>1.09*H4806</f>
        <v>4.7088000000000008E-3</v>
      </c>
      <c r="I4807" s="538"/>
      <c r="J4807" s="242"/>
      <c r="K4807" s="326"/>
      <c r="N4807" s="154"/>
      <c r="O4807" s="154"/>
      <c r="P4807" s="154"/>
      <c r="Q4807" s="154"/>
      <c r="R4807" s="154"/>
    </row>
    <row r="4808" spans="1:18" customFormat="1" x14ac:dyDescent="0.25">
      <c r="A4808" s="545" t="s">
        <v>7531</v>
      </c>
      <c r="D4808" s="4" t="s">
        <v>7530</v>
      </c>
      <c r="G4808" s="537"/>
      <c r="H4808" s="10"/>
      <c r="I4808" s="538" t="s">
        <v>549</v>
      </c>
      <c r="J4808" s="565" t="s">
        <v>5757</v>
      </c>
      <c r="K4808" s="326"/>
      <c r="N4808" s="154"/>
      <c r="O4808" s="154"/>
      <c r="P4808" s="154"/>
      <c r="Q4808" s="154"/>
      <c r="R4808" s="154"/>
    </row>
    <row r="4809" spans="1:18" customFormat="1" x14ac:dyDescent="0.25">
      <c r="A4809" s="545"/>
      <c r="D4809" t="s">
        <v>7471</v>
      </c>
      <c r="G4809" s="537" t="s">
        <v>3</v>
      </c>
      <c r="H4809" s="10">
        <f>0.076*0.05*4*2.7*1.1</f>
        <v>4.5144000000000004E-2</v>
      </c>
      <c r="I4809" s="538"/>
      <c r="J4809" s="242"/>
      <c r="K4809" s="326"/>
      <c r="N4809" s="8"/>
      <c r="O4809" s="154"/>
      <c r="P4809" s="154"/>
      <c r="Q4809" s="154"/>
      <c r="R4809" s="154"/>
    </row>
    <row r="4810" spans="1:18" customFormat="1" x14ac:dyDescent="0.25">
      <c r="A4810" s="545" t="s">
        <v>7529</v>
      </c>
      <c r="C4810" s="4" t="s">
        <v>7528</v>
      </c>
      <c r="G4810" s="537"/>
      <c r="H4810" s="10"/>
      <c r="I4810" s="538" t="s">
        <v>5532</v>
      </c>
      <c r="J4810" s="565" t="s">
        <v>5757</v>
      </c>
      <c r="K4810" s="326"/>
    </row>
    <row r="4811" spans="1:18" customFormat="1" x14ac:dyDescent="0.25">
      <c r="A4811" s="545"/>
      <c r="C4811" s="25" t="s">
        <v>2107</v>
      </c>
      <c r="G4811" s="537" t="s">
        <v>3</v>
      </c>
      <c r="H4811" s="10">
        <f>(0.09+0.15)*0.03*1.2</f>
        <v>8.6400000000000001E-3</v>
      </c>
      <c r="I4811" s="538"/>
      <c r="J4811" s="242"/>
      <c r="K4811" s="326"/>
    </row>
    <row r="4812" spans="1:18" customFormat="1" x14ac:dyDescent="0.25">
      <c r="A4812" s="545"/>
      <c r="C4812" s="25" t="s">
        <v>168</v>
      </c>
      <c r="G4812" s="537" t="s">
        <v>3</v>
      </c>
      <c r="H4812" s="10">
        <f>1.09*H4811</f>
        <v>9.4176000000000017E-3</v>
      </c>
      <c r="I4812" s="538"/>
      <c r="J4812" s="242"/>
      <c r="K4812" s="326"/>
    </row>
    <row r="4813" spans="1:18" customFormat="1" x14ac:dyDescent="0.25">
      <c r="A4813" s="545" t="s">
        <v>7527</v>
      </c>
      <c r="C4813" s="4"/>
      <c r="D4813" s="4" t="s">
        <v>7526</v>
      </c>
      <c r="G4813" s="537"/>
      <c r="H4813" s="10"/>
      <c r="I4813" s="538" t="s">
        <v>549</v>
      </c>
      <c r="J4813" s="565" t="s">
        <v>7481</v>
      </c>
      <c r="K4813" s="326"/>
    </row>
    <row r="4814" spans="1:18" customFormat="1" x14ac:dyDescent="0.25">
      <c r="A4814" s="545"/>
      <c r="C4814" s="4"/>
      <c r="D4814" t="s">
        <v>7471</v>
      </c>
      <c r="G4814" s="537" t="s">
        <v>3</v>
      </c>
      <c r="H4814" s="10">
        <f>0.02*0.025*4*2.7*1.1</f>
        <v>5.9400000000000008E-3</v>
      </c>
      <c r="I4814" s="538"/>
      <c r="J4814" s="242"/>
      <c r="K4814" s="326"/>
    </row>
    <row r="4815" spans="1:18" customFormat="1" x14ac:dyDescent="0.25">
      <c r="A4815" s="545" t="s">
        <v>7525</v>
      </c>
      <c r="D4815" s="4" t="s">
        <v>7524</v>
      </c>
      <c r="G4815" s="537"/>
      <c r="H4815" s="10"/>
      <c r="I4815" s="538" t="s">
        <v>549</v>
      </c>
      <c r="J4815" s="565" t="s">
        <v>7481</v>
      </c>
      <c r="K4815" s="326"/>
    </row>
    <row r="4816" spans="1:18" customFormat="1" x14ac:dyDescent="0.25">
      <c r="A4816" s="545"/>
      <c r="D4816" t="s">
        <v>7471</v>
      </c>
      <c r="G4816" s="537" t="s">
        <v>3</v>
      </c>
      <c r="H4816" s="10">
        <f>0.05*0.118*4*2.7*1.1</f>
        <v>7.0092000000000002E-2</v>
      </c>
      <c r="I4816" s="538"/>
      <c r="J4816" s="242"/>
      <c r="K4816" s="326"/>
    </row>
    <row r="4817" spans="1:11" customFormat="1" x14ac:dyDescent="0.25">
      <c r="A4817" s="545" t="s">
        <v>7523</v>
      </c>
      <c r="C4817" s="4" t="s">
        <v>7522</v>
      </c>
      <c r="G4817" s="537"/>
      <c r="H4817" s="10"/>
      <c r="I4817" s="538" t="s">
        <v>549</v>
      </c>
      <c r="J4817" s="242"/>
      <c r="K4817" s="326"/>
    </row>
    <row r="4818" spans="1:11" customFormat="1" x14ac:dyDescent="0.25">
      <c r="A4818" s="545"/>
      <c r="C4818" t="s">
        <v>7471</v>
      </c>
      <c r="G4818" s="537" t="s">
        <v>3</v>
      </c>
      <c r="H4818" s="10">
        <f>1.95*2.075*4*2.7*1.14</f>
        <v>49.817430000000002</v>
      </c>
      <c r="I4818" s="538"/>
      <c r="J4818" s="565" t="s">
        <v>5757</v>
      </c>
      <c r="K4818" s="326"/>
    </row>
    <row r="4819" spans="1:11" customFormat="1" x14ac:dyDescent="0.25">
      <c r="A4819" s="545"/>
      <c r="C4819" s="25" t="s">
        <v>2107</v>
      </c>
      <c r="G4819" s="537" t="s">
        <v>3</v>
      </c>
      <c r="H4819" s="10">
        <f>4.1*0.0305</f>
        <v>0.12504999999999999</v>
      </c>
      <c r="I4819" s="538"/>
      <c r="J4819" s="565"/>
      <c r="K4819" s="326"/>
    </row>
    <row r="4820" spans="1:11" customFormat="1" x14ac:dyDescent="0.25">
      <c r="A4820" s="545"/>
      <c r="C4820" s="25" t="s">
        <v>168</v>
      </c>
      <c r="G4820" s="537" t="s">
        <v>3</v>
      </c>
      <c r="H4820" s="10">
        <f>1.09*H4819</f>
        <v>0.1363045</v>
      </c>
      <c r="I4820" s="538"/>
      <c r="J4820" s="565"/>
      <c r="K4820" s="326"/>
    </row>
    <row r="4821" spans="1:11" customFormat="1" x14ac:dyDescent="0.25">
      <c r="A4821" s="545" t="s">
        <v>7521</v>
      </c>
      <c r="C4821" s="4" t="s">
        <v>7476</v>
      </c>
      <c r="G4821" s="537"/>
      <c r="H4821" s="10"/>
      <c r="I4821" s="649" t="s">
        <v>5532</v>
      </c>
      <c r="J4821" s="242"/>
      <c r="K4821" s="326"/>
    </row>
    <row r="4822" spans="1:11" customFormat="1" x14ac:dyDescent="0.25">
      <c r="A4822" s="545"/>
      <c r="C4822" t="s">
        <v>7474</v>
      </c>
      <c r="G4822" s="537" t="s">
        <v>3</v>
      </c>
      <c r="H4822" s="10">
        <f>0.06*0.02*1*8*1.5</f>
        <v>1.44E-2</v>
      </c>
      <c r="I4822" s="649"/>
      <c r="J4822" s="565" t="s">
        <v>7475</v>
      </c>
      <c r="K4822" s="326"/>
    </row>
    <row r="4823" spans="1:11" customFormat="1" x14ac:dyDescent="0.25">
      <c r="A4823" s="545"/>
      <c r="G4823" s="537"/>
      <c r="H4823" s="10"/>
      <c r="I4823" s="538"/>
      <c r="J4823" s="242"/>
      <c r="K4823" s="326"/>
    </row>
    <row r="4824" spans="1:11" customFormat="1" x14ac:dyDescent="0.25">
      <c r="A4824" s="545" t="s">
        <v>5943</v>
      </c>
      <c r="B4824" s="3" t="s">
        <v>7520</v>
      </c>
      <c r="G4824" s="537"/>
      <c r="H4824" s="10"/>
      <c r="I4824" s="538"/>
      <c r="J4824" s="242"/>
      <c r="K4824" s="326"/>
    </row>
    <row r="4825" spans="1:11" customFormat="1" x14ac:dyDescent="0.25">
      <c r="A4825" s="545"/>
      <c r="B4825" t="s">
        <v>2107</v>
      </c>
      <c r="G4825" s="537" t="s">
        <v>3</v>
      </c>
      <c r="H4825" s="10">
        <f>1.94*0.4</f>
        <v>0.77600000000000002</v>
      </c>
      <c r="I4825" s="538"/>
      <c r="J4825" s="242"/>
      <c r="K4825" s="326"/>
    </row>
    <row r="4826" spans="1:11" customFormat="1" x14ac:dyDescent="0.25">
      <c r="A4826" s="545"/>
      <c r="B4826" t="s">
        <v>7519</v>
      </c>
      <c r="G4826" s="537" t="s">
        <v>3</v>
      </c>
      <c r="H4826" s="10">
        <v>1.4999999999999999E-2</v>
      </c>
      <c r="I4826" s="538"/>
      <c r="J4826" s="242"/>
      <c r="K4826" s="326"/>
    </row>
    <row r="4827" spans="1:11" customFormat="1" ht="17.25" x14ac:dyDescent="0.25">
      <c r="A4827" s="545"/>
      <c r="B4827" s="25" t="s">
        <v>168</v>
      </c>
      <c r="G4827" s="537" t="s">
        <v>596</v>
      </c>
      <c r="H4827" s="32">
        <f>H4825*1.09</f>
        <v>0.84584000000000004</v>
      </c>
      <c r="I4827" s="538"/>
      <c r="J4827" s="242"/>
      <c r="K4827" s="326"/>
    </row>
    <row r="4828" spans="1:11" customFormat="1" x14ac:dyDescent="0.25">
      <c r="A4828" s="545"/>
      <c r="B4828" s="25" t="s">
        <v>72</v>
      </c>
      <c r="G4828" s="537" t="s">
        <v>3</v>
      </c>
      <c r="H4828" s="10">
        <f>4.23*0.4+0.12-0.036</f>
        <v>1.7760000000000002</v>
      </c>
      <c r="I4828" s="538"/>
      <c r="J4828" s="242"/>
      <c r="K4828" s="326"/>
    </row>
    <row r="4829" spans="1:11" customFormat="1" x14ac:dyDescent="0.25">
      <c r="A4829" s="545"/>
      <c r="B4829" s="25" t="s">
        <v>11</v>
      </c>
      <c r="G4829" s="537" t="s">
        <v>3</v>
      </c>
      <c r="H4829" s="10">
        <f>0.3*H4828-0.011</f>
        <v>0.52180000000000004</v>
      </c>
      <c r="I4829" s="538"/>
      <c r="J4829" s="242"/>
      <c r="K4829" s="326"/>
    </row>
    <row r="4830" spans="1:11" customFormat="1" x14ac:dyDescent="0.25">
      <c r="A4830" s="545"/>
      <c r="B4830" s="25" t="s">
        <v>114</v>
      </c>
      <c r="G4830" s="537" t="s">
        <v>3</v>
      </c>
      <c r="H4830" s="10">
        <f>6*0.4</f>
        <v>2.4000000000000004</v>
      </c>
      <c r="I4830" s="538"/>
      <c r="J4830" s="242"/>
      <c r="K4830" s="326"/>
    </row>
    <row r="4831" spans="1:11" customFormat="1" x14ac:dyDescent="0.25">
      <c r="A4831" s="545"/>
      <c r="B4831" s="25" t="s">
        <v>163</v>
      </c>
      <c r="G4831" s="537" t="s">
        <v>3</v>
      </c>
      <c r="H4831" s="10">
        <f>4.2*0.4</f>
        <v>1.6800000000000002</v>
      </c>
      <c r="I4831" s="538"/>
      <c r="J4831" s="242"/>
      <c r="K4831" s="326"/>
    </row>
    <row r="4832" spans="1:11" customFormat="1" x14ac:dyDescent="0.25">
      <c r="A4832" s="545"/>
      <c r="B4832" s="25" t="s">
        <v>164</v>
      </c>
      <c r="G4832" s="537" t="s">
        <v>3</v>
      </c>
      <c r="H4832" s="10">
        <f>0.3*(H4831+H4830)*1.07</f>
        <v>1.30968</v>
      </c>
      <c r="I4832" s="538"/>
      <c r="J4832" s="242"/>
      <c r="K4832" s="326"/>
    </row>
    <row r="4833" spans="1:11" customFormat="1" x14ac:dyDescent="0.25">
      <c r="A4833" s="545"/>
      <c r="B4833" s="25" t="s">
        <v>13</v>
      </c>
      <c r="G4833" s="537" t="s">
        <v>3</v>
      </c>
      <c r="H4833" s="10">
        <v>0.4</v>
      </c>
      <c r="I4833" s="538"/>
      <c r="J4833" s="242"/>
      <c r="K4833" s="326"/>
    </row>
    <row r="4834" spans="1:11" customFormat="1" x14ac:dyDescent="0.25">
      <c r="A4834" s="545"/>
      <c r="B4834" t="s">
        <v>37</v>
      </c>
      <c r="G4834" s="537" t="s">
        <v>3</v>
      </c>
      <c r="H4834" s="10">
        <f>0.03</f>
        <v>0.03</v>
      </c>
      <c r="I4834" s="538"/>
      <c r="J4834" s="242"/>
      <c r="K4834" s="326"/>
    </row>
    <row r="4835" spans="1:11" customFormat="1" x14ac:dyDescent="0.25">
      <c r="A4835" s="545"/>
      <c r="B4835" t="s">
        <v>147</v>
      </c>
      <c r="G4835" s="537" t="s">
        <v>3</v>
      </c>
      <c r="H4835" s="10">
        <v>0.25</v>
      </c>
      <c r="I4835" s="538"/>
      <c r="J4835" s="242"/>
      <c r="K4835" s="326"/>
    </row>
    <row r="4836" spans="1:11" customFormat="1" x14ac:dyDescent="0.25">
      <c r="A4836" s="545" t="s">
        <v>5945</v>
      </c>
      <c r="C4836" s="3" t="s">
        <v>7518</v>
      </c>
      <c r="G4836" s="537"/>
      <c r="H4836" s="10"/>
      <c r="I4836" s="538" t="s">
        <v>4858</v>
      </c>
      <c r="J4836" s="565" t="s">
        <v>5757</v>
      </c>
      <c r="K4836" s="326"/>
    </row>
    <row r="4837" spans="1:11" customFormat="1" x14ac:dyDescent="0.25">
      <c r="A4837" s="545"/>
      <c r="C4837" s="25" t="s">
        <v>2107</v>
      </c>
      <c r="G4837" s="537" t="s">
        <v>3</v>
      </c>
      <c r="H4837" s="10">
        <f>0.06*0.035*1.2</f>
        <v>2.5200000000000001E-3</v>
      </c>
      <c r="I4837" s="538"/>
      <c r="J4837" s="242"/>
      <c r="K4837" s="326"/>
    </row>
    <row r="4838" spans="1:11" customFormat="1" ht="17.25" x14ac:dyDescent="0.25">
      <c r="A4838" s="545"/>
      <c r="C4838" s="25" t="s">
        <v>168</v>
      </c>
      <c r="G4838" s="537" t="s">
        <v>596</v>
      </c>
      <c r="H4838" s="10">
        <f>1.09*H4837</f>
        <v>2.7468000000000002E-3</v>
      </c>
      <c r="I4838" s="538"/>
      <c r="J4838" s="242"/>
      <c r="K4838" s="326"/>
    </row>
    <row r="4839" spans="1:11" customFormat="1" x14ac:dyDescent="0.25">
      <c r="A4839" s="545" t="s">
        <v>7517</v>
      </c>
      <c r="D4839" s="4" t="s">
        <v>7516</v>
      </c>
      <c r="G4839" s="537"/>
      <c r="H4839" s="10"/>
      <c r="I4839" s="538" t="s">
        <v>549</v>
      </c>
      <c r="J4839" s="565" t="s">
        <v>5757</v>
      </c>
      <c r="K4839" s="326"/>
    </row>
    <row r="4840" spans="1:11" customFormat="1" x14ac:dyDescent="0.25">
      <c r="A4840" s="545"/>
      <c r="D4840" t="s">
        <v>7471</v>
      </c>
      <c r="G4840" s="537" t="s">
        <v>3</v>
      </c>
      <c r="H4840" s="10">
        <f>0.03*0.03*4*2.7*1.1</f>
        <v>1.0692000000000002E-2</v>
      </c>
      <c r="I4840" s="538"/>
      <c r="J4840" s="242"/>
      <c r="K4840" s="326"/>
    </row>
    <row r="4841" spans="1:11" customFormat="1" x14ac:dyDescent="0.25">
      <c r="A4841" s="545" t="s">
        <v>7515</v>
      </c>
      <c r="D4841" s="4" t="s">
        <v>7512</v>
      </c>
      <c r="G4841" s="537"/>
      <c r="H4841" s="10"/>
      <c r="I4841" s="538" t="s">
        <v>549</v>
      </c>
      <c r="J4841" s="242" t="s">
        <v>5757</v>
      </c>
      <c r="K4841" s="326"/>
    </row>
    <row r="4842" spans="1:11" customFormat="1" x14ac:dyDescent="0.25">
      <c r="A4842" s="545"/>
      <c r="D4842" t="s">
        <v>7510</v>
      </c>
      <c r="G4842" s="537" t="s">
        <v>3</v>
      </c>
      <c r="H4842" s="10">
        <v>4.4999999999999998E-2</v>
      </c>
      <c r="I4842" s="538"/>
      <c r="J4842" s="242"/>
      <c r="K4842" s="326"/>
    </row>
    <row r="4843" spans="1:11" customFormat="1" x14ac:dyDescent="0.25">
      <c r="A4843" s="545" t="s">
        <v>5947</v>
      </c>
      <c r="C4843" s="3" t="s">
        <v>7514</v>
      </c>
      <c r="G4843" s="537"/>
      <c r="H4843" s="10"/>
      <c r="I4843" s="538" t="s">
        <v>4858</v>
      </c>
      <c r="J4843" s="567" t="s">
        <v>7511</v>
      </c>
      <c r="K4843" s="326"/>
    </row>
    <row r="4844" spans="1:11" customFormat="1" x14ac:dyDescent="0.25">
      <c r="A4844" s="545"/>
      <c r="C4844" s="25" t="s">
        <v>2107</v>
      </c>
      <c r="G4844" s="537" t="s">
        <v>3</v>
      </c>
      <c r="H4844" s="10">
        <f>0.08*0.03*1.2</f>
        <v>2.8799999999999997E-3</v>
      </c>
      <c r="I4844" s="538"/>
      <c r="J4844" s="242"/>
      <c r="K4844" s="326"/>
    </row>
    <row r="4845" spans="1:11" customFormat="1" ht="17.25" x14ac:dyDescent="0.25">
      <c r="A4845" s="545"/>
      <c r="C4845" s="25" t="s">
        <v>168</v>
      </c>
      <c r="G4845" s="537" t="s">
        <v>596</v>
      </c>
      <c r="H4845" s="10">
        <f>1.09*H4844</f>
        <v>3.1392E-3</v>
      </c>
      <c r="I4845" s="538"/>
      <c r="J4845" s="242"/>
      <c r="K4845" s="326"/>
    </row>
    <row r="4846" spans="1:11" customFormat="1" x14ac:dyDescent="0.25">
      <c r="A4846" s="545" t="s">
        <v>7513</v>
      </c>
      <c r="C4846" s="3"/>
      <c r="D4846" s="4" t="s">
        <v>7512</v>
      </c>
      <c r="G4846" s="537"/>
      <c r="H4846" s="10"/>
      <c r="I4846" s="538" t="s">
        <v>549</v>
      </c>
      <c r="J4846" s="567" t="s">
        <v>7511</v>
      </c>
      <c r="K4846" s="326"/>
    </row>
    <row r="4847" spans="1:11" customFormat="1" x14ac:dyDescent="0.25">
      <c r="A4847" s="545"/>
      <c r="C4847" s="3"/>
      <c r="D4847" t="s">
        <v>7510</v>
      </c>
      <c r="G4847" s="537" t="s">
        <v>3</v>
      </c>
      <c r="H4847" s="10">
        <v>4.4999999999999998E-2</v>
      </c>
      <c r="I4847" s="538"/>
      <c r="J4847" s="242"/>
      <c r="K4847" s="326"/>
    </row>
    <row r="4848" spans="1:11" customFormat="1" x14ac:dyDescent="0.25">
      <c r="A4848" s="545" t="s">
        <v>7509</v>
      </c>
      <c r="D4848" s="4" t="s">
        <v>7508</v>
      </c>
      <c r="G4848" s="537"/>
      <c r="H4848" s="10"/>
      <c r="I4848" s="538" t="s">
        <v>549</v>
      </c>
      <c r="J4848" s="242" t="s">
        <v>7481</v>
      </c>
      <c r="K4848" s="326"/>
    </row>
    <row r="4849" spans="1:11" customFormat="1" x14ac:dyDescent="0.25">
      <c r="A4849" s="545"/>
      <c r="D4849" t="s">
        <v>7471</v>
      </c>
      <c r="G4849" s="537" t="s">
        <v>3</v>
      </c>
      <c r="H4849" s="10">
        <f>0.1*0.04*4*2.7*1.1</f>
        <v>4.7520000000000007E-2</v>
      </c>
      <c r="I4849" s="538"/>
      <c r="J4849" s="242"/>
      <c r="K4849" s="326"/>
    </row>
    <row r="4850" spans="1:11" customFormat="1" x14ac:dyDescent="0.25">
      <c r="A4850" s="545" t="s">
        <v>7507</v>
      </c>
      <c r="C4850" s="3" t="s">
        <v>7506</v>
      </c>
      <c r="G4850" s="537"/>
      <c r="H4850" s="10"/>
      <c r="I4850" s="538" t="s">
        <v>5532</v>
      </c>
      <c r="J4850" s="242" t="s">
        <v>7481</v>
      </c>
      <c r="K4850" s="326"/>
    </row>
    <row r="4851" spans="1:11" customFormat="1" x14ac:dyDescent="0.25">
      <c r="A4851" s="545"/>
      <c r="C4851" s="25" t="s">
        <v>2107</v>
      </c>
      <c r="G4851" s="537" t="s">
        <v>3</v>
      </c>
      <c r="H4851" s="10">
        <v>3.0000000000000001E-3</v>
      </c>
      <c r="I4851" s="538"/>
      <c r="J4851" s="242"/>
      <c r="K4851" s="326"/>
    </row>
    <row r="4852" spans="1:11" customFormat="1" ht="17.25" x14ac:dyDescent="0.25">
      <c r="A4852" s="545"/>
      <c r="C4852" s="25" t="s">
        <v>168</v>
      </c>
      <c r="G4852" s="537" t="s">
        <v>596</v>
      </c>
      <c r="H4852" s="10">
        <f>1.09*H4851</f>
        <v>3.2700000000000003E-3</v>
      </c>
      <c r="I4852" s="538"/>
      <c r="J4852" s="242"/>
      <c r="K4852" s="326"/>
    </row>
    <row r="4853" spans="1:11" customFormat="1" x14ac:dyDescent="0.25">
      <c r="A4853" s="545" t="s">
        <v>7505</v>
      </c>
      <c r="C4853" s="25"/>
      <c r="D4853" s="4" t="s">
        <v>7504</v>
      </c>
      <c r="G4853" s="537"/>
      <c r="H4853" s="10"/>
      <c r="I4853" s="538" t="s">
        <v>549</v>
      </c>
      <c r="J4853" s="242" t="s">
        <v>7491</v>
      </c>
      <c r="K4853" s="326"/>
    </row>
    <row r="4854" spans="1:11" customFormat="1" x14ac:dyDescent="0.25">
      <c r="A4854" s="545"/>
      <c r="C4854" s="25"/>
      <c r="D4854" t="s">
        <v>7471</v>
      </c>
      <c r="G4854" s="537" t="s">
        <v>3</v>
      </c>
      <c r="H4854" s="10">
        <f>0.042*0.253*4*2.4*1.1</f>
        <v>0.11221056</v>
      </c>
      <c r="I4854" s="538"/>
      <c r="J4854" s="242"/>
      <c r="K4854" s="326"/>
    </row>
    <row r="4855" spans="1:11" customFormat="1" x14ac:dyDescent="0.25">
      <c r="A4855" s="545" t="s">
        <v>7503</v>
      </c>
      <c r="C4855" s="25"/>
      <c r="D4855" s="4" t="s">
        <v>7502</v>
      </c>
      <c r="G4855" s="537"/>
      <c r="H4855" s="10"/>
      <c r="I4855" s="538" t="s">
        <v>4858</v>
      </c>
      <c r="J4855" s="242" t="s">
        <v>7491</v>
      </c>
      <c r="K4855" s="326"/>
    </row>
    <row r="4856" spans="1:11" customFormat="1" x14ac:dyDescent="0.25">
      <c r="A4856" s="545"/>
      <c r="C4856" s="25"/>
      <c r="D4856" t="s">
        <v>7471</v>
      </c>
      <c r="G4856" s="537" t="s">
        <v>3</v>
      </c>
      <c r="H4856" s="10">
        <f>0.06*0.06*4*2.7*1.08</f>
        <v>4.1990400000000011E-2</v>
      </c>
      <c r="I4856" s="538"/>
      <c r="J4856" s="242"/>
      <c r="K4856" s="326"/>
    </row>
    <row r="4857" spans="1:11" customFormat="1" x14ac:dyDescent="0.25">
      <c r="A4857" s="545" t="s">
        <v>7501</v>
      </c>
      <c r="C4857" s="3" t="s">
        <v>7500</v>
      </c>
      <c r="G4857" s="537"/>
      <c r="H4857" s="10"/>
      <c r="I4857" s="538" t="s">
        <v>549</v>
      </c>
      <c r="J4857" s="565" t="s">
        <v>5757</v>
      </c>
      <c r="K4857" s="326"/>
    </row>
    <row r="4858" spans="1:11" customFormat="1" x14ac:dyDescent="0.25">
      <c r="A4858" s="545"/>
      <c r="C4858" s="25" t="s">
        <v>2107</v>
      </c>
      <c r="G4858" s="537" t="s">
        <v>3</v>
      </c>
      <c r="H4858" s="10">
        <f>0.1*0.03*1.2</f>
        <v>3.5999999999999999E-3</v>
      </c>
      <c r="I4858" s="538"/>
      <c r="J4858" s="242"/>
      <c r="K4858" s="326"/>
    </row>
    <row r="4859" spans="1:11" customFormat="1" ht="17.25" x14ac:dyDescent="0.25">
      <c r="A4859" s="545"/>
      <c r="C4859" s="25" t="s">
        <v>168</v>
      </c>
      <c r="G4859" s="537" t="s">
        <v>596</v>
      </c>
      <c r="H4859" s="10">
        <f>1.09*H4858</f>
        <v>3.9240000000000004E-3</v>
      </c>
      <c r="I4859" s="538"/>
      <c r="J4859" s="242"/>
      <c r="K4859" s="326"/>
    </row>
    <row r="4860" spans="1:11" customFormat="1" x14ac:dyDescent="0.25">
      <c r="A4860" s="545" t="s">
        <v>7499</v>
      </c>
      <c r="C4860" s="3"/>
      <c r="D4860" s="3" t="s">
        <v>7498</v>
      </c>
      <c r="G4860" s="537"/>
      <c r="H4860" s="10"/>
      <c r="I4860" s="538" t="s">
        <v>549</v>
      </c>
      <c r="J4860" s="565" t="s">
        <v>7481</v>
      </c>
      <c r="K4860" s="326"/>
    </row>
    <row r="4861" spans="1:11" customFormat="1" x14ac:dyDescent="0.25">
      <c r="A4861" s="545"/>
      <c r="C4861" s="3"/>
      <c r="D4861" t="s">
        <v>7478</v>
      </c>
      <c r="G4861" s="537" t="s">
        <v>3</v>
      </c>
      <c r="H4861" s="10">
        <f>0.075*0.135*3*2.7*1.15</f>
        <v>9.4314374999999992E-2</v>
      </c>
      <c r="I4861" s="538"/>
      <c r="J4861" s="242"/>
      <c r="K4861" s="326"/>
    </row>
    <row r="4862" spans="1:11" customFormat="1" x14ac:dyDescent="0.25">
      <c r="A4862" s="545" t="s">
        <v>7497</v>
      </c>
      <c r="C4862" s="3" t="s">
        <v>7496</v>
      </c>
      <c r="G4862" s="537"/>
      <c r="H4862" s="10"/>
      <c r="I4862" s="538" t="s">
        <v>549</v>
      </c>
      <c r="J4862" s="565" t="s">
        <v>7481</v>
      </c>
      <c r="K4862" s="326"/>
    </row>
    <row r="4863" spans="1:11" customFormat="1" x14ac:dyDescent="0.25">
      <c r="A4863" s="545"/>
      <c r="C4863" s="8" t="s">
        <v>1431</v>
      </c>
      <c r="D4863" s="8"/>
      <c r="E4863" s="8"/>
      <c r="F4863" s="8"/>
      <c r="G4863" s="537" t="s">
        <v>3</v>
      </c>
      <c r="H4863" s="10">
        <f>0.017*3.14*2*0.03*1.2</f>
        <v>3.8433599999999997E-3</v>
      </c>
      <c r="I4863" s="538"/>
      <c r="J4863" s="242"/>
      <c r="K4863" s="326"/>
    </row>
    <row r="4864" spans="1:11" customFormat="1" x14ac:dyDescent="0.25">
      <c r="A4864" s="545"/>
      <c r="C4864" t="s">
        <v>485</v>
      </c>
      <c r="G4864" s="537" t="s">
        <v>3</v>
      </c>
      <c r="H4864" s="10">
        <f>1.5*H4863</f>
        <v>5.7650399999999991E-3</v>
      </c>
      <c r="I4864" s="538"/>
      <c r="J4864" s="242"/>
      <c r="K4864" s="326"/>
    </row>
    <row r="4865" spans="1:11" customFormat="1" x14ac:dyDescent="0.25">
      <c r="A4865" s="545"/>
      <c r="C4865" s="25" t="s">
        <v>8</v>
      </c>
      <c r="G4865" s="537" t="s">
        <v>3</v>
      </c>
      <c r="H4865" s="10">
        <v>2.5000000000000001E-2</v>
      </c>
      <c r="I4865" s="538"/>
      <c r="J4865" s="242"/>
      <c r="K4865" s="326"/>
    </row>
    <row r="4866" spans="1:11" customFormat="1" x14ac:dyDescent="0.25">
      <c r="A4866" s="545"/>
      <c r="C4866" s="25" t="s">
        <v>12</v>
      </c>
      <c r="G4866" s="537" t="s">
        <v>3</v>
      </c>
      <c r="H4866" s="10">
        <f>0.3*H4865</f>
        <v>7.4999999999999997E-3</v>
      </c>
      <c r="I4866" s="538"/>
      <c r="J4866" s="242"/>
      <c r="K4866" s="326"/>
    </row>
    <row r="4867" spans="1:11" customFormat="1" x14ac:dyDescent="0.25">
      <c r="A4867" s="545"/>
      <c r="C4867" s="25" t="s">
        <v>72</v>
      </c>
      <c r="G4867" s="537" t="s">
        <v>3</v>
      </c>
      <c r="H4867" s="10">
        <f>1.5*0.011*2*1.1</f>
        <v>3.6300000000000006E-2</v>
      </c>
      <c r="I4867" s="538"/>
      <c r="J4867" s="242"/>
      <c r="K4867" s="326"/>
    </row>
    <row r="4868" spans="1:11" customFormat="1" x14ac:dyDescent="0.25">
      <c r="A4868" s="545"/>
      <c r="C4868" s="25" t="s">
        <v>11</v>
      </c>
      <c r="G4868" s="537" t="s">
        <v>3</v>
      </c>
      <c r="H4868" s="10">
        <f>0.3*H4867</f>
        <v>1.0890000000000002E-2</v>
      </c>
      <c r="I4868" s="538"/>
      <c r="J4868" s="242"/>
      <c r="K4868" s="326"/>
    </row>
    <row r="4869" spans="1:11" customFormat="1" x14ac:dyDescent="0.25">
      <c r="A4869" s="545" t="s">
        <v>7495</v>
      </c>
      <c r="D4869" s="4" t="s">
        <v>7494</v>
      </c>
      <c r="G4869" s="537"/>
      <c r="H4869" s="10"/>
      <c r="I4869" s="538" t="s">
        <v>4858</v>
      </c>
      <c r="J4869" s="565" t="s">
        <v>7491</v>
      </c>
      <c r="K4869" s="326"/>
    </row>
    <row r="4870" spans="1:11" customFormat="1" x14ac:dyDescent="0.25">
      <c r="A4870" s="545"/>
      <c r="D4870" t="s">
        <v>7490</v>
      </c>
      <c r="G4870" s="537" t="s">
        <v>3</v>
      </c>
      <c r="H4870" s="10">
        <f>0.295</f>
        <v>0.29499999999999998</v>
      </c>
      <c r="I4870" s="538"/>
      <c r="J4870" s="242"/>
      <c r="K4870" s="326"/>
    </row>
    <row r="4871" spans="1:11" customFormat="1" x14ac:dyDescent="0.25">
      <c r="A4871" s="545" t="s">
        <v>7493</v>
      </c>
      <c r="D4871" s="4" t="s">
        <v>7492</v>
      </c>
      <c r="G4871" s="537"/>
      <c r="H4871" s="10"/>
      <c r="I4871" s="538" t="s">
        <v>549</v>
      </c>
      <c r="J4871" s="565" t="s">
        <v>7491</v>
      </c>
      <c r="K4871" s="326"/>
    </row>
    <row r="4872" spans="1:11" customFormat="1" x14ac:dyDescent="0.25">
      <c r="A4872" s="545"/>
      <c r="D4872" t="s">
        <v>7490</v>
      </c>
      <c r="G4872" s="537" t="s">
        <v>3</v>
      </c>
      <c r="H4872" s="10">
        <v>0.59</v>
      </c>
      <c r="I4872" s="538"/>
      <c r="J4872" s="242"/>
      <c r="K4872" s="326"/>
    </row>
    <row r="4873" spans="1:11" customFormat="1" x14ac:dyDescent="0.25">
      <c r="A4873" s="545" t="s">
        <v>7489</v>
      </c>
      <c r="C4873" s="3" t="s">
        <v>7488</v>
      </c>
      <c r="G4873" s="537"/>
      <c r="H4873" s="10"/>
      <c r="I4873" s="538" t="s">
        <v>549</v>
      </c>
      <c r="J4873" s="242" t="s">
        <v>5757</v>
      </c>
      <c r="K4873" s="326"/>
    </row>
    <row r="4874" spans="1:11" customFormat="1" x14ac:dyDescent="0.25">
      <c r="A4874" s="545"/>
      <c r="C4874" t="s">
        <v>37</v>
      </c>
      <c r="G4874" s="537" t="s">
        <v>3</v>
      </c>
      <c r="H4874" s="32">
        <f>0.25*0.16*0.2*1.3</f>
        <v>1.0400000000000001E-2</v>
      </c>
      <c r="I4874" s="538"/>
      <c r="J4874" s="242"/>
      <c r="K4874" s="326"/>
    </row>
    <row r="4875" spans="1:11" customFormat="1" x14ac:dyDescent="0.25">
      <c r="A4875" s="545" t="s">
        <v>7487</v>
      </c>
      <c r="D4875" s="4" t="s">
        <v>7486</v>
      </c>
      <c r="G4875" s="537"/>
      <c r="H4875" s="10"/>
      <c r="I4875" s="538" t="s">
        <v>549</v>
      </c>
      <c r="J4875" s="242" t="s">
        <v>5757</v>
      </c>
      <c r="K4875" s="326"/>
    </row>
    <row r="4876" spans="1:11" customFormat="1" x14ac:dyDescent="0.25">
      <c r="A4876" s="545"/>
      <c r="D4876" s="8" t="s">
        <v>1054</v>
      </c>
      <c r="G4876" s="537" t="s">
        <v>3</v>
      </c>
      <c r="H4876" s="32">
        <f>0.07*0.04*1.2</f>
        <v>3.3600000000000006E-3</v>
      </c>
      <c r="I4876" s="538"/>
      <c r="J4876" s="242"/>
      <c r="K4876" s="326"/>
    </row>
    <row r="4877" spans="1:11" customFormat="1" x14ac:dyDescent="0.25">
      <c r="A4877" s="545"/>
      <c r="D4877" t="s">
        <v>485</v>
      </c>
      <c r="G4877" s="537" t="s">
        <v>3</v>
      </c>
      <c r="H4877" s="32">
        <f>H4876*1.5</f>
        <v>5.0400000000000011E-3</v>
      </c>
      <c r="I4877" s="538"/>
      <c r="J4877" s="242"/>
      <c r="K4877" s="326"/>
    </row>
    <row r="4878" spans="1:11" customFormat="1" x14ac:dyDescent="0.25">
      <c r="A4878" s="545" t="s">
        <v>7485</v>
      </c>
      <c r="D4878" s="4"/>
      <c r="E4878" s="4" t="s">
        <v>7484</v>
      </c>
      <c r="G4878" s="537"/>
      <c r="H4878" s="10"/>
      <c r="I4878" s="538" t="s">
        <v>549</v>
      </c>
      <c r="J4878" s="565" t="s">
        <v>7481</v>
      </c>
      <c r="K4878" s="326"/>
    </row>
    <row r="4879" spans="1:11" customFormat="1" x14ac:dyDescent="0.25">
      <c r="A4879" s="545"/>
      <c r="D4879" s="4"/>
      <c r="E4879" s="25" t="s">
        <v>226</v>
      </c>
      <c r="G4879" s="537" t="s">
        <v>3</v>
      </c>
      <c r="H4879" s="10">
        <f>0.02*0.03*5*8*1.1</f>
        <v>2.64E-2</v>
      </c>
      <c r="I4879" s="538"/>
      <c r="J4879" s="242"/>
      <c r="K4879" s="326"/>
    </row>
    <row r="4880" spans="1:11" customFormat="1" x14ac:dyDescent="0.25">
      <c r="A4880" s="545" t="s">
        <v>7483</v>
      </c>
      <c r="D4880" s="4"/>
      <c r="E4880" s="4" t="s">
        <v>7482</v>
      </c>
      <c r="G4880" s="537"/>
      <c r="H4880" s="10"/>
      <c r="I4880" s="538" t="s">
        <v>549</v>
      </c>
      <c r="J4880" s="242"/>
      <c r="K4880" s="326"/>
    </row>
    <row r="4881" spans="1:11" customFormat="1" x14ac:dyDescent="0.25">
      <c r="A4881" s="545"/>
      <c r="D4881" s="4"/>
      <c r="E4881" t="s">
        <v>300</v>
      </c>
      <c r="G4881" s="537" t="s">
        <v>3</v>
      </c>
      <c r="H4881" s="10">
        <v>1.5</v>
      </c>
      <c r="I4881" s="538"/>
      <c r="J4881" s="565" t="s">
        <v>7481</v>
      </c>
      <c r="K4881" s="326"/>
    </row>
    <row r="4882" spans="1:11" customFormat="1" x14ac:dyDescent="0.25">
      <c r="A4882" s="545" t="s">
        <v>7480</v>
      </c>
      <c r="C4882" s="3" t="s">
        <v>7479</v>
      </c>
      <c r="G4882" s="537"/>
      <c r="H4882" s="10"/>
      <c r="I4882" s="649" t="s">
        <v>549</v>
      </c>
      <c r="J4882" s="565" t="s">
        <v>5757</v>
      </c>
      <c r="K4882" s="326"/>
    </row>
    <row r="4883" spans="1:11" customFormat="1" x14ac:dyDescent="0.25">
      <c r="A4883" s="545"/>
      <c r="C4883" t="s">
        <v>7478</v>
      </c>
      <c r="G4883" s="537" t="s">
        <v>3</v>
      </c>
      <c r="H4883" s="10">
        <f>1.78*2.09*3*2.7*1.15</f>
        <v>34.653662999999995</v>
      </c>
      <c r="I4883" s="649"/>
      <c r="J4883" s="242"/>
      <c r="K4883" s="326"/>
    </row>
    <row r="4884" spans="1:11" customFormat="1" x14ac:dyDescent="0.25">
      <c r="A4884" s="545" t="s">
        <v>7477</v>
      </c>
      <c r="C4884" s="3" t="s">
        <v>7476</v>
      </c>
      <c r="G4884" s="537"/>
      <c r="H4884" s="10"/>
      <c r="I4884" s="649" t="s">
        <v>5536</v>
      </c>
      <c r="J4884" s="565" t="s">
        <v>7475</v>
      </c>
      <c r="K4884" s="326"/>
    </row>
    <row r="4885" spans="1:11" customFormat="1" x14ac:dyDescent="0.25">
      <c r="A4885" s="545"/>
      <c r="D4885" t="s">
        <v>7474</v>
      </c>
      <c r="G4885" s="537" t="s">
        <v>3</v>
      </c>
      <c r="H4885" s="10">
        <v>1.4E-2</v>
      </c>
      <c r="I4885" s="649"/>
      <c r="J4885" s="242"/>
      <c r="K4885" s="326"/>
    </row>
    <row r="4886" spans="1:11" customFormat="1" x14ac:dyDescent="0.25">
      <c r="A4886" s="545" t="s">
        <v>7473</v>
      </c>
      <c r="C4886" s="3" t="s">
        <v>7472</v>
      </c>
      <c r="G4886" s="537"/>
      <c r="H4886" s="10"/>
      <c r="I4886" s="649" t="s">
        <v>549</v>
      </c>
      <c r="J4886" s="565" t="s">
        <v>5757</v>
      </c>
      <c r="K4886" s="326"/>
    </row>
    <row r="4887" spans="1:11" customFormat="1" x14ac:dyDescent="0.25">
      <c r="A4887" s="545"/>
      <c r="D4887" t="s">
        <v>7471</v>
      </c>
      <c r="G4887" s="537" t="s">
        <v>3</v>
      </c>
      <c r="H4887" s="10">
        <f>0.255*0.255*4*2.7*1.1</f>
        <v>0.7724970000000001</v>
      </c>
      <c r="I4887" s="649"/>
      <c r="J4887" s="242"/>
      <c r="K4887" s="326"/>
    </row>
    <row r="4888" spans="1:11" customFormat="1" x14ac:dyDescent="0.25">
      <c r="A4888" s="545"/>
      <c r="G4888" s="537"/>
      <c r="H4888" s="10"/>
      <c r="I4888" s="538"/>
      <c r="J4888" s="242"/>
      <c r="K4888" s="326"/>
    </row>
    <row r="4889" spans="1:11" customFormat="1" x14ac:dyDescent="0.25">
      <c r="A4889" s="545" t="s">
        <v>7470</v>
      </c>
      <c r="B4889" s="3" t="s">
        <v>7469</v>
      </c>
      <c r="G4889" s="537"/>
      <c r="H4889" s="10"/>
      <c r="I4889" s="538"/>
      <c r="J4889" s="242"/>
      <c r="K4889" s="326"/>
    </row>
    <row r="4890" spans="1:11" customFormat="1" x14ac:dyDescent="0.25">
      <c r="A4890" s="545"/>
      <c r="C4890" t="s">
        <v>7468</v>
      </c>
      <c r="G4890" s="537" t="s">
        <v>3</v>
      </c>
      <c r="H4890" s="10">
        <f>0.17*0.17*3.5*8*1.08</f>
        <v>0.87393600000000016</v>
      </c>
      <c r="I4890" s="538"/>
      <c r="J4890" s="242"/>
      <c r="K4890" s="326"/>
    </row>
    <row r="4891" spans="1:11" customFormat="1" x14ac:dyDescent="0.25">
      <c r="A4891" s="545"/>
      <c r="G4891" s="537"/>
      <c r="H4891" s="10"/>
      <c r="I4891" s="538"/>
      <c r="J4891" s="242"/>
      <c r="K4891" s="326"/>
    </row>
    <row r="4892" spans="1:11" customFormat="1" x14ac:dyDescent="0.25">
      <c r="A4892" s="545" t="s">
        <v>7467</v>
      </c>
      <c r="B4892" s="3" t="s">
        <v>7466</v>
      </c>
      <c r="G4892" s="537"/>
      <c r="H4892" s="10"/>
      <c r="I4892" s="538"/>
      <c r="J4892" s="242"/>
      <c r="K4892" s="326"/>
    </row>
    <row r="4893" spans="1:11" customFormat="1" x14ac:dyDescent="0.25">
      <c r="A4893" s="545"/>
      <c r="B4893" s="3"/>
      <c r="C4893" t="s">
        <v>7465</v>
      </c>
      <c r="G4893" s="537" t="s">
        <v>3</v>
      </c>
      <c r="H4893" s="10">
        <f>0.06*0.06*1*2.7*1.1</f>
        <v>1.0692000000000002E-2</v>
      </c>
      <c r="I4893" s="538"/>
      <c r="J4893" s="242"/>
      <c r="K4893" s="326"/>
    </row>
    <row r="4894" spans="1:11" customFormat="1" x14ac:dyDescent="0.25">
      <c r="A4894" s="545"/>
      <c r="B4894" s="3"/>
      <c r="G4894" s="537"/>
      <c r="H4894" s="10"/>
      <c r="I4894" s="538"/>
      <c r="J4894" s="242"/>
      <c r="K4894" s="326"/>
    </row>
    <row r="4895" spans="1:11" customFormat="1" x14ac:dyDescent="0.25">
      <c r="A4895" s="545" t="s">
        <v>5810</v>
      </c>
      <c r="B4895" s="3" t="s">
        <v>7464</v>
      </c>
      <c r="G4895" s="537"/>
      <c r="H4895" s="10"/>
      <c r="I4895" s="538"/>
      <c r="J4895" s="242"/>
      <c r="K4895" s="326"/>
    </row>
    <row r="4896" spans="1:11" customFormat="1" x14ac:dyDescent="0.25">
      <c r="A4896" s="545"/>
      <c r="B4896" s="25" t="s">
        <v>114</v>
      </c>
      <c r="G4896" s="537" t="s">
        <v>3</v>
      </c>
      <c r="H4896" s="10">
        <v>0.1</v>
      </c>
      <c r="I4896" s="538"/>
      <c r="J4896" s="242"/>
      <c r="K4896" s="326"/>
    </row>
    <row r="4897" spans="1:11" customFormat="1" x14ac:dyDescent="0.25">
      <c r="A4897" s="545"/>
      <c r="B4897" s="25" t="s">
        <v>163</v>
      </c>
      <c r="G4897" s="537" t="s">
        <v>3</v>
      </c>
      <c r="H4897" s="10">
        <v>0.1</v>
      </c>
      <c r="I4897" s="538"/>
      <c r="J4897" s="242"/>
      <c r="K4897" s="326"/>
    </row>
    <row r="4898" spans="1:11" customFormat="1" x14ac:dyDescent="0.25">
      <c r="A4898" s="545"/>
      <c r="B4898" s="25" t="s">
        <v>164</v>
      </c>
      <c r="G4898" s="537" t="s">
        <v>3</v>
      </c>
      <c r="H4898" s="10">
        <f>(H4897+H4896)*0.3</f>
        <v>0.06</v>
      </c>
      <c r="I4898" s="538"/>
      <c r="J4898" s="242"/>
      <c r="K4898" s="326"/>
    </row>
    <row r="4899" spans="1:11" customFormat="1" x14ac:dyDescent="0.25">
      <c r="A4899" s="545"/>
      <c r="B4899" s="25" t="s">
        <v>72</v>
      </c>
      <c r="G4899" s="537" t="s">
        <v>3</v>
      </c>
      <c r="H4899" s="10">
        <f>(0.771*0.307*2+0.307*0.16+0.16*0.771*2)*0.13*2</f>
        <v>0.20000084000000001</v>
      </c>
      <c r="I4899" s="538"/>
      <c r="J4899" s="242"/>
      <c r="K4899" s="326"/>
    </row>
    <row r="4900" spans="1:11" customFormat="1" x14ac:dyDescent="0.25">
      <c r="A4900" s="545"/>
      <c r="B4900" s="25" t="s">
        <v>11</v>
      </c>
      <c r="G4900" s="537" t="s">
        <v>3</v>
      </c>
      <c r="H4900" s="10">
        <f>0.3*H4899</f>
        <v>6.0000252000000004E-2</v>
      </c>
      <c r="I4900" s="538"/>
      <c r="J4900" s="242"/>
      <c r="K4900" s="326"/>
    </row>
    <row r="4901" spans="1:11" customFormat="1" x14ac:dyDescent="0.25">
      <c r="A4901" s="545"/>
      <c r="B4901" s="25" t="s">
        <v>2107</v>
      </c>
      <c r="G4901" s="537" t="s">
        <v>3</v>
      </c>
      <c r="H4901" s="10">
        <f>0.15*0.03*1.3</f>
        <v>5.8500000000000002E-3</v>
      </c>
      <c r="I4901" s="538"/>
      <c r="J4901" s="242"/>
      <c r="K4901" s="326"/>
    </row>
    <row r="4902" spans="1:11" customFormat="1" ht="17.25" x14ac:dyDescent="0.25">
      <c r="A4902" s="545"/>
      <c r="B4902" s="25" t="s">
        <v>168</v>
      </c>
      <c r="G4902" s="537" t="s">
        <v>596</v>
      </c>
      <c r="H4902" s="10">
        <f>1.09*H4901</f>
        <v>6.3765000000000002E-3</v>
      </c>
      <c r="I4902" s="538"/>
      <c r="J4902" s="242"/>
      <c r="K4902" s="326"/>
    </row>
    <row r="4903" spans="1:11" customFormat="1" x14ac:dyDescent="0.25">
      <c r="A4903" s="545"/>
      <c r="B4903" s="25" t="s">
        <v>13</v>
      </c>
      <c r="G4903" s="537" t="s">
        <v>3</v>
      </c>
      <c r="H4903" s="10">
        <v>0.2</v>
      </c>
      <c r="I4903" s="538"/>
      <c r="J4903" s="242"/>
      <c r="K4903" s="326"/>
    </row>
    <row r="4904" spans="1:11" customFormat="1" x14ac:dyDescent="0.25">
      <c r="A4904" s="545" t="s">
        <v>7463</v>
      </c>
      <c r="B4904" s="3"/>
      <c r="C4904" s="4" t="s">
        <v>7462</v>
      </c>
      <c r="G4904" s="537"/>
      <c r="H4904" s="10"/>
      <c r="I4904" s="538"/>
      <c r="J4904" s="242"/>
      <c r="K4904" s="326"/>
    </row>
    <row r="4905" spans="1:11" customFormat="1" x14ac:dyDescent="0.25">
      <c r="A4905" s="545"/>
      <c r="B4905" s="3"/>
      <c r="C4905" s="25" t="s">
        <v>2107</v>
      </c>
      <c r="G4905" s="537" t="s">
        <v>3</v>
      </c>
      <c r="H4905" s="10">
        <f>0.25*0.03*1.3</f>
        <v>9.75E-3</v>
      </c>
      <c r="I4905" s="538"/>
      <c r="J4905" s="242"/>
      <c r="K4905" s="326"/>
    </row>
    <row r="4906" spans="1:11" customFormat="1" ht="17.25" x14ac:dyDescent="0.25">
      <c r="A4906" s="545"/>
      <c r="B4906" s="3"/>
      <c r="C4906" s="25" t="s">
        <v>168</v>
      </c>
      <c r="G4906" s="537" t="s">
        <v>596</v>
      </c>
      <c r="H4906" s="10">
        <f>1.09*H4905</f>
        <v>1.0627500000000002E-2</v>
      </c>
      <c r="I4906" s="538"/>
      <c r="J4906" s="242"/>
      <c r="K4906" s="326"/>
    </row>
    <row r="4907" spans="1:11" customFormat="1" x14ac:dyDescent="0.25">
      <c r="A4907" s="545"/>
      <c r="B4907" s="3"/>
      <c r="C4907" s="25" t="s">
        <v>37</v>
      </c>
      <c r="G4907" s="537" t="s">
        <v>3</v>
      </c>
      <c r="H4907" s="10">
        <v>7.0000000000000007E-2</v>
      </c>
      <c r="I4907" s="538"/>
      <c r="J4907" s="242"/>
      <c r="K4907" s="326"/>
    </row>
    <row r="4908" spans="1:11" customFormat="1" x14ac:dyDescent="0.25">
      <c r="A4908" s="545"/>
      <c r="B4908" s="3"/>
      <c r="C4908" s="8" t="s">
        <v>1054</v>
      </c>
      <c r="G4908" s="537" t="s">
        <v>3</v>
      </c>
      <c r="H4908" s="10">
        <v>0.01</v>
      </c>
      <c r="I4908" s="538"/>
      <c r="J4908" s="242"/>
      <c r="K4908" s="326"/>
    </row>
    <row r="4909" spans="1:11" customFormat="1" x14ac:dyDescent="0.25">
      <c r="A4909" s="545"/>
      <c r="B4909" s="3"/>
      <c r="C4909" t="s">
        <v>485</v>
      </c>
      <c r="G4909" s="537" t="s">
        <v>3</v>
      </c>
      <c r="H4909" s="10">
        <f>1.5*H4908</f>
        <v>1.4999999999999999E-2</v>
      </c>
      <c r="I4909" s="538"/>
      <c r="J4909" s="242"/>
      <c r="K4909" s="326"/>
    </row>
    <row r="4910" spans="1:11" customFormat="1" x14ac:dyDescent="0.25">
      <c r="A4910" s="545" t="s">
        <v>7461</v>
      </c>
      <c r="B4910" s="3"/>
      <c r="D4910" s="4" t="s">
        <v>7460</v>
      </c>
      <c r="G4910" s="537" t="s">
        <v>99</v>
      </c>
      <c r="H4910" s="10"/>
      <c r="I4910" s="538"/>
      <c r="J4910" s="242"/>
      <c r="K4910" s="326"/>
    </row>
    <row r="4911" spans="1:11" customFormat="1" x14ac:dyDescent="0.25">
      <c r="A4911" s="545" t="s">
        <v>7459</v>
      </c>
      <c r="B4911" s="3"/>
      <c r="E4911" s="4" t="s">
        <v>7458</v>
      </c>
      <c r="G4911" s="537"/>
      <c r="H4911" s="10"/>
      <c r="I4911" s="538"/>
      <c r="J4911" s="242"/>
      <c r="K4911" s="326"/>
    </row>
    <row r="4912" spans="1:11" customFormat="1" x14ac:dyDescent="0.25">
      <c r="A4912" s="545"/>
      <c r="B4912" s="3"/>
      <c r="E4912" t="s">
        <v>7457</v>
      </c>
      <c r="G4912" s="537" t="s">
        <v>3</v>
      </c>
      <c r="H4912" s="10">
        <f>0.03*0.012*5*2.7*1.19</f>
        <v>5.7834000000000002E-3</v>
      </c>
      <c r="I4912" s="538"/>
      <c r="J4912" s="242"/>
      <c r="K4912" s="326"/>
    </row>
    <row r="4913" spans="1:11" customFormat="1" x14ac:dyDescent="0.25">
      <c r="A4913" s="545" t="s">
        <v>7456</v>
      </c>
      <c r="B4913" s="3"/>
      <c r="D4913" s="4" t="s">
        <v>7455</v>
      </c>
      <c r="G4913" s="537"/>
      <c r="H4913" s="10"/>
      <c r="I4913" s="538"/>
      <c r="J4913" s="242"/>
      <c r="K4913" s="326"/>
    </row>
    <row r="4914" spans="1:11" customFormat="1" x14ac:dyDescent="0.25">
      <c r="A4914" s="545"/>
      <c r="B4914" s="3"/>
      <c r="D4914" s="25" t="s">
        <v>7450</v>
      </c>
      <c r="G4914" s="537" t="s">
        <v>3</v>
      </c>
      <c r="H4914" s="10">
        <f>0.405*0.2*3*2.7*1.1</f>
        <v>0.72171000000000018</v>
      </c>
      <c r="I4914" s="538"/>
      <c r="J4914" s="242"/>
      <c r="K4914" s="326"/>
    </row>
    <row r="4915" spans="1:11" customFormat="1" x14ac:dyDescent="0.25">
      <c r="A4915" s="545" t="s">
        <v>7454</v>
      </c>
      <c r="B4915" s="3"/>
      <c r="D4915" s="4" t="s">
        <v>7453</v>
      </c>
      <c r="G4915" s="537"/>
      <c r="H4915" s="10"/>
      <c r="I4915" s="538"/>
      <c r="J4915" s="242"/>
      <c r="K4915" s="326"/>
    </row>
    <row r="4916" spans="1:11" customFormat="1" x14ac:dyDescent="0.25">
      <c r="A4916" s="545"/>
      <c r="B4916" s="3"/>
      <c r="D4916" s="25" t="s">
        <v>7450</v>
      </c>
      <c r="G4916" s="537" t="s">
        <v>3</v>
      </c>
      <c r="H4916" s="10">
        <f>0.356*0.011*3*2.7*1.09</f>
        <v>3.4574363999999996E-2</v>
      </c>
      <c r="I4916" s="538"/>
      <c r="J4916" s="242"/>
      <c r="K4916" s="326"/>
    </row>
    <row r="4917" spans="1:11" customFormat="1" x14ac:dyDescent="0.25">
      <c r="A4917" s="545" t="s">
        <v>7452</v>
      </c>
      <c r="B4917" s="3"/>
      <c r="D4917" s="4" t="s">
        <v>7451</v>
      </c>
      <c r="G4917" s="537"/>
      <c r="H4917" s="10"/>
      <c r="I4917" s="538"/>
      <c r="J4917" s="242"/>
      <c r="K4917" s="326"/>
    </row>
    <row r="4918" spans="1:11" customFormat="1" x14ac:dyDescent="0.25">
      <c r="A4918" s="545"/>
      <c r="B4918" s="3"/>
      <c r="D4918" s="25" t="s">
        <v>7450</v>
      </c>
      <c r="G4918" s="537" t="s">
        <v>3</v>
      </c>
      <c r="H4918" s="10">
        <f>0.147*0.011*3*2.7*1.09</f>
        <v>1.4276492999999999E-2</v>
      </c>
      <c r="I4918" s="538"/>
      <c r="J4918" s="242"/>
      <c r="K4918" s="326"/>
    </row>
    <row r="4919" spans="1:11" customFormat="1" x14ac:dyDescent="0.25">
      <c r="A4919" s="545" t="s">
        <v>7449</v>
      </c>
      <c r="B4919" s="3"/>
      <c r="C4919" s="3" t="s">
        <v>7448</v>
      </c>
      <c r="D4919" s="4"/>
      <c r="G4919" s="537"/>
      <c r="H4919" s="10"/>
      <c r="I4919" s="538"/>
      <c r="J4919" s="242"/>
      <c r="K4919" s="326"/>
    </row>
    <row r="4920" spans="1:11" customFormat="1" x14ac:dyDescent="0.25">
      <c r="A4920" s="545"/>
      <c r="B4920" s="3"/>
      <c r="C4920" s="25" t="s">
        <v>2107</v>
      </c>
      <c r="D4920" s="4"/>
      <c r="G4920" s="537" t="s">
        <v>3</v>
      </c>
      <c r="H4920" s="10">
        <f>3*0.05*1.3</f>
        <v>0.19500000000000003</v>
      </c>
      <c r="I4920" s="538"/>
      <c r="J4920" s="242"/>
      <c r="K4920" s="326"/>
    </row>
    <row r="4921" spans="1:11" customFormat="1" ht="17.25" x14ac:dyDescent="0.25">
      <c r="A4921" s="545"/>
      <c r="B4921" s="3"/>
      <c r="C4921" s="25" t="s">
        <v>168</v>
      </c>
      <c r="G4921" s="537" t="s">
        <v>596</v>
      </c>
      <c r="H4921" s="10">
        <f>1.1*H4920</f>
        <v>0.21450000000000005</v>
      </c>
      <c r="I4921" s="538"/>
      <c r="J4921" s="242"/>
      <c r="K4921" s="326"/>
    </row>
    <row r="4922" spans="1:11" customFormat="1" x14ac:dyDescent="0.25">
      <c r="A4922" s="545" t="s">
        <v>7447</v>
      </c>
      <c r="B4922" s="3"/>
      <c r="D4922" s="3" t="s">
        <v>7446</v>
      </c>
      <c r="G4922" s="537"/>
      <c r="H4922" s="10"/>
      <c r="I4922" s="538"/>
      <c r="J4922" s="242"/>
      <c r="K4922" s="326"/>
    </row>
    <row r="4923" spans="1:11" customFormat="1" x14ac:dyDescent="0.25">
      <c r="A4923" s="545"/>
      <c r="B4923" s="3"/>
      <c r="D4923" s="25" t="s">
        <v>2107</v>
      </c>
      <c r="G4923" s="537" t="s">
        <v>3</v>
      </c>
      <c r="H4923" s="10">
        <f>0.08*0.075*1.2</f>
        <v>7.1999999999999998E-3</v>
      </c>
      <c r="I4923" s="538"/>
      <c r="J4923" s="242"/>
      <c r="K4923" s="326"/>
    </row>
    <row r="4924" spans="1:11" customFormat="1" ht="17.25" x14ac:dyDescent="0.25">
      <c r="A4924" s="545"/>
      <c r="B4924" s="3"/>
      <c r="D4924" s="25" t="s">
        <v>168</v>
      </c>
      <c r="G4924" s="537" t="s">
        <v>596</v>
      </c>
      <c r="H4924" s="10">
        <f>1.1*H4923</f>
        <v>7.92E-3</v>
      </c>
      <c r="I4924" s="538"/>
      <c r="J4924" s="242"/>
      <c r="K4924" s="326"/>
    </row>
    <row r="4925" spans="1:11" customFormat="1" x14ac:dyDescent="0.25">
      <c r="A4925" s="545" t="s">
        <v>7445</v>
      </c>
      <c r="B4925" s="3"/>
      <c r="E4925" s="16" t="s">
        <v>7444</v>
      </c>
      <c r="F4925" s="8"/>
      <c r="G4925" s="128"/>
      <c r="H4925" s="544" t="s">
        <v>624</v>
      </c>
      <c r="I4925" s="538"/>
      <c r="J4925" s="242"/>
      <c r="K4925" s="326"/>
    </row>
    <row r="4926" spans="1:11" customFormat="1" x14ac:dyDescent="0.25">
      <c r="A4926" s="545"/>
      <c r="B4926" s="3"/>
      <c r="E4926" s="8" t="s">
        <v>7441</v>
      </c>
      <c r="F4926" s="8"/>
      <c r="G4926" s="128" t="s">
        <v>3</v>
      </c>
      <c r="H4926" s="32">
        <f>0.085*0.17*6*2.7*1.09</f>
        <v>0.25515810000000005</v>
      </c>
      <c r="I4926" s="538"/>
      <c r="J4926" s="242"/>
      <c r="K4926" s="326"/>
    </row>
    <row r="4927" spans="1:11" customFormat="1" x14ac:dyDescent="0.25">
      <c r="A4927" s="545" t="s">
        <v>7443</v>
      </c>
      <c r="B4927" s="3"/>
      <c r="E4927" s="16" t="s">
        <v>7442</v>
      </c>
      <c r="F4927" s="8"/>
      <c r="G4927" s="128"/>
      <c r="H4927" s="544" t="s">
        <v>624</v>
      </c>
      <c r="I4927" s="538"/>
      <c r="J4927" s="242"/>
      <c r="K4927" s="326"/>
    </row>
    <row r="4928" spans="1:11" customFormat="1" x14ac:dyDescent="0.25">
      <c r="A4928" s="545"/>
      <c r="B4928" s="3"/>
      <c r="E4928" s="8" t="s">
        <v>7441</v>
      </c>
      <c r="F4928" s="8"/>
      <c r="G4928" s="128" t="s">
        <v>3</v>
      </c>
      <c r="H4928" s="32">
        <f>0.049*0.034*6*2.7*1.1</f>
        <v>2.9688120000000009E-2</v>
      </c>
      <c r="I4928" s="538"/>
      <c r="J4928" s="242"/>
      <c r="K4928" s="326"/>
    </row>
    <row r="4929" spans="1:11" customFormat="1" x14ac:dyDescent="0.25">
      <c r="A4929" s="545" t="s">
        <v>7440</v>
      </c>
      <c r="B4929" s="3"/>
      <c r="D4929" s="4" t="s">
        <v>7439</v>
      </c>
      <c r="G4929" s="537"/>
      <c r="H4929" s="10"/>
      <c r="I4929" s="538"/>
      <c r="J4929" s="242"/>
      <c r="K4929" s="326"/>
    </row>
    <row r="4930" spans="1:11" customFormat="1" x14ac:dyDescent="0.25">
      <c r="A4930" s="545"/>
      <c r="B4930" s="3"/>
      <c r="D4930" t="s">
        <v>7430</v>
      </c>
      <c r="G4930" s="537" t="s">
        <v>3</v>
      </c>
      <c r="H4930" s="10">
        <f>0.18*0.935*3*2.7*1.09</f>
        <v>1.4859207000000003</v>
      </c>
      <c r="I4930" s="538"/>
      <c r="J4930" s="242"/>
      <c r="K4930" s="326"/>
    </row>
    <row r="4931" spans="1:11" customFormat="1" x14ac:dyDescent="0.25">
      <c r="A4931" s="545" t="s">
        <v>7438</v>
      </c>
      <c r="B4931" s="3"/>
      <c r="D4931" s="4" t="s">
        <v>7437</v>
      </c>
      <c r="G4931" s="537"/>
      <c r="H4931" s="10"/>
      <c r="I4931" s="538"/>
      <c r="J4931" s="242"/>
      <c r="K4931" s="326"/>
    </row>
    <row r="4932" spans="1:11" customFormat="1" x14ac:dyDescent="0.25">
      <c r="A4932" s="545"/>
      <c r="B4932" s="3"/>
      <c r="D4932" t="s">
        <v>7430</v>
      </c>
      <c r="G4932" s="537" t="s">
        <v>3</v>
      </c>
      <c r="H4932" s="10">
        <f>0.765*0.245*3*2.7*1.09</f>
        <v>1.6547753250000006</v>
      </c>
      <c r="I4932" s="538"/>
      <c r="J4932" s="242"/>
      <c r="K4932" s="326"/>
    </row>
    <row r="4933" spans="1:11" customFormat="1" x14ac:dyDescent="0.25">
      <c r="A4933" s="545" t="s">
        <v>7436</v>
      </c>
      <c r="B4933" s="3"/>
      <c r="D4933" s="4" t="s">
        <v>7435</v>
      </c>
      <c r="G4933" s="537"/>
      <c r="H4933" s="10"/>
      <c r="I4933" s="538"/>
      <c r="J4933" s="242"/>
      <c r="K4933" s="326"/>
    </row>
    <row r="4934" spans="1:11" customFormat="1" x14ac:dyDescent="0.25">
      <c r="A4934" s="545"/>
      <c r="B4934" s="3"/>
      <c r="D4934" t="s">
        <v>7430</v>
      </c>
      <c r="G4934" s="537" t="s">
        <v>3</v>
      </c>
      <c r="H4934" s="10">
        <f>0.765*0.295*3*2.7*1.09</f>
        <v>1.9924845750000004</v>
      </c>
      <c r="I4934" s="538"/>
      <c r="J4934" s="242"/>
      <c r="K4934" s="326"/>
    </row>
    <row r="4935" spans="1:11" customFormat="1" x14ac:dyDescent="0.25">
      <c r="A4935" s="545" t="s">
        <v>7434</v>
      </c>
      <c r="B4935" s="3"/>
      <c r="D4935" s="4" t="s">
        <v>7433</v>
      </c>
      <c r="G4935" s="537"/>
      <c r="H4935" s="10"/>
      <c r="I4935" s="538"/>
      <c r="J4935" s="242"/>
      <c r="K4935" s="326"/>
    </row>
    <row r="4936" spans="1:11" customFormat="1" x14ac:dyDescent="0.25">
      <c r="A4936" s="545"/>
      <c r="B4936" s="3"/>
      <c r="D4936" t="s">
        <v>7430</v>
      </c>
      <c r="G4936" s="537" t="s">
        <v>3</v>
      </c>
      <c r="H4936" s="10">
        <f>0.4*0.155*3*2.7*1.09</f>
        <v>0.54739800000000005</v>
      </c>
      <c r="I4936" s="538"/>
      <c r="J4936" s="242"/>
      <c r="K4936" s="326"/>
    </row>
    <row r="4937" spans="1:11" customFormat="1" x14ac:dyDescent="0.25">
      <c r="A4937" s="545" t="s">
        <v>7432</v>
      </c>
      <c r="B4937" s="3"/>
      <c r="D4937" s="4" t="s">
        <v>7431</v>
      </c>
      <c r="G4937" s="537"/>
      <c r="H4937" s="10"/>
      <c r="I4937" s="538"/>
      <c r="J4937" s="242"/>
      <c r="K4937" s="326"/>
    </row>
    <row r="4938" spans="1:11" customFormat="1" x14ac:dyDescent="0.25">
      <c r="A4938" s="545"/>
      <c r="B4938" s="3"/>
      <c r="D4938" t="s">
        <v>7430</v>
      </c>
      <c r="G4938" s="537" t="s">
        <v>3</v>
      </c>
      <c r="H4938" s="10">
        <f>0.4*0.155*3*2.7*1.09</f>
        <v>0.54739800000000005</v>
      </c>
      <c r="I4938" s="538"/>
      <c r="J4938" s="242"/>
      <c r="K4938" s="326"/>
    </row>
    <row r="4939" spans="1:11" customFormat="1" x14ac:dyDescent="0.25">
      <c r="A4939" s="545" t="s">
        <v>7429</v>
      </c>
      <c r="B4939" s="3"/>
      <c r="D4939" s="4" t="s">
        <v>7428</v>
      </c>
      <c r="G4939" s="537"/>
      <c r="H4939" s="10"/>
      <c r="I4939" s="538"/>
      <c r="J4939" s="242"/>
      <c r="K4939" s="326"/>
    </row>
    <row r="4940" spans="1:11" customFormat="1" x14ac:dyDescent="0.25">
      <c r="A4940" s="545"/>
      <c r="B4940" s="3"/>
      <c r="D4940" s="25" t="s">
        <v>1138</v>
      </c>
      <c r="G4940" s="537" t="s">
        <v>3</v>
      </c>
      <c r="H4940" s="10">
        <f>0.05*0.04*4*2.7*1.09</f>
        <v>2.3544000000000002E-2</v>
      </c>
      <c r="I4940" s="538"/>
      <c r="J4940" s="242"/>
      <c r="K4940" s="326"/>
    </row>
    <row r="4941" spans="1:11" customFormat="1" x14ac:dyDescent="0.25">
      <c r="A4941" s="545"/>
      <c r="B4941" s="3"/>
      <c r="D4941" s="25"/>
      <c r="G4941" s="537"/>
      <c r="H4941" s="10"/>
      <c r="I4941" s="538"/>
      <c r="J4941" s="242"/>
      <c r="K4941" s="326"/>
    </row>
    <row r="4942" spans="1:11" s="8" customFormat="1" x14ac:dyDescent="0.25">
      <c r="A4942" s="545" t="s">
        <v>7427</v>
      </c>
      <c r="B4942" s="54" t="s">
        <v>7426</v>
      </c>
      <c r="G4942" s="128"/>
      <c r="H4942" s="32"/>
      <c r="I4942" s="635"/>
      <c r="J4942" s="545"/>
      <c r="K4942" s="547"/>
    </row>
    <row r="4943" spans="1:11" s="8" customFormat="1" x14ac:dyDescent="0.25">
      <c r="A4943" s="545"/>
      <c r="B4943" s="54"/>
      <c r="C4943" s="54" t="s">
        <v>7425</v>
      </c>
      <c r="G4943" s="128"/>
      <c r="H4943" s="32"/>
      <c r="I4943" s="635"/>
      <c r="J4943" s="545"/>
      <c r="K4943" s="547"/>
    </row>
    <row r="4944" spans="1:11" s="8" customFormat="1" x14ac:dyDescent="0.25">
      <c r="A4944" s="545"/>
      <c r="B4944" s="54"/>
      <c r="D4944" s="8" t="s">
        <v>7423</v>
      </c>
      <c r="G4944" s="128"/>
      <c r="H4944" s="32"/>
      <c r="I4944" s="635"/>
      <c r="J4944" s="545"/>
      <c r="K4944" s="547"/>
    </row>
    <row r="4945" spans="1:11" s="8" customFormat="1" x14ac:dyDescent="0.25">
      <c r="A4945" s="545"/>
      <c r="B4945" s="54"/>
      <c r="C4945" s="54" t="s">
        <v>7424</v>
      </c>
      <c r="G4945" s="128"/>
      <c r="H4945" s="32"/>
      <c r="I4945" s="635"/>
      <c r="J4945" s="545"/>
      <c r="K4945" s="547"/>
    </row>
    <row r="4946" spans="1:11" customFormat="1" x14ac:dyDescent="0.25">
      <c r="A4946" s="545"/>
      <c r="B4946" s="3"/>
      <c r="D4946" t="s">
        <v>7423</v>
      </c>
      <c r="G4946" s="537"/>
      <c r="H4946" s="10"/>
      <c r="I4946" s="538"/>
      <c r="J4946" s="242"/>
      <c r="K4946" s="326"/>
    </row>
    <row r="4947" spans="1:11" customFormat="1" x14ac:dyDescent="0.25">
      <c r="A4947" s="545"/>
      <c r="B4947" s="3"/>
      <c r="G4947" s="537"/>
      <c r="H4947" s="10"/>
      <c r="I4947" s="538"/>
      <c r="J4947" s="242"/>
      <c r="K4947" s="326"/>
    </row>
    <row r="4948" spans="1:11" customFormat="1" x14ac:dyDescent="0.25">
      <c r="A4948" s="545" t="s">
        <v>5867</v>
      </c>
      <c r="B4948" s="3" t="s">
        <v>7422</v>
      </c>
      <c r="G4948" s="537"/>
      <c r="H4948" s="10"/>
      <c r="I4948" s="538"/>
      <c r="J4948" s="242" t="s">
        <v>7421</v>
      </c>
      <c r="K4948" s="326" t="s">
        <v>7420</v>
      </c>
    </row>
    <row r="4949" spans="1:11" customFormat="1" x14ac:dyDescent="0.25">
      <c r="A4949" s="545"/>
      <c r="B4949" s="25" t="s">
        <v>7411</v>
      </c>
      <c r="G4949" s="537" t="s">
        <v>3</v>
      </c>
      <c r="H4949" s="10">
        <v>2E-3</v>
      </c>
      <c r="I4949" s="538"/>
      <c r="J4949" s="242" t="s">
        <v>7419</v>
      </c>
      <c r="K4949" s="326" t="s">
        <v>7418</v>
      </c>
    </row>
    <row r="4950" spans="1:11" customFormat="1" x14ac:dyDescent="0.25">
      <c r="A4950" s="545" t="s">
        <v>7417</v>
      </c>
      <c r="C4950" s="4" t="s">
        <v>7416</v>
      </c>
      <c r="G4950" s="537"/>
      <c r="H4950" s="10"/>
      <c r="I4950" s="538"/>
      <c r="J4950" s="242" t="s">
        <v>7404</v>
      </c>
      <c r="K4950" s="326" t="s">
        <v>7415</v>
      </c>
    </row>
    <row r="4951" spans="1:11" customFormat="1" x14ac:dyDescent="0.25">
      <c r="A4951" s="545"/>
      <c r="B4951" s="3"/>
      <c r="C4951" s="25" t="s">
        <v>8</v>
      </c>
      <c r="F4951" s="537"/>
      <c r="G4951" s="537" t="s">
        <v>3</v>
      </c>
      <c r="H4951" s="10">
        <v>0.03</v>
      </c>
      <c r="I4951" s="538"/>
      <c r="J4951" s="242" t="s">
        <v>7408</v>
      </c>
      <c r="K4951" s="326" t="s">
        <v>7414</v>
      </c>
    </row>
    <row r="4952" spans="1:11" customFormat="1" x14ac:dyDescent="0.25">
      <c r="A4952" s="545"/>
      <c r="B4952" s="3"/>
      <c r="C4952" t="s">
        <v>12</v>
      </c>
      <c r="F4952" s="537"/>
      <c r="G4952" s="537" t="s">
        <v>3</v>
      </c>
      <c r="H4952" s="10">
        <f>0.3*H4951</f>
        <v>8.9999999999999993E-3</v>
      </c>
      <c r="I4952" s="538"/>
      <c r="J4952" s="242"/>
      <c r="K4952" s="326"/>
    </row>
    <row r="4953" spans="1:11" customFormat="1" x14ac:dyDescent="0.25">
      <c r="A4953" s="545"/>
      <c r="B4953" s="3"/>
      <c r="C4953" s="25" t="s">
        <v>72</v>
      </c>
      <c r="F4953" s="537"/>
      <c r="G4953" s="537" t="s">
        <v>3</v>
      </c>
      <c r="H4953" s="32">
        <v>3.7999999999999999E-2</v>
      </c>
      <c r="I4953" s="538"/>
      <c r="J4953" s="242"/>
      <c r="K4953" s="326"/>
    </row>
    <row r="4954" spans="1:11" customFormat="1" x14ac:dyDescent="0.25">
      <c r="A4954" s="545"/>
      <c r="B4954" s="3"/>
      <c r="C4954" s="25" t="s">
        <v>11</v>
      </c>
      <c r="F4954" s="537"/>
      <c r="G4954" s="537" t="s">
        <v>3</v>
      </c>
      <c r="H4954" s="10">
        <f>0.3*H4953</f>
        <v>1.1399999999999999E-2</v>
      </c>
      <c r="I4954" s="538"/>
      <c r="J4954" s="242"/>
      <c r="K4954" s="326"/>
    </row>
    <row r="4955" spans="1:11" customFormat="1" x14ac:dyDescent="0.25">
      <c r="A4955" s="545" t="s">
        <v>7413</v>
      </c>
      <c r="B4955" s="3"/>
      <c r="D4955" s="4" t="s">
        <v>7412</v>
      </c>
      <c r="G4955" s="537"/>
      <c r="H4955" s="10"/>
      <c r="I4955" s="538"/>
      <c r="J4955" s="242"/>
      <c r="K4955" s="326"/>
    </row>
    <row r="4956" spans="1:11" customFormat="1" x14ac:dyDescent="0.25">
      <c r="A4956" s="545"/>
      <c r="B4956" s="3"/>
      <c r="C4956" s="4"/>
      <c r="D4956" s="25" t="s">
        <v>7411</v>
      </c>
      <c r="G4956" s="537" t="s">
        <v>3</v>
      </c>
      <c r="H4956" s="10">
        <v>3.0000000000000001E-3</v>
      </c>
      <c r="I4956" s="538"/>
      <c r="J4956" s="242"/>
      <c r="K4956" s="326"/>
    </row>
    <row r="4957" spans="1:11" customFormat="1" x14ac:dyDescent="0.25">
      <c r="A4957" s="545"/>
      <c r="B4957" s="3"/>
      <c r="C4957" s="4"/>
      <c r="D4957" s="25" t="s">
        <v>8</v>
      </c>
      <c r="G4957" s="537" t="s">
        <v>3</v>
      </c>
      <c r="H4957" s="10">
        <v>0.03</v>
      </c>
      <c r="I4957" s="538"/>
      <c r="J4957" s="242"/>
      <c r="K4957" s="326"/>
    </row>
    <row r="4958" spans="1:11" customFormat="1" x14ac:dyDescent="0.25">
      <c r="A4958" s="545"/>
      <c r="B4958" s="3"/>
      <c r="C4958" s="4"/>
      <c r="D4958" t="s">
        <v>12</v>
      </c>
      <c r="G4958" s="537" t="s">
        <v>3</v>
      </c>
      <c r="H4958" s="10">
        <f>0.3*H4957</f>
        <v>8.9999999999999993E-3</v>
      </c>
      <c r="I4958" s="538"/>
      <c r="J4958" s="242"/>
      <c r="K4958" s="326"/>
    </row>
    <row r="4959" spans="1:11" customFormat="1" x14ac:dyDescent="0.25">
      <c r="A4959" s="545"/>
      <c r="B4959" s="3"/>
      <c r="C4959" s="4"/>
      <c r="D4959" s="25" t="s">
        <v>72</v>
      </c>
      <c r="G4959" s="537" t="s">
        <v>3</v>
      </c>
      <c r="H4959" s="32">
        <f>1.6*0.011*2</f>
        <v>3.5200000000000002E-2</v>
      </c>
      <c r="I4959" s="538"/>
      <c r="J4959" s="242"/>
      <c r="K4959" s="326"/>
    </row>
    <row r="4960" spans="1:11" customFormat="1" x14ac:dyDescent="0.25">
      <c r="A4960" s="545"/>
      <c r="B4960" s="3"/>
      <c r="C4960" s="4"/>
      <c r="D4960" s="25" t="s">
        <v>11</v>
      </c>
      <c r="G4960" s="537" t="s">
        <v>3</v>
      </c>
      <c r="H4960" s="10">
        <f>0.3*H4959</f>
        <v>1.056E-2</v>
      </c>
      <c r="I4960" s="538"/>
      <c r="J4960" s="242"/>
      <c r="K4960" s="326"/>
    </row>
    <row r="4961" spans="1:11" customFormat="1" x14ac:dyDescent="0.25">
      <c r="A4961" s="545" t="s">
        <v>7410</v>
      </c>
      <c r="B4961" s="3"/>
      <c r="C4961" s="4"/>
      <c r="E4961" s="4" t="s">
        <v>7409</v>
      </c>
      <c r="G4961" s="537"/>
      <c r="H4961" s="10"/>
      <c r="I4961" s="538"/>
      <c r="J4961" s="242"/>
      <c r="K4961" s="326"/>
    </row>
    <row r="4962" spans="1:11" customFormat="1" x14ac:dyDescent="0.25">
      <c r="A4962" s="545" t="s">
        <v>7408</v>
      </c>
      <c r="B4962" s="3"/>
      <c r="C4962" s="4"/>
      <c r="E4962" s="4" t="s">
        <v>7407</v>
      </c>
      <c r="G4962" s="537"/>
      <c r="H4962" s="10"/>
      <c r="I4962" s="538"/>
      <c r="J4962" s="242"/>
      <c r="K4962" s="326"/>
    </row>
    <row r="4963" spans="1:11" customFormat="1" x14ac:dyDescent="0.25">
      <c r="A4963" s="545"/>
      <c r="B4963" s="3"/>
      <c r="C4963" s="4"/>
      <c r="E4963" t="s">
        <v>7406</v>
      </c>
      <c r="F4963" s="537"/>
      <c r="G4963" s="537" t="s">
        <v>3</v>
      </c>
      <c r="H4963" s="10">
        <v>0.03</v>
      </c>
      <c r="I4963" s="648" t="s">
        <v>2536</v>
      </c>
      <c r="J4963" s="242"/>
      <c r="K4963" s="326" t="s">
        <v>7405</v>
      </c>
    </row>
    <row r="4964" spans="1:11" customFormat="1" x14ac:dyDescent="0.25">
      <c r="A4964" s="545" t="s">
        <v>7404</v>
      </c>
      <c r="B4964" s="3"/>
      <c r="C4964" s="4"/>
      <c r="E4964" s="4" t="s">
        <v>7403</v>
      </c>
      <c r="G4964" s="537"/>
      <c r="H4964" s="10"/>
      <c r="I4964" s="538"/>
      <c r="J4964" s="242"/>
      <c r="K4964" s="326"/>
    </row>
    <row r="4965" spans="1:11" customFormat="1" x14ac:dyDescent="0.25">
      <c r="A4965" s="545"/>
      <c r="B4965" s="3"/>
      <c r="C4965" s="4"/>
      <c r="E4965" s="8" t="s">
        <v>7402</v>
      </c>
      <c r="F4965" s="8"/>
      <c r="G4965" s="537" t="s">
        <v>3</v>
      </c>
      <c r="H4965" s="10">
        <f>0.024</f>
        <v>2.4E-2</v>
      </c>
      <c r="I4965" s="648" t="s">
        <v>2536</v>
      </c>
      <c r="J4965" s="242"/>
      <c r="K4965" s="326" t="s">
        <v>7401</v>
      </c>
    </row>
    <row r="4966" spans="1:11" customFormat="1" x14ac:dyDescent="0.25">
      <c r="A4966" s="545" t="s">
        <v>7400</v>
      </c>
      <c r="B4966" s="3"/>
      <c r="C4966" s="4"/>
      <c r="E4966" s="4" t="s">
        <v>7399</v>
      </c>
      <c r="G4966" s="537"/>
      <c r="H4966" s="10"/>
      <c r="I4966" s="538"/>
      <c r="J4966" s="242"/>
      <c r="K4966" s="326"/>
    </row>
    <row r="4967" spans="1:11" customFormat="1" x14ac:dyDescent="0.25">
      <c r="A4967" s="545"/>
      <c r="B4967" s="3"/>
      <c r="E4967" s="8" t="s">
        <v>1054</v>
      </c>
      <c r="G4967" s="537" t="s">
        <v>3</v>
      </c>
      <c r="H4967" s="10">
        <f>0.003</f>
        <v>3.0000000000000001E-3</v>
      </c>
      <c r="I4967" s="538"/>
      <c r="J4967" s="242"/>
      <c r="K4967" s="326"/>
    </row>
    <row r="4968" spans="1:11" customFormat="1" x14ac:dyDescent="0.25">
      <c r="A4968" s="545"/>
      <c r="B4968" s="3"/>
      <c r="E4968" t="s">
        <v>485</v>
      </c>
      <c r="G4968" s="537" t="s">
        <v>3</v>
      </c>
      <c r="H4968" s="10">
        <f>1.5*H4967</f>
        <v>4.5000000000000005E-3</v>
      </c>
      <c r="I4968" s="538"/>
      <c r="J4968" s="242"/>
      <c r="K4968" s="326"/>
    </row>
    <row r="4969" spans="1:11" customFormat="1" x14ac:dyDescent="0.25">
      <c r="A4969" s="545" t="s">
        <v>7398</v>
      </c>
      <c r="B4969" s="3"/>
      <c r="E4969" s="3" t="s">
        <v>7397</v>
      </c>
      <c r="G4969" s="537"/>
      <c r="H4969" s="10"/>
      <c r="I4969" s="538"/>
      <c r="J4969" s="242"/>
      <c r="K4969" s="326"/>
    </row>
    <row r="4970" spans="1:11" customFormat="1" x14ac:dyDescent="0.25">
      <c r="A4970" s="545"/>
      <c r="B4970" s="3"/>
      <c r="E4970" t="s">
        <v>797</v>
      </c>
      <c r="G4970" s="537" t="s">
        <v>3</v>
      </c>
      <c r="H4970" s="10">
        <f>0.335*0.038*2*8*1.09</f>
        <v>0.22201120000000002</v>
      </c>
      <c r="I4970" s="538"/>
      <c r="J4970" s="242"/>
      <c r="K4970" s="326"/>
    </row>
    <row r="4971" spans="1:11" customFormat="1" x14ac:dyDescent="0.25">
      <c r="A4971" s="545" t="s">
        <v>7396</v>
      </c>
      <c r="B4971" s="3"/>
      <c r="E4971" s="4" t="s">
        <v>7395</v>
      </c>
      <c r="G4971" s="537"/>
      <c r="H4971" s="10"/>
      <c r="I4971" s="538"/>
      <c r="J4971" s="242"/>
      <c r="K4971" s="326"/>
    </row>
    <row r="4972" spans="1:11" customFormat="1" x14ac:dyDescent="0.25">
      <c r="A4972" s="545"/>
      <c r="B4972" s="3"/>
      <c r="E4972" t="s">
        <v>598</v>
      </c>
      <c r="G4972" s="537" t="s">
        <v>3</v>
      </c>
      <c r="H4972" s="10">
        <f>1.6*0.045*2.5*2.7*1.08</f>
        <v>0.52488000000000001</v>
      </c>
      <c r="I4972" s="538"/>
      <c r="J4972" s="242"/>
      <c r="K4972" s="326"/>
    </row>
    <row r="4973" spans="1:11" customFormat="1" x14ac:dyDescent="0.25">
      <c r="A4973" s="545"/>
      <c r="B4973" s="3"/>
      <c r="E4973" s="25" t="s">
        <v>2107</v>
      </c>
      <c r="G4973" s="537" t="s">
        <v>3</v>
      </c>
      <c r="H4973" s="10">
        <f>0.045*4*0.04*1.3</f>
        <v>9.3600000000000003E-3</v>
      </c>
      <c r="I4973" s="538"/>
      <c r="J4973" s="242"/>
      <c r="K4973" s="326"/>
    </row>
    <row r="4974" spans="1:11" customFormat="1" ht="17.25" x14ac:dyDescent="0.25">
      <c r="A4974" s="545"/>
      <c r="B4974" s="3"/>
      <c r="E4974" s="25" t="s">
        <v>168</v>
      </c>
      <c r="G4974" s="537" t="s">
        <v>596</v>
      </c>
      <c r="H4974" s="10">
        <f>1.09*H4973</f>
        <v>1.02024E-2</v>
      </c>
      <c r="I4974" s="538"/>
      <c r="J4974" s="242"/>
      <c r="K4974" s="326"/>
    </row>
    <row r="4975" spans="1:11" customFormat="1" x14ac:dyDescent="0.25">
      <c r="A4975" s="545" t="s">
        <v>7394</v>
      </c>
      <c r="B4975" s="3"/>
      <c r="E4975" s="3" t="s">
        <v>7393</v>
      </c>
      <c r="G4975" s="537"/>
      <c r="H4975" s="10"/>
      <c r="I4975" s="538"/>
      <c r="J4975" s="242"/>
      <c r="K4975" s="326"/>
    </row>
    <row r="4976" spans="1:11" customFormat="1" x14ac:dyDescent="0.25">
      <c r="A4976" s="545"/>
      <c r="B4976" s="3"/>
      <c r="E4976" t="s">
        <v>598</v>
      </c>
      <c r="G4976" s="537" t="s">
        <v>3</v>
      </c>
      <c r="H4976" s="10">
        <f>0.03*0.02*2.5*2.7*1.12</f>
        <v>4.5360000000000001E-3</v>
      </c>
      <c r="I4976" s="538"/>
      <c r="J4976" s="242"/>
      <c r="K4976" s="326"/>
    </row>
    <row r="4977" spans="1:11" customFormat="1" x14ac:dyDescent="0.25">
      <c r="A4977" s="545" t="s">
        <v>7392</v>
      </c>
      <c r="B4977" s="3"/>
      <c r="D4977" s="3" t="s">
        <v>7391</v>
      </c>
      <c r="G4977" s="537"/>
      <c r="H4977" s="10"/>
      <c r="I4977" s="538"/>
      <c r="J4977" s="242"/>
      <c r="K4977" s="326"/>
    </row>
    <row r="4978" spans="1:11" customFormat="1" x14ac:dyDescent="0.25">
      <c r="A4978" s="545"/>
      <c r="B4978" s="3"/>
      <c r="D4978" s="8" t="s">
        <v>1054</v>
      </c>
      <c r="G4978" s="537" t="s">
        <v>3</v>
      </c>
      <c r="H4978" s="10">
        <f>0.008*3.14*3*0.04*1.3</f>
        <v>3.9187200000000005E-3</v>
      </c>
      <c r="I4978" s="538"/>
      <c r="J4978" s="242"/>
      <c r="K4978" s="326"/>
    </row>
    <row r="4979" spans="1:11" customFormat="1" x14ac:dyDescent="0.25">
      <c r="A4979" s="545"/>
      <c r="B4979" s="3"/>
      <c r="D4979" t="s">
        <v>485</v>
      </c>
      <c r="G4979" s="537" t="s">
        <v>3</v>
      </c>
      <c r="H4979" s="10">
        <f>1.5*H4978</f>
        <v>5.8780800000000008E-3</v>
      </c>
      <c r="I4979" s="538"/>
      <c r="J4979" s="242"/>
      <c r="K4979" s="326"/>
    </row>
    <row r="4980" spans="1:11" customFormat="1" x14ac:dyDescent="0.25">
      <c r="A4980" s="545"/>
      <c r="B4980" s="3"/>
      <c r="D4980" s="25" t="s">
        <v>8</v>
      </c>
      <c r="G4980" s="537" t="s">
        <v>3</v>
      </c>
      <c r="H4980" s="10">
        <f>1.2*0.02*2*0.15*1.6</f>
        <v>1.1520000000000001E-2</v>
      </c>
      <c r="I4980" s="538"/>
      <c r="J4980" s="242"/>
      <c r="K4980" s="326"/>
    </row>
    <row r="4981" spans="1:11" customFormat="1" x14ac:dyDescent="0.25">
      <c r="A4981" s="545"/>
      <c r="B4981" s="3"/>
      <c r="D4981" t="s">
        <v>12</v>
      </c>
      <c r="G4981" s="537" t="s">
        <v>3</v>
      </c>
      <c r="H4981" s="10">
        <f>0.3*H4980</f>
        <v>3.4560000000000003E-3</v>
      </c>
      <c r="I4981" s="538"/>
      <c r="J4981" s="242"/>
      <c r="K4981" s="326"/>
    </row>
    <row r="4982" spans="1:11" customFormat="1" x14ac:dyDescent="0.25">
      <c r="A4982" s="545"/>
      <c r="B4982" s="3"/>
      <c r="D4982" s="25" t="s">
        <v>72</v>
      </c>
      <c r="G4982" s="537" t="s">
        <v>3</v>
      </c>
      <c r="H4982" s="32">
        <f>1.2*0.02*2*0.15*2*1.39</f>
        <v>2.0015999999999999E-2</v>
      </c>
      <c r="I4982" s="538"/>
      <c r="J4982" s="242"/>
      <c r="K4982" s="326"/>
    </row>
    <row r="4983" spans="1:11" customFormat="1" x14ac:dyDescent="0.25">
      <c r="A4983" s="545"/>
      <c r="B4983" s="3"/>
      <c r="D4983" s="25" t="s">
        <v>11</v>
      </c>
      <c r="G4983" s="537" t="s">
        <v>3</v>
      </c>
      <c r="H4983" s="10">
        <f>0.3*H4982</f>
        <v>6.0047999999999994E-3</v>
      </c>
      <c r="I4983" s="538"/>
      <c r="J4983" s="242"/>
      <c r="K4983" s="326"/>
    </row>
    <row r="4984" spans="1:11" customFormat="1" x14ac:dyDescent="0.25">
      <c r="A4984" s="545" t="s">
        <v>7390</v>
      </c>
      <c r="B4984" s="3"/>
      <c r="E4984" s="4" t="s">
        <v>7389</v>
      </c>
      <c r="G4984" s="537"/>
      <c r="H4984" s="10"/>
      <c r="I4984" s="538"/>
      <c r="J4984" s="242"/>
      <c r="K4984" s="326"/>
    </row>
    <row r="4985" spans="1:11" customFormat="1" x14ac:dyDescent="0.25">
      <c r="A4985" s="545"/>
      <c r="B4985" s="3"/>
      <c r="E4985" t="s">
        <v>150</v>
      </c>
      <c r="G4985" s="537" t="s">
        <v>3</v>
      </c>
      <c r="H4985" s="10">
        <f>0.445*0.29*2*8*1.1</f>
        <v>2.27128</v>
      </c>
      <c r="I4985" s="538"/>
      <c r="J4985" s="242"/>
      <c r="K4985" s="326"/>
    </row>
    <row r="4986" spans="1:11" customFormat="1" x14ac:dyDescent="0.25">
      <c r="A4986" s="545" t="s">
        <v>7388</v>
      </c>
      <c r="B4986" s="3"/>
      <c r="D4986" s="3" t="s">
        <v>7387</v>
      </c>
      <c r="G4986" s="537"/>
      <c r="H4986" s="10"/>
      <c r="I4986" s="538"/>
      <c r="J4986" s="242"/>
      <c r="K4986" s="326"/>
    </row>
    <row r="4987" spans="1:11" customFormat="1" x14ac:dyDescent="0.25">
      <c r="A4987" s="545"/>
      <c r="B4987" s="3"/>
      <c r="D4987" t="s">
        <v>598</v>
      </c>
      <c r="G4987" s="537" t="s">
        <v>3</v>
      </c>
      <c r="H4987" s="10">
        <f>1.35*0.012*2.5*2.7*1.08</f>
        <v>0.11809800000000004</v>
      </c>
      <c r="I4987" s="538"/>
      <c r="J4987" s="242"/>
      <c r="K4987" s="326"/>
    </row>
    <row r="4988" spans="1:11" customFormat="1" x14ac:dyDescent="0.25">
      <c r="A4988" s="545" t="s">
        <v>7386</v>
      </c>
      <c r="B4988" s="3"/>
      <c r="D4988" s="3" t="s">
        <v>7385</v>
      </c>
      <c r="G4988" s="537"/>
      <c r="H4988" s="10"/>
      <c r="I4988" s="538"/>
      <c r="J4988" s="242"/>
      <c r="K4988" s="326"/>
    </row>
    <row r="4989" spans="1:11" customFormat="1" x14ac:dyDescent="0.25">
      <c r="A4989" s="545"/>
      <c r="B4989" s="3"/>
      <c r="D4989" t="s">
        <v>722</v>
      </c>
      <c r="G4989" s="537" t="s">
        <v>3</v>
      </c>
      <c r="H4989" s="10">
        <f>0.85*0.012*1.5*8*1.1</f>
        <v>0.13464000000000001</v>
      </c>
      <c r="I4989" s="538"/>
      <c r="J4989" s="242"/>
      <c r="K4989" s="326"/>
    </row>
    <row r="4990" spans="1:11" customFormat="1" x14ac:dyDescent="0.25">
      <c r="A4990" s="545" t="s">
        <v>7384</v>
      </c>
      <c r="B4990" s="3"/>
      <c r="D4990" s="3" t="s">
        <v>7383</v>
      </c>
      <c r="G4990" s="537"/>
      <c r="H4990" s="10"/>
      <c r="I4990" s="538"/>
      <c r="J4990" s="242"/>
      <c r="K4990" s="326"/>
    </row>
    <row r="4991" spans="1:11" customFormat="1" x14ac:dyDescent="0.25">
      <c r="A4991" s="545"/>
      <c r="B4991" s="3"/>
      <c r="D4991" t="s">
        <v>853</v>
      </c>
      <c r="G4991" s="537" t="s">
        <v>3</v>
      </c>
      <c r="H4991" s="10">
        <f>0.14*0.085*1*8*1.05</f>
        <v>9.9960000000000021E-2</v>
      </c>
      <c r="I4991" s="538"/>
      <c r="J4991" s="242"/>
      <c r="K4991" s="326"/>
    </row>
    <row r="4992" spans="1:11" customFormat="1" x14ac:dyDescent="0.25">
      <c r="A4992" s="545"/>
      <c r="B4992" s="3"/>
      <c r="D4992" s="25" t="s">
        <v>8</v>
      </c>
      <c r="G4992" s="537" t="s">
        <v>3</v>
      </c>
      <c r="H4992" s="10">
        <v>5.0000000000000001E-3</v>
      </c>
      <c r="I4992" s="538"/>
      <c r="J4992" s="242"/>
      <c r="K4992" s="326"/>
    </row>
    <row r="4993" spans="1:11" customFormat="1" x14ac:dyDescent="0.25">
      <c r="A4993" s="545"/>
      <c r="B4993" s="3"/>
      <c r="D4993" t="s">
        <v>12</v>
      </c>
      <c r="G4993" s="537" t="s">
        <v>3</v>
      </c>
      <c r="H4993" s="10">
        <f>0.3*H4992</f>
        <v>1.5E-3</v>
      </c>
      <c r="I4993" s="538"/>
      <c r="J4993" s="242"/>
      <c r="K4993" s="326"/>
    </row>
    <row r="4994" spans="1:11" customFormat="1" x14ac:dyDescent="0.25">
      <c r="A4994" s="545"/>
      <c r="B4994" s="3"/>
      <c r="D4994" s="25" t="s">
        <v>72</v>
      </c>
      <c r="G4994" s="537" t="s">
        <v>3</v>
      </c>
      <c r="H4994" s="32">
        <f>0.38*0.02*2*0.15*2*1.5</f>
        <v>6.8399999999999997E-3</v>
      </c>
      <c r="I4994" s="538"/>
      <c r="J4994" s="242"/>
      <c r="K4994" s="326"/>
    </row>
    <row r="4995" spans="1:11" customFormat="1" x14ac:dyDescent="0.25">
      <c r="A4995" s="545"/>
      <c r="B4995" s="3"/>
      <c r="D4995" s="25" t="s">
        <v>11</v>
      </c>
      <c r="G4995" s="537" t="s">
        <v>3</v>
      </c>
      <c r="H4995" s="10">
        <f>0.3*H4994</f>
        <v>2.052E-3</v>
      </c>
      <c r="I4995" s="538"/>
      <c r="J4995" s="242"/>
      <c r="K4995" s="326"/>
    </row>
    <row r="4996" spans="1:11" customFormat="1" x14ac:dyDescent="0.25">
      <c r="A4996" s="545"/>
      <c r="B4996" s="3"/>
      <c r="D4996" s="25"/>
      <c r="G4996" s="537"/>
      <c r="H4996" s="10"/>
      <c r="I4996" s="538"/>
      <c r="J4996" s="242"/>
      <c r="K4996" s="326"/>
    </row>
    <row r="4997" spans="1:11" customFormat="1" x14ac:dyDescent="0.25">
      <c r="A4997" s="545" t="s">
        <v>7382</v>
      </c>
      <c r="B4997" s="3" t="s">
        <v>7381</v>
      </c>
      <c r="D4997" s="25"/>
      <c r="G4997" s="537"/>
      <c r="H4997" s="10"/>
      <c r="I4997" s="538"/>
      <c r="J4997" s="242"/>
      <c r="K4997" s="326"/>
    </row>
    <row r="4998" spans="1:11" customFormat="1" x14ac:dyDescent="0.25">
      <c r="A4998" s="545"/>
      <c r="B4998" s="25" t="s">
        <v>2107</v>
      </c>
      <c r="G4998" s="537" t="s">
        <v>3</v>
      </c>
      <c r="H4998" s="10">
        <f>0.03*3.14*0.04*2</f>
        <v>7.536000000000001E-3</v>
      </c>
      <c r="I4998" s="538"/>
      <c r="J4998" s="242"/>
      <c r="K4998" s="326"/>
    </row>
    <row r="4999" spans="1:11" customFormat="1" ht="17.25" x14ac:dyDescent="0.25">
      <c r="A4999" s="545"/>
      <c r="B4999" s="25" t="s">
        <v>168</v>
      </c>
      <c r="G4999" s="537" t="s">
        <v>596</v>
      </c>
      <c r="H4999" s="10">
        <f>1.09*H4998</f>
        <v>8.2142400000000011E-3</v>
      </c>
      <c r="I4999" s="538"/>
      <c r="J4999" s="242"/>
      <c r="K4999" s="326"/>
    </row>
    <row r="5000" spans="1:11" customFormat="1" x14ac:dyDescent="0.25">
      <c r="A5000" s="545"/>
      <c r="B5000" s="25" t="s">
        <v>114</v>
      </c>
      <c r="D5000" s="25"/>
      <c r="G5000" s="537" t="s">
        <v>3</v>
      </c>
      <c r="H5000" s="10">
        <f>2*0.025*1.3</f>
        <v>6.5000000000000002E-2</v>
      </c>
      <c r="I5000" s="538"/>
      <c r="J5000" s="242"/>
      <c r="K5000" s="326"/>
    </row>
    <row r="5001" spans="1:11" customFormat="1" x14ac:dyDescent="0.25">
      <c r="A5001" s="545"/>
      <c r="B5001" s="25" t="s">
        <v>163</v>
      </c>
      <c r="D5001" s="25"/>
      <c r="G5001" s="537" t="s">
        <v>3</v>
      </c>
      <c r="H5001" s="10">
        <f>2*0.025*1.3</f>
        <v>6.5000000000000002E-2</v>
      </c>
      <c r="I5001" s="538"/>
      <c r="J5001" s="242"/>
      <c r="K5001" s="326"/>
    </row>
    <row r="5002" spans="1:11" customFormat="1" x14ac:dyDescent="0.25">
      <c r="A5002" s="545"/>
      <c r="B5002" s="25" t="s">
        <v>164</v>
      </c>
      <c r="D5002" s="25"/>
      <c r="G5002" s="537" t="s">
        <v>3</v>
      </c>
      <c r="H5002" s="10">
        <f>0.3*(H5001+H5000)</f>
        <v>3.9E-2</v>
      </c>
      <c r="I5002" s="538"/>
      <c r="J5002" s="242"/>
      <c r="K5002" s="326"/>
    </row>
    <row r="5003" spans="1:11" customFormat="1" x14ac:dyDescent="0.25">
      <c r="A5003" s="545"/>
      <c r="B5003" s="25" t="s">
        <v>72</v>
      </c>
      <c r="D5003" s="25"/>
      <c r="G5003" s="537" t="s">
        <v>3</v>
      </c>
      <c r="H5003" s="10">
        <f>2*0.025*2*1.3</f>
        <v>0.13</v>
      </c>
      <c r="I5003" s="538"/>
      <c r="J5003" s="242"/>
      <c r="K5003" s="326" t="s">
        <v>7380</v>
      </c>
    </row>
    <row r="5004" spans="1:11" customFormat="1" x14ac:dyDescent="0.25">
      <c r="A5004" s="545"/>
      <c r="B5004" s="25" t="s">
        <v>11</v>
      </c>
      <c r="D5004" s="25"/>
      <c r="G5004" s="537" t="s">
        <v>3</v>
      </c>
      <c r="H5004" s="10">
        <f>0.3*H5003</f>
        <v>3.9E-2</v>
      </c>
      <c r="I5004" s="538"/>
      <c r="J5004" s="242"/>
      <c r="K5004" s="326"/>
    </row>
    <row r="5005" spans="1:11" customFormat="1" x14ac:dyDescent="0.25">
      <c r="A5005" s="545" t="s">
        <v>7379</v>
      </c>
      <c r="B5005" s="25"/>
      <c r="C5005" s="4" t="s">
        <v>7378</v>
      </c>
      <c r="D5005" s="25"/>
      <c r="G5005" s="537"/>
      <c r="H5005" s="10"/>
      <c r="I5005" s="538"/>
      <c r="J5005" s="242"/>
      <c r="K5005" s="326"/>
    </row>
    <row r="5006" spans="1:11" customFormat="1" x14ac:dyDescent="0.25">
      <c r="A5006" s="545"/>
      <c r="B5006" s="25"/>
      <c r="C5006" t="s">
        <v>7377</v>
      </c>
      <c r="D5006" s="25"/>
      <c r="G5006" s="537" t="s">
        <v>3</v>
      </c>
      <c r="H5006" s="10">
        <f>2.14</f>
        <v>2.14</v>
      </c>
      <c r="I5006" s="538"/>
      <c r="J5006" s="370" t="s">
        <v>7376</v>
      </c>
      <c r="K5006" s="326"/>
    </row>
    <row r="5007" spans="1:11" customFormat="1" x14ac:dyDescent="0.25">
      <c r="A5007" s="545"/>
      <c r="B5007" s="3"/>
      <c r="D5007" s="25"/>
      <c r="G5007" s="537"/>
      <c r="H5007" s="10"/>
      <c r="I5007" s="538"/>
      <c r="J5007" s="242"/>
      <c r="K5007" s="326"/>
    </row>
    <row r="5008" spans="1:11" customFormat="1" x14ac:dyDescent="0.25">
      <c r="A5008" s="545"/>
      <c r="B5008" s="3"/>
      <c r="D5008" s="25"/>
      <c r="G5008" s="537"/>
      <c r="H5008" s="10"/>
      <c r="I5008" s="538"/>
      <c r="J5008" s="242"/>
      <c r="K5008" s="326"/>
    </row>
    <row r="5009" spans="1:11" customFormat="1" x14ac:dyDescent="0.25">
      <c r="A5009" s="545" t="s">
        <v>7375</v>
      </c>
      <c r="B5009" s="3" t="s">
        <v>7374</v>
      </c>
      <c r="D5009" s="25"/>
      <c r="G5009" s="537"/>
      <c r="H5009" s="10"/>
      <c r="I5009" s="538"/>
      <c r="J5009" s="242"/>
      <c r="K5009" s="326"/>
    </row>
    <row r="5010" spans="1:11" customFormat="1" x14ac:dyDescent="0.25">
      <c r="A5010" s="545"/>
      <c r="B5010" s="3"/>
      <c r="C5010" t="s">
        <v>6296</v>
      </c>
      <c r="D5010" s="25"/>
      <c r="G5010" s="537" t="s">
        <v>3</v>
      </c>
      <c r="H5010" s="10">
        <f>0.072*0.052*5*8*1.08</f>
        <v>0.16174079999999999</v>
      </c>
      <c r="I5010" s="538"/>
      <c r="J5010" s="242"/>
      <c r="K5010" s="326"/>
    </row>
    <row r="5011" spans="1:11" customFormat="1" x14ac:dyDescent="0.25">
      <c r="A5011" s="545"/>
      <c r="B5011" s="3"/>
      <c r="D5011" s="25"/>
      <c r="G5011" s="537"/>
      <c r="H5011" s="10"/>
      <c r="I5011" s="538"/>
      <c r="J5011" s="242"/>
      <c r="K5011" s="326"/>
    </row>
    <row r="5012" spans="1:11" customFormat="1" x14ac:dyDescent="0.25">
      <c r="A5012" s="545" t="s">
        <v>7373</v>
      </c>
      <c r="B5012" s="3" t="s">
        <v>7372</v>
      </c>
      <c r="D5012" s="25"/>
      <c r="G5012" s="537"/>
      <c r="H5012" s="10"/>
      <c r="I5012" s="538"/>
      <c r="J5012" s="242"/>
      <c r="K5012" s="326"/>
    </row>
    <row r="5013" spans="1:11" customFormat="1" x14ac:dyDescent="0.25">
      <c r="A5013" s="545"/>
      <c r="B5013" s="25" t="s">
        <v>114</v>
      </c>
      <c r="D5013" s="25"/>
      <c r="G5013" s="537" t="s">
        <v>3</v>
      </c>
      <c r="H5013" s="10">
        <v>0.11</v>
      </c>
      <c r="I5013" s="538"/>
      <c r="J5013" s="242"/>
      <c r="K5013" s="326"/>
    </row>
    <row r="5014" spans="1:11" customFormat="1" x14ac:dyDescent="0.25">
      <c r="A5014" s="545"/>
      <c r="B5014" s="25" t="s">
        <v>163</v>
      </c>
      <c r="D5014" s="25"/>
      <c r="G5014" s="537" t="s">
        <v>3</v>
      </c>
      <c r="H5014" s="10">
        <v>0.11</v>
      </c>
      <c r="I5014" s="538"/>
      <c r="J5014" s="242"/>
      <c r="K5014" s="326"/>
    </row>
    <row r="5015" spans="1:11" customFormat="1" x14ac:dyDescent="0.25">
      <c r="A5015" s="545"/>
      <c r="B5015" s="25" t="s">
        <v>164</v>
      </c>
      <c r="D5015" s="25"/>
      <c r="G5015" s="537" t="s">
        <v>3</v>
      </c>
      <c r="H5015" s="10">
        <f>0.3*(H5014+H5013)</f>
        <v>6.6000000000000003E-2</v>
      </c>
      <c r="I5015" s="538"/>
      <c r="J5015" s="242"/>
      <c r="K5015" s="326"/>
    </row>
    <row r="5016" spans="1:11" customFormat="1" x14ac:dyDescent="0.25">
      <c r="A5016" s="545"/>
      <c r="B5016" s="25" t="s">
        <v>72</v>
      </c>
      <c r="D5016" s="25"/>
      <c r="G5016" s="537" t="s">
        <v>3</v>
      </c>
      <c r="H5016" s="10">
        <f>0.67*0.43*2*0.15*2*1.3</f>
        <v>0.22471800000000003</v>
      </c>
      <c r="I5016" s="538"/>
      <c r="J5016" s="242"/>
      <c r="K5016" s="326"/>
    </row>
    <row r="5017" spans="1:11" customFormat="1" x14ac:dyDescent="0.25">
      <c r="A5017" s="545"/>
      <c r="B5017" s="25" t="s">
        <v>11</v>
      </c>
      <c r="D5017" s="25"/>
      <c r="G5017" s="537" t="s">
        <v>3</v>
      </c>
      <c r="H5017" s="10">
        <f>0.3*H5016</f>
        <v>6.74154E-2</v>
      </c>
      <c r="I5017" s="538"/>
      <c r="J5017" s="242"/>
      <c r="K5017" s="326"/>
    </row>
    <row r="5018" spans="1:11" customFormat="1" x14ac:dyDescent="0.25">
      <c r="A5018" s="545" t="s">
        <v>7371</v>
      </c>
      <c r="B5018" s="3"/>
      <c r="C5018" s="3" t="s">
        <v>7370</v>
      </c>
      <c r="D5018" s="25"/>
      <c r="G5018" s="537"/>
      <c r="H5018" s="10"/>
      <c r="I5018" s="538"/>
      <c r="J5018" s="242"/>
      <c r="K5018" s="326"/>
    </row>
    <row r="5019" spans="1:11" customFormat="1" x14ac:dyDescent="0.25">
      <c r="A5019" s="545"/>
      <c r="B5019" s="3"/>
      <c r="C5019" t="s">
        <v>7369</v>
      </c>
      <c r="D5019" s="25"/>
      <c r="G5019" s="537" t="s">
        <v>3</v>
      </c>
      <c r="H5019" s="10">
        <v>2.5000000000000001E-2</v>
      </c>
      <c r="I5019" s="538"/>
      <c r="J5019" s="242"/>
      <c r="K5019" s="326"/>
    </row>
    <row r="5020" spans="1:11" customFormat="1" x14ac:dyDescent="0.25">
      <c r="A5020" s="545" t="s">
        <v>7368</v>
      </c>
      <c r="B5020" s="3"/>
      <c r="C5020" s="3" t="s">
        <v>7367</v>
      </c>
      <c r="D5020" s="25"/>
      <c r="G5020" s="537"/>
      <c r="H5020" s="10"/>
      <c r="I5020" s="538"/>
      <c r="J5020" s="242"/>
      <c r="K5020" s="326"/>
    </row>
    <row r="5021" spans="1:11" customFormat="1" x14ac:dyDescent="0.25">
      <c r="A5021" s="545"/>
      <c r="B5021" s="3"/>
      <c r="C5021" s="25" t="s">
        <v>8</v>
      </c>
      <c r="D5021" s="25"/>
      <c r="G5021" s="537" t="s">
        <v>3</v>
      </c>
      <c r="H5021" s="10">
        <v>0.04</v>
      </c>
      <c r="I5021" s="538"/>
      <c r="J5021" s="242"/>
      <c r="K5021" s="326"/>
    </row>
    <row r="5022" spans="1:11" customFormat="1" x14ac:dyDescent="0.25">
      <c r="A5022" s="545"/>
      <c r="B5022" s="3"/>
      <c r="C5022" s="25" t="s">
        <v>12</v>
      </c>
      <c r="D5022" s="25"/>
      <c r="G5022" s="537" t="s">
        <v>3</v>
      </c>
      <c r="H5022" s="10">
        <f>0.3*H5021</f>
        <v>1.2E-2</v>
      </c>
      <c r="I5022" s="538"/>
      <c r="J5022" s="242"/>
      <c r="K5022" s="326"/>
    </row>
    <row r="5023" spans="1:11" customFormat="1" x14ac:dyDescent="0.25">
      <c r="A5023" s="545"/>
      <c r="B5023" s="3"/>
      <c r="C5023" s="25" t="s">
        <v>72</v>
      </c>
      <c r="D5023" s="25"/>
      <c r="G5023" s="537" t="s">
        <v>3</v>
      </c>
      <c r="H5023" s="10">
        <f>1.2*0.02*2*1.05</f>
        <v>5.04E-2</v>
      </c>
      <c r="I5023" s="538"/>
      <c r="J5023" s="242"/>
      <c r="K5023" s="326"/>
    </row>
    <row r="5024" spans="1:11" customFormat="1" x14ac:dyDescent="0.25">
      <c r="A5024" s="545"/>
      <c r="B5024" s="3"/>
      <c r="C5024" s="25" t="s">
        <v>11</v>
      </c>
      <c r="D5024" s="25"/>
      <c r="G5024" s="537" t="s">
        <v>3</v>
      </c>
      <c r="H5024" s="10">
        <f>0.3*H5023</f>
        <v>1.512E-2</v>
      </c>
      <c r="I5024" s="538"/>
      <c r="J5024" s="242"/>
      <c r="K5024" s="326"/>
    </row>
    <row r="5025" spans="1:14" s="8" customFormat="1" x14ac:dyDescent="0.25">
      <c r="A5025" s="545"/>
      <c r="B5025" s="54"/>
      <c r="C5025" s="8" t="s">
        <v>1054</v>
      </c>
      <c r="D5025" s="154"/>
      <c r="G5025" s="537" t="s">
        <v>3</v>
      </c>
      <c r="H5025" s="32">
        <f>0.2*0.03*1.3</f>
        <v>7.8000000000000005E-3</v>
      </c>
      <c r="I5025" s="635"/>
      <c r="J5025" s="545"/>
      <c r="K5025" s="547"/>
    </row>
    <row r="5026" spans="1:14" customFormat="1" x14ac:dyDescent="0.25">
      <c r="A5026" s="545"/>
      <c r="B5026" s="3"/>
      <c r="C5026" t="s">
        <v>485</v>
      </c>
      <c r="D5026" s="25"/>
      <c r="G5026" s="537" t="s">
        <v>3</v>
      </c>
      <c r="H5026" s="10">
        <f>1.5*H5025</f>
        <v>1.17E-2</v>
      </c>
      <c r="I5026" s="538"/>
      <c r="J5026" s="242"/>
      <c r="K5026" s="326"/>
    </row>
    <row r="5027" spans="1:14" customFormat="1" x14ac:dyDescent="0.25">
      <c r="A5027" s="545" t="s">
        <v>7366</v>
      </c>
      <c r="B5027" s="3"/>
      <c r="D5027" s="3" t="s">
        <v>7365</v>
      </c>
      <c r="G5027" s="537"/>
      <c r="H5027" s="10"/>
      <c r="I5027" s="538"/>
      <c r="J5027" s="242"/>
      <c r="K5027" s="326"/>
    </row>
    <row r="5028" spans="1:14" customFormat="1" x14ac:dyDescent="0.25">
      <c r="A5028" s="545"/>
      <c r="B5028" s="3"/>
      <c r="D5028" t="s">
        <v>915</v>
      </c>
      <c r="G5028" s="537" t="s">
        <v>3</v>
      </c>
      <c r="H5028" s="10">
        <v>1.83</v>
      </c>
      <c r="I5028" s="538"/>
      <c r="J5028" s="242"/>
      <c r="K5028" s="326"/>
    </row>
    <row r="5029" spans="1:14" customFormat="1" x14ac:dyDescent="0.25">
      <c r="A5029" s="545" t="s">
        <v>7364</v>
      </c>
      <c r="B5029" s="3"/>
      <c r="D5029" s="3" t="s">
        <v>7363</v>
      </c>
      <c r="G5029" s="537"/>
      <c r="H5029" s="10"/>
      <c r="I5029" s="538"/>
      <c r="J5029" s="242"/>
      <c r="K5029" s="326"/>
    </row>
    <row r="5030" spans="1:14" customFormat="1" x14ac:dyDescent="0.25">
      <c r="A5030" s="545"/>
      <c r="B5030" s="3"/>
      <c r="D5030" t="s">
        <v>7362</v>
      </c>
      <c r="G5030" s="537" t="s">
        <v>3</v>
      </c>
      <c r="H5030" s="10">
        <f>0.02*0.02*3*8*1.05</f>
        <v>1.0080000000000002E-2</v>
      </c>
      <c r="I5030" s="538"/>
      <c r="J5030" s="242"/>
      <c r="K5030" s="326"/>
    </row>
    <row r="5031" spans="1:14" customFormat="1" x14ac:dyDescent="0.25">
      <c r="A5031" s="545" t="s">
        <v>7361</v>
      </c>
      <c r="B5031" s="3"/>
      <c r="C5031" s="3" t="s">
        <v>7360</v>
      </c>
      <c r="D5031" s="25"/>
      <c r="G5031" s="537"/>
      <c r="H5031" s="10"/>
      <c r="I5031" s="647" t="s">
        <v>7359</v>
      </c>
      <c r="J5031" s="567"/>
      <c r="K5031" s="646"/>
      <c r="L5031" s="26"/>
      <c r="M5031" s="26"/>
      <c r="N5031" s="26"/>
    </row>
    <row r="5032" spans="1:14" customFormat="1" x14ac:dyDescent="0.25">
      <c r="A5032" s="545"/>
      <c r="B5032" s="3"/>
      <c r="C5032" s="25" t="s">
        <v>2107</v>
      </c>
      <c r="G5032" s="537" t="s">
        <v>3</v>
      </c>
      <c r="H5032" s="10">
        <f>0.12*0.03*1.3</f>
        <v>4.6800000000000001E-3</v>
      </c>
      <c r="I5032" s="538"/>
      <c r="J5032" s="242"/>
      <c r="K5032" s="326"/>
    </row>
    <row r="5033" spans="1:14" customFormat="1" ht="17.25" x14ac:dyDescent="0.25">
      <c r="A5033" s="545"/>
      <c r="B5033" s="3"/>
      <c r="C5033" s="25" t="s">
        <v>168</v>
      </c>
      <c r="G5033" s="537" t="s">
        <v>596</v>
      </c>
      <c r="H5033" s="10">
        <f>1.09*H5032</f>
        <v>5.1012000000000002E-3</v>
      </c>
      <c r="I5033" s="538"/>
      <c r="J5033" s="242"/>
      <c r="K5033" s="326"/>
    </row>
    <row r="5034" spans="1:14" customFormat="1" x14ac:dyDescent="0.25">
      <c r="A5034" s="545" t="s">
        <v>7358</v>
      </c>
      <c r="B5034" s="3"/>
      <c r="D5034" s="4" t="s">
        <v>7357</v>
      </c>
      <c r="G5034" s="537"/>
      <c r="H5034" s="10"/>
      <c r="I5034" s="538"/>
      <c r="J5034" s="242"/>
      <c r="K5034" s="326"/>
    </row>
    <row r="5035" spans="1:14" customFormat="1" x14ac:dyDescent="0.25">
      <c r="A5035" s="545"/>
      <c r="B5035" s="3"/>
      <c r="D5035" s="25" t="s">
        <v>213</v>
      </c>
      <c r="G5035" s="537" t="s">
        <v>3</v>
      </c>
      <c r="H5035" s="10">
        <f>0.442*0.73*3*2.7*1.1</f>
        <v>2.8749006000000006</v>
      </c>
      <c r="I5035" s="538"/>
      <c r="J5035" s="115"/>
      <c r="K5035" s="326"/>
    </row>
    <row r="5036" spans="1:14" customFormat="1" x14ac:dyDescent="0.25">
      <c r="A5036" s="545" t="s">
        <v>7356</v>
      </c>
      <c r="B5036" s="3"/>
      <c r="D5036" s="4" t="s">
        <v>7355</v>
      </c>
      <c r="G5036" s="537"/>
      <c r="H5036" s="10"/>
      <c r="I5036" s="538"/>
      <c r="J5036" s="115"/>
      <c r="K5036" s="326"/>
    </row>
    <row r="5037" spans="1:14" customFormat="1" x14ac:dyDescent="0.25">
      <c r="A5037" s="545"/>
      <c r="B5037" s="3"/>
      <c r="D5037" t="s">
        <v>6801</v>
      </c>
      <c r="G5037" s="537" t="s">
        <v>3</v>
      </c>
      <c r="H5037" s="10">
        <f>0.004</f>
        <v>4.0000000000000001E-3</v>
      </c>
      <c r="I5037" s="538"/>
      <c r="J5037" s="115"/>
      <c r="K5037" s="326"/>
    </row>
    <row r="5038" spans="1:14" customFormat="1" x14ac:dyDescent="0.25">
      <c r="A5038" s="545" t="s">
        <v>7354</v>
      </c>
      <c r="B5038" s="3"/>
      <c r="C5038" s="3" t="s">
        <v>7353</v>
      </c>
      <c r="D5038" s="25"/>
      <c r="G5038" s="537"/>
      <c r="H5038" s="10"/>
      <c r="I5038" s="538"/>
      <c r="J5038" s="242"/>
      <c r="K5038" s="326"/>
    </row>
    <row r="5039" spans="1:14" customFormat="1" x14ac:dyDescent="0.25">
      <c r="A5039" s="545"/>
      <c r="B5039" s="3"/>
      <c r="C5039" s="25" t="s">
        <v>7350</v>
      </c>
      <c r="D5039" s="25"/>
      <c r="G5039" s="537" t="s">
        <v>3</v>
      </c>
      <c r="H5039" s="10">
        <f>0.61*0.015*2*2.7*1.1</f>
        <v>5.435100000000001E-2</v>
      </c>
      <c r="I5039" s="538"/>
      <c r="J5039" s="242"/>
      <c r="K5039" s="326"/>
    </row>
    <row r="5040" spans="1:14" customFormat="1" x14ac:dyDescent="0.25">
      <c r="A5040" s="545"/>
      <c r="B5040" s="3"/>
      <c r="C5040" s="25" t="s">
        <v>114</v>
      </c>
      <c r="E5040" s="25"/>
      <c r="G5040" s="537" t="s">
        <v>3</v>
      </c>
      <c r="H5040" s="10">
        <v>8.0000000000000002E-3</v>
      </c>
      <c r="I5040" s="538"/>
      <c r="J5040" s="242"/>
      <c r="K5040" s="326"/>
    </row>
    <row r="5041" spans="1:11" customFormat="1" x14ac:dyDescent="0.25">
      <c r="A5041" s="545"/>
      <c r="B5041" s="3"/>
      <c r="C5041" s="25" t="s">
        <v>163</v>
      </c>
      <c r="E5041" s="25"/>
      <c r="G5041" s="537" t="s">
        <v>3</v>
      </c>
      <c r="H5041" s="10">
        <v>8.0000000000000002E-3</v>
      </c>
      <c r="I5041" s="538"/>
      <c r="J5041" s="242"/>
      <c r="K5041" s="326"/>
    </row>
    <row r="5042" spans="1:11" customFormat="1" x14ac:dyDescent="0.25">
      <c r="A5042" s="545"/>
      <c r="B5042" s="3"/>
      <c r="C5042" s="25" t="s">
        <v>164</v>
      </c>
      <c r="E5042" s="25"/>
      <c r="G5042" s="537" t="s">
        <v>3</v>
      </c>
      <c r="H5042" s="10">
        <f>0.3*(H5041+H5040)</f>
        <v>4.7999999999999996E-3</v>
      </c>
      <c r="I5042" s="538"/>
      <c r="J5042" s="242"/>
      <c r="K5042" s="326"/>
    </row>
    <row r="5043" spans="1:11" customFormat="1" x14ac:dyDescent="0.25">
      <c r="A5043" s="545"/>
      <c r="B5043" s="3"/>
      <c r="C5043" s="25" t="s">
        <v>72</v>
      </c>
      <c r="E5043" s="25"/>
      <c r="G5043" s="537" t="s">
        <v>3</v>
      </c>
      <c r="H5043" s="10">
        <f>0.6*0.011*1.3</f>
        <v>8.5799999999999991E-3</v>
      </c>
      <c r="I5043" s="538"/>
      <c r="J5043" s="242"/>
      <c r="K5043" s="326"/>
    </row>
    <row r="5044" spans="1:11" customFormat="1" x14ac:dyDescent="0.25">
      <c r="A5044" s="545"/>
      <c r="B5044" s="3"/>
      <c r="C5044" s="25" t="s">
        <v>11</v>
      </c>
      <c r="E5044" s="25"/>
      <c r="G5044" s="537" t="s">
        <v>3</v>
      </c>
      <c r="H5044" s="10">
        <f>0.3*H5043</f>
        <v>2.5739999999999995E-3</v>
      </c>
      <c r="I5044" s="538"/>
      <c r="J5044" s="242"/>
      <c r="K5044" s="326"/>
    </row>
    <row r="5045" spans="1:11" customFormat="1" x14ac:dyDescent="0.25">
      <c r="A5045" s="545" t="s">
        <v>7352</v>
      </c>
      <c r="B5045" s="3"/>
      <c r="C5045" s="3" t="s">
        <v>7351</v>
      </c>
      <c r="D5045" s="25"/>
      <c r="G5045" s="537"/>
      <c r="H5045" s="10"/>
      <c r="I5045" s="538"/>
      <c r="J5045" s="242"/>
      <c r="K5045" s="326"/>
    </row>
    <row r="5046" spans="1:11" customFormat="1" x14ac:dyDescent="0.25">
      <c r="A5046" s="545"/>
      <c r="B5046" s="3"/>
      <c r="C5046" s="25" t="s">
        <v>7350</v>
      </c>
      <c r="D5046" s="25"/>
      <c r="G5046" s="537" t="s">
        <v>3</v>
      </c>
      <c r="H5046" s="10">
        <f>0.045*0.015*2*2.7*1.1</f>
        <v>4.0095E-3</v>
      </c>
      <c r="I5046" s="538"/>
      <c r="J5046" s="242"/>
      <c r="K5046" s="326"/>
    </row>
    <row r="5047" spans="1:11" customFormat="1" x14ac:dyDescent="0.25">
      <c r="A5047" s="545"/>
      <c r="B5047" s="3"/>
      <c r="C5047" s="25" t="s">
        <v>114</v>
      </c>
      <c r="E5047" s="25"/>
      <c r="G5047" s="537" t="s">
        <v>3</v>
      </c>
      <c r="H5047" s="10">
        <v>1E-3</v>
      </c>
      <c r="I5047" s="538"/>
      <c r="J5047" s="242"/>
      <c r="K5047" s="326"/>
    </row>
    <row r="5048" spans="1:11" customFormat="1" x14ac:dyDescent="0.25">
      <c r="A5048" s="545"/>
      <c r="B5048" s="3"/>
      <c r="C5048" s="25" t="s">
        <v>163</v>
      </c>
      <c r="E5048" s="25"/>
      <c r="G5048" s="537" t="s">
        <v>3</v>
      </c>
      <c r="H5048" s="10">
        <v>1E-3</v>
      </c>
      <c r="I5048" s="538"/>
      <c r="J5048" s="242"/>
      <c r="K5048" s="326"/>
    </row>
    <row r="5049" spans="1:11" customFormat="1" x14ac:dyDescent="0.25">
      <c r="A5049" s="545"/>
      <c r="B5049" s="3"/>
      <c r="C5049" s="25" t="s">
        <v>164</v>
      </c>
      <c r="E5049" s="25"/>
      <c r="G5049" s="537" t="s">
        <v>3</v>
      </c>
      <c r="H5049" s="10">
        <f>0.3*(H5048+H5047)</f>
        <v>5.9999999999999995E-4</v>
      </c>
      <c r="I5049" s="538"/>
      <c r="J5049" s="242"/>
      <c r="K5049" s="326"/>
    </row>
    <row r="5050" spans="1:11" customFormat="1" x14ac:dyDescent="0.25">
      <c r="A5050" s="545"/>
      <c r="B5050" s="3"/>
      <c r="C5050" s="25" t="s">
        <v>72</v>
      </c>
      <c r="E5050" s="25"/>
      <c r="G5050" s="537" t="s">
        <v>3</v>
      </c>
      <c r="H5050" s="10">
        <v>2E-3</v>
      </c>
      <c r="I5050" s="538"/>
      <c r="J5050" s="242"/>
      <c r="K5050" s="326"/>
    </row>
    <row r="5051" spans="1:11" customFormat="1" x14ac:dyDescent="0.25">
      <c r="A5051" s="545"/>
      <c r="B5051" s="3"/>
      <c r="C5051" s="25" t="s">
        <v>11</v>
      </c>
      <c r="E5051" s="25"/>
      <c r="G5051" s="537" t="s">
        <v>3</v>
      </c>
      <c r="H5051" s="10">
        <f>0.3*H5050</f>
        <v>5.9999999999999995E-4</v>
      </c>
      <c r="I5051" s="538"/>
      <c r="J5051" s="242"/>
      <c r="K5051" s="326"/>
    </row>
    <row r="5052" spans="1:11" customFormat="1" x14ac:dyDescent="0.25">
      <c r="A5052" s="545" t="s">
        <v>7349</v>
      </c>
      <c r="B5052" s="3"/>
      <c r="C5052" s="3" t="s">
        <v>7348</v>
      </c>
      <c r="D5052" s="25"/>
      <c r="G5052" s="537"/>
      <c r="H5052" s="10"/>
      <c r="I5052" s="538"/>
      <c r="J5052" s="242"/>
      <c r="K5052" s="326"/>
    </row>
    <row r="5053" spans="1:11" customFormat="1" x14ac:dyDescent="0.25">
      <c r="A5053" s="545"/>
      <c r="B5053" s="3"/>
      <c r="C5053" s="25" t="s">
        <v>7345</v>
      </c>
      <c r="D5053" s="25"/>
      <c r="G5053" s="537" t="s">
        <v>3</v>
      </c>
      <c r="H5053" s="10">
        <f>0.035*0.32*1*8*1.12</f>
        <v>0.10035200000000002</v>
      </c>
      <c r="I5053" s="538"/>
      <c r="J5053" s="242"/>
      <c r="K5053" s="326"/>
    </row>
    <row r="5054" spans="1:11" customFormat="1" x14ac:dyDescent="0.25">
      <c r="A5054" s="545"/>
      <c r="B5054" s="3"/>
      <c r="C5054" s="25" t="s">
        <v>8</v>
      </c>
      <c r="D5054" s="25"/>
      <c r="G5054" s="537" t="s">
        <v>3</v>
      </c>
      <c r="H5054" s="10">
        <v>8.0000000000000002E-3</v>
      </c>
      <c r="I5054" s="538"/>
      <c r="J5054" s="242"/>
      <c r="K5054" s="326"/>
    </row>
    <row r="5055" spans="1:11" customFormat="1" x14ac:dyDescent="0.25">
      <c r="A5055" s="545"/>
      <c r="B5055" s="3"/>
      <c r="C5055" s="25" t="s">
        <v>12</v>
      </c>
      <c r="D5055" s="25"/>
      <c r="G5055" s="537" t="s">
        <v>3</v>
      </c>
      <c r="H5055" s="10">
        <f>0.3*H5054</f>
        <v>2.3999999999999998E-3</v>
      </c>
      <c r="I5055" s="538"/>
      <c r="J5055" s="242"/>
      <c r="K5055" s="326"/>
    </row>
    <row r="5056" spans="1:11" customFormat="1" x14ac:dyDescent="0.25">
      <c r="A5056" s="545"/>
      <c r="B5056" s="3"/>
      <c r="C5056" s="25" t="s">
        <v>72</v>
      </c>
      <c r="D5056" s="25"/>
      <c r="G5056" s="537" t="s">
        <v>3</v>
      </c>
      <c r="H5056" s="10">
        <f>0.32*0.011*2*1.35</f>
        <v>9.5040000000000003E-3</v>
      </c>
      <c r="I5056" s="538"/>
      <c r="J5056" s="242"/>
      <c r="K5056" s="326"/>
    </row>
    <row r="5057" spans="1:11" customFormat="1" x14ac:dyDescent="0.25">
      <c r="A5057" s="545"/>
      <c r="B5057" s="3"/>
      <c r="C5057" s="25" t="s">
        <v>11</v>
      </c>
      <c r="D5057" s="25"/>
      <c r="G5057" s="537" t="s">
        <v>3</v>
      </c>
      <c r="H5057" s="10">
        <f>0.3*H5056</f>
        <v>2.8511999999999999E-3</v>
      </c>
      <c r="I5057" s="538"/>
      <c r="J5057" s="242"/>
      <c r="K5057" s="326"/>
    </row>
    <row r="5058" spans="1:11" customFormat="1" x14ac:dyDescent="0.25">
      <c r="A5058" s="545" t="s">
        <v>7347</v>
      </c>
      <c r="B5058" s="3"/>
      <c r="C5058" s="3" t="s">
        <v>7346</v>
      </c>
      <c r="D5058" s="25"/>
      <c r="G5058" s="537"/>
      <c r="H5058" s="10"/>
      <c r="I5058" s="538"/>
      <c r="J5058" s="242"/>
      <c r="K5058" s="326"/>
    </row>
    <row r="5059" spans="1:11" customFormat="1" x14ac:dyDescent="0.25">
      <c r="A5059" s="545"/>
      <c r="B5059" s="3"/>
      <c r="C5059" s="25" t="s">
        <v>7345</v>
      </c>
      <c r="D5059" s="25"/>
      <c r="G5059" s="537" t="s">
        <v>3</v>
      </c>
      <c r="H5059" s="10">
        <f>0.035*0.192*1*8*1.12</f>
        <v>6.0211200000000013E-2</v>
      </c>
      <c r="I5059" s="538"/>
      <c r="J5059" s="242"/>
      <c r="K5059" s="326"/>
    </row>
    <row r="5060" spans="1:11" customFormat="1" x14ac:dyDescent="0.25">
      <c r="A5060" s="545"/>
      <c r="B5060" s="3"/>
      <c r="C5060" s="25" t="s">
        <v>8</v>
      </c>
      <c r="D5060" s="25"/>
      <c r="G5060" s="537" t="s">
        <v>3</v>
      </c>
      <c r="H5060" s="10">
        <v>8.0000000000000002E-3</v>
      </c>
      <c r="I5060" s="538"/>
      <c r="J5060" s="242"/>
      <c r="K5060" s="326"/>
    </row>
    <row r="5061" spans="1:11" customFormat="1" x14ac:dyDescent="0.25">
      <c r="A5061" s="545"/>
      <c r="B5061" s="3"/>
      <c r="C5061" s="25" t="s">
        <v>12</v>
      </c>
      <c r="D5061" s="25"/>
      <c r="G5061" s="537" t="s">
        <v>3</v>
      </c>
      <c r="H5061" s="10">
        <f>0.3*H5060</f>
        <v>2.3999999999999998E-3</v>
      </c>
      <c r="I5061" s="538"/>
      <c r="J5061" s="242"/>
      <c r="K5061" s="326"/>
    </row>
    <row r="5062" spans="1:11" customFormat="1" x14ac:dyDescent="0.25">
      <c r="A5062" s="545"/>
      <c r="B5062" s="3"/>
      <c r="C5062" s="25" t="s">
        <v>72</v>
      </c>
      <c r="D5062" s="25"/>
      <c r="G5062" s="537" t="s">
        <v>3</v>
      </c>
      <c r="H5062" s="10">
        <f>0.2*0.011*2*1.35</f>
        <v>5.9400000000000008E-3</v>
      </c>
      <c r="I5062" s="538"/>
      <c r="J5062" s="242"/>
      <c r="K5062" s="326"/>
    </row>
    <row r="5063" spans="1:11" customFormat="1" x14ac:dyDescent="0.25">
      <c r="A5063" s="545"/>
      <c r="B5063" s="3"/>
      <c r="C5063" s="25" t="s">
        <v>11</v>
      </c>
      <c r="D5063" s="25"/>
      <c r="G5063" s="537" t="s">
        <v>3</v>
      </c>
      <c r="H5063" s="10">
        <f>0.3*H5062</f>
        <v>1.7820000000000002E-3</v>
      </c>
      <c r="I5063" s="538"/>
      <c r="J5063" s="242"/>
      <c r="K5063" s="326"/>
    </row>
    <row r="5064" spans="1:11" customFormat="1" x14ac:dyDescent="0.25">
      <c r="A5064" s="545"/>
      <c r="B5064" s="3"/>
      <c r="D5064" s="25"/>
      <c r="G5064" s="537"/>
      <c r="H5064" s="10"/>
      <c r="I5064" s="538"/>
      <c r="J5064" s="242"/>
      <c r="K5064" s="326"/>
    </row>
    <row r="5065" spans="1:11" customFormat="1" x14ac:dyDescent="0.25">
      <c r="A5065" s="545" t="s">
        <v>5207</v>
      </c>
      <c r="B5065" s="3" t="s">
        <v>7344</v>
      </c>
      <c r="D5065" s="25"/>
      <c r="G5065" s="537"/>
      <c r="H5065" s="10"/>
      <c r="I5065" s="538"/>
      <c r="J5065" s="242"/>
      <c r="K5065" s="326"/>
    </row>
    <row r="5066" spans="1:11" customFormat="1" x14ac:dyDescent="0.25">
      <c r="A5066" s="545"/>
      <c r="B5066" s="25" t="s">
        <v>13</v>
      </c>
      <c r="D5066" s="25"/>
      <c r="G5066" s="91" t="s">
        <v>3</v>
      </c>
      <c r="H5066" s="10">
        <v>0.1</v>
      </c>
      <c r="I5066" s="538"/>
      <c r="J5066" s="242"/>
      <c r="K5066" s="326"/>
    </row>
    <row r="5067" spans="1:11" customFormat="1" x14ac:dyDescent="0.25">
      <c r="A5067" s="545"/>
      <c r="B5067" s="25" t="s">
        <v>8</v>
      </c>
      <c r="D5067" s="25"/>
      <c r="G5067" s="91" t="s">
        <v>3</v>
      </c>
      <c r="H5067" s="10">
        <v>0.14000000000000001</v>
      </c>
      <c r="I5067" s="538"/>
      <c r="J5067" s="242"/>
      <c r="K5067" s="326"/>
    </row>
    <row r="5068" spans="1:11" customFormat="1" x14ac:dyDescent="0.25">
      <c r="A5068" s="545"/>
      <c r="B5068" s="25" t="s">
        <v>12</v>
      </c>
      <c r="D5068" s="25"/>
      <c r="G5068" s="91" t="s">
        <v>3</v>
      </c>
      <c r="H5068" s="10">
        <v>0.04</v>
      </c>
      <c r="I5068" s="538"/>
      <c r="J5068" s="242"/>
      <c r="K5068" s="326"/>
    </row>
    <row r="5069" spans="1:11" customFormat="1" x14ac:dyDescent="0.25">
      <c r="A5069" s="545"/>
      <c r="B5069" s="25" t="s">
        <v>72</v>
      </c>
      <c r="D5069" s="25"/>
      <c r="G5069" s="91" t="s">
        <v>3</v>
      </c>
      <c r="H5069" s="10">
        <v>0.17</v>
      </c>
      <c r="I5069" s="538"/>
      <c r="J5069" s="242"/>
      <c r="K5069" s="326"/>
    </row>
    <row r="5070" spans="1:11" customFormat="1" x14ac:dyDescent="0.25">
      <c r="A5070" s="545"/>
      <c r="B5070" s="25" t="s">
        <v>11</v>
      </c>
      <c r="D5070" s="25"/>
      <c r="G5070" s="91" t="s">
        <v>3</v>
      </c>
      <c r="H5070" s="10">
        <v>0.05</v>
      </c>
      <c r="I5070" s="538"/>
      <c r="J5070" s="242"/>
      <c r="K5070" s="326"/>
    </row>
    <row r="5071" spans="1:11" customFormat="1" x14ac:dyDescent="0.25">
      <c r="A5071" s="545" t="s">
        <v>7343</v>
      </c>
      <c r="B5071" s="3"/>
      <c r="C5071" s="3" t="s">
        <v>7342</v>
      </c>
      <c r="D5071" s="25"/>
      <c r="G5071" s="537"/>
      <c r="H5071" s="10"/>
      <c r="I5071" s="538"/>
      <c r="J5071" s="242"/>
      <c r="K5071" s="326"/>
    </row>
    <row r="5072" spans="1:11" customFormat="1" x14ac:dyDescent="0.25">
      <c r="A5072" s="545" t="s">
        <v>7341</v>
      </c>
      <c r="B5072" s="3"/>
      <c r="D5072" s="3" t="s">
        <v>7340</v>
      </c>
      <c r="G5072" s="537"/>
      <c r="H5072" s="10"/>
      <c r="I5072" s="538"/>
      <c r="J5072" s="242"/>
      <c r="K5072" s="326"/>
    </row>
    <row r="5073" spans="1:11" customFormat="1" x14ac:dyDescent="0.25">
      <c r="A5073" s="545" t="s">
        <v>7339</v>
      </c>
      <c r="B5073" s="3"/>
      <c r="D5073" s="25"/>
      <c r="E5073" s="3" t="s">
        <v>7338</v>
      </c>
      <c r="G5073" s="537"/>
      <c r="H5073" s="10"/>
      <c r="I5073" s="538"/>
      <c r="J5073" s="242"/>
      <c r="K5073" s="326"/>
    </row>
    <row r="5074" spans="1:11" customFormat="1" x14ac:dyDescent="0.25">
      <c r="A5074" s="545" t="s">
        <v>7337</v>
      </c>
      <c r="B5074" s="3"/>
      <c r="D5074" s="25"/>
      <c r="E5074" s="3" t="s">
        <v>7336</v>
      </c>
      <c r="G5074" s="537"/>
      <c r="H5074" s="10"/>
      <c r="I5074" s="538"/>
      <c r="J5074" s="242"/>
      <c r="K5074" s="326"/>
    </row>
    <row r="5075" spans="1:11" customFormat="1" x14ac:dyDescent="0.25">
      <c r="A5075" s="545"/>
      <c r="B5075" s="3"/>
      <c r="D5075" s="25"/>
      <c r="E5075" t="s">
        <v>7335</v>
      </c>
      <c r="G5075" s="91" t="s">
        <v>3</v>
      </c>
      <c r="H5075" s="32">
        <f>0.13*0.08*2.5*8*1.105</f>
        <v>0.22984000000000002</v>
      </c>
      <c r="I5075" s="538"/>
      <c r="J5075" s="242"/>
      <c r="K5075" s="326"/>
    </row>
    <row r="5076" spans="1:11" customFormat="1" x14ac:dyDescent="0.25">
      <c r="A5076" s="545" t="s">
        <v>7334</v>
      </c>
      <c r="B5076" s="3"/>
      <c r="D5076" s="25"/>
      <c r="E5076" s="3" t="s">
        <v>7333</v>
      </c>
      <c r="G5076" s="537"/>
      <c r="H5076" s="10"/>
      <c r="I5076" s="538"/>
      <c r="J5076" s="242"/>
      <c r="K5076" s="326"/>
    </row>
    <row r="5077" spans="1:11" customFormat="1" x14ac:dyDescent="0.25">
      <c r="A5077" s="545" t="s">
        <v>7332</v>
      </c>
      <c r="B5077" s="3"/>
      <c r="D5077" s="25"/>
      <c r="E5077" s="3" t="s">
        <v>7331</v>
      </c>
      <c r="G5077" s="537"/>
      <c r="H5077" s="10"/>
      <c r="I5077" s="538"/>
      <c r="J5077" s="242"/>
      <c r="K5077" s="326"/>
    </row>
    <row r="5078" spans="1:11" customFormat="1" x14ac:dyDescent="0.25">
      <c r="A5078" s="545"/>
      <c r="B5078" s="3"/>
      <c r="D5078" s="25"/>
      <c r="E5078" s="25" t="s">
        <v>7306</v>
      </c>
      <c r="G5078" s="91" t="s">
        <v>3</v>
      </c>
      <c r="H5078" s="32">
        <f>0.1*0.191*1*8*1.15</f>
        <v>0.17572000000000002</v>
      </c>
      <c r="I5078" s="635"/>
      <c r="J5078" s="242"/>
      <c r="K5078" s="326"/>
    </row>
    <row r="5079" spans="1:11" customFormat="1" x14ac:dyDescent="0.25">
      <c r="A5079" s="545" t="s">
        <v>7330</v>
      </c>
      <c r="B5079" s="3"/>
      <c r="D5079" s="25"/>
      <c r="E5079" s="3" t="s">
        <v>7329</v>
      </c>
      <c r="G5079" s="537"/>
      <c r="H5079" s="32"/>
      <c r="I5079" s="635"/>
      <c r="J5079" s="242"/>
      <c r="K5079" s="326"/>
    </row>
    <row r="5080" spans="1:11" customFormat="1" x14ac:dyDescent="0.25">
      <c r="A5080" s="545"/>
      <c r="B5080" s="3"/>
      <c r="D5080" s="25"/>
      <c r="E5080" t="s">
        <v>7328</v>
      </c>
      <c r="G5080" s="91" t="s">
        <v>3</v>
      </c>
      <c r="H5080" s="32">
        <f>0.155*0.586*1.5*8*1.211</f>
        <v>1.3199415600000002</v>
      </c>
      <c r="I5080" s="635"/>
      <c r="J5080" s="242"/>
      <c r="K5080" s="326"/>
    </row>
    <row r="5081" spans="1:11" customFormat="1" x14ac:dyDescent="0.25">
      <c r="A5081" s="545" t="s">
        <v>7327</v>
      </c>
      <c r="B5081" s="3"/>
      <c r="D5081" s="25"/>
      <c r="E5081" s="3" t="s">
        <v>7326</v>
      </c>
      <c r="G5081" s="537"/>
      <c r="H5081" s="32"/>
      <c r="I5081" s="635"/>
      <c r="J5081" s="242"/>
      <c r="K5081" s="326"/>
    </row>
    <row r="5082" spans="1:11" customFormat="1" x14ac:dyDescent="0.25">
      <c r="A5082" s="545"/>
      <c r="B5082" s="3"/>
      <c r="D5082" s="25"/>
      <c r="E5082" t="s">
        <v>7286</v>
      </c>
      <c r="G5082" s="91" t="s">
        <v>3</v>
      </c>
      <c r="H5082" s="32">
        <f>0.3*0.21*1*8*1.12</f>
        <v>0.56448000000000009</v>
      </c>
      <c r="I5082" s="635"/>
      <c r="J5082" s="242"/>
      <c r="K5082" s="326"/>
    </row>
    <row r="5083" spans="1:11" customFormat="1" x14ac:dyDescent="0.25">
      <c r="A5083" s="545" t="s">
        <v>7325</v>
      </c>
      <c r="B5083" s="3"/>
      <c r="D5083" s="25"/>
      <c r="E5083" s="3" t="s">
        <v>7324</v>
      </c>
      <c r="G5083" s="537"/>
      <c r="H5083" s="32"/>
      <c r="I5083" s="635"/>
      <c r="J5083" s="242"/>
      <c r="K5083" s="326"/>
    </row>
    <row r="5084" spans="1:11" customFormat="1" x14ac:dyDescent="0.25">
      <c r="A5084" s="545"/>
      <c r="B5084" s="3"/>
      <c r="D5084" s="25"/>
      <c r="E5084" t="s">
        <v>7286</v>
      </c>
      <c r="G5084" s="91" t="s">
        <v>3</v>
      </c>
      <c r="H5084" s="32">
        <f>0.3*0.21*1*8*1.12</f>
        <v>0.56448000000000009</v>
      </c>
      <c r="I5084" s="635"/>
      <c r="J5084" s="242"/>
      <c r="K5084" s="326"/>
    </row>
    <row r="5085" spans="1:11" customFormat="1" x14ac:dyDescent="0.25">
      <c r="A5085" s="545" t="s">
        <v>7323</v>
      </c>
      <c r="B5085" s="3"/>
      <c r="D5085" s="25"/>
      <c r="E5085" s="3" t="s">
        <v>7322</v>
      </c>
      <c r="G5085" s="537"/>
      <c r="H5085" s="32"/>
      <c r="I5085" s="635"/>
      <c r="J5085" s="242"/>
      <c r="K5085" s="326"/>
    </row>
    <row r="5086" spans="1:11" customFormat="1" x14ac:dyDescent="0.25">
      <c r="A5086" s="545"/>
      <c r="B5086" s="3"/>
      <c r="D5086" s="25"/>
      <c r="E5086" t="s">
        <v>7321</v>
      </c>
      <c r="G5086" s="91" t="s">
        <v>3</v>
      </c>
      <c r="H5086" s="32">
        <f>0.03*0.043*2*8*1.06</f>
        <v>2.1878399999999999E-2</v>
      </c>
      <c r="I5086" s="635"/>
      <c r="J5086" s="242" t="s">
        <v>4858</v>
      </c>
      <c r="K5086" s="326"/>
    </row>
    <row r="5087" spans="1:11" customFormat="1" x14ac:dyDescent="0.25">
      <c r="A5087" s="545" t="s">
        <v>7320</v>
      </c>
      <c r="B5087" s="3"/>
      <c r="D5087" s="25"/>
      <c r="E5087" s="3" t="s">
        <v>7319</v>
      </c>
      <c r="G5087" s="537"/>
      <c r="H5087" s="32"/>
      <c r="I5087" s="635"/>
      <c r="J5087" s="242"/>
      <c r="K5087" s="326"/>
    </row>
    <row r="5088" spans="1:11" customFormat="1" x14ac:dyDescent="0.25">
      <c r="A5088" s="545"/>
      <c r="B5088" s="3"/>
      <c r="D5088" s="25"/>
      <c r="E5088" t="s">
        <v>7286</v>
      </c>
      <c r="G5088" s="91" t="s">
        <v>3</v>
      </c>
      <c r="H5088" s="32">
        <f>0.067*0.135*1*8*1.1</f>
        <v>7.9596000000000014E-2</v>
      </c>
      <c r="I5088" s="635"/>
      <c r="J5088" s="242"/>
      <c r="K5088" s="326"/>
    </row>
    <row r="5089" spans="1:11" customFormat="1" x14ac:dyDescent="0.25">
      <c r="A5089" s="545" t="s">
        <v>7318</v>
      </c>
      <c r="B5089" s="3"/>
      <c r="D5089" s="25"/>
      <c r="E5089" s="3" t="s">
        <v>7317</v>
      </c>
      <c r="G5089" s="537"/>
      <c r="H5089" s="32"/>
      <c r="I5089" s="635"/>
      <c r="J5089" s="242"/>
      <c r="K5089" s="326"/>
    </row>
    <row r="5090" spans="1:11" customFormat="1" x14ac:dyDescent="0.25">
      <c r="A5090" s="545"/>
      <c r="B5090" s="3"/>
      <c r="D5090" s="25"/>
      <c r="E5090" t="s">
        <v>7286</v>
      </c>
      <c r="G5090" s="91" t="s">
        <v>3</v>
      </c>
      <c r="H5090" s="32">
        <f>0.177*0.09*1*8*1.11</f>
        <v>0.14145840000000001</v>
      </c>
      <c r="I5090" s="635"/>
      <c r="J5090" s="242"/>
      <c r="K5090" s="326"/>
    </row>
    <row r="5091" spans="1:11" customFormat="1" x14ac:dyDescent="0.25">
      <c r="A5091" s="545" t="s">
        <v>7316</v>
      </c>
      <c r="B5091" s="3"/>
      <c r="D5091" s="25"/>
      <c r="E5091" s="3" t="s">
        <v>7315</v>
      </c>
      <c r="G5091" s="537"/>
      <c r="H5091" s="32"/>
      <c r="I5091" s="635"/>
      <c r="J5091" s="242"/>
      <c r="K5091" s="326"/>
    </row>
    <row r="5092" spans="1:11" customFormat="1" x14ac:dyDescent="0.25">
      <c r="A5092" s="545"/>
      <c r="B5092" s="3"/>
      <c r="D5092" s="25"/>
      <c r="E5092" s="25" t="s">
        <v>2537</v>
      </c>
      <c r="G5092" s="91" t="s">
        <v>3</v>
      </c>
      <c r="H5092" s="32">
        <f>0.01</f>
        <v>0.01</v>
      </c>
      <c r="I5092" s="635"/>
      <c r="J5092" s="242"/>
      <c r="K5092" s="326"/>
    </row>
    <row r="5093" spans="1:11" customFormat="1" x14ac:dyDescent="0.25">
      <c r="A5093" s="545" t="s">
        <v>7314</v>
      </c>
      <c r="B5093" s="3"/>
      <c r="D5093" s="25"/>
      <c r="E5093" s="3" t="s">
        <v>7313</v>
      </c>
      <c r="G5093" s="537"/>
      <c r="H5093" s="32"/>
      <c r="I5093" s="635"/>
      <c r="J5093" s="242"/>
      <c r="K5093" s="326"/>
    </row>
    <row r="5094" spans="1:11" customFormat="1" x14ac:dyDescent="0.25">
      <c r="A5094" s="545"/>
      <c r="B5094" s="3"/>
      <c r="D5094" s="25"/>
      <c r="E5094" t="s">
        <v>7286</v>
      </c>
      <c r="G5094" s="91" t="s">
        <v>3</v>
      </c>
      <c r="H5094" s="32">
        <f>0.04*0.03*1*8*1.2</f>
        <v>1.1519999999999999E-2</v>
      </c>
      <c r="I5094" s="635"/>
      <c r="J5094" s="242" t="s">
        <v>4858</v>
      </c>
      <c r="K5094" s="326"/>
    </row>
    <row r="5095" spans="1:11" customFormat="1" x14ac:dyDescent="0.25">
      <c r="A5095" s="545" t="s">
        <v>7312</v>
      </c>
      <c r="B5095" s="3"/>
      <c r="D5095" s="3" t="s">
        <v>7311</v>
      </c>
      <c r="E5095" s="3"/>
      <c r="G5095" s="537"/>
      <c r="H5095" s="32"/>
      <c r="I5095" s="635"/>
      <c r="J5095" s="242"/>
      <c r="K5095" s="326"/>
    </row>
    <row r="5096" spans="1:11" customFormat="1" x14ac:dyDescent="0.25">
      <c r="A5096" s="545" t="s">
        <v>7310</v>
      </c>
      <c r="B5096" s="3"/>
      <c r="D5096" s="3"/>
      <c r="E5096" s="3" t="s">
        <v>7309</v>
      </c>
      <c r="G5096" s="537"/>
      <c r="H5096" s="32"/>
      <c r="I5096" s="635"/>
      <c r="J5096" s="242"/>
      <c r="K5096" s="326"/>
    </row>
    <row r="5097" spans="1:11" customFormat="1" x14ac:dyDescent="0.25">
      <c r="A5097" s="545" t="s">
        <v>7308</v>
      </c>
      <c r="B5097" s="3"/>
      <c r="D5097" s="3"/>
      <c r="E5097" s="3" t="s">
        <v>7307</v>
      </c>
      <c r="G5097" s="537"/>
      <c r="H5097" s="32"/>
      <c r="I5097" s="635"/>
      <c r="J5097" s="242"/>
      <c r="K5097" s="326"/>
    </row>
    <row r="5098" spans="1:11" customFormat="1" x14ac:dyDescent="0.25">
      <c r="A5098" s="545"/>
      <c r="B5098" s="3"/>
      <c r="D5098" s="3"/>
      <c r="E5098" t="s">
        <v>7306</v>
      </c>
      <c r="G5098" s="91" t="s">
        <v>3</v>
      </c>
      <c r="H5098" s="32">
        <f>0.037*0.027*1*8*1.2</f>
        <v>9.5903999999999989E-3</v>
      </c>
      <c r="I5098" s="635"/>
      <c r="J5098" s="242" t="s">
        <v>4858</v>
      </c>
      <c r="K5098" s="326"/>
    </row>
    <row r="5099" spans="1:11" customFormat="1" x14ac:dyDescent="0.25">
      <c r="A5099" s="545" t="s">
        <v>7305</v>
      </c>
      <c r="B5099" s="3"/>
      <c r="D5099" s="3"/>
      <c r="E5099" s="3" t="s">
        <v>7304</v>
      </c>
      <c r="G5099" s="537"/>
      <c r="H5099" s="32"/>
      <c r="I5099" s="635"/>
      <c r="J5099" s="242"/>
      <c r="K5099" s="326"/>
    </row>
    <row r="5100" spans="1:11" customFormat="1" x14ac:dyDescent="0.25">
      <c r="A5100" s="545"/>
      <c r="B5100" s="3"/>
      <c r="D5100" s="3"/>
      <c r="E5100" t="s">
        <v>7286</v>
      </c>
      <c r="G5100" s="91" t="s">
        <v>3</v>
      </c>
      <c r="H5100" s="32">
        <f>0.262*0.178*1*8*1.155</f>
        <v>0.43091663999999996</v>
      </c>
      <c r="I5100" s="635"/>
      <c r="J5100" s="242"/>
      <c r="K5100" s="326"/>
    </row>
    <row r="5101" spans="1:11" customFormat="1" x14ac:dyDescent="0.25">
      <c r="A5101" s="545" t="s">
        <v>7303</v>
      </c>
      <c r="B5101" s="3"/>
      <c r="D5101" s="3"/>
      <c r="E5101" s="3" t="s">
        <v>7302</v>
      </c>
      <c r="G5101" s="537"/>
      <c r="H5101" s="32"/>
      <c r="I5101" s="635"/>
      <c r="J5101" s="242"/>
      <c r="K5101" s="326"/>
    </row>
    <row r="5102" spans="1:11" customFormat="1" x14ac:dyDescent="0.25">
      <c r="A5102" s="545"/>
      <c r="B5102" s="3"/>
      <c r="D5102" s="3"/>
      <c r="E5102" t="s">
        <v>7286</v>
      </c>
      <c r="G5102" s="91" t="s">
        <v>3</v>
      </c>
      <c r="H5102" s="32">
        <f>0.155*0.06*1*8*1.14</f>
        <v>8.4815999999999989E-2</v>
      </c>
      <c r="I5102" s="635"/>
      <c r="J5102" s="242"/>
      <c r="K5102" s="326"/>
    </row>
    <row r="5103" spans="1:11" customFormat="1" x14ac:dyDescent="0.25">
      <c r="A5103" s="545" t="s">
        <v>7301</v>
      </c>
      <c r="B5103" s="3"/>
      <c r="D5103" s="3"/>
      <c r="E5103" s="3" t="s">
        <v>7300</v>
      </c>
      <c r="G5103" s="537"/>
      <c r="H5103" s="32"/>
      <c r="I5103" s="635"/>
      <c r="J5103" s="242"/>
      <c r="K5103" s="326"/>
    </row>
    <row r="5104" spans="1:11" customFormat="1" x14ac:dyDescent="0.25">
      <c r="A5104" s="545"/>
      <c r="B5104" s="3"/>
      <c r="D5104" s="3"/>
      <c r="E5104" t="s">
        <v>7286</v>
      </c>
      <c r="G5104" s="91" t="s">
        <v>3</v>
      </c>
      <c r="H5104" s="32">
        <f>0.018*0.185*1*8*1.11</f>
        <v>2.95704E-2</v>
      </c>
      <c r="I5104" s="635"/>
      <c r="J5104" s="242" t="s">
        <v>4858</v>
      </c>
      <c r="K5104" s="326"/>
    </row>
    <row r="5105" spans="1:11" customFormat="1" x14ac:dyDescent="0.25">
      <c r="A5105" s="545" t="s">
        <v>7299</v>
      </c>
      <c r="B5105" s="3"/>
      <c r="D5105" s="3"/>
      <c r="E5105" s="3" t="s">
        <v>7298</v>
      </c>
      <c r="G5105" s="537"/>
      <c r="H5105" s="32"/>
      <c r="I5105" s="635"/>
      <c r="J5105" s="242"/>
      <c r="K5105" s="326"/>
    </row>
    <row r="5106" spans="1:11" customFormat="1" x14ac:dyDescent="0.25">
      <c r="A5106" s="545"/>
      <c r="B5106" s="3"/>
      <c r="D5106" s="3"/>
      <c r="E5106" t="s">
        <v>7295</v>
      </c>
      <c r="G5106" s="91" t="s">
        <v>3</v>
      </c>
      <c r="H5106" s="32">
        <f>0.055*0.011*2*8*1.08</f>
        <v>1.0454400000000001E-2</v>
      </c>
      <c r="I5106" s="635"/>
      <c r="J5106" s="242" t="s">
        <v>4858</v>
      </c>
      <c r="K5106" s="326"/>
    </row>
    <row r="5107" spans="1:11" customFormat="1" x14ac:dyDescent="0.25">
      <c r="A5107" s="545" t="s">
        <v>7297</v>
      </c>
      <c r="B5107" s="3"/>
      <c r="D5107" s="25"/>
      <c r="E5107" s="3" t="s">
        <v>7296</v>
      </c>
      <c r="G5107" s="537"/>
      <c r="H5107" s="32"/>
      <c r="I5107" s="635"/>
      <c r="J5107" s="242"/>
      <c r="K5107" s="326"/>
    </row>
    <row r="5108" spans="1:11" customFormat="1" x14ac:dyDescent="0.25">
      <c r="A5108" s="545"/>
      <c r="B5108" s="3"/>
      <c r="D5108" s="25"/>
      <c r="E5108" t="s">
        <v>7295</v>
      </c>
      <c r="G5108" s="91" t="s">
        <v>3</v>
      </c>
      <c r="H5108" s="32">
        <f>0.019*0.076*2*8*1.08</f>
        <v>2.495232E-2</v>
      </c>
      <c r="I5108" s="635"/>
      <c r="J5108" s="242" t="s">
        <v>4858</v>
      </c>
      <c r="K5108" s="326"/>
    </row>
    <row r="5109" spans="1:11" customFormat="1" x14ac:dyDescent="0.25">
      <c r="A5109" s="545" t="s">
        <v>7294</v>
      </c>
      <c r="B5109" s="3"/>
      <c r="D5109" s="25"/>
      <c r="E5109" s="3" t="s">
        <v>7293</v>
      </c>
      <c r="G5109" s="537"/>
      <c r="H5109" s="32"/>
      <c r="I5109" s="635"/>
      <c r="J5109" s="242"/>
      <c r="K5109" s="326"/>
    </row>
    <row r="5110" spans="1:11" customFormat="1" x14ac:dyDescent="0.25">
      <c r="A5110" s="545"/>
      <c r="B5110" s="3"/>
      <c r="D5110" s="25"/>
      <c r="E5110" t="s">
        <v>7292</v>
      </c>
      <c r="G5110" s="91" t="s">
        <v>3</v>
      </c>
      <c r="H5110" s="32">
        <v>0.11</v>
      </c>
      <c r="I5110" s="635"/>
      <c r="J5110" s="242"/>
      <c r="K5110" s="326"/>
    </row>
    <row r="5111" spans="1:11" customFormat="1" x14ac:dyDescent="0.25">
      <c r="A5111" s="545" t="s">
        <v>7291</v>
      </c>
      <c r="B5111" s="3"/>
      <c r="D5111" s="25"/>
      <c r="E5111" s="3" t="s">
        <v>7290</v>
      </c>
      <c r="G5111" s="537"/>
      <c r="H5111" s="32"/>
      <c r="I5111" s="635"/>
      <c r="J5111" s="242"/>
      <c r="K5111" s="326"/>
    </row>
    <row r="5112" spans="1:11" customFormat="1" x14ac:dyDescent="0.25">
      <c r="A5112" s="545"/>
      <c r="B5112" s="3"/>
      <c r="D5112" s="25"/>
      <c r="E5112" s="25" t="s">
        <v>7289</v>
      </c>
      <c r="G5112" s="91" t="s">
        <v>3</v>
      </c>
      <c r="H5112" s="32">
        <f>0.148*1.1</f>
        <v>0.1628</v>
      </c>
      <c r="I5112" s="635"/>
      <c r="J5112" s="242"/>
      <c r="K5112" s="326"/>
    </row>
    <row r="5113" spans="1:11" customFormat="1" x14ac:dyDescent="0.25">
      <c r="A5113" s="545" t="s">
        <v>7288</v>
      </c>
      <c r="B5113" s="3"/>
      <c r="D5113" s="25"/>
      <c r="E5113" s="3" t="s">
        <v>7287</v>
      </c>
      <c r="G5113" s="537"/>
      <c r="H5113" s="32"/>
      <c r="I5113" s="635"/>
      <c r="J5113" s="242"/>
      <c r="K5113" s="326"/>
    </row>
    <row r="5114" spans="1:11" customFormat="1" x14ac:dyDescent="0.25">
      <c r="A5114" s="545"/>
      <c r="B5114" s="3"/>
      <c r="D5114" s="25"/>
      <c r="E5114" t="s">
        <v>7286</v>
      </c>
      <c r="G5114" s="91" t="s">
        <v>3</v>
      </c>
      <c r="H5114" s="32">
        <f>0.05*0.03*1*8*1.15</f>
        <v>1.38E-2</v>
      </c>
      <c r="I5114" s="635"/>
      <c r="J5114" s="242" t="s">
        <v>4858</v>
      </c>
      <c r="K5114" s="326"/>
    </row>
    <row r="5115" spans="1:11" customFormat="1" x14ac:dyDescent="0.25">
      <c r="A5115" s="545"/>
      <c r="B5115" s="3"/>
      <c r="D5115" s="25"/>
      <c r="E5115" s="3"/>
      <c r="G5115" s="537"/>
      <c r="H5115" s="10"/>
      <c r="I5115" s="538"/>
      <c r="J5115" s="242"/>
      <c r="K5115" s="326"/>
    </row>
    <row r="5116" spans="1:11" customFormat="1" x14ac:dyDescent="0.25">
      <c r="A5116" s="545" t="s">
        <v>5215</v>
      </c>
      <c r="B5116" s="549" t="s">
        <v>7285</v>
      </c>
      <c r="D5116" s="25"/>
      <c r="E5116" s="3"/>
      <c r="G5116" s="537"/>
      <c r="H5116" s="10"/>
      <c r="I5116" s="538"/>
      <c r="J5116" s="242"/>
      <c r="K5116" s="326"/>
    </row>
    <row r="5117" spans="1:11" customFormat="1" x14ac:dyDescent="0.25">
      <c r="A5117" s="545"/>
      <c r="B5117" t="s">
        <v>114</v>
      </c>
      <c r="G5117" s="603" t="s">
        <v>3</v>
      </c>
      <c r="H5117" s="32">
        <f>H5120/4</f>
        <v>0.25600640000000002</v>
      </c>
      <c r="I5117" s="538"/>
      <c r="J5117" s="242"/>
      <c r="K5117" s="242"/>
    </row>
    <row r="5118" spans="1:11" customFormat="1" x14ac:dyDescent="0.25">
      <c r="A5118" s="545"/>
      <c r="B5118" t="s">
        <v>163</v>
      </c>
      <c r="G5118" s="603" t="s">
        <v>3</v>
      </c>
      <c r="H5118" s="32">
        <f>H5120/4</f>
        <v>0.25600640000000002</v>
      </c>
      <c r="I5118" s="538"/>
      <c r="J5118" s="6"/>
      <c r="K5118" s="2"/>
    </row>
    <row r="5119" spans="1:11" customFormat="1" x14ac:dyDescent="0.25">
      <c r="A5119" s="545"/>
      <c r="B5119" t="s">
        <v>164</v>
      </c>
      <c r="G5119" s="603" t="s">
        <v>3</v>
      </c>
      <c r="H5119" s="32">
        <f>3*(H5118+H5117)</f>
        <v>1.5360384000000002</v>
      </c>
      <c r="I5119" s="538"/>
      <c r="J5119" s="242"/>
      <c r="K5119" s="326"/>
    </row>
    <row r="5120" spans="1:11" customFormat="1" x14ac:dyDescent="0.25">
      <c r="A5120" s="545"/>
      <c r="B5120" t="s">
        <v>72</v>
      </c>
      <c r="G5120" s="603" t="s">
        <v>3</v>
      </c>
      <c r="H5120" s="32">
        <f>(0.2*1.392*2+0.285*0.55+0.125*0.55+0.55*1.395*2)*0.17*2*1.3</f>
        <v>1.0240256000000001</v>
      </c>
      <c r="I5120" s="538"/>
      <c r="J5120" s="242"/>
      <c r="K5120" s="326"/>
    </row>
    <row r="5121" spans="1:11" customFormat="1" x14ac:dyDescent="0.25">
      <c r="A5121" s="545"/>
      <c r="B5121" t="s">
        <v>11</v>
      </c>
      <c r="G5121" s="603" t="s">
        <v>3</v>
      </c>
      <c r="H5121" s="32">
        <f>0.3*H5120</f>
        <v>0.30720768000000004</v>
      </c>
      <c r="I5121" s="538"/>
      <c r="J5121" s="242"/>
      <c r="K5121" s="326"/>
    </row>
    <row r="5122" spans="1:11" customFormat="1" x14ac:dyDescent="0.25">
      <c r="A5122" s="545"/>
      <c r="B5122" t="s">
        <v>13</v>
      </c>
      <c r="G5122" s="603" t="s">
        <v>3</v>
      </c>
      <c r="H5122" s="32">
        <v>0.44</v>
      </c>
      <c r="I5122" s="538"/>
      <c r="J5122" s="242"/>
      <c r="K5122" s="326"/>
    </row>
    <row r="5123" spans="1:11" customFormat="1" x14ac:dyDescent="0.25">
      <c r="A5123" s="545"/>
      <c r="B5123" s="11" t="s">
        <v>6724</v>
      </c>
      <c r="C5123" s="11"/>
      <c r="D5123" s="11"/>
      <c r="E5123" s="11"/>
      <c r="F5123" s="11"/>
      <c r="G5123" s="603" t="s">
        <v>3</v>
      </c>
      <c r="H5123" s="12">
        <f>(0.56+0.015*3.14*10)*0.038*1.3</f>
        <v>5.0931400000000009E-2</v>
      </c>
      <c r="I5123" s="538"/>
      <c r="J5123" s="242"/>
      <c r="K5123" s="326"/>
    </row>
    <row r="5124" spans="1:11" customFormat="1" ht="17.25" x14ac:dyDescent="0.25">
      <c r="A5124" s="545"/>
      <c r="B5124" s="42" t="s">
        <v>6723</v>
      </c>
      <c r="C5124" s="11"/>
      <c r="D5124" s="11"/>
      <c r="E5124" s="11"/>
      <c r="F5124" s="11"/>
      <c r="G5124" s="603" t="s">
        <v>596</v>
      </c>
      <c r="H5124" s="12">
        <f>H5123*1.5/1.4</f>
        <v>5.4569357142857156E-2</v>
      </c>
      <c r="I5124" s="538"/>
      <c r="J5124" s="242"/>
      <c r="K5124" s="326"/>
    </row>
    <row r="5125" spans="1:11" customFormat="1" x14ac:dyDescent="0.25">
      <c r="A5125" s="545" t="s">
        <v>7284</v>
      </c>
      <c r="C5125" s="3" t="s">
        <v>6938</v>
      </c>
      <c r="G5125" s="603"/>
      <c r="H5125" s="32"/>
      <c r="I5125" s="538"/>
      <c r="J5125" s="242"/>
      <c r="K5125" s="326"/>
    </row>
    <row r="5126" spans="1:11" customFormat="1" x14ac:dyDescent="0.25">
      <c r="A5126" s="545"/>
      <c r="C5126" s="11" t="s">
        <v>6724</v>
      </c>
      <c r="D5126" s="11"/>
      <c r="E5126" s="11"/>
      <c r="F5126" s="11"/>
      <c r="G5126" s="603" t="s">
        <v>3</v>
      </c>
      <c r="H5126" s="10">
        <f>(15*0.03+0.02*12*2+0.3)*0.03*1.3</f>
        <v>4.7969999999999999E-2</v>
      </c>
      <c r="I5126" s="538"/>
      <c r="J5126" s="242"/>
      <c r="K5126" s="326"/>
    </row>
    <row r="5127" spans="1:11" customFormat="1" ht="17.25" x14ac:dyDescent="0.25">
      <c r="A5127" s="545"/>
      <c r="C5127" s="42" t="s">
        <v>6723</v>
      </c>
      <c r="D5127" s="11"/>
      <c r="E5127" s="11"/>
      <c r="F5127" s="11"/>
      <c r="G5127" s="603" t="s">
        <v>596</v>
      </c>
      <c r="H5127" s="10">
        <f>1.09*H5126</f>
        <v>5.2287300000000002E-2</v>
      </c>
      <c r="I5127" s="538"/>
      <c r="J5127" s="242"/>
      <c r="K5127" s="326"/>
    </row>
    <row r="5128" spans="1:11" customFormat="1" x14ac:dyDescent="0.25">
      <c r="A5128" s="545"/>
      <c r="C5128" s="25" t="s">
        <v>37</v>
      </c>
      <c r="G5128" s="603" t="s">
        <v>3</v>
      </c>
      <c r="H5128" s="32">
        <f>0.05</f>
        <v>0.05</v>
      </c>
      <c r="I5128" s="635"/>
      <c r="J5128" s="242"/>
      <c r="K5128" s="326"/>
    </row>
    <row r="5129" spans="1:11" customFormat="1" x14ac:dyDescent="0.25">
      <c r="A5129" s="545" t="s">
        <v>7283</v>
      </c>
      <c r="D5129" s="3" t="s">
        <v>2774</v>
      </c>
      <c r="G5129" s="603"/>
      <c r="H5129" s="32"/>
      <c r="I5129" s="538"/>
      <c r="J5129" s="242"/>
      <c r="K5129" s="326"/>
    </row>
    <row r="5130" spans="1:11" customFormat="1" x14ac:dyDescent="0.25">
      <c r="A5130" s="545"/>
      <c r="D5130" s="25" t="s">
        <v>213</v>
      </c>
      <c r="G5130" s="603" t="s">
        <v>3</v>
      </c>
      <c r="H5130" s="32">
        <f>1.19*0.34*3*2.7*1.1047</f>
        <v>3.6203891220000002</v>
      </c>
      <c r="I5130" s="538"/>
      <c r="J5130" s="242"/>
      <c r="K5130" s="326"/>
    </row>
    <row r="5131" spans="1:11" customFormat="1" x14ac:dyDescent="0.25">
      <c r="A5131" s="545"/>
      <c r="D5131" s="11" t="s">
        <v>6724</v>
      </c>
      <c r="G5131" s="603" t="s">
        <v>3</v>
      </c>
      <c r="H5131" s="32">
        <f>0.1*0.03*1.3</f>
        <v>3.9000000000000003E-3</v>
      </c>
      <c r="I5131" s="538"/>
      <c r="J5131" s="242"/>
      <c r="K5131" s="326"/>
    </row>
    <row r="5132" spans="1:11" customFormat="1" x14ac:dyDescent="0.25">
      <c r="A5132" s="545"/>
      <c r="D5132" s="42" t="s">
        <v>6723</v>
      </c>
      <c r="G5132" s="603" t="s">
        <v>3</v>
      </c>
      <c r="H5132" s="32">
        <f>1.09*H5131</f>
        <v>4.2510000000000004E-3</v>
      </c>
      <c r="I5132" s="538"/>
      <c r="J5132" s="242"/>
      <c r="K5132" s="326"/>
    </row>
    <row r="5133" spans="1:11" customFormat="1" x14ac:dyDescent="0.25">
      <c r="A5133" s="545" t="s">
        <v>7282</v>
      </c>
      <c r="D5133" s="3" t="s">
        <v>2775</v>
      </c>
      <c r="G5133" s="603"/>
      <c r="H5133" s="32"/>
      <c r="I5133" s="538"/>
      <c r="J5133" s="242"/>
      <c r="K5133" s="326"/>
    </row>
    <row r="5134" spans="1:11" customFormat="1" x14ac:dyDescent="0.25">
      <c r="A5134" s="545"/>
      <c r="D5134" s="25" t="s">
        <v>213</v>
      </c>
      <c r="G5134" s="603" t="s">
        <v>3</v>
      </c>
      <c r="H5134" s="32">
        <f>1.05*0.02*3*2.7*1.1</f>
        <v>0.18711000000000003</v>
      </c>
      <c r="I5134" s="538"/>
      <c r="J5134" s="242"/>
      <c r="K5134" s="326"/>
    </row>
    <row r="5135" spans="1:11" customFormat="1" x14ac:dyDescent="0.25">
      <c r="A5135" s="545" t="s">
        <v>7281</v>
      </c>
      <c r="D5135" s="3" t="s">
        <v>7280</v>
      </c>
      <c r="G5135" s="603"/>
      <c r="H5135" s="32"/>
      <c r="I5135" s="538"/>
      <c r="J5135" s="242"/>
      <c r="K5135" s="326"/>
    </row>
    <row r="5136" spans="1:11" customFormat="1" x14ac:dyDescent="0.25">
      <c r="A5136" s="545"/>
      <c r="D5136" s="25" t="s">
        <v>213</v>
      </c>
      <c r="G5136" s="603" t="s">
        <v>3</v>
      </c>
      <c r="H5136" s="32">
        <f>0.305*0.02*3*2.7*1.1</f>
        <v>5.435100000000001E-2</v>
      </c>
      <c r="I5136" s="538"/>
      <c r="J5136" s="242"/>
      <c r="K5136" s="326"/>
    </row>
    <row r="5137" spans="1:11" customFormat="1" x14ac:dyDescent="0.25">
      <c r="A5137" s="545" t="s">
        <v>7279</v>
      </c>
      <c r="D5137" s="3" t="s">
        <v>2732</v>
      </c>
      <c r="G5137" s="603"/>
      <c r="H5137" s="32"/>
      <c r="I5137" s="538"/>
      <c r="J5137" s="242"/>
      <c r="K5137" s="326"/>
    </row>
    <row r="5138" spans="1:11" customFormat="1" x14ac:dyDescent="0.25">
      <c r="A5138" s="545"/>
      <c r="D5138" t="s">
        <v>1138</v>
      </c>
      <c r="G5138" s="603" t="s">
        <v>3</v>
      </c>
      <c r="H5138" s="32">
        <f>0.31*0.022*4*2.7*1.1</f>
        <v>8.1021599999999999E-2</v>
      </c>
      <c r="I5138" s="538"/>
      <c r="J5138" s="242"/>
      <c r="K5138" s="326"/>
    </row>
    <row r="5139" spans="1:11" customFormat="1" x14ac:dyDescent="0.25">
      <c r="A5139" s="545" t="s">
        <v>7278</v>
      </c>
      <c r="D5139" s="3" t="s">
        <v>2733</v>
      </c>
      <c r="G5139" s="603"/>
      <c r="H5139" s="32"/>
      <c r="I5139" s="538"/>
      <c r="J5139" s="242"/>
      <c r="K5139" s="326"/>
    </row>
    <row r="5140" spans="1:11" customFormat="1" x14ac:dyDescent="0.25">
      <c r="A5140" s="545"/>
      <c r="B5140" s="3"/>
      <c r="D5140" t="s">
        <v>1138</v>
      </c>
      <c r="G5140" s="603" t="s">
        <v>3</v>
      </c>
      <c r="H5140" s="32">
        <f>0.112*0.022*4*2.7*1.1</f>
        <v>2.9272320000000004E-2</v>
      </c>
      <c r="I5140" s="538"/>
      <c r="J5140" s="242"/>
      <c r="K5140" s="326"/>
    </row>
    <row r="5141" spans="1:11" customFormat="1" x14ac:dyDescent="0.25">
      <c r="A5141" s="545" t="s">
        <v>7277</v>
      </c>
      <c r="C5141" s="3" t="s">
        <v>7276</v>
      </c>
      <c r="G5141" s="603"/>
      <c r="H5141" s="32"/>
      <c r="I5141" s="538"/>
      <c r="J5141" s="242"/>
      <c r="K5141" s="326"/>
    </row>
    <row r="5142" spans="1:11" customFormat="1" x14ac:dyDescent="0.25">
      <c r="A5142" s="545"/>
      <c r="C5142" s="11" t="s">
        <v>6724</v>
      </c>
      <c r="D5142" s="11"/>
      <c r="E5142" s="11"/>
      <c r="F5142" s="11"/>
      <c r="G5142" s="603" t="s">
        <v>3</v>
      </c>
      <c r="H5142" s="32">
        <f>(0.28+0.1+(2.7/0.2)*0.05+2.6+1.4+1.1+(1.36/0.13*0.03)+0.26+0.112+0.1)*0.035*1.3</f>
        <v>0.31580849999999999</v>
      </c>
      <c r="I5142" s="538"/>
      <c r="J5142" s="242"/>
      <c r="K5142" s="326"/>
    </row>
    <row r="5143" spans="1:11" customFormat="1" ht="17.25" x14ac:dyDescent="0.25">
      <c r="A5143" s="545"/>
      <c r="C5143" s="42" t="s">
        <v>6723</v>
      </c>
      <c r="D5143" s="11"/>
      <c r="E5143" s="11"/>
      <c r="F5143" s="11"/>
      <c r="G5143" s="603" t="s">
        <v>596</v>
      </c>
      <c r="H5143" s="32">
        <f>1.09*H5142</f>
        <v>0.34423126500000001</v>
      </c>
      <c r="I5143" s="538"/>
      <c r="J5143" s="242"/>
      <c r="K5143" s="326"/>
    </row>
    <row r="5144" spans="1:11" customFormat="1" x14ac:dyDescent="0.25">
      <c r="A5144" s="545" t="s">
        <v>7275</v>
      </c>
      <c r="D5144" s="3" t="s">
        <v>7274</v>
      </c>
      <c r="G5144" s="603"/>
      <c r="H5144" s="32"/>
      <c r="I5144" s="538"/>
      <c r="J5144" s="242"/>
      <c r="K5144" s="326"/>
    </row>
    <row r="5145" spans="1:11" customFormat="1" x14ac:dyDescent="0.25">
      <c r="A5145" s="545"/>
      <c r="D5145" t="s">
        <v>1138</v>
      </c>
      <c r="G5145" s="603" t="s">
        <v>3</v>
      </c>
      <c r="H5145" s="32">
        <f>0.095*0.075*2*2.7*1.1</f>
        <v>4.2322500000000006E-2</v>
      </c>
      <c r="I5145" s="538"/>
      <c r="J5145" s="242"/>
      <c r="K5145" s="326"/>
    </row>
    <row r="5146" spans="1:11" customFormat="1" x14ac:dyDescent="0.25">
      <c r="A5146" s="545" t="s">
        <v>7273</v>
      </c>
      <c r="D5146" s="3" t="s">
        <v>7272</v>
      </c>
      <c r="G5146" s="603"/>
      <c r="H5146" s="32"/>
      <c r="I5146" s="538"/>
      <c r="J5146" s="242"/>
      <c r="K5146" s="326"/>
    </row>
    <row r="5147" spans="1:11" customFormat="1" x14ac:dyDescent="0.25">
      <c r="A5147" s="545"/>
      <c r="D5147" t="s">
        <v>1138</v>
      </c>
      <c r="G5147" s="603" t="s">
        <v>3</v>
      </c>
      <c r="H5147" s="32">
        <f>0.055*0.082*4*2.7*1.1</f>
        <v>5.3578800000000003E-2</v>
      </c>
      <c r="I5147" s="538"/>
      <c r="J5147" s="242"/>
      <c r="K5147" s="326"/>
    </row>
    <row r="5148" spans="1:11" customFormat="1" x14ac:dyDescent="0.25">
      <c r="A5148" s="545" t="s">
        <v>7271</v>
      </c>
      <c r="D5148" s="3" t="s">
        <v>7270</v>
      </c>
      <c r="G5148" s="603"/>
      <c r="H5148" s="32"/>
      <c r="I5148" s="538"/>
      <c r="J5148" s="242"/>
      <c r="K5148" s="326"/>
    </row>
    <row r="5149" spans="1:11" customFormat="1" x14ac:dyDescent="0.25">
      <c r="A5149" s="545"/>
      <c r="D5149" t="s">
        <v>213</v>
      </c>
      <c r="G5149" s="603" t="s">
        <v>3</v>
      </c>
      <c r="H5149" s="32">
        <f>(0.56+0.28*2+0.135*2)*1.399*3*2.7*1.10785</f>
        <v>17.450123126850006</v>
      </c>
      <c r="I5149" s="538"/>
      <c r="J5149" s="242"/>
      <c r="K5149" s="326"/>
    </row>
    <row r="5150" spans="1:11" customFormat="1" x14ac:dyDescent="0.25">
      <c r="A5150" s="545"/>
      <c r="D5150" s="11" t="s">
        <v>6724</v>
      </c>
      <c r="E5150" s="11"/>
      <c r="F5150" s="11"/>
      <c r="G5150" s="603" t="s">
        <v>3</v>
      </c>
      <c r="H5150" s="10">
        <f>1.2*0.04</f>
        <v>4.8000000000000001E-2</v>
      </c>
      <c r="I5150" s="538"/>
      <c r="J5150" s="242"/>
      <c r="K5150" s="326"/>
    </row>
    <row r="5151" spans="1:11" customFormat="1" ht="17.25" x14ac:dyDescent="0.25">
      <c r="A5151" s="545"/>
      <c r="D5151" s="42" t="s">
        <v>6723</v>
      </c>
      <c r="E5151" s="11"/>
      <c r="F5151" s="11"/>
      <c r="G5151" s="603" t="s">
        <v>596</v>
      </c>
      <c r="H5151" s="10">
        <f>1.1*H5150</f>
        <v>5.2800000000000007E-2</v>
      </c>
      <c r="I5151" s="538"/>
      <c r="J5151" s="242"/>
      <c r="K5151" s="326"/>
    </row>
    <row r="5152" spans="1:11" customFormat="1" x14ac:dyDescent="0.25">
      <c r="A5152" s="545" t="s">
        <v>7269</v>
      </c>
      <c r="D5152" s="3" t="s">
        <v>7268</v>
      </c>
      <c r="G5152" s="537"/>
      <c r="H5152" s="10"/>
      <c r="I5152" s="538"/>
      <c r="J5152" s="242"/>
      <c r="K5152" s="326"/>
    </row>
    <row r="5153" spans="1:11" customFormat="1" x14ac:dyDescent="0.25">
      <c r="A5153" s="545"/>
      <c r="D5153" t="s">
        <v>213</v>
      </c>
      <c r="G5153" s="603" t="s">
        <v>3</v>
      </c>
      <c r="H5153" s="10">
        <f>((0.555+0.025)*(0.11+0.025))*3*2.7*1.12</f>
        <v>0.71033760000000012</v>
      </c>
      <c r="I5153" s="538"/>
      <c r="J5153" s="242"/>
      <c r="K5153" s="326"/>
    </row>
    <row r="5154" spans="1:11" customFormat="1" x14ac:dyDescent="0.25">
      <c r="A5154" s="545"/>
      <c r="D5154" s="11" t="s">
        <v>6724</v>
      </c>
      <c r="E5154" s="11"/>
      <c r="F5154" s="11"/>
      <c r="G5154" s="603" t="s">
        <v>3</v>
      </c>
      <c r="H5154" s="10">
        <v>5.0000000000000001E-3</v>
      </c>
      <c r="I5154" s="538"/>
      <c r="J5154" s="242"/>
      <c r="K5154" s="326"/>
    </row>
    <row r="5155" spans="1:11" customFormat="1" ht="17.25" x14ac:dyDescent="0.25">
      <c r="A5155" s="545"/>
      <c r="D5155" s="42" t="s">
        <v>6723</v>
      </c>
      <c r="E5155" s="11"/>
      <c r="F5155" s="11"/>
      <c r="G5155" s="603" t="s">
        <v>596</v>
      </c>
      <c r="H5155" s="10">
        <f>1.1*H5154</f>
        <v>5.5000000000000005E-3</v>
      </c>
      <c r="I5155" s="538"/>
      <c r="J5155" s="242"/>
      <c r="K5155" s="326"/>
    </row>
    <row r="5156" spans="1:11" customFormat="1" x14ac:dyDescent="0.25">
      <c r="A5156" s="545" t="s">
        <v>7267</v>
      </c>
      <c r="D5156" s="3" t="s">
        <v>7266</v>
      </c>
      <c r="G5156" s="537"/>
      <c r="H5156" s="10"/>
      <c r="I5156" s="538"/>
      <c r="J5156" s="242"/>
      <c r="K5156" s="326"/>
    </row>
    <row r="5157" spans="1:11" customFormat="1" x14ac:dyDescent="0.25">
      <c r="A5157" s="545"/>
      <c r="D5157" t="s">
        <v>213</v>
      </c>
      <c r="G5157" s="603" t="s">
        <v>3</v>
      </c>
      <c r="H5157" s="10">
        <f>0.58*0.295*3*2.7*1.11</f>
        <v>1.5383600999999998</v>
      </c>
      <c r="I5157" s="538"/>
      <c r="J5157" s="242"/>
      <c r="K5157" s="326"/>
    </row>
    <row r="5158" spans="1:11" customFormat="1" x14ac:dyDescent="0.25">
      <c r="A5158" s="545"/>
      <c r="D5158" s="11" t="s">
        <v>6724</v>
      </c>
      <c r="E5158" s="11"/>
      <c r="F5158" s="11"/>
      <c r="G5158" s="603" t="s">
        <v>3</v>
      </c>
      <c r="H5158" s="10">
        <v>5.0000000000000001E-3</v>
      </c>
      <c r="I5158" s="538"/>
      <c r="J5158" s="242"/>
      <c r="K5158" s="326"/>
    </row>
    <row r="5159" spans="1:11" customFormat="1" ht="17.25" x14ac:dyDescent="0.25">
      <c r="A5159" s="545"/>
      <c r="D5159" s="42" t="s">
        <v>6723</v>
      </c>
      <c r="E5159" s="11"/>
      <c r="F5159" s="11"/>
      <c r="G5159" s="603" t="s">
        <v>596</v>
      </c>
      <c r="H5159" s="10">
        <f>1.1*H5158</f>
        <v>5.5000000000000005E-3</v>
      </c>
      <c r="I5159" s="538"/>
      <c r="J5159" s="242"/>
      <c r="K5159" s="326"/>
    </row>
    <row r="5160" spans="1:11" customFormat="1" x14ac:dyDescent="0.25">
      <c r="A5160" s="545" t="s">
        <v>7265</v>
      </c>
      <c r="D5160" s="54" t="s">
        <v>7264</v>
      </c>
      <c r="E5160" s="8"/>
      <c r="F5160" s="8"/>
      <c r="G5160" s="128"/>
      <c r="H5160" s="32"/>
      <c r="I5160" s="538"/>
      <c r="J5160" s="242"/>
      <c r="K5160" s="326"/>
    </row>
    <row r="5161" spans="1:11" customFormat="1" x14ac:dyDescent="0.25">
      <c r="A5161" s="545"/>
      <c r="D5161" s="8" t="s">
        <v>213</v>
      </c>
      <c r="E5161" s="8"/>
      <c r="F5161" s="8"/>
      <c r="G5161" s="158" t="s">
        <v>3</v>
      </c>
      <c r="H5161" s="32">
        <f>((1.395-1.13+0.03)*0.385+(0.385-0.28+0.03)*1.13)*3*2.7*1.11</f>
        <v>2.392729875000001</v>
      </c>
      <c r="I5161" s="538"/>
      <c r="J5161" s="242"/>
      <c r="K5161" s="326"/>
    </row>
    <row r="5162" spans="1:11" customFormat="1" x14ac:dyDescent="0.25">
      <c r="A5162" s="545"/>
      <c r="D5162" s="42" t="s">
        <v>6724</v>
      </c>
      <c r="E5162" s="42"/>
      <c r="F5162" s="42"/>
      <c r="G5162" s="158" t="s">
        <v>3</v>
      </c>
      <c r="H5162" s="32">
        <f>0.25*0.035*1.3*2</f>
        <v>2.2750000000000003E-2</v>
      </c>
      <c r="I5162" s="538"/>
      <c r="J5162" s="242"/>
      <c r="K5162" s="326"/>
    </row>
    <row r="5163" spans="1:11" customFormat="1" ht="17.25" x14ac:dyDescent="0.25">
      <c r="A5163" s="545"/>
      <c r="D5163" s="42" t="s">
        <v>6723</v>
      </c>
      <c r="E5163" s="42"/>
      <c r="F5163" s="42"/>
      <c r="G5163" s="158" t="s">
        <v>596</v>
      </c>
      <c r="H5163" s="32">
        <f>1.09*H5162</f>
        <v>2.4797500000000004E-2</v>
      </c>
      <c r="I5163" s="538"/>
      <c r="J5163" s="242"/>
      <c r="K5163" s="326"/>
    </row>
    <row r="5164" spans="1:11" customFormat="1" x14ac:dyDescent="0.25">
      <c r="A5164" s="545" t="s">
        <v>7263</v>
      </c>
      <c r="D5164" s="3" t="s">
        <v>7262</v>
      </c>
      <c r="G5164" s="537"/>
      <c r="H5164" s="10"/>
      <c r="I5164" s="538"/>
      <c r="J5164" s="242"/>
      <c r="K5164" s="326"/>
    </row>
    <row r="5165" spans="1:11" customFormat="1" x14ac:dyDescent="0.25">
      <c r="A5165" s="545"/>
      <c r="D5165" t="s">
        <v>213</v>
      </c>
      <c r="G5165" s="603" t="s">
        <v>3</v>
      </c>
      <c r="H5165" s="10">
        <f>0.28*1.4*3*2.7*1.1</f>
        <v>3.4927200000000012</v>
      </c>
      <c r="I5165" s="538"/>
      <c r="J5165" s="242"/>
      <c r="K5165" s="326"/>
    </row>
    <row r="5166" spans="1:11" customFormat="1" x14ac:dyDescent="0.25">
      <c r="A5166" s="545" t="s">
        <v>7261</v>
      </c>
      <c r="D5166" s="3" t="s">
        <v>2658</v>
      </c>
      <c r="G5166" s="537"/>
      <c r="H5166" s="10"/>
      <c r="I5166" s="538"/>
      <c r="J5166" s="242"/>
      <c r="K5166" s="326"/>
    </row>
    <row r="5167" spans="1:11" customFormat="1" x14ac:dyDescent="0.25">
      <c r="A5167" s="545"/>
      <c r="D5167" t="s">
        <v>1138</v>
      </c>
      <c r="G5167" s="603" t="s">
        <v>3</v>
      </c>
      <c r="H5167" s="10">
        <f>0.05*0.07*4*2.7*1.05</f>
        <v>3.969000000000001E-2</v>
      </c>
      <c r="I5167" s="538"/>
      <c r="J5167" s="242"/>
      <c r="K5167" s="326"/>
    </row>
    <row r="5168" spans="1:11" customFormat="1" x14ac:dyDescent="0.25">
      <c r="A5168" s="545" t="s">
        <v>7260</v>
      </c>
      <c r="C5168" s="3" t="s">
        <v>7259</v>
      </c>
      <c r="G5168" s="537"/>
      <c r="H5168" s="10"/>
      <c r="I5168" s="538"/>
      <c r="J5168" s="242"/>
      <c r="K5168" s="326"/>
    </row>
    <row r="5169" spans="1:11" customFormat="1" x14ac:dyDescent="0.25">
      <c r="A5169" s="545"/>
      <c r="C5169" s="25" t="s">
        <v>140</v>
      </c>
      <c r="G5169" s="603" t="s">
        <v>3</v>
      </c>
      <c r="H5169" s="10">
        <f>0.08*0.08*1.2</f>
        <v>7.6800000000000002E-3</v>
      </c>
      <c r="I5169" s="538"/>
      <c r="J5169" s="242"/>
      <c r="K5169" s="326"/>
    </row>
    <row r="5170" spans="1:11" customFormat="1" x14ac:dyDescent="0.25">
      <c r="A5170" s="545"/>
      <c r="C5170" s="25" t="s">
        <v>23</v>
      </c>
      <c r="G5170" s="603" t="s">
        <v>3</v>
      </c>
      <c r="H5170" s="10">
        <f>H5169*2</f>
        <v>1.536E-2</v>
      </c>
      <c r="I5170" s="538"/>
      <c r="J5170" s="242"/>
      <c r="K5170" s="326"/>
    </row>
    <row r="5171" spans="1:11" customFormat="1" x14ac:dyDescent="0.25">
      <c r="A5171" s="545"/>
      <c r="C5171" s="25" t="s">
        <v>142</v>
      </c>
      <c r="G5171" s="603" t="s">
        <v>3</v>
      </c>
      <c r="H5171" s="10">
        <f>H5169/4</f>
        <v>1.92E-3</v>
      </c>
      <c r="I5171" s="538"/>
      <c r="J5171" s="242"/>
      <c r="K5171" s="326"/>
    </row>
    <row r="5172" spans="1:11" customFormat="1" x14ac:dyDescent="0.25">
      <c r="A5172" s="545" t="s">
        <v>7258</v>
      </c>
      <c r="C5172" s="3" t="s">
        <v>870</v>
      </c>
      <c r="G5172" s="537"/>
      <c r="H5172" s="10"/>
      <c r="I5172" s="538"/>
      <c r="J5172" s="242"/>
      <c r="K5172" s="326"/>
    </row>
    <row r="5173" spans="1:11" customFormat="1" x14ac:dyDescent="0.25">
      <c r="A5173" s="545"/>
      <c r="C5173" t="s">
        <v>1138</v>
      </c>
      <c r="G5173" s="603" t="s">
        <v>3</v>
      </c>
      <c r="H5173" s="10">
        <f>0.015*1.1</f>
        <v>1.6500000000000001E-2</v>
      </c>
      <c r="I5173" s="538"/>
      <c r="J5173" s="242"/>
      <c r="K5173" s="326"/>
    </row>
    <row r="5174" spans="1:11" customFormat="1" x14ac:dyDescent="0.25">
      <c r="A5174" s="545"/>
      <c r="G5174" s="603"/>
      <c r="H5174" s="10"/>
      <c r="I5174" s="538"/>
      <c r="J5174" s="242"/>
      <c r="K5174" s="326"/>
    </row>
    <row r="5175" spans="1:11" customFormat="1" x14ac:dyDescent="0.25">
      <c r="A5175" s="545" t="s">
        <v>7257</v>
      </c>
      <c r="B5175" s="3" t="s">
        <v>7256</v>
      </c>
      <c r="G5175" s="537"/>
      <c r="H5175" s="10"/>
      <c r="I5175" s="538"/>
      <c r="J5175" s="242"/>
      <c r="K5175" s="326"/>
    </row>
    <row r="5176" spans="1:11" customFormat="1" x14ac:dyDescent="0.25">
      <c r="A5176" s="545" t="s">
        <v>7255</v>
      </c>
      <c r="C5176" s="3" t="s">
        <v>7254</v>
      </c>
      <c r="G5176" s="537"/>
      <c r="H5176" s="10"/>
      <c r="I5176" s="538"/>
      <c r="J5176" s="242"/>
      <c r="K5176" s="11"/>
    </row>
    <row r="5177" spans="1:11" customFormat="1" x14ac:dyDescent="0.25">
      <c r="A5177" s="545" t="s">
        <v>7253</v>
      </c>
      <c r="D5177" s="3" t="s">
        <v>7252</v>
      </c>
      <c r="G5177" s="128"/>
      <c r="H5177" s="10"/>
      <c r="I5177" s="538"/>
      <c r="J5177" s="242"/>
      <c r="K5177" s="326"/>
    </row>
    <row r="5178" spans="1:11" customFormat="1" x14ac:dyDescent="0.25">
      <c r="A5178" s="545"/>
      <c r="B5178" s="3"/>
      <c r="D5178" t="s">
        <v>7251</v>
      </c>
      <c r="G5178" s="603" t="s">
        <v>3</v>
      </c>
      <c r="H5178" s="10">
        <f>0.095*0.095*2.5*8*1.08</f>
        <v>0.19494</v>
      </c>
      <c r="I5178" s="538"/>
      <c r="J5178" s="242"/>
      <c r="K5178" s="326"/>
    </row>
    <row r="5179" spans="1:11" customFormat="1" x14ac:dyDescent="0.25">
      <c r="A5179" s="545"/>
      <c r="B5179" s="3"/>
      <c r="G5179" s="537"/>
      <c r="H5179" s="10"/>
      <c r="I5179" s="538"/>
      <c r="J5179" s="242"/>
      <c r="K5179" s="2"/>
    </row>
    <row r="5180" spans="1:11" customFormat="1" x14ac:dyDescent="0.25">
      <c r="A5180" s="545" t="s">
        <v>7250</v>
      </c>
      <c r="B5180" s="3" t="s">
        <v>7249</v>
      </c>
      <c r="G5180" s="537"/>
      <c r="H5180" s="10"/>
      <c r="I5180" s="538"/>
      <c r="J5180" s="242"/>
      <c r="K5180" s="326"/>
    </row>
    <row r="5181" spans="1:11" customFormat="1" x14ac:dyDescent="0.25">
      <c r="A5181" s="545" t="s">
        <v>7248</v>
      </c>
      <c r="B5181" s="3"/>
      <c r="C5181" s="3" t="s">
        <v>7247</v>
      </c>
      <c r="G5181" s="537"/>
      <c r="H5181" s="10"/>
      <c r="I5181" s="538"/>
      <c r="J5181" s="242"/>
      <c r="K5181" s="326"/>
    </row>
    <row r="5182" spans="1:11" customFormat="1" x14ac:dyDescent="0.25">
      <c r="A5182" s="545" t="s">
        <v>7246</v>
      </c>
      <c r="B5182" s="3"/>
      <c r="D5182" s="4" t="s">
        <v>7245</v>
      </c>
      <c r="G5182" s="537"/>
      <c r="H5182" s="10"/>
      <c r="I5182" s="538"/>
      <c r="J5182" s="242"/>
      <c r="K5182" s="326"/>
    </row>
    <row r="5183" spans="1:11" customFormat="1" x14ac:dyDescent="0.25">
      <c r="A5183" s="545"/>
      <c r="B5183" s="3"/>
      <c r="D5183" t="s">
        <v>6905</v>
      </c>
      <c r="G5183" s="537" t="s">
        <v>3</v>
      </c>
      <c r="H5183" s="10">
        <f>0.2*0.012*5*8*1.1</f>
        <v>0.10560000000000001</v>
      </c>
      <c r="I5183" s="538"/>
      <c r="J5183" s="242"/>
      <c r="K5183" s="2"/>
    </row>
    <row r="5184" spans="1:11" customFormat="1" x14ac:dyDescent="0.25">
      <c r="A5184" s="545" t="s">
        <v>7244</v>
      </c>
      <c r="B5184" s="3"/>
      <c r="C5184" s="3" t="s">
        <v>7243</v>
      </c>
      <c r="G5184" s="537"/>
      <c r="H5184" s="10"/>
      <c r="I5184" s="538"/>
      <c r="J5184" s="242"/>
      <c r="K5184" s="326"/>
    </row>
    <row r="5185" spans="1:11" customFormat="1" x14ac:dyDescent="0.25">
      <c r="A5185" s="545" t="s">
        <v>7242</v>
      </c>
      <c r="B5185" s="3"/>
      <c r="D5185" s="4" t="s">
        <v>7241</v>
      </c>
      <c r="G5185" s="537"/>
      <c r="H5185" s="10"/>
      <c r="I5185" s="538"/>
      <c r="J5185" s="242"/>
      <c r="K5185" s="326"/>
    </row>
    <row r="5186" spans="1:11" customFormat="1" x14ac:dyDescent="0.25">
      <c r="A5186" s="545"/>
      <c r="B5186" s="3"/>
      <c r="D5186" t="s">
        <v>6905</v>
      </c>
      <c r="G5186" s="537" t="s">
        <v>3</v>
      </c>
      <c r="H5186" s="10">
        <f>0.26*0.04*5*8*1.1</f>
        <v>0.45760000000000006</v>
      </c>
      <c r="I5186" s="538"/>
      <c r="J5186" s="242"/>
      <c r="K5186" s="326"/>
    </row>
    <row r="5187" spans="1:11" customFormat="1" x14ac:dyDescent="0.25">
      <c r="A5187" s="545" t="s">
        <v>7240</v>
      </c>
      <c r="B5187" s="3"/>
      <c r="C5187" s="3" t="s">
        <v>7239</v>
      </c>
      <c r="G5187" s="537"/>
      <c r="H5187" s="10"/>
      <c r="I5187" s="538"/>
      <c r="J5187" s="242"/>
      <c r="K5187" s="326"/>
    </row>
    <row r="5188" spans="1:11" customFormat="1" x14ac:dyDescent="0.25">
      <c r="A5188" s="545" t="s">
        <v>7238</v>
      </c>
      <c r="B5188" s="3"/>
      <c r="D5188" s="3" t="s">
        <v>7237</v>
      </c>
      <c r="G5188" s="537"/>
      <c r="H5188" s="10"/>
      <c r="I5188" s="538"/>
      <c r="J5188" s="242"/>
      <c r="K5188" s="2"/>
    </row>
    <row r="5189" spans="1:11" customFormat="1" x14ac:dyDescent="0.25">
      <c r="A5189" s="545"/>
      <c r="B5189" s="3"/>
      <c r="D5189" t="s">
        <v>7234</v>
      </c>
      <c r="G5189" s="537" t="s">
        <v>3</v>
      </c>
      <c r="H5189" s="10">
        <v>0.22</v>
      </c>
      <c r="I5189" s="538"/>
      <c r="J5189" s="242"/>
      <c r="K5189" s="326"/>
    </row>
    <row r="5190" spans="1:11" customFormat="1" x14ac:dyDescent="0.25">
      <c r="A5190" s="545" t="s">
        <v>7236</v>
      </c>
      <c r="B5190" s="3"/>
      <c r="D5190" s="3" t="s">
        <v>7235</v>
      </c>
      <c r="G5190" s="537"/>
      <c r="H5190" s="10"/>
      <c r="I5190" s="538"/>
      <c r="J5190" s="242"/>
      <c r="K5190" s="326"/>
    </row>
    <row r="5191" spans="1:11" customFormat="1" x14ac:dyDescent="0.25">
      <c r="A5191" s="545"/>
      <c r="B5191" s="3"/>
      <c r="D5191" t="s">
        <v>7234</v>
      </c>
      <c r="G5191" s="537" t="s">
        <v>3</v>
      </c>
      <c r="H5191" s="10">
        <v>0.25</v>
      </c>
      <c r="I5191" s="538"/>
      <c r="J5191" s="242"/>
      <c r="K5191" s="326"/>
    </row>
    <row r="5192" spans="1:11" customFormat="1" x14ac:dyDescent="0.25">
      <c r="A5192" s="545" t="s">
        <v>7233</v>
      </c>
      <c r="B5192" s="3"/>
      <c r="D5192" s="3" t="s">
        <v>6688</v>
      </c>
      <c r="G5192" s="537"/>
      <c r="H5192" s="10"/>
      <c r="I5192" s="538"/>
      <c r="J5192" s="242"/>
      <c r="K5192" s="326"/>
    </row>
    <row r="5193" spans="1:11" customFormat="1" x14ac:dyDescent="0.25">
      <c r="A5193" s="545"/>
      <c r="B5193" s="3"/>
      <c r="D5193" t="s">
        <v>7232</v>
      </c>
      <c r="G5193" s="537" t="s">
        <v>3</v>
      </c>
      <c r="H5193" s="10">
        <v>0.5</v>
      </c>
      <c r="I5193" s="538"/>
      <c r="J5193" s="242"/>
      <c r="K5193" s="326"/>
    </row>
    <row r="5194" spans="1:11" customFormat="1" x14ac:dyDescent="0.25">
      <c r="A5194" s="545" t="s">
        <v>7231</v>
      </c>
      <c r="C5194" s="3" t="s">
        <v>7230</v>
      </c>
      <c r="G5194" s="537"/>
      <c r="H5194" s="10"/>
      <c r="I5194" s="538"/>
      <c r="J5194" s="242"/>
      <c r="K5194" s="326"/>
    </row>
    <row r="5195" spans="1:11" customFormat="1" x14ac:dyDescent="0.25">
      <c r="A5195" s="545" t="s">
        <v>7229</v>
      </c>
      <c r="C5195" s="3"/>
      <c r="D5195" s="4" t="s">
        <v>7228</v>
      </c>
      <c r="G5195" s="537"/>
      <c r="H5195" s="10"/>
      <c r="I5195" s="538"/>
      <c r="J5195" s="242"/>
      <c r="K5195" s="326"/>
    </row>
    <row r="5196" spans="1:11" customFormat="1" x14ac:dyDescent="0.25">
      <c r="A5196" s="545"/>
      <c r="C5196" s="3"/>
      <c r="D5196" t="s">
        <v>7227</v>
      </c>
      <c r="G5196" s="537" t="s">
        <v>3</v>
      </c>
      <c r="H5196" s="10">
        <f>0.091*0.091*3*2*1.05</f>
        <v>5.2170300000000003E-2</v>
      </c>
      <c r="I5196" s="538"/>
      <c r="J5196" s="242"/>
      <c r="K5196" s="326"/>
    </row>
    <row r="5197" spans="1:11" customFormat="1" x14ac:dyDescent="0.25">
      <c r="A5197" s="545" t="s">
        <v>7226</v>
      </c>
      <c r="C5197" s="3" t="s">
        <v>7225</v>
      </c>
      <c r="G5197" s="537"/>
      <c r="H5197" s="10"/>
      <c r="I5197" s="538"/>
      <c r="J5197" s="242"/>
      <c r="K5197" s="326"/>
    </row>
    <row r="5198" spans="1:11" customFormat="1" x14ac:dyDescent="0.25">
      <c r="A5198" s="545"/>
      <c r="C5198" s="25" t="s">
        <v>7224</v>
      </c>
      <c r="G5198" s="537" t="s">
        <v>3</v>
      </c>
      <c r="H5198" s="10">
        <f>0.032*0.032*3*8*1.05</f>
        <v>2.5804800000000003E-2</v>
      </c>
      <c r="I5198" s="538"/>
      <c r="J5198" s="242"/>
      <c r="K5198" s="326"/>
    </row>
    <row r="5199" spans="1:11" customFormat="1" x14ac:dyDescent="0.25">
      <c r="A5199" s="545" t="s">
        <v>7223</v>
      </c>
      <c r="C5199" s="3" t="s">
        <v>7222</v>
      </c>
      <c r="G5199" s="537"/>
      <c r="H5199" s="10"/>
      <c r="I5199" s="538"/>
      <c r="J5199" s="242"/>
      <c r="K5199" s="326"/>
    </row>
    <row r="5200" spans="1:11" customFormat="1" x14ac:dyDescent="0.25">
      <c r="A5200" s="545"/>
      <c r="C5200" s="25" t="s">
        <v>177</v>
      </c>
      <c r="G5200" s="537" t="s">
        <v>3</v>
      </c>
      <c r="H5200" s="10">
        <f>0.035*0.012*1*8*1.05</f>
        <v>3.5280000000000008E-3</v>
      </c>
      <c r="I5200" s="538"/>
      <c r="J5200" s="242"/>
      <c r="K5200" s="326"/>
    </row>
    <row r="5201" spans="1:11" customFormat="1" x14ac:dyDescent="0.25">
      <c r="A5201" s="545" t="s">
        <v>7221</v>
      </c>
      <c r="C5201" s="3" t="s">
        <v>7220</v>
      </c>
      <c r="G5201" s="537"/>
      <c r="H5201" s="10"/>
      <c r="I5201" s="538"/>
      <c r="J5201" s="242"/>
      <c r="K5201" s="326"/>
    </row>
    <row r="5202" spans="1:11" customFormat="1" x14ac:dyDescent="0.25">
      <c r="A5202" s="545"/>
      <c r="C5202" s="25" t="s">
        <v>5257</v>
      </c>
      <c r="G5202" s="537" t="s">
        <v>3</v>
      </c>
      <c r="H5202" s="10">
        <f>0.025*0.025*1*8*1.08</f>
        <v>5.4000000000000012E-3</v>
      </c>
      <c r="I5202" s="538"/>
      <c r="J5202" s="242"/>
      <c r="K5202" s="326"/>
    </row>
    <row r="5203" spans="1:11" customFormat="1" x14ac:dyDescent="0.25">
      <c r="A5203" s="545"/>
      <c r="C5203" s="25"/>
      <c r="G5203" s="537"/>
      <c r="H5203" s="10"/>
      <c r="I5203" s="538"/>
      <c r="J5203" s="242"/>
      <c r="K5203" s="326"/>
    </row>
    <row r="5204" spans="1:11" customFormat="1" x14ac:dyDescent="0.25">
      <c r="A5204" s="545" t="s">
        <v>7219</v>
      </c>
      <c r="B5204" s="3" t="s">
        <v>7218</v>
      </c>
      <c r="C5204" s="25"/>
      <c r="G5204" s="537"/>
      <c r="H5204" s="10"/>
      <c r="I5204" s="538"/>
      <c r="J5204" s="242"/>
      <c r="K5204" s="326"/>
    </row>
    <row r="5205" spans="1:11" customFormat="1" x14ac:dyDescent="0.25">
      <c r="A5205" s="545" t="s">
        <v>7217</v>
      </c>
      <c r="C5205" s="3" t="s">
        <v>7216</v>
      </c>
      <c r="G5205" s="537"/>
      <c r="H5205" s="10"/>
      <c r="I5205" s="538"/>
      <c r="J5205" s="242"/>
      <c r="K5205" s="326"/>
    </row>
    <row r="5206" spans="1:11" customFormat="1" x14ac:dyDescent="0.25">
      <c r="A5206" s="545" t="s">
        <v>7215</v>
      </c>
      <c r="C5206" s="25"/>
      <c r="D5206" s="4" t="s">
        <v>7214</v>
      </c>
      <c r="G5206" s="537"/>
      <c r="H5206" s="10"/>
      <c r="I5206" s="538"/>
      <c r="J5206" s="242"/>
      <c r="K5206" s="326"/>
    </row>
    <row r="5207" spans="1:11" customFormat="1" x14ac:dyDescent="0.25">
      <c r="A5207" s="545"/>
      <c r="C5207" s="25"/>
      <c r="D5207" t="s">
        <v>5371</v>
      </c>
      <c r="G5207" s="537" t="s">
        <v>3</v>
      </c>
      <c r="H5207" s="10">
        <f>0.14*0.065*3*8*1.1</f>
        <v>0.24024000000000004</v>
      </c>
      <c r="I5207" s="538"/>
      <c r="J5207" s="242"/>
      <c r="K5207" s="326"/>
    </row>
    <row r="5208" spans="1:11" customFormat="1" x14ac:dyDescent="0.25">
      <c r="A5208" s="545"/>
      <c r="C5208" s="25"/>
      <c r="G5208" s="537"/>
      <c r="H5208" s="10"/>
      <c r="I5208" s="538"/>
      <c r="J5208" s="242"/>
      <c r="K5208" s="326"/>
    </row>
    <row r="5209" spans="1:11" customFormat="1" x14ac:dyDescent="0.25">
      <c r="A5209" s="545" t="s">
        <v>7213</v>
      </c>
      <c r="B5209" s="3" t="s">
        <v>7212</v>
      </c>
      <c r="G5209" s="537"/>
      <c r="H5209" s="10"/>
      <c r="I5209" s="538"/>
      <c r="J5209" s="242"/>
      <c r="K5209" s="326"/>
    </row>
    <row r="5210" spans="1:11" customFormat="1" x14ac:dyDescent="0.25">
      <c r="A5210" s="545" t="s">
        <v>7211</v>
      </c>
      <c r="C5210" s="4" t="s">
        <v>7210</v>
      </c>
      <c r="G5210" s="537"/>
      <c r="H5210" s="10"/>
      <c r="I5210" s="538"/>
      <c r="J5210" s="242"/>
      <c r="K5210" s="326"/>
    </row>
    <row r="5211" spans="1:11" customFormat="1" x14ac:dyDescent="0.25">
      <c r="A5211" s="545"/>
      <c r="C5211" s="25" t="s">
        <v>7209</v>
      </c>
      <c r="G5211" s="537" t="s">
        <v>3</v>
      </c>
      <c r="H5211" s="10">
        <f>0.025*0.02*4*8*1.1</f>
        <v>1.7600000000000001E-2</v>
      </c>
      <c r="I5211" s="538"/>
      <c r="J5211" s="242"/>
      <c r="K5211" s="326"/>
    </row>
    <row r="5212" spans="1:11" customFormat="1" x14ac:dyDescent="0.25">
      <c r="A5212" s="545"/>
      <c r="C5212" s="25"/>
      <c r="G5212" s="537"/>
      <c r="H5212" s="10"/>
      <c r="I5212" s="538"/>
      <c r="J5212" s="242"/>
      <c r="K5212" s="326"/>
    </row>
    <row r="5213" spans="1:11" customFormat="1" x14ac:dyDescent="0.25">
      <c r="A5213" s="545" t="s">
        <v>5396</v>
      </c>
      <c r="B5213" s="3" t="s">
        <v>7208</v>
      </c>
      <c r="C5213" s="25"/>
      <c r="G5213" s="537"/>
      <c r="H5213" s="10"/>
      <c r="I5213" s="538"/>
      <c r="J5213" s="242"/>
      <c r="K5213" s="326"/>
    </row>
    <row r="5214" spans="1:11" customFormat="1" x14ac:dyDescent="0.25">
      <c r="A5214" s="545" t="s">
        <v>7207</v>
      </c>
      <c r="C5214" s="3" t="s">
        <v>7206</v>
      </c>
      <c r="G5214" s="537"/>
      <c r="H5214" s="10"/>
      <c r="I5214" s="538"/>
      <c r="J5214" s="242"/>
      <c r="K5214" s="326"/>
    </row>
    <row r="5215" spans="1:11" customFormat="1" x14ac:dyDescent="0.25">
      <c r="A5215" s="545"/>
      <c r="C5215" s="25" t="s">
        <v>5257</v>
      </c>
      <c r="G5215" s="537" t="s">
        <v>3</v>
      </c>
      <c r="H5215" s="10">
        <f>0.55*0.105*1*8*1.1</f>
        <v>0.5082000000000001</v>
      </c>
      <c r="I5215" s="538"/>
      <c r="J5215" s="242"/>
      <c r="K5215" s="326"/>
    </row>
    <row r="5216" spans="1:11" customFormat="1" x14ac:dyDescent="0.25">
      <c r="A5216" s="545"/>
      <c r="C5216" s="25" t="s">
        <v>312</v>
      </c>
      <c r="G5216" s="537" t="s">
        <v>3</v>
      </c>
      <c r="H5216" s="10">
        <f>0.55*0.105*2*0.12*2*1.3</f>
        <v>3.6036000000000006E-2</v>
      </c>
      <c r="I5216" s="538"/>
      <c r="J5216" s="242"/>
      <c r="K5216" s="326"/>
    </row>
    <row r="5217" spans="1:15" customFormat="1" x14ac:dyDescent="0.25">
      <c r="A5217" s="545"/>
      <c r="C5217" s="25" t="s">
        <v>313</v>
      </c>
      <c r="G5217" s="537" t="s">
        <v>3</v>
      </c>
      <c r="H5217" s="10">
        <f>0.3*H5216</f>
        <v>1.0810800000000001E-2</v>
      </c>
      <c r="I5217" s="538"/>
      <c r="J5217" s="242"/>
      <c r="K5217" s="326"/>
    </row>
    <row r="5218" spans="1:15" customFormat="1" x14ac:dyDescent="0.25">
      <c r="A5218" s="545" t="s">
        <v>7205</v>
      </c>
      <c r="C5218" s="3" t="s">
        <v>7204</v>
      </c>
      <c r="G5218" s="537"/>
      <c r="H5218" s="10"/>
      <c r="I5218" s="538"/>
      <c r="J5218" s="242"/>
      <c r="K5218" s="326"/>
    </row>
    <row r="5219" spans="1:15" customFormat="1" x14ac:dyDescent="0.25">
      <c r="A5219" s="545"/>
      <c r="B5219" s="3"/>
      <c r="C5219" s="25" t="s">
        <v>7203</v>
      </c>
      <c r="G5219" s="537" t="s">
        <v>3</v>
      </c>
      <c r="H5219" s="10">
        <f>0.15*0.022*2.5*8*1.1</f>
        <v>7.2599999999999998E-2</v>
      </c>
      <c r="I5219" s="538"/>
      <c r="J5219" s="242"/>
      <c r="K5219" s="326"/>
    </row>
    <row r="5220" spans="1:15" customFormat="1" x14ac:dyDescent="0.25">
      <c r="A5220" s="545"/>
      <c r="C5220" s="25"/>
      <c r="G5220" s="537"/>
      <c r="H5220" s="10"/>
      <c r="I5220" s="538"/>
      <c r="J5220" s="242"/>
      <c r="K5220" s="326"/>
    </row>
    <row r="5221" spans="1:15" customFormat="1" x14ac:dyDescent="0.25">
      <c r="A5221" s="545" t="s">
        <v>5399</v>
      </c>
      <c r="B5221" s="3" t="s">
        <v>7202</v>
      </c>
      <c r="C5221" s="25"/>
      <c r="G5221" s="537"/>
      <c r="H5221" s="10"/>
      <c r="I5221" s="538"/>
      <c r="J5221" s="242"/>
      <c r="K5221" s="326"/>
    </row>
    <row r="5222" spans="1:15" customFormat="1" x14ac:dyDescent="0.25">
      <c r="A5222" s="545"/>
      <c r="C5222" t="s">
        <v>379</v>
      </c>
      <c r="G5222" s="537" t="s">
        <v>195</v>
      </c>
      <c r="H5222" s="10">
        <v>0.22</v>
      </c>
      <c r="I5222" s="538"/>
      <c r="J5222" s="242"/>
      <c r="K5222" s="326"/>
    </row>
    <row r="5223" spans="1:15" customFormat="1" x14ac:dyDescent="0.25">
      <c r="A5223" s="545"/>
      <c r="C5223" t="s">
        <v>7201</v>
      </c>
      <c r="G5223" s="537" t="s">
        <v>3</v>
      </c>
      <c r="H5223" s="10">
        <v>1E-3</v>
      </c>
      <c r="I5223" s="538"/>
      <c r="J5223" s="242"/>
      <c r="K5223" s="326"/>
    </row>
    <row r="5224" spans="1:15" customFormat="1" x14ac:dyDescent="0.25">
      <c r="A5224" s="545"/>
      <c r="C5224" t="s">
        <v>671</v>
      </c>
      <c r="G5224" s="537" t="s">
        <v>3</v>
      </c>
      <c r="H5224" s="10">
        <f>0.007</f>
        <v>7.0000000000000001E-3</v>
      </c>
      <c r="I5224" s="538"/>
      <c r="J5224" s="242"/>
      <c r="K5224" s="326"/>
    </row>
    <row r="5225" spans="1:15" customFormat="1" x14ac:dyDescent="0.25">
      <c r="A5225" s="545"/>
      <c r="C5225" t="s">
        <v>672</v>
      </c>
      <c r="G5225" s="537" t="s">
        <v>3</v>
      </c>
      <c r="H5225" s="10">
        <v>2.1000000000000001E-2</v>
      </c>
      <c r="I5225" s="538"/>
      <c r="J5225" s="242"/>
      <c r="K5225" s="326"/>
    </row>
    <row r="5226" spans="1:15" customFormat="1" x14ac:dyDescent="0.25">
      <c r="A5226" s="545"/>
      <c r="C5226" s="25"/>
      <c r="G5226" s="537"/>
      <c r="H5226" s="10"/>
      <c r="I5226" s="538"/>
      <c r="J5226" s="242"/>
      <c r="K5226" s="326"/>
    </row>
    <row r="5227" spans="1:15" customFormat="1" x14ac:dyDescent="0.25">
      <c r="A5227" s="545" t="s">
        <v>7200</v>
      </c>
      <c r="B5227" s="3" t="s">
        <v>7199</v>
      </c>
      <c r="C5227" s="25"/>
      <c r="G5227" s="537"/>
      <c r="H5227" s="10"/>
      <c r="I5227" s="538"/>
      <c r="J5227" s="242"/>
      <c r="K5227" s="326"/>
    </row>
    <row r="5228" spans="1:15" customFormat="1" x14ac:dyDescent="0.25">
      <c r="A5228" s="545"/>
      <c r="B5228" s="11" t="s">
        <v>6724</v>
      </c>
      <c r="C5228" s="11"/>
      <c r="D5228" s="11"/>
      <c r="E5228" s="11"/>
      <c r="F5228" s="11"/>
      <c r="G5228" s="603" t="s">
        <v>3</v>
      </c>
      <c r="H5228" s="12">
        <f>1*0.035</f>
        <v>3.5000000000000003E-2</v>
      </c>
      <c r="I5228" s="645" t="s">
        <v>6724</v>
      </c>
      <c r="J5228" s="11"/>
      <c r="K5228" s="11"/>
      <c r="L5228" s="11"/>
      <c r="M5228" s="11"/>
      <c r="N5228" s="603" t="s">
        <v>3</v>
      </c>
      <c r="O5228" s="12">
        <f>1*0.038</f>
        <v>3.7999999999999999E-2</v>
      </c>
    </row>
    <row r="5229" spans="1:15" customFormat="1" ht="17.25" x14ac:dyDescent="0.25">
      <c r="A5229" s="545"/>
      <c r="B5229" s="42" t="s">
        <v>6723</v>
      </c>
      <c r="C5229" s="11"/>
      <c r="D5229" s="11"/>
      <c r="E5229" s="11"/>
      <c r="F5229" s="11"/>
      <c r="G5229" s="603" t="s">
        <v>596</v>
      </c>
      <c r="H5229" s="12">
        <f>H5228*1.5/1.4</f>
        <v>3.7500000000000006E-2</v>
      </c>
      <c r="I5229" s="644" t="s">
        <v>6723</v>
      </c>
      <c r="J5229" s="11"/>
      <c r="K5229" s="11"/>
      <c r="L5229" s="11"/>
      <c r="M5229" s="11"/>
      <c r="N5229" s="603" t="s">
        <v>596</v>
      </c>
      <c r="O5229" s="12">
        <f>O5228*1.5/1.4</f>
        <v>4.0714285714285717E-2</v>
      </c>
    </row>
    <row r="5230" spans="1:15" customFormat="1" x14ac:dyDescent="0.25">
      <c r="A5230" s="545"/>
      <c r="B5230" t="s">
        <v>114</v>
      </c>
      <c r="G5230" s="603" t="s">
        <v>3</v>
      </c>
      <c r="H5230" s="32">
        <f>H5233/4+0.025</f>
        <v>0.35009763000000005</v>
      </c>
      <c r="I5230" s="538" t="s">
        <v>114</v>
      </c>
      <c r="N5230" s="603" t="s">
        <v>3</v>
      </c>
      <c r="O5230" s="32">
        <f>O5233/4</f>
        <v>0.37309772500000005</v>
      </c>
    </row>
    <row r="5231" spans="1:15" customFormat="1" x14ac:dyDescent="0.25">
      <c r="A5231" s="545"/>
      <c r="B5231" t="s">
        <v>163</v>
      </c>
      <c r="G5231" s="603" t="s">
        <v>3</v>
      </c>
      <c r="H5231" s="32">
        <f>H5233/4+0.025</f>
        <v>0.35009763000000005</v>
      </c>
      <c r="I5231" s="538" t="s">
        <v>163</v>
      </c>
      <c r="N5231" s="603" t="s">
        <v>3</v>
      </c>
      <c r="O5231" s="32">
        <f>O5233/4</f>
        <v>0.37309772500000005</v>
      </c>
    </row>
    <row r="5232" spans="1:15" customFormat="1" x14ac:dyDescent="0.25">
      <c r="A5232" s="545"/>
      <c r="B5232" t="s">
        <v>164</v>
      </c>
      <c r="G5232" s="603" t="s">
        <v>3</v>
      </c>
      <c r="H5232" s="32">
        <f>0.5*(H5231+H5230)</f>
        <v>0.35009763000000005</v>
      </c>
      <c r="I5232" s="538" t="s">
        <v>164</v>
      </c>
      <c r="N5232" s="603" t="s">
        <v>3</v>
      </c>
      <c r="O5232" s="32">
        <f>0.5*(O5231+O5230)</f>
        <v>0.37309772500000005</v>
      </c>
    </row>
    <row r="5233" spans="1:15" customFormat="1" x14ac:dyDescent="0.25">
      <c r="A5233" s="545"/>
      <c r="B5233" t="s">
        <v>72</v>
      </c>
      <c r="G5233" s="603" t="s">
        <v>3</v>
      </c>
      <c r="H5233" s="32">
        <f>(0.4*1.32*2+0.355*0.55+0.435*0.55+1.32*0.6*2)*0.17*2*1.244</f>
        <v>1.3003905200000001</v>
      </c>
      <c r="I5233" s="538" t="s">
        <v>72</v>
      </c>
      <c r="N5233" s="603" t="s">
        <v>3</v>
      </c>
      <c r="O5233" s="32">
        <f>(0.48*1.32*2+0.435*0.55+0.52*0.55+1.32*0.6*2)*0.17*2*1.3</f>
        <v>1.4923909000000002</v>
      </c>
    </row>
    <row r="5234" spans="1:15" customFormat="1" x14ac:dyDescent="0.25">
      <c r="A5234" s="545"/>
      <c r="B5234" t="s">
        <v>11</v>
      </c>
      <c r="G5234" s="603" t="s">
        <v>3</v>
      </c>
      <c r="H5234" s="32">
        <f>0.3*H5233</f>
        <v>0.39011715600000002</v>
      </c>
      <c r="I5234" s="538" t="s">
        <v>11</v>
      </c>
      <c r="N5234" s="603" t="s">
        <v>3</v>
      </c>
      <c r="O5234" s="32">
        <f>0.3*O5233</f>
        <v>0.44771727000000006</v>
      </c>
    </row>
    <row r="5235" spans="1:15" customFormat="1" x14ac:dyDescent="0.25">
      <c r="A5235" s="545"/>
      <c r="B5235" t="s">
        <v>13</v>
      </c>
      <c r="G5235" s="603" t="s">
        <v>3</v>
      </c>
      <c r="H5235" s="32">
        <v>0.67</v>
      </c>
      <c r="I5235" s="538" t="s">
        <v>13</v>
      </c>
      <c r="N5235" s="603" t="s">
        <v>3</v>
      </c>
      <c r="O5235" s="32">
        <v>0.67</v>
      </c>
    </row>
    <row r="5236" spans="1:15" customFormat="1" x14ac:dyDescent="0.25">
      <c r="A5236" s="545" t="s">
        <v>7198</v>
      </c>
      <c r="B5236" s="3"/>
      <c r="C5236" s="3" t="s">
        <v>7197</v>
      </c>
      <c r="G5236" s="537"/>
      <c r="H5236" s="10"/>
      <c r="I5236" s="538" t="s">
        <v>37</v>
      </c>
      <c r="N5236" s="603" t="s">
        <v>3</v>
      </c>
      <c r="O5236" s="32">
        <f>0.05</f>
        <v>0.05</v>
      </c>
    </row>
    <row r="5237" spans="1:15" customFormat="1" x14ac:dyDescent="0.25">
      <c r="A5237" s="545"/>
      <c r="B5237" s="3"/>
      <c r="C5237" s="42" t="s">
        <v>6724</v>
      </c>
      <c r="D5237" s="42"/>
      <c r="E5237" s="42"/>
      <c r="G5237" s="158" t="s">
        <v>3</v>
      </c>
      <c r="H5237" s="10">
        <f>(0.55*4+0.35*2+0.43*2+1.32*2*1*2+0.5+0.7+0.25+0.25)*0.04</f>
        <v>0.42960000000000004</v>
      </c>
      <c r="I5237" s="581"/>
      <c r="J5237" s="242"/>
      <c r="K5237" s="326"/>
    </row>
    <row r="5238" spans="1:15" customFormat="1" ht="17.25" x14ac:dyDescent="0.25">
      <c r="A5238" s="545"/>
      <c r="B5238" s="3"/>
      <c r="C5238" s="42" t="s">
        <v>6723</v>
      </c>
      <c r="D5238" s="42"/>
      <c r="E5238" s="42"/>
      <c r="G5238" s="158" t="s">
        <v>596</v>
      </c>
      <c r="H5238" s="10">
        <f>1.09*H5237</f>
        <v>0.46826400000000007</v>
      </c>
      <c r="I5238" s="538"/>
      <c r="J5238" s="242"/>
      <c r="K5238" s="326"/>
    </row>
    <row r="5239" spans="1:15" customFormat="1" x14ac:dyDescent="0.25">
      <c r="A5239" s="545" t="s">
        <v>7196</v>
      </c>
      <c r="B5239" s="3"/>
      <c r="C5239" s="25"/>
      <c r="D5239" s="3" t="s">
        <v>7195</v>
      </c>
      <c r="G5239" s="537"/>
      <c r="H5239" s="10"/>
      <c r="I5239" s="538"/>
      <c r="J5239" s="242"/>
      <c r="K5239" s="326"/>
    </row>
    <row r="5240" spans="1:15" customFormat="1" x14ac:dyDescent="0.25">
      <c r="A5240" s="545"/>
      <c r="B5240" s="3"/>
      <c r="C5240" s="25"/>
      <c r="D5240" s="25" t="s">
        <v>213</v>
      </c>
      <c r="G5240" s="537" t="s">
        <v>3</v>
      </c>
      <c r="H5240" s="10">
        <f>(0.13*2+0.432*2+0.545)*1.32*3*2.7*1.12</f>
        <v>19.986341760000009</v>
      </c>
      <c r="I5240" s="538"/>
      <c r="J5240" s="242"/>
      <c r="K5240" s="326"/>
    </row>
    <row r="5241" spans="1:15" customFormat="1" x14ac:dyDescent="0.25">
      <c r="A5241" s="545" t="s">
        <v>7194</v>
      </c>
      <c r="B5241" s="3"/>
      <c r="C5241" s="25"/>
      <c r="D5241" s="3" t="s">
        <v>7193</v>
      </c>
      <c r="G5241" s="537"/>
      <c r="H5241" s="10"/>
      <c r="I5241" s="538"/>
      <c r="J5241" s="242"/>
      <c r="K5241" s="326"/>
    </row>
    <row r="5242" spans="1:15" customFormat="1" x14ac:dyDescent="0.25">
      <c r="A5242" s="545"/>
      <c r="B5242" s="3"/>
      <c r="C5242" s="25"/>
      <c r="D5242" s="25" t="s">
        <v>213</v>
      </c>
      <c r="G5242" s="537" t="s">
        <v>3</v>
      </c>
      <c r="H5242" s="10">
        <f>0.565*0.365*3*2.7*1.1</f>
        <v>1.8374647499999999</v>
      </c>
      <c r="I5242" s="538"/>
      <c r="J5242" s="242"/>
      <c r="K5242" s="326"/>
    </row>
    <row r="5243" spans="1:15" customFormat="1" x14ac:dyDescent="0.25">
      <c r="A5243" s="545" t="s">
        <v>7192</v>
      </c>
      <c r="B5243" s="3"/>
      <c r="C5243" s="25"/>
      <c r="D5243" s="3" t="s">
        <v>7191</v>
      </c>
      <c r="G5243" s="537"/>
      <c r="H5243" s="10"/>
      <c r="I5243" s="538"/>
      <c r="J5243" s="242"/>
      <c r="K5243" s="326"/>
    </row>
    <row r="5244" spans="1:15" customFormat="1" x14ac:dyDescent="0.25">
      <c r="A5244" s="545"/>
      <c r="B5244" s="3"/>
      <c r="C5244" s="25"/>
      <c r="D5244" s="25" t="s">
        <v>213</v>
      </c>
      <c r="G5244" s="537" t="s">
        <v>3</v>
      </c>
      <c r="H5244" s="10">
        <f>0.565*0.445*3*2.7*1.11</f>
        <v>2.2605621749999996</v>
      </c>
      <c r="I5244" s="538"/>
      <c r="J5244" s="242"/>
      <c r="K5244" s="326"/>
    </row>
    <row r="5245" spans="1:15" customFormat="1" x14ac:dyDescent="0.25">
      <c r="A5245" s="545" t="s">
        <v>7190</v>
      </c>
      <c r="B5245" s="3"/>
      <c r="C5245" s="25"/>
      <c r="D5245" s="3" t="s">
        <v>7189</v>
      </c>
      <c r="G5245" s="537"/>
      <c r="H5245" s="10"/>
      <c r="I5245" s="538"/>
      <c r="J5245" s="242"/>
      <c r="K5245" s="326"/>
    </row>
    <row r="5246" spans="1:15" customFormat="1" x14ac:dyDescent="0.25">
      <c r="A5246" s="545"/>
      <c r="B5246" s="3"/>
      <c r="C5246" s="25"/>
      <c r="D5246" s="25" t="s">
        <v>213</v>
      </c>
      <c r="G5246" s="537" t="s">
        <v>3</v>
      </c>
      <c r="H5246" s="10">
        <f>(1.13*0.07*2+0.385*0.11*2)*3*2.7*1.11</f>
        <v>2.1839139000000003</v>
      </c>
      <c r="I5246" s="538"/>
      <c r="J5246" s="242"/>
      <c r="K5246" s="326"/>
    </row>
    <row r="5247" spans="1:15" customFormat="1" x14ac:dyDescent="0.25">
      <c r="A5247" s="545"/>
      <c r="B5247" s="3"/>
      <c r="C5247" s="25"/>
      <c r="D5247" s="42" t="s">
        <v>6724</v>
      </c>
      <c r="E5247" s="42"/>
      <c r="F5247" s="42"/>
      <c r="G5247" s="158" t="s">
        <v>3</v>
      </c>
      <c r="H5247" s="32">
        <f>0.3*0.035*1.3</f>
        <v>1.3650000000000001E-2</v>
      </c>
      <c r="I5247" s="538"/>
      <c r="J5247" s="242"/>
      <c r="K5247" s="326"/>
    </row>
    <row r="5248" spans="1:15" customFormat="1" ht="17.25" x14ac:dyDescent="0.25">
      <c r="A5248" s="545"/>
      <c r="B5248" s="3"/>
      <c r="C5248" s="25"/>
      <c r="D5248" s="42" t="s">
        <v>6723</v>
      </c>
      <c r="E5248" s="42"/>
      <c r="F5248" s="42"/>
      <c r="G5248" s="158" t="s">
        <v>596</v>
      </c>
      <c r="H5248" s="32">
        <f>1.09*H5247</f>
        <v>1.4878500000000001E-2</v>
      </c>
      <c r="I5248" s="538"/>
      <c r="J5248" s="242"/>
      <c r="K5248" s="326"/>
    </row>
    <row r="5249" spans="1:11" customFormat="1" x14ac:dyDescent="0.25">
      <c r="A5249" s="545" t="s">
        <v>7188</v>
      </c>
      <c r="C5249" s="25"/>
      <c r="D5249" s="3" t="s">
        <v>7187</v>
      </c>
      <c r="G5249" s="537"/>
      <c r="H5249" s="10"/>
      <c r="I5249" s="538"/>
      <c r="J5249" s="242"/>
      <c r="K5249" s="326"/>
    </row>
    <row r="5250" spans="1:11" customFormat="1" x14ac:dyDescent="0.25">
      <c r="A5250" s="545"/>
      <c r="C5250" s="25"/>
      <c r="D5250" s="25" t="s">
        <v>213</v>
      </c>
      <c r="G5250" s="158" t="s">
        <v>3</v>
      </c>
      <c r="H5250" s="10">
        <f>0.58*0.29*3*2.7*1.101</f>
        <v>1.5000244199999999</v>
      </c>
      <c r="I5250" s="538"/>
      <c r="J5250" s="242"/>
      <c r="K5250" s="326"/>
    </row>
    <row r="5251" spans="1:11" customFormat="1" x14ac:dyDescent="0.25">
      <c r="A5251" s="545" t="s">
        <v>7186</v>
      </c>
      <c r="C5251" s="25"/>
      <c r="D5251" s="3" t="s">
        <v>7185</v>
      </c>
      <c r="G5251" s="537"/>
      <c r="H5251" s="10"/>
      <c r="I5251" s="538"/>
      <c r="J5251" s="242"/>
      <c r="K5251" s="326"/>
    </row>
    <row r="5252" spans="1:11" customFormat="1" x14ac:dyDescent="0.25">
      <c r="A5252" s="545"/>
      <c r="C5252" s="25"/>
      <c r="D5252" s="25" t="s">
        <v>213</v>
      </c>
      <c r="G5252" s="158" t="s">
        <v>3</v>
      </c>
      <c r="H5252" s="10">
        <f>0.855*0.29*3*2.7*1.1101</f>
        <v>2.2295192894999998</v>
      </c>
      <c r="I5252" s="538"/>
      <c r="J5252" s="242"/>
      <c r="K5252" s="326"/>
    </row>
    <row r="5253" spans="1:11" customFormat="1" x14ac:dyDescent="0.25">
      <c r="A5253" s="545" t="s">
        <v>7184</v>
      </c>
      <c r="D5253" s="3" t="s">
        <v>7183</v>
      </c>
      <c r="G5253" s="537"/>
      <c r="H5253" s="10"/>
      <c r="I5253" s="538"/>
      <c r="J5253" s="242"/>
      <c r="K5253" s="326"/>
    </row>
    <row r="5254" spans="1:11" customFormat="1" x14ac:dyDescent="0.25">
      <c r="A5254" s="545"/>
      <c r="D5254" s="25" t="s">
        <v>213</v>
      </c>
      <c r="G5254" s="158" t="s">
        <v>3</v>
      </c>
      <c r="H5254" s="10">
        <f>0.391*0.17*3*2.7*1.115</f>
        <v>0.60032380500000004</v>
      </c>
      <c r="I5254" s="538"/>
      <c r="J5254" s="242"/>
      <c r="K5254" s="326"/>
    </row>
    <row r="5255" spans="1:11" customFormat="1" x14ac:dyDescent="0.25">
      <c r="A5255" s="545" t="s">
        <v>7182</v>
      </c>
      <c r="C5255" s="3" t="s">
        <v>2772</v>
      </c>
      <c r="D5255" s="3"/>
      <c r="G5255" s="537"/>
      <c r="H5255" s="10"/>
      <c r="I5255" s="538"/>
      <c r="J5255" s="242"/>
      <c r="K5255" s="326"/>
    </row>
    <row r="5256" spans="1:11" customFormat="1" x14ac:dyDescent="0.25">
      <c r="A5256" s="545"/>
      <c r="C5256" s="11" t="s">
        <v>6724</v>
      </c>
      <c r="D5256" s="11"/>
      <c r="E5256" s="11"/>
      <c r="F5256" s="11"/>
      <c r="G5256" s="158" t="s">
        <v>3</v>
      </c>
      <c r="H5256" s="32">
        <f>(15*0.03+0.02*12*2+0.3)*0.04</f>
        <v>4.9200000000000001E-2</v>
      </c>
      <c r="I5256" s="538"/>
      <c r="J5256" s="242"/>
      <c r="K5256" s="326"/>
    </row>
    <row r="5257" spans="1:11" customFormat="1" ht="17.25" x14ac:dyDescent="0.25">
      <c r="A5257" s="545"/>
      <c r="C5257" s="42" t="s">
        <v>6723</v>
      </c>
      <c r="D5257" s="11"/>
      <c r="E5257" s="11"/>
      <c r="F5257" s="11"/>
      <c r="G5257" s="158" t="s">
        <v>596</v>
      </c>
      <c r="H5257" s="32">
        <f>1.09*H5256</f>
        <v>5.3628000000000002E-2</v>
      </c>
      <c r="I5257" s="538"/>
      <c r="J5257" s="242"/>
      <c r="K5257" s="326"/>
    </row>
    <row r="5258" spans="1:11" customFormat="1" x14ac:dyDescent="0.25">
      <c r="A5258" s="545"/>
      <c r="C5258" s="25" t="s">
        <v>37</v>
      </c>
      <c r="G5258" s="158" t="s">
        <v>3</v>
      </c>
      <c r="H5258" s="32">
        <f>0.05</f>
        <v>0.05</v>
      </c>
      <c r="I5258" s="538"/>
      <c r="J5258" s="242"/>
      <c r="K5258" s="326"/>
    </row>
    <row r="5259" spans="1:11" customFormat="1" x14ac:dyDescent="0.25">
      <c r="A5259" s="545" t="s">
        <v>7181</v>
      </c>
      <c r="D5259" s="3" t="s">
        <v>2773</v>
      </c>
      <c r="G5259" s="13"/>
      <c r="H5259" s="10"/>
      <c r="I5259" s="538"/>
      <c r="J5259" s="242"/>
      <c r="K5259" s="326"/>
    </row>
    <row r="5260" spans="1:11" customFormat="1" x14ac:dyDescent="0.25">
      <c r="A5260" s="545" t="s">
        <v>7180</v>
      </c>
      <c r="D5260" s="3"/>
      <c r="E5260" s="3" t="s">
        <v>7179</v>
      </c>
      <c r="G5260" s="537"/>
      <c r="H5260" s="10"/>
      <c r="I5260" s="538"/>
      <c r="J5260" s="242"/>
      <c r="K5260" s="326"/>
    </row>
    <row r="5261" spans="1:11" customFormat="1" x14ac:dyDescent="0.25">
      <c r="A5261" s="545"/>
      <c r="D5261" s="3"/>
      <c r="E5261" t="s">
        <v>598</v>
      </c>
      <c r="G5261" s="158" t="s">
        <v>3</v>
      </c>
      <c r="H5261" s="10">
        <f>0.995*0.05*2.5*2.7*1.102</f>
        <v>0.37006537500000009</v>
      </c>
      <c r="I5261" s="538"/>
      <c r="J5261" s="242"/>
      <c r="K5261" s="326"/>
    </row>
    <row r="5262" spans="1:11" customFormat="1" x14ac:dyDescent="0.25">
      <c r="A5262" s="545" t="s">
        <v>7178</v>
      </c>
      <c r="D5262" s="3"/>
      <c r="E5262" s="3" t="s">
        <v>7177</v>
      </c>
      <c r="G5262" s="537"/>
      <c r="H5262" s="10"/>
      <c r="I5262" s="538"/>
      <c r="J5262" s="242"/>
      <c r="K5262" s="326"/>
    </row>
    <row r="5263" spans="1:11" customFormat="1" x14ac:dyDescent="0.25">
      <c r="A5263" s="545"/>
      <c r="D5263" s="3"/>
      <c r="E5263" s="25" t="s">
        <v>7176</v>
      </c>
      <c r="G5263" s="537" t="s">
        <v>3</v>
      </c>
      <c r="H5263" s="10">
        <f>0.145*0.03*1.5*8*1.1</f>
        <v>5.7419999999999999E-2</v>
      </c>
      <c r="I5263" s="538"/>
      <c r="J5263" s="242"/>
      <c r="K5263" s="326"/>
    </row>
    <row r="5264" spans="1:11" customFormat="1" x14ac:dyDescent="0.25">
      <c r="A5264" s="545"/>
      <c r="D5264" s="3"/>
      <c r="E5264" s="3"/>
      <c r="G5264" s="537"/>
      <c r="H5264" s="10"/>
      <c r="I5264" s="538"/>
      <c r="J5264" s="242"/>
      <c r="K5264" s="326"/>
    </row>
    <row r="5265" spans="1:11" customFormat="1" x14ac:dyDescent="0.25">
      <c r="A5265" s="545" t="s">
        <v>7175</v>
      </c>
      <c r="B5265" s="3" t="s">
        <v>7174</v>
      </c>
      <c r="D5265" s="3"/>
      <c r="E5265" s="3"/>
      <c r="G5265" s="537"/>
      <c r="H5265" s="10"/>
      <c r="I5265" s="538"/>
      <c r="J5265" s="242"/>
      <c r="K5265" s="326"/>
    </row>
    <row r="5266" spans="1:11" customFormat="1" x14ac:dyDescent="0.25">
      <c r="A5266" s="545" t="s">
        <v>7173</v>
      </c>
      <c r="C5266" s="3" t="s">
        <v>7172</v>
      </c>
      <c r="D5266" s="3"/>
      <c r="E5266" s="3"/>
      <c r="G5266" s="537"/>
      <c r="H5266" s="10"/>
      <c r="I5266" s="538"/>
      <c r="J5266" s="242"/>
      <c r="K5266" s="326"/>
    </row>
    <row r="5267" spans="1:11" customFormat="1" x14ac:dyDescent="0.25">
      <c r="A5267" s="545"/>
      <c r="C5267" s="25" t="s">
        <v>275</v>
      </c>
      <c r="D5267" s="3"/>
      <c r="E5267" s="3"/>
      <c r="G5267" s="537" t="s">
        <v>3</v>
      </c>
      <c r="H5267" s="10">
        <f>0.5*0.072*1.5*8*1.122</f>
        <v>0.48470399999999997</v>
      </c>
      <c r="I5267" s="538"/>
      <c r="J5267" s="242"/>
      <c r="K5267" s="326"/>
    </row>
    <row r="5268" spans="1:11" customFormat="1" x14ac:dyDescent="0.25">
      <c r="A5268" s="545" t="s">
        <v>7171</v>
      </c>
      <c r="C5268" s="3" t="s">
        <v>7170</v>
      </c>
      <c r="D5268" s="3"/>
      <c r="E5268" s="3"/>
      <c r="G5268" s="537"/>
      <c r="H5268" s="10"/>
      <c r="I5268" s="538"/>
      <c r="J5268" s="242"/>
      <c r="K5268" s="326"/>
    </row>
    <row r="5269" spans="1:11" customFormat="1" x14ac:dyDescent="0.25">
      <c r="A5269" s="545"/>
      <c r="C5269" t="s">
        <v>177</v>
      </c>
      <c r="D5269" s="3"/>
      <c r="E5269" s="3"/>
      <c r="G5269" s="537" t="s">
        <v>3</v>
      </c>
      <c r="H5269" s="10">
        <f>0.09*0.03*1*8*1.15</f>
        <v>2.4839999999999994E-2</v>
      </c>
      <c r="I5269" s="538"/>
      <c r="J5269" s="242"/>
      <c r="K5269" s="326"/>
    </row>
    <row r="5270" spans="1:11" customFormat="1" x14ac:dyDescent="0.25">
      <c r="A5270" s="545"/>
      <c r="D5270" s="3"/>
      <c r="E5270" s="3"/>
      <c r="G5270" s="537"/>
      <c r="H5270" s="10"/>
      <c r="I5270" s="538"/>
      <c r="J5270" s="242"/>
      <c r="K5270" s="326"/>
    </row>
    <row r="5271" spans="1:11" customFormat="1" x14ac:dyDescent="0.25">
      <c r="A5271" s="545" t="s">
        <v>7169</v>
      </c>
      <c r="B5271" s="643" t="s">
        <v>7168</v>
      </c>
      <c r="D5271" s="3"/>
      <c r="E5271" s="3"/>
      <c r="G5271" s="537" t="s">
        <v>195</v>
      </c>
      <c r="H5271" s="10">
        <v>0.61</v>
      </c>
      <c r="I5271" s="538"/>
      <c r="J5271" s="242"/>
      <c r="K5271" s="326"/>
    </row>
    <row r="5272" spans="1:11" customFormat="1" x14ac:dyDescent="0.25">
      <c r="A5272" s="545"/>
      <c r="D5272" s="3"/>
      <c r="E5272" s="3"/>
      <c r="G5272" s="537"/>
      <c r="H5272" s="10"/>
      <c r="I5272" s="538"/>
      <c r="J5272" s="242"/>
      <c r="K5272" s="326"/>
    </row>
    <row r="5273" spans="1:11" customFormat="1" x14ac:dyDescent="0.25">
      <c r="A5273" s="545" t="s">
        <v>7167</v>
      </c>
      <c r="B5273" s="643" t="s">
        <v>7166</v>
      </c>
      <c r="D5273" s="3"/>
      <c r="E5273" s="3"/>
      <c r="G5273" s="537" t="s">
        <v>195</v>
      </c>
      <c r="H5273" s="32">
        <v>0.9</v>
      </c>
      <c r="I5273" s="538"/>
      <c r="J5273" s="242"/>
      <c r="K5273" s="326"/>
    </row>
    <row r="5274" spans="1:11" customFormat="1" x14ac:dyDescent="0.25">
      <c r="A5274" s="545"/>
      <c r="D5274" s="3"/>
      <c r="E5274" s="3"/>
      <c r="G5274" s="537"/>
      <c r="H5274" s="10"/>
      <c r="I5274" s="538"/>
      <c r="J5274" s="242"/>
      <c r="K5274" s="326"/>
    </row>
    <row r="5275" spans="1:11" customFormat="1" x14ac:dyDescent="0.25">
      <c r="A5275" s="545" t="s">
        <v>7165</v>
      </c>
      <c r="B5275" s="3" t="s">
        <v>7164</v>
      </c>
      <c r="D5275" s="3"/>
      <c r="E5275" s="3"/>
      <c r="G5275" s="537"/>
      <c r="H5275" s="10"/>
      <c r="I5275" s="538"/>
      <c r="J5275" s="242"/>
      <c r="K5275" s="326"/>
    </row>
    <row r="5276" spans="1:11" customFormat="1" x14ac:dyDescent="0.25">
      <c r="A5276" s="545" t="s">
        <v>7163</v>
      </c>
      <c r="C5276" s="3" t="s">
        <v>7162</v>
      </c>
      <c r="D5276" s="3"/>
      <c r="E5276" s="3"/>
      <c r="G5276" s="537"/>
      <c r="H5276" s="10"/>
      <c r="I5276" s="538"/>
      <c r="J5276" s="242"/>
      <c r="K5276" s="326"/>
    </row>
    <row r="5277" spans="1:11" customFormat="1" x14ac:dyDescent="0.25">
      <c r="A5277" s="545"/>
      <c r="C5277" s="25" t="s">
        <v>8</v>
      </c>
      <c r="D5277" s="3"/>
      <c r="E5277" s="3"/>
      <c r="G5277" s="537" t="s">
        <v>3</v>
      </c>
      <c r="H5277" s="10">
        <v>0.01</v>
      </c>
      <c r="I5277" s="538"/>
      <c r="J5277" s="242"/>
      <c r="K5277" s="326"/>
    </row>
    <row r="5278" spans="1:11" customFormat="1" x14ac:dyDescent="0.25">
      <c r="A5278" s="545"/>
      <c r="C5278" s="25" t="s">
        <v>12</v>
      </c>
      <c r="D5278" s="3"/>
      <c r="E5278" s="3"/>
      <c r="G5278" s="537" t="s">
        <v>3</v>
      </c>
      <c r="H5278" s="10">
        <f>0.3*H5277</f>
        <v>3.0000000000000001E-3</v>
      </c>
      <c r="I5278" s="538"/>
      <c r="J5278" s="242"/>
      <c r="K5278" s="326"/>
    </row>
    <row r="5279" spans="1:11" customFormat="1" x14ac:dyDescent="0.25">
      <c r="A5279" s="545"/>
      <c r="C5279" s="25" t="s">
        <v>72</v>
      </c>
      <c r="D5279" s="3"/>
      <c r="E5279" s="3"/>
      <c r="G5279" s="537" t="s">
        <v>3</v>
      </c>
      <c r="H5279" s="10">
        <v>0.01</v>
      </c>
      <c r="I5279" s="538"/>
      <c r="J5279" s="242"/>
      <c r="K5279" s="326"/>
    </row>
    <row r="5280" spans="1:11" customFormat="1" x14ac:dyDescent="0.25">
      <c r="A5280" s="545"/>
      <c r="C5280" s="25" t="s">
        <v>11</v>
      </c>
      <c r="D5280" s="3"/>
      <c r="E5280" s="3"/>
      <c r="G5280" s="537" t="s">
        <v>3</v>
      </c>
      <c r="H5280" s="10">
        <f>0.3*H5279</f>
        <v>3.0000000000000001E-3</v>
      </c>
      <c r="I5280" s="538"/>
      <c r="J5280" s="242"/>
      <c r="K5280" s="326"/>
    </row>
    <row r="5281" spans="1:11" customFormat="1" x14ac:dyDescent="0.25">
      <c r="A5281" s="545" t="s">
        <v>7161</v>
      </c>
      <c r="D5281" s="3" t="s">
        <v>7160</v>
      </c>
      <c r="E5281" s="3"/>
      <c r="G5281" s="537"/>
      <c r="H5281" s="10"/>
      <c r="I5281" s="538"/>
      <c r="J5281" s="242"/>
      <c r="K5281" s="326"/>
    </row>
    <row r="5282" spans="1:11" customFormat="1" x14ac:dyDescent="0.25">
      <c r="A5282" s="545"/>
      <c r="D5282" s="25" t="s">
        <v>300</v>
      </c>
      <c r="E5282" s="3"/>
      <c r="G5282" s="537" t="s">
        <v>3</v>
      </c>
      <c r="H5282" s="10">
        <f>0.13*0.025*3*8*1.11</f>
        <v>8.6580000000000018E-2</v>
      </c>
      <c r="I5282" s="538"/>
      <c r="J5282" s="242"/>
      <c r="K5282" s="326"/>
    </row>
    <row r="5283" spans="1:11" customFormat="1" x14ac:dyDescent="0.25">
      <c r="A5283" s="545" t="s">
        <v>7159</v>
      </c>
      <c r="D5283" s="3" t="s">
        <v>7158</v>
      </c>
      <c r="E5283" s="3"/>
      <c r="G5283" s="537"/>
      <c r="H5283" s="10"/>
      <c r="I5283" s="538"/>
      <c r="J5283" s="242"/>
      <c r="K5283" s="326"/>
    </row>
    <row r="5284" spans="1:11" customFormat="1" x14ac:dyDescent="0.25">
      <c r="A5284" s="545"/>
      <c r="D5284" s="25" t="s">
        <v>300</v>
      </c>
      <c r="E5284" s="3"/>
      <c r="G5284" s="537" t="s">
        <v>3</v>
      </c>
      <c r="H5284" s="10">
        <f>0.142*0.027*3*8*1.1</f>
        <v>0.10121759999999999</v>
      </c>
      <c r="I5284" s="538"/>
      <c r="J5284" s="242"/>
      <c r="K5284" s="326"/>
    </row>
    <row r="5285" spans="1:11" customFormat="1" x14ac:dyDescent="0.25">
      <c r="A5285" s="545" t="s">
        <v>7157</v>
      </c>
      <c r="D5285" s="3" t="s">
        <v>7156</v>
      </c>
      <c r="E5285" s="3"/>
      <c r="G5285" s="537"/>
      <c r="H5285" s="10"/>
      <c r="I5285" s="538"/>
      <c r="J5285" s="242"/>
      <c r="K5285" s="326"/>
    </row>
    <row r="5286" spans="1:11" customFormat="1" x14ac:dyDescent="0.25">
      <c r="A5286" s="545"/>
      <c r="D5286" s="25" t="s">
        <v>300</v>
      </c>
      <c r="E5286" s="3"/>
      <c r="G5286" s="537" t="s">
        <v>3</v>
      </c>
      <c r="H5286" s="10">
        <f>0.04*0.018*3*8*1.12</f>
        <v>1.9353599999999999E-2</v>
      </c>
      <c r="I5286" s="538"/>
      <c r="J5286" s="242"/>
      <c r="K5286" s="326"/>
    </row>
    <row r="5287" spans="1:11" customFormat="1" x14ac:dyDescent="0.25">
      <c r="A5287" s="545" t="s">
        <v>7155</v>
      </c>
      <c r="D5287" s="3" t="s">
        <v>7154</v>
      </c>
      <c r="E5287" s="3"/>
      <c r="G5287" s="537"/>
      <c r="H5287" s="10"/>
      <c r="I5287" s="538"/>
      <c r="J5287" s="242"/>
      <c r="K5287" s="326"/>
    </row>
    <row r="5288" spans="1:11" customFormat="1" x14ac:dyDescent="0.25">
      <c r="A5288" s="545"/>
      <c r="D5288" s="25" t="s">
        <v>300</v>
      </c>
      <c r="E5288" s="3"/>
      <c r="G5288" s="537" t="s">
        <v>3</v>
      </c>
      <c r="H5288" s="10">
        <f>0.03*2</f>
        <v>0.06</v>
      </c>
      <c r="I5288" s="538"/>
      <c r="J5288" s="242"/>
      <c r="K5288" s="326"/>
    </row>
    <row r="5289" spans="1:11" customFormat="1" x14ac:dyDescent="0.25">
      <c r="A5289" s="545"/>
      <c r="D5289" s="25"/>
      <c r="E5289" s="3"/>
      <c r="G5289" s="537"/>
      <c r="H5289" s="10"/>
      <c r="I5289" s="538"/>
      <c r="J5289" s="242"/>
      <c r="K5289" s="326"/>
    </row>
    <row r="5290" spans="1:11" customFormat="1" x14ac:dyDescent="0.25">
      <c r="A5290" s="545" t="s">
        <v>7153</v>
      </c>
      <c r="B5290" s="3" t="s">
        <v>7152</v>
      </c>
      <c r="D5290" s="25"/>
      <c r="E5290" s="3"/>
      <c r="G5290" s="537"/>
      <c r="H5290" s="10"/>
      <c r="I5290" s="538"/>
      <c r="J5290" s="242"/>
      <c r="K5290" s="326"/>
    </row>
    <row r="5291" spans="1:11" customFormat="1" x14ac:dyDescent="0.25">
      <c r="A5291" s="545"/>
      <c r="C5291" s="3" t="s">
        <v>7151</v>
      </c>
      <c r="D5291" s="25"/>
      <c r="E5291" s="3"/>
      <c r="G5291" s="537"/>
      <c r="H5291" s="634" t="s">
        <v>624</v>
      </c>
      <c r="I5291" s="538"/>
      <c r="J5291" s="242"/>
      <c r="K5291" s="326"/>
    </row>
    <row r="5292" spans="1:11" customFormat="1" x14ac:dyDescent="0.25">
      <c r="A5292" s="545"/>
      <c r="C5292" t="s">
        <v>7150</v>
      </c>
      <c r="D5292" s="25"/>
      <c r="E5292" s="3"/>
      <c r="G5292" s="537" t="s">
        <v>3</v>
      </c>
      <c r="H5292" s="10">
        <f>0.03*0.042*6*8*1.1</f>
        <v>6.6528000000000018E-2</v>
      </c>
      <c r="I5292" s="538"/>
      <c r="J5292" s="242"/>
      <c r="K5292" s="326"/>
    </row>
    <row r="5293" spans="1:11" customFormat="1" x14ac:dyDescent="0.25">
      <c r="A5293" s="545"/>
      <c r="C5293" s="3" t="s">
        <v>7149</v>
      </c>
      <c r="D5293" s="25"/>
      <c r="E5293" s="3"/>
      <c r="G5293" s="537"/>
      <c r="H5293" s="10"/>
      <c r="I5293" s="538"/>
      <c r="J5293" s="242"/>
      <c r="K5293" s="326"/>
    </row>
    <row r="5294" spans="1:11" customFormat="1" x14ac:dyDescent="0.25">
      <c r="A5294" s="545"/>
      <c r="C5294" t="s">
        <v>7148</v>
      </c>
      <c r="D5294" s="25"/>
      <c r="E5294" s="3"/>
      <c r="G5294" s="537" t="s">
        <v>3</v>
      </c>
      <c r="H5294" s="10">
        <f>0.026*0.04*5*8*1.1</f>
        <v>4.5760000000000002E-2</v>
      </c>
      <c r="I5294" s="538"/>
      <c r="J5294" s="242"/>
      <c r="K5294" s="326"/>
    </row>
    <row r="5295" spans="1:11" customFormat="1" x14ac:dyDescent="0.25">
      <c r="A5295" s="545"/>
      <c r="D5295" s="25"/>
      <c r="E5295" s="3"/>
      <c r="G5295" s="537"/>
      <c r="H5295" s="10"/>
      <c r="I5295" s="538"/>
      <c r="J5295" s="242"/>
      <c r="K5295" s="326"/>
    </row>
    <row r="5296" spans="1:11" customFormat="1" x14ac:dyDescent="0.25">
      <c r="A5296" s="545" t="s">
        <v>5249</v>
      </c>
      <c r="B5296" s="3" t="s">
        <v>7147</v>
      </c>
      <c r="D5296" s="25"/>
      <c r="E5296" s="3"/>
      <c r="G5296" s="537"/>
      <c r="H5296" s="10"/>
      <c r="I5296" s="538"/>
      <c r="J5296" s="242"/>
      <c r="K5296" s="326"/>
    </row>
    <row r="5297" spans="1:11" customFormat="1" x14ac:dyDescent="0.25">
      <c r="A5297" s="545" t="s">
        <v>5251</v>
      </c>
      <c r="C5297" s="3" t="s">
        <v>7146</v>
      </c>
      <c r="D5297" s="25"/>
      <c r="E5297" s="3"/>
      <c r="G5297" s="537"/>
      <c r="H5297" s="10"/>
      <c r="I5297" s="538"/>
      <c r="J5297" s="242"/>
      <c r="K5297" s="326"/>
    </row>
    <row r="5298" spans="1:11" customFormat="1" x14ac:dyDescent="0.25">
      <c r="A5298" s="545"/>
      <c r="C5298" s="25" t="s">
        <v>8</v>
      </c>
      <c r="D5298" s="25"/>
      <c r="E5298" s="3"/>
      <c r="G5298" s="537" t="s">
        <v>3</v>
      </c>
      <c r="H5298" s="10">
        <v>0.05</v>
      </c>
      <c r="I5298" s="538"/>
      <c r="J5298" s="242"/>
      <c r="K5298" s="326"/>
    </row>
    <row r="5299" spans="1:11" customFormat="1" x14ac:dyDescent="0.25">
      <c r="A5299" s="545"/>
      <c r="C5299" s="25" t="s">
        <v>15</v>
      </c>
      <c r="D5299" s="25"/>
      <c r="E5299" s="3"/>
      <c r="G5299" s="537" t="s">
        <v>3</v>
      </c>
      <c r="H5299" s="10">
        <v>0.05</v>
      </c>
      <c r="I5299" s="538"/>
      <c r="J5299" s="242"/>
      <c r="K5299" s="326"/>
    </row>
    <row r="5300" spans="1:11" customFormat="1" x14ac:dyDescent="0.25">
      <c r="A5300" s="545"/>
      <c r="C5300" s="25" t="s">
        <v>12</v>
      </c>
      <c r="D5300" s="25"/>
      <c r="E5300" s="3"/>
      <c r="G5300" s="537" t="s">
        <v>3</v>
      </c>
      <c r="H5300" s="10">
        <f>0.3*(H5299+H5298)</f>
        <v>0.03</v>
      </c>
      <c r="I5300" s="538"/>
      <c r="J5300" s="242"/>
      <c r="K5300" s="326"/>
    </row>
    <row r="5301" spans="1:11" customFormat="1" x14ac:dyDescent="0.25">
      <c r="A5301" s="545"/>
      <c r="C5301" s="8" t="s">
        <v>1054</v>
      </c>
      <c r="D5301" s="8"/>
      <c r="E5301" s="8"/>
      <c r="F5301" s="8"/>
      <c r="G5301" s="537" t="s">
        <v>3</v>
      </c>
      <c r="H5301" s="10">
        <f>(0.12*3.14*2+0.087*3.14)*0.05*1.3</f>
        <v>6.67407E-2</v>
      </c>
      <c r="I5301" s="581"/>
      <c r="J5301" s="242"/>
      <c r="K5301" s="326"/>
    </row>
    <row r="5302" spans="1:11" customFormat="1" x14ac:dyDescent="0.25">
      <c r="A5302" s="545"/>
      <c r="C5302" t="s">
        <v>485</v>
      </c>
      <c r="G5302" s="537" t="s">
        <v>3</v>
      </c>
      <c r="H5302" s="10">
        <f>1.5*H5301</f>
        <v>0.10011105000000001</v>
      </c>
      <c r="I5302" s="538"/>
      <c r="J5302" s="242"/>
      <c r="K5302" s="326"/>
    </row>
    <row r="5303" spans="1:11" customFormat="1" x14ac:dyDescent="0.25">
      <c r="A5303" s="545" t="s">
        <v>5253</v>
      </c>
      <c r="D5303" s="3" t="s">
        <v>7145</v>
      </c>
      <c r="E5303" s="3"/>
      <c r="G5303" s="537"/>
      <c r="H5303" s="10"/>
      <c r="I5303" s="538"/>
      <c r="J5303" s="242"/>
      <c r="K5303" s="326"/>
    </row>
    <row r="5304" spans="1:11" customFormat="1" x14ac:dyDescent="0.25">
      <c r="A5304" s="545"/>
      <c r="D5304" s="25" t="s">
        <v>7138</v>
      </c>
      <c r="E5304" s="3"/>
      <c r="G5304" s="537" t="s">
        <v>3</v>
      </c>
      <c r="H5304" s="10">
        <f>0.28*0.055*2*8*1.055</f>
        <v>0.25995200000000002</v>
      </c>
      <c r="I5304" s="538"/>
      <c r="J5304" s="242"/>
      <c r="K5304" s="326"/>
    </row>
    <row r="5305" spans="1:11" customFormat="1" x14ac:dyDescent="0.25">
      <c r="A5305" s="545"/>
      <c r="D5305" s="8" t="s">
        <v>1054</v>
      </c>
      <c r="E5305" s="3"/>
      <c r="G5305" s="537" t="s">
        <v>3</v>
      </c>
      <c r="H5305" s="10">
        <f>0.06*0.05*1.3</f>
        <v>3.9000000000000003E-3</v>
      </c>
      <c r="I5305" s="538"/>
      <c r="J5305" s="242"/>
      <c r="K5305" s="326"/>
    </row>
    <row r="5306" spans="1:11" customFormat="1" x14ac:dyDescent="0.25">
      <c r="A5306" s="545"/>
      <c r="D5306" t="s">
        <v>485</v>
      </c>
      <c r="E5306" s="3"/>
      <c r="G5306" s="537" t="s">
        <v>3</v>
      </c>
      <c r="H5306" s="10">
        <f>1.5*H5305</f>
        <v>5.8500000000000002E-3</v>
      </c>
      <c r="I5306" s="538"/>
      <c r="J5306" s="242"/>
      <c r="K5306" s="326"/>
    </row>
    <row r="5307" spans="1:11" customFormat="1" x14ac:dyDescent="0.25">
      <c r="A5307" s="545" t="s">
        <v>7144</v>
      </c>
      <c r="D5307" s="3" t="s">
        <v>7143</v>
      </c>
      <c r="E5307" s="3"/>
      <c r="G5307" s="537"/>
      <c r="H5307" s="10"/>
      <c r="I5307" s="538"/>
      <c r="J5307" s="242"/>
      <c r="K5307" s="326"/>
    </row>
    <row r="5308" spans="1:11" customFormat="1" x14ac:dyDescent="0.25">
      <c r="A5308" s="545"/>
      <c r="D5308" s="25" t="s">
        <v>7138</v>
      </c>
      <c r="E5308" s="3"/>
      <c r="G5308" s="537" t="s">
        <v>3</v>
      </c>
      <c r="H5308" s="10">
        <f>0.125*0.125*2*8*1.08</f>
        <v>0.27</v>
      </c>
      <c r="I5308" s="538"/>
      <c r="J5308" s="242"/>
      <c r="K5308" s="326"/>
    </row>
    <row r="5309" spans="1:11" customFormat="1" x14ac:dyDescent="0.25">
      <c r="A5309" s="545" t="s">
        <v>7142</v>
      </c>
      <c r="D5309" s="3" t="s">
        <v>7141</v>
      </c>
      <c r="E5309" s="3"/>
      <c r="G5309" s="537"/>
      <c r="H5309" s="10"/>
      <c r="I5309" s="538"/>
      <c r="J5309" s="242"/>
      <c r="K5309" s="326"/>
    </row>
    <row r="5310" spans="1:11" customFormat="1" x14ac:dyDescent="0.25">
      <c r="A5310" s="545"/>
      <c r="D5310" s="25" t="s">
        <v>7138</v>
      </c>
      <c r="E5310" s="3"/>
      <c r="G5310" s="537" t="s">
        <v>3</v>
      </c>
      <c r="H5310" s="10">
        <f>0.371*0.096*2*8*1.053</f>
        <v>0.60005836800000001</v>
      </c>
      <c r="I5310" s="538"/>
      <c r="J5310" s="242"/>
      <c r="K5310" s="326"/>
    </row>
    <row r="5311" spans="1:11" customFormat="1" x14ac:dyDescent="0.25">
      <c r="A5311" s="545"/>
      <c r="D5311" s="8" t="s">
        <v>1054</v>
      </c>
      <c r="E5311" s="3"/>
      <c r="G5311" s="537" t="s">
        <v>3</v>
      </c>
      <c r="H5311" s="10">
        <f>0.1*0.05*1.3</f>
        <v>6.5000000000000014E-3</v>
      </c>
      <c r="I5311" s="538"/>
      <c r="J5311" s="242"/>
      <c r="K5311" s="326"/>
    </row>
    <row r="5312" spans="1:11" customFormat="1" x14ac:dyDescent="0.25">
      <c r="A5312" s="545"/>
      <c r="D5312" t="s">
        <v>485</v>
      </c>
      <c r="E5312" s="3"/>
      <c r="G5312" s="537" t="s">
        <v>3</v>
      </c>
      <c r="H5312" s="10">
        <f>1.5*H5311</f>
        <v>9.7500000000000017E-3</v>
      </c>
      <c r="I5312" s="538"/>
      <c r="J5312" s="242"/>
      <c r="K5312" s="326"/>
    </row>
    <row r="5313" spans="1:11" customFormat="1" x14ac:dyDescent="0.25">
      <c r="A5313" s="545" t="s">
        <v>7140</v>
      </c>
      <c r="D5313" s="3" t="s">
        <v>7139</v>
      </c>
      <c r="E5313" s="3"/>
      <c r="G5313" s="537"/>
      <c r="H5313" s="10"/>
      <c r="I5313" s="538"/>
      <c r="J5313" s="242"/>
      <c r="K5313" s="326"/>
    </row>
    <row r="5314" spans="1:11" customFormat="1" x14ac:dyDescent="0.25">
      <c r="A5314" s="545"/>
      <c r="D5314" s="25" t="s">
        <v>7138</v>
      </c>
      <c r="E5314" s="3"/>
      <c r="G5314" s="537" t="s">
        <v>3</v>
      </c>
      <c r="H5314" s="10">
        <f>0.125*0.125*2*8*1.08</f>
        <v>0.27</v>
      </c>
      <c r="I5314" s="538"/>
      <c r="J5314" s="242"/>
      <c r="K5314" s="326"/>
    </row>
    <row r="5315" spans="1:11" customFormat="1" x14ac:dyDescent="0.25">
      <c r="A5315" s="545"/>
      <c r="C5315" s="3"/>
      <c r="D5315" s="3"/>
      <c r="E5315" s="3"/>
      <c r="G5315" s="537"/>
      <c r="H5315" s="10"/>
      <c r="I5315" s="538"/>
      <c r="J5315" s="242"/>
      <c r="K5315" s="326"/>
    </row>
    <row r="5316" spans="1:11" customFormat="1" x14ac:dyDescent="0.25">
      <c r="A5316" s="545" t="s">
        <v>5258</v>
      </c>
      <c r="B5316" s="3" t="s">
        <v>7137</v>
      </c>
      <c r="C5316" s="3"/>
      <c r="D5316" s="3"/>
      <c r="E5316" s="3"/>
      <c r="G5316" s="537"/>
      <c r="H5316" s="10"/>
      <c r="I5316" s="538"/>
      <c r="J5316" s="242"/>
      <c r="K5316" s="326"/>
    </row>
    <row r="5317" spans="1:11" customFormat="1" x14ac:dyDescent="0.25">
      <c r="A5317" s="545"/>
      <c r="B5317" s="25" t="s">
        <v>321</v>
      </c>
      <c r="C5317" s="3"/>
      <c r="D5317" s="3"/>
      <c r="E5317" s="3"/>
      <c r="G5317" s="537" t="s">
        <v>3</v>
      </c>
      <c r="H5317" s="10">
        <v>0.12</v>
      </c>
      <c r="I5317" s="538"/>
      <c r="J5317" s="242"/>
      <c r="K5317" s="326"/>
    </row>
    <row r="5318" spans="1:11" customFormat="1" x14ac:dyDescent="0.25">
      <c r="A5318" s="545"/>
      <c r="B5318" t="s">
        <v>671</v>
      </c>
      <c r="C5318" s="3"/>
      <c r="D5318" s="3"/>
      <c r="E5318" s="3"/>
      <c r="G5318" s="537" t="s">
        <v>3</v>
      </c>
      <c r="H5318" s="10">
        <v>0.03</v>
      </c>
      <c r="I5318" s="538"/>
      <c r="J5318" s="242"/>
      <c r="K5318" s="326"/>
    </row>
    <row r="5319" spans="1:11" customFormat="1" x14ac:dyDescent="0.25">
      <c r="A5319" s="545"/>
      <c r="B5319" t="s">
        <v>672</v>
      </c>
      <c r="C5319" s="3"/>
      <c r="D5319" s="3"/>
      <c r="E5319" s="3"/>
      <c r="G5319" s="537" t="s">
        <v>3</v>
      </c>
      <c r="H5319" s="10">
        <f>H5318*2.5</f>
        <v>7.4999999999999997E-2</v>
      </c>
      <c r="I5319" s="538"/>
      <c r="J5319" s="242"/>
      <c r="K5319" s="326"/>
    </row>
    <row r="5320" spans="1:11" customFormat="1" x14ac:dyDescent="0.25">
      <c r="A5320" s="545"/>
      <c r="C5320" s="3" t="s">
        <v>7136</v>
      </c>
      <c r="D5320" s="3"/>
      <c r="E5320" s="3"/>
      <c r="G5320" s="537"/>
      <c r="H5320" s="10"/>
      <c r="I5320" s="538"/>
      <c r="J5320" s="242"/>
      <c r="K5320" s="326"/>
    </row>
    <row r="5321" spans="1:11" customFormat="1" x14ac:dyDescent="0.25">
      <c r="A5321" s="545"/>
      <c r="C5321" s="25" t="s">
        <v>5219</v>
      </c>
      <c r="D5321" s="3"/>
      <c r="E5321" s="3"/>
      <c r="G5321" s="537" t="s">
        <v>3</v>
      </c>
      <c r="H5321" s="10">
        <f>0.715*0.35*8*1.12</f>
        <v>2.2422399999999998</v>
      </c>
      <c r="I5321" s="538"/>
      <c r="J5321" s="242"/>
      <c r="K5321" s="326"/>
    </row>
    <row r="5322" spans="1:11" customFormat="1" x14ac:dyDescent="0.25">
      <c r="A5322" s="545"/>
      <c r="C5322" s="3" t="s">
        <v>7135</v>
      </c>
      <c r="D5322" s="3"/>
      <c r="E5322" s="3"/>
      <c r="G5322" s="537"/>
      <c r="H5322" s="10"/>
      <c r="I5322" s="538"/>
      <c r="J5322" s="242"/>
      <c r="K5322" s="326"/>
    </row>
    <row r="5323" spans="1:11" customFormat="1" x14ac:dyDescent="0.25">
      <c r="A5323" s="545"/>
      <c r="C5323" s="25" t="s">
        <v>5219</v>
      </c>
      <c r="D5323" s="3"/>
      <c r="E5323" s="3"/>
      <c r="G5323" s="537" t="s">
        <v>3</v>
      </c>
      <c r="H5323" s="10">
        <f>0.18*0.255*0.8*8*1.12</f>
        <v>0.3290112</v>
      </c>
      <c r="I5323" s="538"/>
      <c r="J5323" s="242"/>
      <c r="K5323" s="326"/>
    </row>
    <row r="5324" spans="1:11" customFormat="1" x14ac:dyDescent="0.25">
      <c r="A5324" s="545"/>
      <c r="C5324" s="3" t="s">
        <v>7134</v>
      </c>
      <c r="D5324" s="3"/>
      <c r="E5324" s="3"/>
      <c r="G5324" s="537"/>
      <c r="H5324" s="10"/>
      <c r="I5324" s="538"/>
      <c r="J5324" s="242"/>
      <c r="K5324" s="326"/>
    </row>
    <row r="5325" spans="1:11" customFormat="1" x14ac:dyDescent="0.25">
      <c r="A5325" s="545"/>
      <c r="C5325" s="25" t="s">
        <v>7133</v>
      </c>
      <c r="D5325" s="3"/>
      <c r="E5325" s="3"/>
      <c r="G5325" s="537" t="s">
        <v>3</v>
      </c>
      <c r="H5325" s="10">
        <v>0.1</v>
      </c>
      <c r="I5325" s="538"/>
      <c r="J5325" s="242"/>
      <c r="K5325" s="326"/>
    </row>
    <row r="5326" spans="1:11" customFormat="1" x14ac:dyDescent="0.25">
      <c r="A5326" s="545"/>
      <c r="C5326" s="3" t="s">
        <v>7132</v>
      </c>
      <c r="D5326" s="3"/>
      <c r="E5326" s="3"/>
      <c r="G5326" s="537"/>
      <c r="H5326" s="10"/>
      <c r="I5326" s="538"/>
      <c r="J5326" s="242"/>
      <c r="K5326" s="326"/>
    </row>
    <row r="5327" spans="1:11" customFormat="1" x14ac:dyDescent="0.25">
      <c r="A5327" s="545"/>
      <c r="C5327" t="s">
        <v>272</v>
      </c>
      <c r="D5327" s="3"/>
      <c r="E5327" s="3"/>
      <c r="G5327" s="537" t="s">
        <v>3</v>
      </c>
      <c r="H5327" s="10">
        <f>0.052*0.03*2*8*1.12</f>
        <v>2.7955200000000003E-2</v>
      </c>
      <c r="I5327" s="538"/>
      <c r="J5327" s="242"/>
      <c r="K5327" s="326"/>
    </row>
    <row r="5328" spans="1:11" customFormat="1" x14ac:dyDescent="0.25">
      <c r="A5328" s="545"/>
      <c r="C5328" s="3" t="s">
        <v>7131</v>
      </c>
      <c r="D5328" s="3"/>
      <c r="E5328" s="3"/>
      <c r="G5328" s="537"/>
      <c r="H5328" s="10"/>
      <c r="I5328" s="538"/>
      <c r="J5328" s="242"/>
      <c r="K5328" s="326"/>
    </row>
    <row r="5329" spans="1:11" customFormat="1" x14ac:dyDescent="0.25">
      <c r="A5329" s="545"/>
      <c r="C5329" s="25" t="s">
        <v>5219</v>
      </c>
      <c r="D5329" s="3"/>
      <c r="E5329" s="3"/>
      <c r="G5329" s="537" t="s">
        <v>3</v>
      </c>
      <c r="H5329" s="10">
        <f>0.12*0.08*0.8*8*1.12</f>
        <v>6.8812800000000007E-2</v>
      </c>
      <c r="I5329" s="538"/>
      <c r="J5329" s="242"/>
      <c r="K5329" s="326"/>
    </row>
    <row r="5330" spans="1:11" customFormat="1" x14ac:dyDescent="0.25">
      <c r="A5330" s="545"/>
      <c r="C5330" s="3" t="s">
        <v>7130</v>
      </c>
      <c r="D5330" s="3"/>
      <c r="E5330" s="3"/>
      <c r="G5330" s="537"/>
      <c r="H5330" s="10"/>
      <c r="I5330" s="538"/>
      <c r="J5330" s="242"/>
      <c r="K5330" s="326"/>
    </row>
    <row r="5331" spans="1:11" customFormat="1" x14ac:dyDescent="0.25">
      <c r="A5331" s="545"/>
      <c r="C5331" s="25" t="s">
        <v>5219</v>
      </c>
      <c r="D5331" s="3"/>
      <c r="E5331" s="3"/>
      <c r="G5331" s="537" t="s">
        <v>3</v>
      </c>
      <c r="H5331" s="10">
        <f>0.05*0.16*0.8*8*1.17</f>
        <v>5.9903999999999999E-2</v>
      </c>
      <c r="I5331" s="538"/>
      <c r="J5331" s="242"/>
      <c r="K5331" s="326"/>
    </row>
    <row r="5332" spans="1:11" customFormat="1" x14ac:dyDescent="0.25">
      <c r="A5332" s="545"/>
      <c r="C5332" s="3"/>
      <c r="D5332" s="3"/>
      <c r="E5332" s="3"/>
      <c r="G5332" s="537"/>
      <c r="H5332" s="10"/>
      <c r="I5332" s="538"/>
      <c r="J5332" s="242"/>
      <c r="K5332" s="326"/>
    </row>
    <row r="5333" spans="1:11" customFormat="1" x14ac:dyDescent="0.25">
      <c r="A5333" s="545" t="s">
        <v>7129</v>
      </c>
      <c r="B5333" s="3" t="s">
        <v>7128</v>
      </c>
      <c r="C5333" s="3"/>
      <c r="D5333" s="3"/>
      <c r="E5333" s="3"/>
      <c r="G5333" s="537"/>
      <c r="H5333" s="10"/>
      <c r="I5333" s="538"/>
      <c r="J5333" s="242"/>
      <c r="K5333" s="326"/>
    </row>
    <row r="5334" spans="1:11" customFormat="1" x14ac:dyDescent="0.25">
      <c r="A5334" s="545"/>
      <c r="B5334" t="s">
        <v>671</v>
      </c>
      <c r="C5334" s="3"/>
      <c r="D5334" s="3"/>
      <c r="E5334" s="3"/>
      <c r="G5334" s="537" t="s">
        <v>3</v>
      </c>
      <c r="H5334" s="10">
        <v>0.02</v>
      </c>
      <c r="I5334" s="538"/>
      <c r="J5334" s="242"/>
      <c r="K5334" s="326"/>
    </row>
    <row r="5335" spans="1:11" customFormat="1" x14ac:dyDescent="0.25">
      <c r="A5335" s="545"/>
      <c r="B5335" t="s">
        <v>672</v>
      </c>
      <c r="C5335" s="3"/>
      <c r="D5335" s="3"/>
      <c r="E5335" s="3"/>
      <c r="G5335" s="537" t="s">
        <v>3</v>
      </c>
      <c r="H5335" s="10">
        <f>H5334*2</f>
        <v>0.04</v>
      </c>
      <c r="I5335" s="538"/>
      <c r="J5335" s="242"/>
      <c r="K5335" s="326"/>
    </row>
    <row r="5336" spans="1:11" customFormat="1" x14ac:dyDescent="0.25">
      <c r="A5336" s="545" t="s">
        <v>7127</v>
      </c>
      <c r="C5336" s="3" t="s">
        <v>7126</v>
      </c>
      <c r="D5336" s="3"/>
      <c r="E5336" s="3"/>
      <c r="G5336" s="537"/>
      <c r="H5336" s="10"/>
      <c r="I5336" s="538"/>
      <c r="J5336" s="242"/>
      <c r="K5336" s="326"/>
    </row>
    <row r="5337" spans="1:11" customFormat="1" x14ac:dyDescent="0.25">
      <c r="A5337" s="545"/>
      <c r="C5337" t="s">
        <v>671</v>
      </c>
      <c r="D5337" s="3"/>
      <c r="E5337" s="3"/>
      <c r="G5337" s="537" t="s">
        <v>3</v>
      </c>
      <c r="H5337" s="10">
        <v>0.02</v>
      </c>
      <c r="I5337" s="538"/>
      <c r="J5337" s="242"/>
      <c r="K5337" s="326"/>
    </row>
    <row r="5338" spans="1:11" customFormat="1" x14ac:dyDescent="0.25">
      <c r="A5338" s="545"/>
      <c r="C5338" t="s">
        <v>672</v>
      </c>
      <c r="D5338" s="3"/>
      <c r="E5338" s="3"/>
      <c r="G5338" s="537" t="s">
        <v>3</v>
      </c>
      <c r="H5338" s="10">
        <f>H5337*2</f>
        <v>0.04</v>
      </c>
      <c r="I5338" s="538"/>
      <c r="J5338" s="242"/>
      <c r="K5338" s="326"/>
    </row>
    <row r="5339" spans="1:11" customFormat="1" x14ac:dyDescent="0.25">
      <c r="A5339" s="545" t="s">
        <v>7125</v>
      </c>
      <c r="D5339" s="3" t="s">
        <v>7124</v>
      </c>
      <c r="E5339" s="3"/>
      <c r="G5339" s="537"/>
      <c r="H5339" s="10"/>
      <c r="I5339" s="538"/>
      <c r="J5339" s="242"/>
      <c r="K5339" s="326"/>
    </row>
    <row r="5340" spans="1:11" customFormat="1" x14ac:dyDescent="0.25">
      <c r="A5340" s="545"/>
      <c r="D5340" s="25" t="s">
        <v>5219</v>
      </c>
      <c r="E5340" s="3"/>
      <c r="G5340" s="537" t="s">
        <v>3</v>
      </c>
      <c r="H5340" s="10">
        <f>0.45*0.16*0.8*8*1.12</f>
        <v>0.51609600000000011</v>
      </c>
      <c r="I5340" s="538"/>
      <c r="J5340" s="242"/>
      <c r="K5340" s="326"/>
    </row>
    <row r="5341" spans="1:11" customFormat="1" x14ac:dyDescent="0.25">
      <c r="A5341" s="545"/>
      <c r="D5341" t="s">
        <v>671</v>
      </c>
      <c r="E5341" s="3"/>
      <c r="G5341" s="537" t="s">
        <v>3</v>
      </c>
      <c r="H5341" s="10">
        <v>0.01</v>
      </c>
      <c r="I5341" s="538"/>
      <c r="J5341" s="242"/>
      <c r="K5341" s="326"/>
    </row>
    <row r="5342" spans="1:11" customFormat="1" x14ac:dyDescent="0.25">
      <c r="A5342" s="545"/>
      <c r="D5342" t="s">
        <v>672</v>
      </c>
      <c r="E5342" s="3"/>
      <c r="G5342" s="537" t="s">
        <v>3</v>
      </c>
      <c r="H5342" s="10">
        <f>H5341*2</f>
        <v>0.02</v>
      </c>
      <c r="I5342" s="538"/>
      <c r="J5342" s="242"/>
      <c r="K5342" s="326"/>
    </row>
    <row r="5343" spans="1:11" customFormat="1" x14ac:dyDescent="0.25">
      <c r="A5343" s="545" t="s">
        <v>7123</v>
      </c>
      <c r="D5343" s="3" t="s">
        <v>7122</v>
      </c>
      <c r="E5343" s="3"/>
      <c r="G5343" s="537"/>
      <c r="H5343" s="10"/>
      <c r="I5343" s="538"/>
      <c r="J5343" s="242"/>
      <c r="K5343" s="326"/>
    </row>
    <row r="5344" spans="1:11" customFormat="1" x14ac:dyDescent="0.25">
      <c r="A5344" s="545"/>
      <c r="D5344" s="25" t="s">
        <v>321</v>
      </c>
      <c r="E5344" s="3"/>
      <c r="G5344" s="537" t="s">
        <v>3</v>
      </c>
      <c r="H5344" s="10">
        <v>1.4999999999999999E-2</v>
      </c>
      <c r="I5344" s="538"/>
      <c r="J5344" s="242"/>
      <c r="K5344" s="326"/>
    </row>
    <row r="5345" spans="1:11" customFormat="1" x14ac:dyDescent="0.25">
      <c r="A5345" s="545"/>
      <c r="D5345" t="s">
        <v>671</v>
      </c>
      <c r="E5345" s="3"/>
      <c r="G5345" s="537" t="s">
        <v>3</v>
      </c>
      <c r="H5345" s="10">
        <v>0.01</v>
      </c>
      <c r="I5345" s="538"/>
      <c r="J5345" s="242"/>
      <c r="K5345" s="326"/>
    </row>
    <row r="5346" spans="1:11" customFormat="1" x14ac:dyDescent="0.25">
      <c r="A5346" s="545"/>
      <c r="D5346" t="s">
        <v>672</v>
      </c>
      <c r="E5346" s="3"/>
      <c r="G5346" s="537" t="s">
        <v>3</v>
      </c>
      <c r="H5346" s="10">
        <f>H5345*2</f>
        <v>0.02</v>
      </c>
      <c r="I5346" s="538"/>
      <c r="J5346" s="242"/>
      <c r="K5346" s="326"/>
    </row>
    <row r="5347" spans="1:11" customFormat="1" x14ac:dyDescent="0.25">
      <c r="A5347" s="545" t="s">
        <v>7121</v>
      </c>
      <c r="D5347" s="3" t="s">
        <v>7120</v>
      </c>
      <c r="E5347" s="3"/>
      <c r="G5347" s="537"/>
      <c r="H5347" s="10"/>
      <c r="I5347" s="538"/>
      <c r="J5347" s="242"/>
      <c r="K5347" s="326"/>
    </row>
    <row r="5348" spans="1:11" customFormat="1" ht="17.25" x14ac:dyDescent="0.25">
      <c r="A5348" s="545"/>
      <c r="D5348" s="642" t="s">
        <v>7119</v>
      </c>
      <c r="E5348" s="3"/>
      <c r="G5348" s="537" t="s">
        <v>677</v>
      </c>
      <c r="H5348" s="10">
        <f>0.14*0.1*1.2</f>
        <v>1.6800000000000002E-2</v>
      </c>
      <c r="I5348" s="538"/>
      <c r="J5348" s="242"/>
      <c r="K5348" s="326"/>
    </row>
    <row r="5349" spans="1:11" customFormat="1" x14ac:dyDescent="0.25">
      <c r="A5349" s="545" t="s">
        <v>7118</v>
      </c>
      <c r="D5349" s="3" t="s">
        <v>7117</v>
      </c>
      <c r="E5349" s="3"/>
      <c r="G5349" s="537"/>
      <c r="H5349" s="10"/>
      <c r="I5349" s="538"/>
      <c r="J5349" s="242"/>
      <c r="K5349" s="326"/>
    </row>
    <row r="5350" spans="1:11" customFormat="1" x14ac:dyDescent="0.25">
      <c r="A5350" s="545"/>
      <c r="D5350" s="25" t="s">
        <v>5219</v>
      </c>
      <c r="E5350" s="3"/>
      <c r="G5350" s="537" t="s">
        <v>3</v>
      </c>
      <c r="H5350" s="10">
        <f>0.58*0.13*0.8*8*1.12</f>
        <v>0.54046720000000004</v>
      </c>
      <c r="I5350" s="538"/>
      <c r="J5350" s="242"/>
      <c r="K5350" s="326"/>
    </row>
    <row r="5351" spans="1:11" customFormat="1" x14ac:dyDescent="0.25">
      <c r="A5351" s="545"/>
      <c r="D5351" t="s">
        <v>671</v>
      </c>
      <c r="E5351" s="3"/>
      <c r="G5351" s="537" t="s">
        <v>3</v>
      </c>
      <c r="H5351" s="10">
        <v>0.01</v>
      </c>
      <c r="I5351" s="538"/>
      <c r="J5351" s="242"/>
      <c r="K5351" s="326"/>
    </row>
    <row r="5352" spans="1:11" customFormat="1" x14ac:dyDescent="0.25">
      <c r="A5352" s="545"/>
      <c r="D5352" t="s">
        <v>672</v>
      </c>
      <c r="E5352" s="3"/>
      <c r="G5352" s="537" t="s">
        <v>3</v>
      </c>
      <c r="H5352" s="10">
        <f>2*H5351</f>
        <v>0.02</v>
      </c>
      <c r="I5352" s="538"/>
      <c r="J5352" s="242"/>
      <c r="K5352" s="326"/>
    </row>
    <row r="5353" spans="1:11" customFormat="1" x14ac:dyDescent="0.25">
      <c r="A5353" s="545" t="s">
        <v>7116</v>
      </c>
      <c r="D5353" s="3" t="s">
        <v>7115</v>
      </c>
      <c r="E5353" s="3"/>
      <c r="G5353" s="537"/>
      <c r="H5353" s="10"/>
      <c r="I5353" s="538"/>
      <c r="J5353" s="242"/>
      <c r="K5353" s="326"/>
    </row>
    <row r="5354" spans="1:11" customFormat="1" x14ac:dyDescent="0.25">
      <c r="A5354" s="545"/>
      <c r="D5354" s="25" t="s">
        <v>5219</v>
      </c>
      <c r="E5354" s="3"/>
      <c r="G5354" s="537" t="s">
        <v>3</v>
      </c>
      <c r="H5354" s="10">
        <f>0.33*0.23*0.8*8*1.12</f>
        <v>0.54405120000000018</v>
      </c>
      <c r="I5354" s="538"/>
      <c r="J5354" s="242"/>
      <c r="K5354" s="326"/>
    </row>
    <row r="5355" spans="1:11" customFormat="1" x14ac:dyDescent="0.25">
      <c r="A5355" s="545"/>
      <c r="D5355" t="s">
        <v>671</v>
      </c>
      <c r="E5355" s="3"/>
      <c r="G5355" s="537" t="s">
        <v>3</v>
      </c>
      <c r="H5355" s="10">
        <v>0.01</v>
      </c>
      <c r="I5355" s="538"/>
      <c r="J5355" s="242"/>
      <c r="K5355" s="326"/>
    </row>
    <row r="5356" spans="1:11" customFormat="1" x14ac:dyDescent="0.25">
      <c r="A5356" s="545"/>
      <c r="D5356" t="s">
        <v>672</v>
      </c>
      <c r="E5356" s="3"/>
      <c r="G5356" s="537" t="s">
        <v>3</v>
      </c>
      <c r="H5356" s="10">
        <f>2*H5355</f>
        <v>0.02</v>
      </c>
      <c r="I5356" s="538"/>
      <c r="J5356" s="242"/>
      <c r="K5356" s="326"/>
    </row>
    <row r="5357" spans="1:11" customFormat="1" x14ac:dyDescent="0.25">
      <c r="A5357" s="545" t="s">
        <v>7114</v>
      </c>
      <c r="D5357" s="3" t="s">
        <v>7113</v>
      </c>
      <c r="E5357" s="3"/>
      <c r="G5357" s="537"/>
      <c r="H5357" s="10"/>
      <c r="I5357" s="538"/>
      <c r="J5357" s="242"/>
      <c r="K5357" s="326"/>
    </row>
    <row r="5358" spans="1:11" customFormat="1" x14ac:dyDescent="0.25">
      <c r="A5358" s="545"/>
      <c r="D5358" s="25" t="s">
        <v>7112</v>
      </c>
      <c r="E5358" s="3"/>
      <c r="G5358" s="537" t="s">
        <v>3</v>
      </c>
      <c r="H5358" s="10">
        <v>0.16</v>
      </c>
      <c r="I5358" s="538"/>
      <c r="J5358" s="242"/>
      <c r="K5358" s="326"/>
    </row>
    <row r="5359" spans="1:11" customFormat="1" x14ac:dyDescent="0.25">
      <c r="A5359" s="545"/>
      <c r="D5359" s="3"/>
      <c r="E5359" s="3"/>
      <c r="G5359" s="537"/>
      <c r="H5359" s="10"/>
      <c r="I5359" s="538"/>
      <c r="J5359" s="242"/>
      <c r="K5359" s="326"/>
    </row>
    <row r="5360" spans="1:11" customFormat="1" x14ac:dyDescent="0.25">
      <c r="A5360" s="545" t="s">
        <v>7111</v>
      </c>
      <c r="B5360" s="3" t="s">
        <v>7110</v>
      </c>
      <c r="D5360" s="3"/>
      <c r="E5360" s="3"/>
      <c r="G5360" s="537"/>
      <c r="H5360" s="10"/>
      <c r="I5360" s="538"/>
      <c r="J5360" s="242"/>
      <c r="K5360" s="326"/>
    </row>
    <row r="5361" spans="1:11" customFormat="1" x14ac:dyDescent="0.25">
      <c r="A5361" s="545"/>
      <c r="B5361" s="25" t="s">
        <v>140</v>
      </c>
      <c r="D5361" s="3"/>
      <c r="E5361" s="3"/>
      <c r="G5361" s="537" t="s">
        <v>3</v>
      </c>
      <c r="H5361" s="10">
        <f>0.018*3.14*0.08*1.3</f>
        <v>5.8780799999999999E-3</v>
      </c>
      <c r="I5361" s="538"/>
      <c r="J5361" s="242"/>
      <c r="K5361" s="326"/>
    </row>
    <row r="5362" spans="1:11" customFormat="1" ht="17.25" x14ac:dyDescent="0.25">
      <c r="A5362" s="545"/>
      <c r="B5362" s="25" t="s">
        <v>23</v>
      </c>
      <c r="D5362" s="3"/>
      <c r="E5362" s="3"/>
      <c r="G5362" s="537" t="s">
        <v>596</v>
      </c>
      <c r="H5362" s="10">
        <f>H5361*2</f>
        <v>1.175616E-2</v>
      </c>
      <c r="I5362" s="538"/>
      <c r="J5362" s="242"/>
      <c r="K5362" s="326"/>
    </row>
    <row r="5363" spans="1:11" customFormat="1" x14ac:dyDescent="0.25">
      <c r="A5363" s="545"/>
      <c r="B5363" s="25" t="s">
        <v>142</v>
      </c>
      <c r="D5363" s="3"/>
      <c r="E5363" s="3"/>
      <c r="G5363" s="537" t="s">
        <v>3</v>
      </c>
      <c r="H5363" s="10">
        <f>H5361/4</f>
        <v>1.46952E-3</v>
      </c>
      <c r="I5363" s="538"/>
      <c r="J5363" s="242"/>
      <c r="K5363" s="326"/>
    </row>
    <row r="5364" spans="1:11" customFormat="1" x14ac:dyDescent="0.25">
      <c r="A5364" s="545"/>
      <c r="B5364" s="25" t="s">
        <v>143</v>
      </c>
      <c r="D5364" s="3"/>
      <c r="E5364" s="3"/>
      <c r="G5364" s="537" t="s">
        <v>3</v>
      </c>
      <c r="H5364" s="15">
        <v>3.0000000000000001E-3</v>
      </c>
      <c r="I5364" s="538"/>
      <c r="J5364" s="242"/>
      <c r="K5364" s="326"/>
    </row>
    <row r="5365" spans="1:11" customFormat="1" x14ac:dyDescent="0.25">
      <c r="A5365" s="545"/>
      <c r="B5365" s="25" t="s">
        <v>12</v>
      </c>
      <c r="D5365" s="3"/>
      <c r="E5365" s="3"/>
      <c r="G5365" s="537" t="s">
        <v>3</v>
      </c>
      <c r="H5365" s="10">
        <f>0.3*H5364</f>
        <v>8.9999999999999998E-4</v>
      </c>
      <c r="I5365" s="538"/>
      <c r="J5365" s="242"/>
      <c r="K5365" s="326"/>
    </row>
    <row r="5366" spans="1:11" customFormat="1" x14ac:dyDescent="0.25">
      <c r="A5366" s="545" t="s">
        <v>7109</v>
      </c>
      <c r="C5366" s="3" t="s">
        <v>7108</v>
      </c>
      <c r="D5366" s="3"/>
      <c r="E5366" s="3"/>
      <c r="G5366" s="537"/>
      <c r="H5366" s="10"/>
      <c r="I5366" s="538"/>
      <c r="J5366" s="242"/>
      <c r="K5366" s="326"/>
    </row>
    <row r="5367" spans="1:11" customFormat="1" x14ac:dyDescent="0.25">
      <c r="A5367" s="545"/>
      <c r="C5367" t="s">
        <v>1250</v>
      </c>
      <c r="D5367" s="3"/>
      <c r="E5367" s="3"/>
      <c r="G5367" s="537" t="s">
        <v>3</v>
      </c>
      <c r="H5367" s="10">
        <v>0.1</v>
      </c>
      <c r="I5367" s="538"/>
      <c r="J5367" s="242"/>
      <c r="K5367" s="326"/>
    </row>
    <row r="5368" spans="1:11" customFormat="1" x14ac:dyDescent="0.25">
      <c r="A5368" s="545"/>
      <c r="D5368" s="3"/>
      <c r="E5368" s="3"/>
      <c r="G5368" s="537"/>
      <c r="H5368" s="10"/>
      <c r="I5368" s="538"/>
      <c r="J5368" s="242"/>
      <c r="K5368" s="326"/>
    </row>
    <row r="5369" spans="1:11" customFormat="1" x14ac:dyDescent="0.25">
      <c r="A5369" s="545" t="s">
        <v>7107</v>
      </c>
      <c r="B5369" s="3" t="s">
        <v>7106</v>
      </c>
      <c r="D5369" s="3"/>
      <c r="E5369" s="3"/>
      <c r="G5369" s="537"/>
      <c r="H5369" s="10"/>
      <c r="I5369" s="538"/>
      <c r="J5369" s="242"/>
      <c r="K5369" s="326"/>
    </row>
    <row r="5370" spans="1:11" customFormat="1" x14ac:dyDescent="0.25">
      <c r="A5370" s="545"/>
      <c r="B5370" s="25" t="s">
        <v>7105</v>
      </c>
      <c r="D5370" s="3"/>
      <c r="E5370" s="3"/>
      <c r="G5370" s="537" t="s">
        <v>195</v>
      </c>
      <c r="H5370" s="10">
        <v>1.3</v>
      </c>
      <c r="I5370" s="538"/>
      <c r="J5370" s="242"/>
      <c r="K5370" s="326"/>
    </row>
    <row r="5371" spans="1:11" customFormat="1" x14ac:dyDescent="0.25">
      <c r="A5371" s="545"/>
      <c r="B5371" t="s">
        <v>1194</v>
      </c>
      <c r="D5371" s="3"/>
      <c r="E5371" s="3"/>
      <c r="G5371" s="537" t="s">
        <v>3</v>
      </c>
      <c r="H5371" s="10">
        <f>0.005</f>
        <v>5.0000000000000001E-3</v>
      </c>
      <c r="I5371" s="538"/>
      <c r="J5371" s="242"/>
      <c r="K5371" s="326"/>
    </row>
    <row r="5372" spans="1:11" customFormat="1" x14ac:dyDescent="0.25">
      <c r="A5372" s="545" t="s">
        <v>7104</v>
      </c>
      <c r="C5372" s="3" t="s">
        <v>7103</v>
      </c>
      <c r="D5372" s="3"/>
      <c r="E5372" s="3"/>
      <c r="G5372" s="537"/>
      <c r="H5372" s="10"/>
      <c r="I5372" s="538"/>
      <c r="J5372" s="242"/>
      <c r="K5372" s="326"/>
    </row>
    <row r="5373" spans="1:11" customFormat="1" x14ac:dyDescent="0.25">
      <c r="A5373" s="545"/>
      <c r="C5373" s="25" t="s">
        <v>140</v>
      </c>
      <c r="D5373" s="3"/>
      <c r="E5373" s="3"/>
      <c r="G5373" s="537" t="s">
        <v>3</v>
      </c>
      <c r="H5373" s="10">
        <f>0.012*3.14*2*0.08*1.2</f>
        <v>7.234560000000001E-3</v>
      </c>
      <c r="I5373" s="538"/>
      <c r="J5373" s="242"/>
      <c r="K5373" s="326"/>
    </row>
    <row r="5374" spans="1:11" customFormat="1" ht="17.25" x14ac:dyDescent="0.25">
      <c r="A5374" s="545"/>
      <c r="C5374" s="25" t="s">
        <v>23</v>
      </c>
      <c r="D5374" s="3"/>
      <c r="E5374" s="3"/>
      <c r="G5374" s="537" t="s">
        <v>596</v>
      </c>
      <c r="H5374" s="10">
        <f>H5373*2</f>
        <v>1.4469120000000002E-2</v>
      </c>
      <c r="I5374" s="538"/>
      <c r="J5374" s="242"/>
      <c r="K5374" s="326"/>
    </row>
    <row r="5375" spans="1:11" customFormat="1" x14ac:dyDescent="0.25">
      <c r="A5375" s="545"/>
      <c r="C5375" s="25" t="s">
        <v>142</v>
      </c>
      <c r="D5375" s="3"/>
      <c r="E5375" s="3"/>
      <c r="G5375" s="537" t="s">
        <v>3</v>
      </c>
      <c r="H5375" s="10">
        <f>H5373/4</f>
        <v>1.8086400000000002E-3</v>
      </c>
      <c r="I5375" s="538"/>
      <c r="J5375" s="242"/>
      <c r="K5375" s="326"/>
    </row>
    <row r="5376" spans="1:11" customFormat="1" x14ac:dyDescent="0.25">
      <c r="A5376" s="545"/>
      <c r="C5376" s="25" t="s">
        <v>72</v>
      </c>
      <c r="D5376" s="3"/>
      <c r="E5376" s="3"/>
      <c r="G5376" s="537" t="s">
        <v>3</v>
      </c>
      <c r="H5376" s="10">
        <f>0.08*0.011*2*1.5</f>
        <v>2.64E-3</v>
      </c>
      <c r="I5376" s="538"/>
      <c r="J5376" s="242"/>
      <c r="K5376" s="326"/>
    </row>
    <row r="5377" spans="1:11" customFormat="1" x14ac:dyDescent="0.25">
      <c r="A5377" s="545"/>
      <c r="C5377" s="25" t="s">
        <v>11</v>
      </c>
      <c r="D5377" s="3"/>
      <c r="E5377" s="3"/>
      <c r="G5377" s="537" t="s">
        <v>3</v>
      </c>
      <c r="H5377" s="10">
        <f>0.3*H5376</f>
        <v>7.9199999999999995E-4</v>
      </c>
      <c r="I5377" s="538"/>
      <c r="J5377" s="242"/>
      <c r="K5377" s="326"/>
    </row>
    <row r="5378" spans="1:11" customFormat="1" x14ac:dyDescent="0.25">
      <c r="A5378" s="545"/>
      <c r="C5378" s="25" t="s">
        <v>143</v>
      </c>
      <c r="D5378" s="3"/>
      <c r="E5378" s="3"/>
      <c r="G5378" s="537" t="s">
        <v>3</v>
      </c>
      <c r="H5378" s="10">
        <v>3.0000000000000001E-3</v>
      </c>
      <c r="I5378" s="538"/>
      <c r="J5378" s="242"/>
      <c r="K5378" s="326"/>
    </row>
    <row r="5379" spans="1:11" customFormat="1" x14ac:dyDescent="0.25">
      <c r="A5379" s="545"/>
      <c r="C5379" s="25" t="s">
        <v>12</v>
      </c>
      <c r="D5379" s="3"/>
      <c r="E5379" s="3"/>
      <c r="G5379" s="537" t="s">
        <v>3</v>
      </c>
      <c r="H5379" s="10">
        <f>0.3*H5378</f>
        <v>8.9999999999999998E-4</v>
      </c>
      <c r="I5379" s="538"/>
      <c r="J5379" s="242"/>
      <c r="K5379" s="326"/>
    </row>
    <row r="5380" spans="1:11" customFormat="1" x14ac:dyDescent="0.25">
      <c r="A5380" s="545" t="s">
        <v>7102</v>
      </c>
      <c r="D5380" s="3" t="s">
        <v>7101</v>
      </c>
      <c r="E5380" s="3"/>
      <c r="G5380" s="537"/>
      <c r="H5380" s="10"/>
      <c r="I5380" s="538"/>
      <c r="J5380" s="242"/>
      <c r="K5380" s="326"/>
    </row>
    <row r="5381" spans="1:11" customFormat="1" x14ac:dyDescent="0.25">
      <c r="A5381" s="545"/>
      <c r="D5381" s="25" t="s">
        <v>7100</v>
      </c>
      <c r="E5381" s="3"/>
      <c r="G5381" s="537" t="s">
        <v>3</v>
      </c>
      <c r="H5381" s="10">
        <v>0.06</v>
      </c>
      <c r="I5381" s="538"/>
      <c r="J5381" s="242"/>
      <c r="K5381" s="326"/>
    </row>
    <row r="5382" spans="1:11" customFormat="1" x14ac:dyDescent="0.25">
      <c r="A5382" s="545"/>
      <c r="D5382" s="3"/>
      <c r="E5382" s="3"/>
      <c r="G5382" s="537"/>
      <c r="H5382" s="10"/>
      <c r="I5382" s="538"/>
      <c r="J5382" s="242"/>
      <c r="K5382" s="326"/>
    </row>
    <row r="5383" spans="1:11" customFormat="1" x14ac:dyDescent="0.25">
      <c r="A5383" s="545" t="s">
        <v>7099</v>
      </c>
      <c r="B5383" s="3" t="s">
        <v>7098</v>
      </c>
      <c r="D5383" s="3"/>
      <c r="E5383" s="3"/>
      <c r="G5383" s="537"/>
      <c r="H5383" s="10"/>
      <c r="I5383" s="538"/>
      <c r="J5383" s="242"/>
      <c r="K5383" s="326"/>
    </row>
    <row r="5384" spans="1:11" customFormat="1" x14ac:dyDescent="0.25">
      <c r="A5384" s="545"/>
      <c r="B5384" s="8" t="s">
        <v>1054</v>
      </c>
      <c r="D5384" s="3"/>
      <c r="E5384" s="3"/>
      <c r="G5384" s="537" t="s">
        <v>3</v>
      </c>
      <c r="H5384" s="10">
        <f>0.2*0.05*1.3</f>
        <v>1.3000000000000003E-2</v>
      </c>
      <c r="I5384" s="538"/>
      <c r="J5384" s="242"/>
      <c r="K5384" s="326"/>
    </row>
    <row r="5385" spans="1:11" customFormat="1" x14ac:dyDescent="0.25">
      <c r="A5385" s="545"/>
      <c r="B5385" t="s">
        <v>485</v>
      </c>
      <c r="D5385" s="3"/>
      <c r="E5385" s="3"/>
      <c r="G5385" s="537" t="s">
        <v>3</v>
      </c>
      <c r="H5385" s="10">
        <f>1.5*H5384</f>
        <v>1.9500000000000003E-2</v>
      </c>
      <c r="I5385" s="538"/>
      <c r="J5385" s="242"/>
      <c r="K5385" s="326"/>
    </row>
    <row r="5386" spans="1:11" customFormat="1" x14ac:dyDescent="0.25">
      <c r="A5386" s="545" t="s">
        <v>7097</v>
      </c>
      <c r="B5386" s="3"/>
      <c r="C5386" s="3" t="s">
        <v>7096</v>
      </c>
      <c r="D5386" s="3"/>
      <c r="E5386" s="3"/>
      <c r="G5386" s="537"/>
      <c r="H5386" s="10"/>
      <c r="I5386" s="538"/>
      <c r="J5386" s="242"/>
      <c r="K5386" s="326"/>
    </row>
    <row r="5387" spans="1:11" customFormat="1" x14ac:dyDescent="0.25">
      <c r="A5387" s="545"/>
      <c r="B5387" s="3"/>
      <c r="C5387" s="25" t="s">
        <v>847</v>
      </c>
      <c r="D5387" s="3"/>
      <c r="E5387" s="3"/>
      <c r="G5387" s="537" t="s">
        <v>3</v>
      </c>
      <c r="H5387" s="10">
        <f>0.13*0.02*3*8*1.1</f>
        <v>6.864000000000002E-2</v>
      </c>
      <c r="I5387" s="538"/>
      <c r="J5387" s="242"/>
      <c r="K5387" s="326"/>
    </row>
    <row r="5388" spans="1:11" customFormat="1" x14ac:dyDescent="0.25">
      <c r="A5388" s="545"/>
      <c r="B5388" s="3"/>
      <c r="D5388" s="3"/>
      <c r="E5388" s="3"/>
      <c r="G5388" s="537"/>
      <c r="H5388" s="10"/>
      <c r="I5388" s="538"/>
      <c r="J5388" s="242"/>
      <c r="K5388" s="326"/>
    </row>
    <row r="5389" spans="1:11" customFormat="1" x14ac:dyDescent="0.25">
      <c r="A5389" s="545" t="s">
        <v>7095</v>
      </c>
      <c r="B5389" s="3" t="s">
        <v>7094</v>
      </c>
      <c r="D5389" s="3"/>
      <c r="E5389" s="3"/>
      <c r="G5389" s="537"/>
      <c r="H5389" s="10"/>
      <c r="I5389" s="538"/>
      <c r="J5389" s="242"/>
      <c r="K5389" s="326"/>
    </row>
    <row r="5390" spans="1:11" customFormat="1" x14ac:dyDescent="0.25">
      <c r="A5390" s="545"/>
      <c r="B5390" s="8" t="s">
        <v>1054</v>
      </c>
      <c r="D5390" s="3"/>
      <c r="E5390" s="3"/>
      <c r="G5390" s="537" t="s">
        <v>3</v>
      </c>
      <c r="H5390" s="10">
        <f>0.015*3.14*0.05*1.3</f>
        <v>3.0615000000000004E-3</v>
      </c>
      <c r="I5390" s="538"/>
      <c r="J5390" s="242"/>
      <c r="K5390" s="326"/>
    </row>
    <row r="5391" spans="1:11" customFormat="1" x14ac:dyDescent="0.25">
      <c r="A5391" s="545"/>
      <c r="B5391" t="s">
        <v>485</v>
      </c>
      <c r="D5391" s="3"/>
      <c r="E5391" s="3"/>
      <c r="G5391" s="537" t="s">
        <v>3</v>
      </c>
      <c r="H5391" s="10">
        <f>1.5*H5390</f>
        <v>4.5922500000000008E-3</v>
      </c>
      <c r="I5391" s="538"/>
      <c r="J5391" s="242"/>
      <c r="K5391" s="326"/>
    </row>
    <row r="5392" spans="1:11" customFormat="1" x14ac:dyDescent="0.25">
      <c r="A5392" s="545" t="s">
        <v>7093</v>
      </c>
      <c r="B5392" s="3"/>
      <c r="C5392" s="3" t="s">
        <v>5203</v>
      </c>
      <c r="D5392" s="3"/>
      <c r="E5392" s="3"/>
      <c r="G5392" s="537"/>
      <c r="H5392" s="10"/>
      <c r="I5392" s="538"/>
      <c r="J5392" s="242"/>
      <c r="K5392" s="326"/>
    </row>
    <row r="5393" spans="1:11" customFormat="1" x14ac:dyDescent="0.25">
      <c r="A5393" s="545"/>
      <c r="B5393" s="3"/>
      <c r="C5393" s="25" t="s">
        <v>7092</v>
      </c>
      <c r="D5393" s="3"/>
      <c r="E5393" s="3"/>
      <c r="G5393" s="537" t="s">
        <v>3</v>
      </c>
      <c r="H5393" s="10">
        <f>0.06</f>
        <v>0.06</v>
      </c>
      <c r="I5393" s="538"/>
      <c r="J5393" s="242"/>
      <c r="K5393" s="326"/>
    </row>
    <row r="5394" spans="1:11" customFormat="1" x14ac:dyDescent="0.25">
      <c r="A5394" s="545"/>
      <c r="B5394" s="3"/>
      <c r="D5394" s="3"/>
      <c r="E5394" s="3"/>
      <c r="G5394" s="537"/>
      <c r="H5394" s="10"/>
      <c r="I5394" s="538"/>
      <c r="J5394" s="242"/>
      <c r="K5394" s="326"/>
    </row>
    <row r="5395" spans="1:11" customFormat="1" x14ac:dyDescent="0.25">
      <c r="A5395" s="545" t="s">
        <v>7091</v>
      </c>
      <c r="B5395" s="3" t="s">
        <v>7090</v>
      </c>
      <c r="D5395" s="3"/>
      <c r="E5395" s="3"/>
      <c r="G5395" s="537"/>
      <c r="H5395" s="10"/>
      <c r="I5395" s="538"/>
      <c r="J5395" s="242"/>
      <c r="K5395" s="326"/>
    </row>
    <row r="5396" spans="1:11" customFormat="1" x14ac:dyDescent="0.25">
      <c r="A5396" s="545"/>
      <c r="B5396" s="25" t="s">
        <v>7089</v>
      </c>
      <c r="D5396" s="3"/>
      <c r="E5396" s="3"/>
      <c r="G5396" s="537" t="s">
        <v>195</v>
      </c>
      <c r="H5396" s="10">
        <v>0.27</v>
      </c>
      <c r="I5396" s="538"/>
      <c r="J5396" s="242"/>
      <c r="K5396" s="326"/>
    </row>
    <row r="5397" spans="1:11" customFormat="1" x14ac:dyDescent="0.25">
      <c r="A5397" s="545"/>
      <c r="B5397" s="25" t="s">
        <v>7088</v>
      </c>
      <c r="D5397" s="3"/>
      <c r="E5397" s="3"/>
      <c r="G5397" s="537" t="s">
        <v>3</v>
      </c>
      <c r="H5397" s="10">
        <v>3.0000000000000001E-3</v>
      </c>
      <c r="I5397" s="538"/>
      <c r="J5397" s="242"/>
      <c r="K5397" s="326"/>
    </row>
    <row r="5398" spans="1:11" customFormat="1" x14ac:dyDescent="0.25">
      <c r="A5398" s="545" t="s">
        <v>7087</v>
      </c>
      <c r="B5398" s="3"/>
      <c r="C5398" s="3" t="s">
        <v>7086</v>
      </c>
      <c r="D5398" s="3"/>
      <c r="E5398" s="3"/>
      <c r="G5398" s="537"/>
      <c r="H5398" s="10"/>
      <c r="I5398" s="538"/>
      <c r="J5398" s="242"/>
      <c r="K5398" s="326"/>
    </row>
    <row r="5399" spans="1:11" customFormat="1" x14ac:dyDescent="0.25">
      <c r="A5399" s="545"/>
      <c r="B5399" s="3"/>
      <c r="C5399" s="25" t="s">
        <v>671</v>
      </c>
      <c r="D5399" s="3"/>
      <c r="E5399" s="3"/>
      <c r="G5399" s="537" t="s">
        <v>3</v>
      </c>
      <c r="H5399" s="10">
        <v>7.0000000000000001E-3</v>
      </c>
      <c r="I5399" s="538"/>
      <c r="J5399" s="242"/>
      <c r="K5399" s="326"/>
    </row>
    <row r="5400" spans="1:11" customFormat="1" x14ac:dyDescent="0.25">
      <c r="A5400" s="545"/>
      <c r="B5400" s="3"/>
      <c r="C5400" s="25" t="s">
        <v>672</v>
      </c>
      <c r="D5400" s="3"/>
      <c r="E5400" s="3"/>
      <c r="G5400" s="537" t="s">
        <v>3</v>
      </c>
      <c r="H5400" s="10">
        <f>H5399*2.5</f>
        <v>1.7500000000000002E-2</v>
      </c>
      <c r="I5400" s="538"/>
      <c r="J5400" s="242"/>
      <c r="K5400" s="326"/>
    </row>
    <row r="5401" spans="1:11" customFormat="1" x14ac:dyDescent="0.25">
      <c r="A5401" s="545"/>
      <c r="B5401" s="3"/>
      <c r="C5401" s="25" t="s">
        <v>37</v>
      </c>
      <c r="D5401" s="3"/>
      <c r="E5401" s="3"/>
      <c r="G5401" s="537" t="s">
        <v>3</v>
      </c>
      <c r="H5401" s="10">
        <v>2E-3</v>
      </c>
      <c r="I5401" s="538"/>
      <c r="J5401" s="242"/>
      <c r="K5401" s="326"/>
    </row>
    <row r="5402" spans="1:11" customFormat="1" x14ac:dyDescent="0.25">
      <c r="A5402" s="545" t="s">
        <v>7085</v>
      </c>
      <c r="B5402" s="3"/>
      <c r="D5402" s="3" t="s">
        <v>7084</v>
      </c>
      <c r="E5402" s="3"/>
      <c r="G5402" s="537"/>
      <c r="H5402" s="10"/>
      <c r="I5402" s="538"/>
      <c r="J5402" s="242"/>
      <c r="K5402" s="326"/>
    </row>
    <row r="5403" spans="1:11" customFormat="1" x14ac:dyDescent="0.25">
      <c r="A5403" s="545"/>
      <c r="B5403" s="3"/>
      <c r="D5403" s="25" t="s">
        <v>7083</v>
      </c>
      <c r="E5403" s="3"/>
      <c r="G5403" s="537"/>
      <c r="H5403" s="10">
        <f>0.02*0.01*1.5*8*1.1</f>
        <v>2.6400000000000004E-3</v>
      </c>
      <c r="I5403" s="538"/>
      <c r="J5403" s="242"/>
      <c r="K5403" s="326"/>
    </row>
    <row r="5404" spans="1:11" customFormat="1" x14ac:dyDescent="0.25">
      <c r="A5404" s="545"/>
      <c r="D5404" s="3"/>
      <c r="E5404" s="3"/>
      <c r="G5404" s="537"/>
      <c r="H5404" s="10"/>
      <c r="I5404" s="538"/>
      <c r="J5404" s="242"/>
      <c r="K5404" s="326"/>
    </row>
    <row r="5405" spans="1:11" customFormat="1" x14ac:dyDescent="0.25">
      <c r="A5405" s="545" t="s">
        <v>7082</v>
      </c>
      <c r="B5405" s="3" t="s">
        <v>7081</v>
      </c>
      <c r="D5405" s="3"/>
      <c r="E5405" s="3"/>
      <c r="G5405" s="537"/>
      <c r="H5405" s="10"/>
      <c r="I5405" s="538"/>
      <c r="J5405" s="242"/>
      <c r="K5405" s="326"/>
    </row>
    <row r="5406" spans="1:11" customFormat="1" x14ac:dyDescent="0.25">
      <c r="A5406" s="545"/>
      <c r="C5406" t="s">
        <v>7080</v>
      </c>
      <c r="D5406" s="3"/>
      <c r="E5406" s="3"/>
      <c r="G5406" s="537" t="s">
        <v>195</v>
      </c>
      <c r="H5406" s="10">
        <v>1.55</v>
      </c>
      <c r="I5406" s="538"/>
      <c r="J5406" s="242"/>
      <c r="K5406" s="326"/>
    </row>
    <row r="5407" spans="1:11" customFormat="1" x14ac:dyDescent="0.25">
      <c r="A5407" s="545"/>
      <c r="C5407" t="s">
        <v>1297</v>
      </c>
      <c r="D5407" s="3"/>
      <c r="E5407" s="3"/>
      <c r="F5407" t="s">
        <v>7079</v>
      </c>
      <c r="G5407" s="537" t="s">
        <v>3</v>
      </c>
      <c r="H5407" s="10">
        <v>1E-3</v>
      </c>
      <c r="I5407" s="538"/>
      <c r="J5407" s="242"/>
      <c r="K5407" s="326"/>
    </row>
    <row r="5408" spans="1:11" customFormat="1" x14ac:dyDescent="0.25">
      <c r="A5408" s="545"/>
      <c r="D5408" s="3"/>
      <c r="E5408" s="3"/>
      <c r="G5408" s="537"/>
      <c r="H5408" s="10"/>
      <c r="I5408" s="538"/>
      <c r="J5408" s="242"/>
      <c r="K5408" s="326"/>
    </row>
    <row r="5409" spans="1:11" customFormat="1" x14ac:dyDescent="0.25">
      <c r="A5409" s="545" t="s">
        <v>7078</v>
      </c>
      <c r="B5409" s="3" t="s">
        <v>7077</v>
      </c>
      <c r="D5409" s="3"/>
      <c r="E5409" s="3"/>
      <c r="G5409" s="639"/>
      <c r="H5409" s="10"/>
      <c r="I5409" s="538"/>
      <c r="J5409" s="242"/>
      <c r="K5409" s="326"/>
    </row>
    <row r="5410" spans="1:11" customFormat="1" x14ac:dyDescent="0.25">
      <c r="A5410" s="545" t="s">
        <v>7076</v>
      </c>
      <c r="B5410" s="3"/>
      <c r="C5410" s="3" t="s">
        <v>7075</v>
      </c>
      <c r="D5410" s="3"/>
      <c r="E5410" s="3"/>
      <c r="G5410" s="639"/>
      <c r="H5410" s="10"/>
      <c r="I5410" s="538"/>
      <c r="J5410" s="242"/>
      <c r="K5410" s="326"/>
    </row>
    <row r="5411" spans="1:11" customFormat="1" x14ac:dyDescent="0.25">
      <c r="A5411" s="545" t="s">
        <v>7074</v>
      </c>
      <c r="D5411" s="3" t="s">
        <v>7073</v>
      </c>
      <c r="E5411" s="3"/>
      <c r="G5411" s="537"/>
      <c r="H5411" s="10"/>
      <c r="I5411" s="538"/>
      <c r="J5411" s="242"/>
      <c r="K5411" s="326"/>
    </row>
    <row r="5412" spans="1:11" customFormat="1" x14ac:dyDescent="0.25">
      <c r="A5412" s="545"/>
      <c r="D5412" s="25" t="s">
        <v>260</v>
      </c>
      <c r="E5412" s="3"/>
      <c r="G5412" s="537" t="s">
        <v>3</v>
      </c>
      <c r="H5412" s="10">
        <f>0.08*0.035*4*8*1.12</f>
        <v>0.10035200000000002</v>
      </c>
      <c r="I5412" s="538"/>
      <c r="J5412" s="242"/>
      <c r="K5412" s="326"/>
    </row>
    <row r="5413" spans="1:11" customFormat="1" x14ac:dyDescent="0.25">
      <c r="A5413" s="545" t="s">
        <v>7072</v>
      </c>
      <c r="D5413" s="3" t="s">
        <v>7071</v>
      </c>
      <c r="E5413" s="3"/>
      <c r="G5413" s="537"/>
      <c r="H5413" s="10"/>
      <c r="I5413" s="538"/>
      <c r="J5413" s="242"/>
      <c r="K5413" s="326"/>
    </row>
    <row r="5414" spans="1:11" customFormat="1" x14ac:dyDescent="0.25">
      <c r="A5414" s="545"/>
      <c r="D5414" s="25" t="s">
        <v>260</v>
      </c>
      <c r="E5414" s="3"/>
      <c r="G5414" s="537" t="s">
        <v>3</v>
      </c>
      <c r="H5414" s="10">
        <f>0.35*1.2</f>
        <v>0.42</v>
      </c>
      <c r="I5414" s="538"/>
      <c r="J5414" s="242"/>
      <c r="K5414" s="326"/>
    </row>
    <row r="5415" spans="1:11" customFormat="1" x14ac:dyDescent="0.25">
      <c r="A5415" s="545" t="s">
        <v>7070</v>
      </c>
      <c r="D5415" s="3" t="s">
        <v>7069</v>
      </c>
      <c r="E5415" s="3"/>
      <c r="G5415" s="537"/>
      <c r="H5415" s="10"/>
      <c r="I5415" s="538"/>
      <c r="J5415" s="242"/>
      <c r="K5415" s="326"/>
    </row>
    <row r="5416" spans="1:11" customFormat="1" x14ac:dyDescent="0.25">
      <c r="A5416" s="545"/>
      <c r="D5416" t="s">
        <v>7064</v>
      </c>
      <c r="E5416" s="3"/>
      <c r="G5416" s="537" t="s">
        <v>3</v>
      </c>
      <c r="H5416" s="10">
        <f>0.22*0.04*4*8*1.1</f>
        <v>0.30976000000000004</v>
      </c>
      <c r="I5416" s="538"/>
      <c r="J5416" s="242"/>
      <c r="K5416" s="326"/>
    </row>
    <row r="5417" spans="1:11" customFormat="1" x14ac:dyDescent="0.25">
      <c r="A5417" s="545" t="s">
        <v>7068</v>
      </c>
      <c r="D5417" s="3" t="s">
        <v>7067</v>
      </c>
      <c r="E5417" s="3"/>
      <c r="G5417" s="537"/>
      <c r="H5417" s="10"/>
      <c r="I5417" s="538"/>
      <c r="J5417" s="242"/>
      <c r="K5417" s="326"/>
    </row>
    <row r="5418" spans="1:11" customFormat="1" x14ac:dyDescent="0.25">
      <c r="A5418" s="545"/>
      <c r="D5418" t="s">
        <v>7064</v>
      </c>
      <c r="E5418" s="3"/>
      <c r="G5418" s="537" t="s">
        <v>3</v>
      </c>
      <c r="H5418" s="10">
        <f>0.195*0.04*4*8*1.1</f>
        <v>0.27456000000000003</v>
      </c>
      <c r="I5418" s="538"/>
      <c r="J5418" s="242"/>
      <c r="K5418" s="326"/>
    </row>
    <row r="5419" spans="1:11" customFormat="1" x14ac:dyDescent="0.25">
      <c r="A5419" s="545" t="s">
        <v>7066</v>
      </c>
      <c r="C5419" s="3" t="s">
        <v>7065</v>
      </c>
      <c r="D5419" s="3"/>
      <c r="E5419" s="3"/>
      <c r="G5419" s="537"/>
      <c r="H5419" s="10"/>
      <c r="I5419" s="538"/>
      <c r="J5419" s="242"/>
      <c r="K5419" s="326"/>
    </row>
    <row r="5420" spans="1:11" customFormat="1" x14ac:dyDescent="0.25">
      <c r="A5420" s="545"/>
      <c r="C5420" t="s">
        <v>7064</v>
      </c>
      <c r="D5420" s="3"/>
      <c r="E5420" s="3"/>
      <c r="G5420" s="537" t="s">
        <v>3</v>
      </c>
      <c r="H5420" s="10">
        <f>0.075*0.035*4*8*1.1</f>
        <v>9.240000000000001E-2</v>
      </c>
      <c r="I5420" s="538"/>
      <c r="J5420" s="242"/>
      <c r="K5420" s="326"/>
    </row>
    <row r="5421" spans="1:11" customFormat="1" x14ac:dyDescent="0.25">
      <c r="A5421" s="545"/>
      <c r="D5421" s="3"/>
      <c r="E5421" s="3"/>
      <c r="G5421" s="537"/>
      <c r="H5421" s="10"/>
      <c r="I5421" s="538"/>
      <c r="J5421" s="242"/>
      <c r="K5421" s="326"/>
    </row>
    <row r="5422" spans="1:11" customFormat="1" x14ac:dyDescent="0.25">
      <c r="A5422" s="545" t="s">
        <v>5272</v>
      </c>
      <c r="B5422" s="3" t="s">
        <v>7063</v>
      </c>
      <c r="D5422" s="3"/>
      <c r="E5422" s="3"/>
      <c r="G5422" s="641"/>
      <c r="H5422" s="10"/>
      <c r="I5422" s="538"/>
      <c r="J5422" s="242"/>
      <c r="K5422" s="326"/>
    </row>
    <row r="5423" spans="1:11" customFormat="1" x14ac:dyDescent="0.25">
      <c r="A5423" s="545"/>
      <c r="B5423" s="25" t="s">
        <v>769</v>
      </c>
      <c r="G5423" s="537" t="s">
        <v>3</v>
      </c>
      <c r="H5423" s="153">
        <v>2E-3</v>
      </c>
      <c r="I5423" s="538"/>
      <c r="J5423" s="242"/>
      <c r="K5423" s="326"/>
    </row>
    <row r="5424" spans="1:11" customFormat="1" x14ac:dyDescent="0.25">
      <c r="A5424" s="545"/>
      <c r="B5424" s="25" t="s">
        <v>8</v>
      </c>
      <c r="G5424" s="537" t="s">
        <v>3</v>
      </c>
      <c r="H5424" s="153">
        <f>0.1</f>
        <v>0.1</v>
      </c>
      <c r="I5424" s="538"/>
      <c r="J5424" s="242"/>
      <c r="K5424" s="326"/>
    </row>
    <row r="5425" spans="1:11" customFormat="1" x14ac:dyDescent="0.25">
      <c r="A5425" s="545"/>
      <c r="B5425" s="25" t="s">
        <v>12</v>
      </c>
      <c r="G5425" s="537" t="s">
        <v>3</v>
      </c>
      <c r="H5425" s="153">
        <f>0.3*H5424</f>
        <v>0.03</v>
      </c>
      <c r="I5425" s="538"/>
      <c r="J5425" s="242"/>
      <c r="K5425" s="326"/>
    </row>
    <row r="5426" spans="1:11" customFormat="1" x14ac:dyDescent="0.25">
      <c r="A5426" s="545"/>
      <c r="B5426" s="25" t="s">
        <v>72</v>
      </c>
      <c r="G5426" s="537" t="s">
        <v>3</v>
      </c>
      <c r="H5426" s="153">
        <f>0.2-(F5441+F5931+F5816+F5935)</f>
        <v>0.2</v>
      </c>
      <c r="I5426" s="538"/>
      <c r="J5426" s="242"/>
      <c r="K5426" s="326"/>
    </row>
    <row r="5427" spans="1:11" customFormat="1" x14ac:dyDescent="0.25">
      <c r="A5427" s="545"/>
      <c r="B5427" s="25" t="s">
        <v>11</v>
      </c>
      <c r="G5427" s="537" t="s">
        <v>3</v>
      </c>
      <c r="H5427" s="153">
        <f>0.3*H5426</f>
        <v>0.06</v>
      </c>
      <c r="I5427" s="538"/>
      <c r="J5427" s="242"/>
      <c r="K5427" s="326"/>
    </row>
    <row r="5428" spans="1:11" customFormat="1" x14ac:dyDescent="0.25">
      <c r="A5428" s="545" t="s">
        <v>7062</v>
      </c>
      <c r="C5428" s="3" t="s">
        <v>2756</v>
      </c>
      <c r="D5428" s="3"/>
      <c r="E5428" s="3"/>
      <c r="G5428" s="537"/>
      <c r="H5428" s="10"/>
      <c r="I5428" s="538"/>
      <c r="J5428" s="242"/>
      <c r="K5428" s="326"/>
    </row>
    <row r="5429" spans="1:11" customFormat="1" x14ac:dyDescent="0.25">
      <c r="A5429" s="545"/>
      <c r="C5429" t="s">
        <v>37</v>
      </c>
      <c r="G5429" s="537" t="s">
        <v>3</v>
      </c>
      <c r="H5429" s="153">
        <f>(0.86*0.02+0.025*0.46)*0.2*1.59</f>
        <v>9.1266000000000021E-3</v>
      </c>
      <c r="I5429" s="538"/>
      <c r="J5429" s="242"/>
      <c r="K5429" s="326"/>
    </row>
    <row r="5430" spans="1:11" customFormat="1" x14ac:dyDescent="0.25">
      <c r="A5430" s="545"/>
      <c r="C5430" t="s">
        <v>114</v>
      </c>
      <c r="G5430" s="537" t="s">
        <v>3</v>
      </c>
      <c r="H5430" s="153">
        <v>1.6E-2</v>
      </c>
      <c r="I5430" s="538"/>
      <c r="J5430" s="242"/>
      <c r="K5430" s="326"/>
    </row>
    <row r="5431" spans="1:11" customFormat="1" x14ac:dyDescent="0.25">
      <c r="A5431" s="545"/>
      <c r="C5431" t="s">
        <v>163</v>
      </c>
      <c r="G5431" s="537" t="s">
        <v>3</v>
      </c>
      <c r="H5431" s="153">
        <v>1.6E-2</v>
      </c>
      <c r="I5431" s="538"/>
      <c r="J5431" s="242"/>
      <c r="K5431" s="326"/>
    </row>
    <row r="5432" spans="1:11" customFormat="1" x14ac:dyDescent="0.25">
      <c r="A5432" s="545"/>
      <c r="C5432" t="s">
        <v>164</v>
      </c>
      <c r="G5432" s="537" t="s">
        <v>3</v>
      </c>
      <c r="H5432" s="153">
        <f>0.3*(H5431+H5430)</f>
        <v>9.5999999999999992E-3</v>
      </c>
      <c r="I5432" s="538"/>
      <c r="J5432" s="242"/>
      <c r="K5432" s="326"/>
    </row>
    <row r="5433" spans="1:11" customFormat="1" x14ac:dyDescent="0.25">
      <c r="A5433" s="545"/>
      <c r="C5433" t="s">
        <v>72</v>
      </c>
      <c r="G5433" s="537" t="s">
        <v>3</v>
      </c>
      <c r="H5433" s="153">
        <f>(0.475*0.31-(0.3*0.15))*0.15*2*1.2</f>
        <v>3.6809999999999996E-2</v>
      </c>
      <c r="I5433" s="538"/>
      <c r="J5433" s="242"/>
      <c r="K5433" s="326"/>
    </row>
    <row r="5434" spans="1:11" customFormat="1" x14ac:dyDescent="0.25">
      <c r="A5434" s="545"/>
      <c r="C5434" t="s">
        <v>444</v>
      </c>
      <c r="G5434" s="537" t="s">
        <v>3</v>
      </c>
      <c r="H5434" s="153">
        <f>0.3*H5433</f>
        <v>1.1042999999999999E-2</v>
      </c>
      <c r="I5434" s="538"/>
      <c r="J5434" s="242"/>
      <c r="K5434" s="326"/>
    </row>
    <row r="5435" spans="1:11" customFormat="1" x14ac:dyDescent="0.25">
      <c r="A5435" s="545"/>
      <c r="C5435" s="25" t="s">
        <v>211</v>
      </c>
      <c r="G5435" s="537" t="s">
        <v>3</v>
      </c>
      <c r="H5435" s="153">
        <f>(0.016*3.14*3*0.015+0.05*0.025)*1.3</f>
        <v>4.5640400000000001E-3</v>
      </c>
      <c r="I5435" s="538"/>
      <c r="J5435" s="242"/>
      <c r="K5435" s="326"/>
    </row>
    <row r="5436" spans="1:11" customFormat="1" ht="17.25" x14ac:dyDescent="0.25">
      <c r="A5436" s="545"/>
      <c r="C5436" s="25" t="s">
        <v>168</v>
      </c>
      <c r="G5436" s="537" t="s">
        <v>596</v>
      </c>
      <c r="H5436" s="153">
        <f>1.09*H5435</f>
        <v>4.9748036000000001E-3</v>
      </c>
      <c r="I5436" s="538"/>
      <c r="J5436" s="242"/>
      <c r="K5436" s="326"/>
    </row>
    <row r="5437" spans="1:11" customFormat="1" x14ac:dyDescent="0.25">
      <c r="A5437" s="545" t="s">
        <v>7061</v>
      </c>
      <c r="D5437" s="3" t="s">
        <v>2754</v>
      </c>
      <c r="E5437" s="3"/>
      <c r="G5437" s="537"/>
      <c r="H5437" s="10"/>
      <c r="I5437" s="538"/>
      <c r="J5437" s="242"/>
      <c r="K5437" s="326"/>
    </row>
    <row r="5438" spans="1:11" customFormat="1" x14ac:dyDescent="0.25">
      <c r="A5438" s="545"/>
      <c r="D5438" t="s">
        <v>790</v>
      </c>
      <c r="G5438" s="537" t="s">
        <v>3</v>
      </c>
      <c r="H5438" s="153">
        <f>0.475*0.31*2.5*2.7*1.082</f>
        <v>1.0754403750000001</v>
      </c>
      <c r="I5438" s="538"/>
      <c r="J5438" s="242"/>
      <c r="K5438" s="326"/>
    </row>
    <row r="5439" spans="1:11" customFormat="1" x14ac:dyDescent="0.25">
      <c r="A5439" s="545" t="s">
        <v>7060</v>
      </c>
      <c r="D5439" s="3" t="s">
        <v>2753</v>
      </c>
      <c r="E5439" s="3"/>
      <c r="G5439" s="537"/>
      <c r="H5439" s="153"/>
      <c r="I5439" s="538"/>
      <c r="J5439" s="242"/>
      <c r="K5439" s="326"/>
    </row>
    <row r="5440" spans="1:11" customFormat="1" x14ac:dyDescent="0.25">
      <c r="A5440" s="545"/>
      <c r="D5440" s="25" t="s">
        <v>7059</v>
      </c>
      <c r="E5440" s="3"/>
      <c r="G5440" s="537" t="s">
        <v>3</v>
      </c>
      <c r="H5440" s="153">
        <v>4.0000000000000001E-3</v>
      </c>
      <c r="I5440" s="538"/>
      <c r="J5440" s="242"/>
      <c r="K5440" s="326"/>
    </row>
    <row r="5441" spans="1:16" customFormat="1" x14ac:dyDescent="0.25">
      <c r="A5441" s="545" t="s">
        <v>7058</v>
      </c>
      <c r="D5441" s="3" t="s">
        <v>787</v>
      </c>
      <c r="E5441" s="3"/>
      <c r="G5441" s="537"/>
      <c r="H5441" s="640" t="s">
        <v>2536</v>
      </c>
      <c r="I5441" s="538"/>
      <c r="J5441" s="242"/>
      <c r="K5441" s="326"/>
    </row>
    <row r="5442" spans="1:16" customFormat="1" x14ac:dyDescent="0.25">
      <c r="A5442" s="545"/>
      <c r="D5442" s="25" t="s">
        <v>7057</v>
      </c>
      <c r="E5442" s="3"/>
      <c r="G5442" s="537" t="s">
        <v>3</v>
      </c>
      <c r="H5442" s="153">
        <v>2.3E-2</v>
      </c>
      <c r="I5442" s="538"/>
      <c r="J5442" s="242"/>
      <c r="K5442" s="326"/>
    </row>
    <row r="5443" spans="1:16" customFormat="1" x14ac:dyDescent="0.25">
      <c r="A5443" s="545" t="s">
        <v>7056</v>
      </c>
      <c r="C5443" s="3" t="s">
        <v>7055</v>
      </c>
      <c r="D5443" s="3"/>
      <c r="E5443" s="3"/>
      <c r="G5443" s="537"/>
      <c r="H5443" s="153"/>
      <c r="I5443" s="538"/>
      <c r="J5443" s="242"/>
      <c r="K5443" s="326"/>
    </row>
    <row r="5444" spans="1:16" customFormat="1" x14ac:dyDescent="0.25">
      <c r="A5444" s="545"/>
      <c r="C5444" s="8" t="s">
        <v>1054</v>
      </c>
      <c r="D5444" s="3"/>
      <c r="E5444" s="3"/>
      <c r="G5444" s="537" t="s">
        <v>3</v>
      </c>
      <c r="H5444" s="153">
        <f>0.2*0.05*1.3</f>
        <v>1.3000000000000003E-2</v>
      </c>
      <c r="I5444" s="538"/>
      <c r="J5444" s="242"/>
      <c r="K5444" s="326"/>
    </row>
    <row r="5445" spans="1:16" customFormat="1" x14ac:dyDescent="0.25">
      <c r="A5445" s="545"/>
      <c r="C5445" t="s">
        <v>485</v>
      </c>
      <c r="D5445" s="3"/>
      <c r="E5445" s="3"/>
      <c r="G5445" s="537" t="s">
        <v>3</v>
      </c>
      <c r="H5445" s="153">
        <f>1.5*H5444</f>
        <v>1.9500000000000003E-2</v>
      </c>
      <c r="I5445" s="538"/>
      <c r="J5445" s="242"/>
      <c r="K5445" s="326"/>
    </row>
    <row r="5446" spans="1:16" customFormat="1" x14ac:dyDescent="0.25">
      <c r="A5446" s="545" t="s">
        <v>7054</v>
      </c>
      <c r="C5446" s="3"/>
      <c r="D5446" s="3" t="s">
        <v>7053</v>
      </c>
      <c r="E5446" s="3"/>
      <c r="G5446" s="537"/>
      <c r="H5446" s="153"/>
      <c r="I5446" s="538"/>
      <c r="J5446" s="242"/>
      <c r="K5446" s="326"/>
    </row>
    <row r="5447" spans="1:16" customFormat="1" x14ac:dyDescent="0.25">
      <c r="A5447" s="545"/>
      <c r="C5447" s="3"/>
      <c r="D5447" s="25" t="s">
        <v>150</v>
      </c>
      <c r="E5447" s="3"/>
      <c r="G5447" s="537" t="s">
        <v>3</v>
      </c>
      <c r="H5447" s="427">
        <f>0.4*0.236*2*8*1.1</f>
        <v>1.66144</v>
      </c>
      <c r="I5447" s="538"/>
      <c r="J5447" s="242"/>
      <c r="K5447" s="326"/>
    </row>
    <row r="5448" spans="1:16" customFormat="1" x14ac:dyDescent="0.25">
      <c r="A5448" s="545" t="s">
        <v>7052</v>
      </c>
      <c r="C5448" s="3"/>
      <c r="D5448" s="3" t="s">
        <v>7051</v>
      </c>
      <c r="E5448" s="3"/>
      <c r="G5448" s="537"/>
      <c r="H5448" s="153"/>
      <c r="I5448" s="538"/>
      <c r="J5448" s="242"/>
      <c r="K5448" s="326"/>
    </row>
    <row r="5449" spans="1:16" customFormat="1" x14ac:dyDescent="0.25">
      <c r="A5449" s="545"/>
      <c r="C5449" s="3"/>
      <c r="D5449" s="25" t="s">
        <v>588</v>
      </c>
      <c r="E5449" s="3"/>
      <c r="G5449" s="537" t="s">
        <v>3</v>
      </c>
      <c r="H5449" s="153">
        <f>0.13*0.04*5*8*1.105</f>
        <v>0.22984000000000002</v>
      </c>
      <c r="I5449" s="538">
        <v>3.5000000000000003E-2</v>
      </c>
      <c r="J5449" s="6">
        <v>0.12</v>
      </c>
      <c r="K5449" s="326"/>
    </row>
    <row r="5450" spans="1:16" customFormat="1" x14ac:dyDescent="0.25">
      <c r="A5450" s="545" t="s">
        <v>7050</v>
      </c>
      <c r="C5450" s="3" t="s">
        <v>7049</v>
      </c>
      <c r="D5450" s="3"/>
      <c r="E5450" s="3"/>
      <c r="G5450" s="639"/>
      <c r="H5450" s="153"/>
      <c r="I5450" s="638">
        <v>4.2999999999999997E-2</v>
      </c>
      <c r="J5450" s="6">
        <v>0.13400000000000001</v>
      </c>
      <c r="K5450" s="2">
        <f>I5450*J5450*5*8</f>
        <v>0.23047999999999999</v>
      </c>
    </row>
    <row r="5451" spans="1:16" customFormat="1" x14ac:dyDescent="0.25">
      <c r="A5451" s="545"/>
      <c r="C5451" s="25" t="s">
        <v>8</v>
      </c>
      <c r="G5451" s="537" t="s">
        <v>3</v>
      </c>
      <c r="H5451" s="427">
        <v>2E-3</v>
      </c>
      <c r="I5451" s="538"/>
      <c r="J5451" s="242"/>
      <c r="K5451" s="326"/>
    </row>
    <row r="5452" spans="1:16" customFormat="1" x14ac:dyDescent="0.25">
      <c r="A5452" s="545"/>
      <c r="C5452" s="25" t="s">
        <v>12</v>
      </c>
      <c r="G5452" s="537" t="s">
        <v>3</v>
      </c>
      <c r="H5452" s="427">
        <f>0.3*H5451</f>
        <v>5.9999999999999995E-4</v>
      </c>
      <c r="I5452" s="538"/>
      <c r="J5452" s="242"/>
      <c r="K5452" s="326"/>
    </row>
    <row r="5453" spans="1:16" customFormat="1" x14ac:dyDescent="0.25">
      <c r="A5453" s="545"/>
      <c r="C5453" s="25" t="s">
        <v>72</v>
      </c>
      <c r="G5453" s="537" t="s">
        <v>3</v>
      </c>
      <c r="H5453" s="427">
        <f>0.105*0.011*2*1.3</f>
        <v>3.003E-3</v>
      </c>
      <c r="I5453" s="538"/>
      <c r="J5453" s="242"/>
      <c r="K5453" s="326"/>
    </row>
    <row r="5454" spans="1:16" customFormat="1" x14ac:dyDescent="0.25">
      <c r="A5454" s="545"/>
      <c r="C5454" s="25" t="s">
        <v>11</v>
      </c>
      <c r="G5454" s="537" t="s">
        <v>3</v>
      </c>
      <c r="H5454" s="427">
        <f>0.3*H5453</f>
        <v>9.0089999999999994E-4</v>
      </c>
      <c r="I5454" s="538"/>
      <c r="J5454" s="242"/>
      <c r="K5454" s="326"/>
    </row>
    <row r="5455" spans="1:16" customFormat="1" x14ac:dyDescent="0.25">
      <c r="A5455" s="545"/>
      <c r="C5455" s="3"/>
      <c r="D5455" s="3"/>
      <c r="E5455" s="3"/>
      <c r="G5455" s="537"/>
      <c r="H5455" s="10"/>
      <c r="I5455" s="538"/>
      <c r="J5455" s="242"/>
      <c r="K5455" s="326"/>
    </row>
    <row r="5456" spans="1:16" customFormat="1" x14ac:dyDescent="0.25">
      <c r="A5456" s="545" t="s">
        <v>7048</v>
      </c>
      <c r="B5456" s="3" t="s">
        <v>7047</v>
      </c>
      <c r="C5456" s="3"/>
      <c r="D5456" s="3"/>
      <c r="E5456" s="3"/>
      <c r="G5456" s="537"/>
      <c r="H5456" s="10"/>
      <c r="I5456" s="538"/>
      <c r="J5456" s="25" t="s">
        <v>8</v>
      </c>
      <c r="K5456" s="3"/>
      <c r="L5456" s="3"/>
      <c r="M5456" s="3"/>
      <c r="O5456" s="537" t="s">
        <v>3</v>
      </c>
      <c r="P5456" s="10">
        <v>0.1</v>
      </c>
    </row>
    <row r="5457" spans="1:16" customFormat="1" x14ac:dyDescent="0.25">
      <c r="A5457" s="545"/>
      <c r="B5457" s="11" t="s">
        <v>6724</v>
      </c>
      <c r="C5457" s="3"/>
      <c r="D5457" s="3"/>
      <c r="E5457" s="3"/>
      <c r="G5457" s="537" t="s">
        <v>3</v>
      </c>
      <c r="H5457" s="10">
        <f>1*0.04*1.3</f>
        <v>5.2000000000000005E-2</v>
      </c>
      <c r="I5457" s="538"/>
      <c r="J5457" s="25" t="s">
        <v>15</v>
      </c>
      <c r="K5457" s="3"/>
      <c r="L5457" s="3"/>
      <c r="M5457" s="3"/>
      <c r="O5457" s="537" t="s">
        <v>3</v>
      </c>
      <c r="P5457" s="10">
        <f>0.14</f>
        <v>0.14000000000000001</v>
      </c>
    </row>
    <row r="5458" spans="1:16" customFormat="1" ht="17.25" x14ac:dyDescent="0.25">
      <c r="A5458" s="545"/>
      <c r="B5458" s="42" t="s">
        <v>6723</v>
      </c>
      <c r="C5458" s="3"/>
      <c r="D5458" s="3"/>
      <c r="E5458" s="3"/>
      <c r="G5458" s="537" t="s">
        <v>596</v>
      </c>
      <c r="H5458" s="10">
        <f>1.09*H5457</f>
        <v>5.6680000000000008E-2</v>
      </c>
      <c r="I5458" s="538"/>
      <c r="J5458" t="s">
        <v>7046</v>
      </c>
      <c r="K5458" s="3"/>
      <c r="L5458" s="3"/>
      <c r="M5458" s="3"/>
      <c r="O5458" s="537" t="s">
        <v>3</v>
      </c>
      <c r="P5458" s="10">
        <v>5.0000000000000001E-3</v>
      </c>
    </row>
    <row r="5459" spans="1:16" customFormat="1" x14ac:dyDescent="0.25">
      <c r="A5459" s="545" t="s">
        <v>7045</v>
      </c>
      <c r="B5459" s="3"/>
      <c r="C5459" s="3" t="s">
        <v>7044</v>
      </c>
      <c r="D5459" s="3"/>
      <c r="E5459" s="3"/>
      <c r="G5459" s="537"/>
      <c r="H5459" s="10"/>
      <c r="I5459" s="538"/>
      <c r="J5459" t="s">
        <v>12</v>
      </c>
      <c r="K5459" s="3"/>
      <c r="L5459" s="3"/>
      <c r="M5459" s="3"/>
      <c r="O5459" s="537" t="s">
        <v>3</v>
      </c>
      <c r="P5459" s="10">
        <f>0.3*(P5457+P5456)</f>
        <v>7.2000000000000008E-2</v>
      </c>
    </row>
    <row r="5460" spans="1:16" customFormat="1" x14ac:dyDescent="0.25">
      <c r="A5460" s="545"/>
      <c r="B5460" s="3"/>
      <c r="C5460" s="11" t="s">
        <v>6724</v>
      </c>
      <c r="D5460" s="3"/>
      <c r="E5460" s="3"/>
      <c r="G5460" s="537" t="s">
        <v>3</v>
      </c>
      <c r="H5460" s="10">
        <f>0.12*0.05</f>
        <v>6.0000000000000001E-3</v>
      </c>
      <c r="I5460" s="538"/>
      <c r="J5460" s="242"/>
      <c r="K5460" s="326"/>
    </row>
    <row r="5461" spans="1:16" customFormat="1" ht="17.25" x14ac:dyDescent="0.25">
      <c r="A5461" s="545"/>
      <c r="B5461" s="3"/>
      <c r="C5461" s="42" t="s">
        <v>6723</v>
      </c>
      <c r="D5461" s="3"/>
      <c r="E5461" s="3"/>
      <c r="G5461" s="537" t="s">
        <v>596</v>
      </c>
      <c r="H5461" s="10">
        <f>1.09*H5460</f>
        <v>6.5400000000000007E-3</v>
      </c>
      <c r="I5461" s="538"/>
      <c r="J5461" s="242"/>
      <c r="K5461" s="326"/>
    </row>
    <row r="5462" spans="1:16" customFormat="1" x14ac:dyDescent="0.25">
      <c r="A5462" s="545" t="s">
        <v>7043</v>
      </c>
      <c r="B5462" s="3"/>
      <c r="C5462" s="3"/>
      <c r="D5462" s="3" t="s">
        <v>7042</v>
      </c>
      <c r="E5462" s="3"/>
      <c r="G5462" s="537"/>
      <c r="H5462" s="10"/>
      <c r="I5462" s="538"/>
      <c r="J5462" s="242"/>
      <c r="K5462" s="326"/>
    </row>
    <row r="5463" spans="1:16" customFormat="1" x14ac:dyDescent="0.25">
      <c r="A5463" s="545" t="s">
        <v>7041</v>
      </c>
      <c r="B5463" s="3"/>
      <c r="C5463" s="3"/>
      <c r="D5463" s="3"/>
      <c r="E5463" s="3" t="s">
        <v>7040</v>
      </c>
      <c r="G5463" s="537"/>
      <c r="H5463" s="10"/>
      <c r="I5463" s="538"/>
      <c r="J5463" s="242"/>
      <c r="K5463" s="326"/>
    </row>
    <row r="5464" spans="1:16" customFormat="1" x14ac:dyDescent="0.25">
      <c r="A5464" s="545"/>
      <c r="B5464" s="3"/>
      <c r="C5464" s="3"/>
      <c r="D5464" s="3"/>
      <c r="E5464" s="25" t="s">
        <v>853</v>
      </c>
      <c r="G5464" s="537" t="s">
        <v>3</v>
      </c>
      <c r="H5464" s="10">
        <f>0.08*0.04*1*8*1.1</f>
        <v>2.8160000000000004E-2</v>
      </c>
      <c r="I5464" s="538"/>
      <c r="J5464" s="242"/>
      <c r="K5464" s="326"/>
    </row>
    <row r="5465" spans="1:16" customFormat="1" x14ac:dyDescent="0.25">
      <c r="A5465" s="545" t="s">
        <v>7039</v>
      </c>
      <c r="B5465" s="3"/>
      <c r="C5465" s="3"/>
      <c r="D5465" s="3"/>
      <c r="E5465" s="3" t="s">
        <v>7038</v>
      </c>
      <c r="G5465" s="537"/>
      <c r="H5465" s="10"/>
      <c r="I5465" s="538"/>
      <c r="J5465" s="242"/>
      <c r="K5465" s="326"/>
    </row>
    <row r="5466" spans="1:16" customFormat="1" x14ac:dyDescent="0.25">
      <c r="A5466" s="545"/>
      <c r="B5466" s="3"/>
      <c r="C5466" s="3"/>
      <c r="D5466" s="3"/>
      <c r="E5466" s="25" t="s">
        <v>6817</v>
      </c>
      <c r="G5466" s="537" t="s">
        <v>3</v>
      </c>
      <c r="H5466" s="10">
        <f>0.04*0.04*1*2.7*1.1</f>
        <v>4.752000000000001E-3</v>
      </c>
      <c r="I5466" s="538"/>
      <c r="J5466" s="242"/>
      <c r="K5466" s="326"/>
    </row>
    <row r="5467" spans="1:16" customFormat="1" x14ac:dyDescent="0.25">
      <c r="A5467" s="545" t="s">
        <v>7037</v>
      </c>
      <c r="B5467" s="3"/>
      <c r="C5467" s="3"/>
      <c r="D5467" s="3"/>
      <c r="E5467" s="3" t="s">
        <v>7036</v>
      </c>
      <c r="G5467" s="537"/>
      <c r="H5467" s="10"/>
      <c r="I5467" s="538"/>
      <c r="J5467" s="242"/>
      <c r="K5467" s="326"/>
    </row>
    <row r="5468" spans="1:16" customFormat="1" x14ac:dyDescent="0.25">
      <c r="A5468" s="545"/>
      <c r="B5468" s="3"/>
      <c r="C5468" s="3"/>
      <c r="D5468" s="3"/>
      <c r="E5468" s="25" t="s">
        <v>321</v>
      </c>
      <c r="G5468" s="537" t="s">
        <v>3</v>
      </c>
      <c r="H5468" s="10">
        <v>4.0000000000000001E-3</v>
      </c>
      <c r="I5468" s="538"/>
      <c r="J5468" s="242"/>
      <c r="K5468" s="326"/>
    </row>
    <row r="5469" spans="1:16" customFormat="1" x14ac:dyDescent="0.25">
      <c r="A5469" s="545" t="s">
        <v>7035</v>
      </c>
      <c r="B5469" s="3"/>
      <c r="C5469" s="3"/>
      <c r="D5469" s="3" t="s">
        <v>7034</v>
      </c>
      <c r="G5469" s="537"/>
      <c r="H5469" s="10"/>
      <c r="I5469" s="538"/>
      <c r="J5469" s="242"/>
      <c r="K5469" s="326"/>
    </row>
    <row r="5470" spans="1:16" customFormat="1" x14ac:dyDescent="0.25">
      <c r="A5470" s="545"/>
      <c r="B5470" s="3"/>
      <c r="C5470" s="3"/>
      <c r="D5470" t="s">
        <v>855</v>
      </c>
      <c r="G5470" s="537" t="s">
        <v>3</v>
      </c>
      <c r="H5470" s="10">
        <f>0.405*0.225*1.5*2.7*1.085</f>
        <v>0.40042603125000009</v>
      </c>
      <c r="I5470" s="538"/>
      <c r="J5470" s="242"/>
      <c r="K5470" s="326"/>
    </row>
    <row r="5471" spans="1:16" customFormat="1" x14ac:dyDescent="0.25">
      <c r="A5471" s="545"/>
      <c r="B5471" s="3"/>
      <c r="C5471" s="3"/>
      <c r="D5471" s="11" t="s">
        <v>6724</v>
      </c>
      <c r="G5471" s="537" t="s">
        <v>3</v>
      </c>
      <c r="H5471" s="10">
        <f>0.06*0.05</f>
        <v>3.0000000000000001E-3</v>
      </c>
      <c r="I5471" s="538"/>
      <c r="J5471" s="242"/>
      <c r="K5471" s="326"/>
    </row>
    <row r="5472" spans="1:16" customFormat="1" ht="17.25" x14ac:dyDescent="0.25">
      <c r="A5472" s="545"/>
      <c r="B5472" s="3"/>
      <c r="C5472" s="3"/>
      <c r="D5472" s="42" t="s">
        <v>6723</v>
      </c>
      <c r="G5472" s="537" t="s">
        <v>596</v>
      </c>
      <c r="H5472" s="10">
        <f>1.09*H5471</f>
        <v>3.2700000000000003E-3</v>
      </c>
      <c r="I5472" s="538"/>
      <c r="J5472" s="242"/>
      <c r="K5472" s="326"/>
    </row>
    <row r="5473" spans="1:11" customFormat="1" x14ac:dyDescent="0.25">
      <c r="A5473" s="545" t="s">
        <v>7033</v>
      </c>
      <c r="B5473" s="3"/>
      <c r="C5473" s="3"/>
      <c r="D5473" s="3" t="s">
        <v>7032</v>
      </c>
      <c r="G5473" s="537"/>
      <c r="H5473" s="10"/>
      <c r="I5473" s="538"/>
      <c r="J5473" s="242"/>
      <c r="K5473" s="326"/>
    </row>
    <row r="5474" spans="1:11" customFormat="1" x14ac:dyDescent="0.25">
      <c r="A5474" s="545"/>
      <c r="B5474" s="3"/>
      <c r="C5474" s="3"/>
      <c r="D5474" t="s">
        <v>855</v>
      </c>
      <c r="G5474" s="537" t="s">
        <v>3</v>
      </c>
      <c r="H5474" s="10">
        <f>0.06*0.012*1.5*2.7*1.1</f>
        <v>3.2076000000000001E-3</v>
      </c>
      <c r="I5474" s="538"/>
      <c r="J5474" s="242"/>
      <c r="K5474" s="326"/>
    </row>
    <row r="5475" spans="1:11" customFormat="1" x14ac:dyDescent="0.25">
      <c r="A5475" s="545" t="s">
        <v>7031</v>
      </c>
      <c r="B5475" s="3"/>
      <c r="C5475" s="3"/>
      <c r="D5475" s="3" t="s">
        <v>7030</v>
      </c>
      <c r="G5475" s="537"/>
      <c r="H5475" s="10"/>
      <c r="I5475" s="538"/>
      <c r="J5475" s="242"/>
      <c r="K5475" s="326"/>
    </row>
    <row r="5476" spans="1:11" customFormat="1" x14ac:dyDescent="0.25">
      <c r="A5476" s="545"/>
      <c r="B5476" s="3"/>
      <c r="C5476" s="3"/>
      <c r="D5476" t="s">
        <v>853</v>
      </c>
      <c r="G5476" s="537" t="s">
        <v>3</v>
      </c>
      <c r="H5476" s="10">
        <f>0.05*0.025*1*8*1.05</f>
        <v>1.0500000000000002E-2</v>
      </c>
      <c r="I5476" s="538"/>
      <c r="J5476" s="242"/>
      <c r="K5476" s="326"/>
    </row>
    <row r="5477" spans="1:11" customFormat="1" x14ac:dyDescent="0.25">
      <c r="A5477" s="545" t="s">
        <v>7029</v>
      </c>
      <c r="B5477" s="3"/>
      <c r="C5477" s="3" t="s">
        <v>7028</v>
      </c>
      <c r="E5477" s="3"/>
      <c r="F5477" s="3"/>
      <c r="G5477" s="537"/>
      <c r="H5477" s="10"/>
      <c r="I5477" s="538"/>
      <c r="J5477" s="242"/>
      <c r="K5477" s="326"/>
    </row>
    <row r="5478" spans="1:11" customFormat="1" x14ac:dyDescent="0.25">
      <c r="A5478" s="545" t="s">
        <v>7027</v>
      </c>
      <c r="B5478" s="3"/>
      <c r="D5478" s="3" t="s">
        <v>7026</v>
      </c>
      <c r="E5478" s="3"/>
      <c r="F5478" s="3"/>
      <c r="G5478" s="537"/>
      <c r="H5478" s="10"/>
      <c r="I5478" s="538"/>
      <c r="J5478" s="242"/>
      <c r="K5478" s="326"/>
    </row>
    <row r="5479" spans="1:11" customFormat="1" x14ac:dyDescent="0.25">
      <c r="A5479" s="545"/>
      <c r="B5479" s="3"/>
      <c r="D5479" t="s">
        <v>213</v>
      </c>
      <c r="E5479" s="3"/>
      <c r="F5479" s="3"/>
      <c r="G5479" s="537" t="s">
        <v>3</v>
      </c>
      <c r="H5479" s="10">
        <f>0.055*0.015*3*2.7*1.08</f>
        <v>7.2171000000000006E-3</v>
      </c>
      <c r="I5479" s="538"/>
      <c r="J5479" s="242"/>
      <c r="K5479" s="326"/>
    </row>
    <row r="5480" spans="1:11" customFormat="1" x14ac:dyDescent="0.25">
      <c r="A5480" s="545" t="s">
        <v>7025</v>
      </c>
      <c r="B5480" s="3"/>
      <c r="C5480" s="3" t="s">
        <v>7024</v>
      </c>
      <c r="E5480" s="3"/>
      <c r="F5480" s="3"/>
      <c r="G5480" s="537"/>
      <c r="H5480" s="10"/>
      <c r="I5480" s="538"/>
      <c r="J5480" s="242"/>
      <c r="K5480" s="326"/>
    </row>
    <row r="5481" spans="1:11" customFormat="1" x14ac:dyDescent="0.25">
      <c r="A5481" s="545"/>
      <c r="B5481" s="3"/>
      <c r="C5481" s="25" t="s">
        <v>6817</v>
      </c>
      <c r="E5481" s="3"/>
      <c r="F5481" s="3"/>
      <c r="G5481" s="537" t="s">
        <v>3</v>
      </c>
      <c r="H5481" s="10">
        <f>0.35*0.362*1*2.7*1.095</f>
        <v>0.37458854999999991</v>
      </c>
      <c r="I5481" s="538"/>
      <c r="J5481" s="242"/>
      <c r="K5481" s="326"/>
    </row>
    <row r="5482" spans="1:11" customFormat="1" x14ac:dyDescent="0.25">
      <c r="A5482" s="545" t="s">
        <v>7023</v>
      </c>
      <c r="B5482" s="3"/>
      <c r="C5482" s="3" t="s">
        <v>7022</v>
      </c>
      <c r="E5482" s="3"/>
      <c r="F5482" s="3"/>
      <c r="G5482" s="537"/>
      <c r="H5482" s="10"/>
      <c r="I5482" s="538"/>
      <c r="J5482" s="242"/>
      <c r="K5482" s="326"/>
    </row>
    <row r="5483" spans="1:11" customFormat="1" x14ac:dyDescent="0.25">
      <c r="A5483" s="545"/>
      <c r="B5483" s="3"/>
      <c r="C5483" s="25" t="s">
        <v>6817</v>
      </c>
      <c r="E5483" s="3"/>
      <c r="F5483" s="3"/>
      <c r="G5483" s="537" t="s">
        <v>3</v>
      </c>
      <c r="H5483" s="10">
        <f>0.13*0.1*1*2.7*1.08</f>
        <v>3.7908000000000011E-2</v>
      </c>
      <c r="I5483" s="538"/>
      <c r="J5483" s="242"/>
      <c r="K5483" s="326"/>
    </row>
    <row r="5484" spans="1:11" customFormat="1" x14ac:dyDescent="0.25">
      <c r="A5484" s="545" t="s">
        <v>7021</v>
      </c>
      <c r="B5484" s="3"/>
      <c r="C5484" s="3" t="s">
        <v>7020</v>
      </c>
      <c r="E5484" s="3"/>
      <c r="F5484" s="3"/>
      <c r="G5484" s="537"/>
      <c r="H5484" s="10"/>
      <c r="I5484" s="538"/>
      <c r="J5484" s="242"/>
      <c r="K5484" s="326"/>
    </row>
    <row r="5485" spans="1:11" customFormat="1" x14ac:dyDescent="0.25">
      <c r="A5485" s="545"/>
      <c r="B5485" s="3"/>
      <c r="C5485" s="25" t="s">
        <v>6817</v>
      </c>
      <c r="E5485" s="3"/>
      <c r="F5485" s="3"/>
      <c r="G5485" s="537" t="s">
        <v>3</v>
      </c>
      <c r="H5485" s="10">
        <f>0.1*0.33*1*2.7*1.1</f>
        <v>9.8010000000000028E-2</v>
      </c>
      <c r="I5485" s="538"/>
      <c r="J5485" s="242"/>
      <c r="K5485" s="326"/>
    </row>
    <row r="5486" spans="1:11" customFormat="1" x14ac:dyDescent="0.25">
      <c r="A5486" s="545" t="s">
        <v>7019</v>
      </c>
      <c r="B5486" s="3"/>
      <c r="C5486" s="3" t="s">
        <v>7018</v>
      </c>
      <c r="E5486" s="3"/>
      <c r="F5486" s="3"/>
      <c r="G5486" s="537"/>
      <c r="H5486" s="10"/>
      <c r="I5486" s="538"/>
      <c r="J5486" s="242"/>
      <c r="K5486" s="326"/>
    </row>
    <row r="5487" spans="1:11" customFormat="1" x14ac:dyDescent="0.25">
      <c r="A5487" s="545"/>
      <c r="B5487" s="3"/>
      <c r="C5487" s="25" t="s">
        <v>6817</v>
      </c>
      <c r="E5487" s="3"/>
      <c r="F5487" s="3"/>
      <c r="G5487" s="537" t="s">
        <v>3</v>
      </c>
      <c r="H5487" s="10">
        <f>0.1*0.08*1*2.7*1.08</f>
        <v>2.3328000000000002E-2</v>
      </c>
      <c r="I5487" s="538"/>
      <c r="J5487" s="242"/>
      <c r="K5487" s="326"/>
    </row>
    <row r="5488" spans="1:11" customFormat="1" x14ac:dyDescent="0.25">
      <c r="A5488" s="545" t="s">
        <v>7017</v>
      </c>
      <c r="B5488" s="3"/>
      <c r="C5488" s="3" t="s">
        <v>7016</v>
      </c>
      <c r="E5488" s="3"/>
      <c r="F5488" s="3"/>
      <c r="G5488" s="537"/>
      <c r="H5488" s="10"/>
      <c r="I5488" s="538"/>
      <c r="J5488" s="242"/>
      <c r="K5488" s="326"/>
    </row>
    <row r="5489" spans="1:11" customFormat="1" x14ac:dyDescent="0.25">
      <c r="A5489" s="545"/>
      <c r="B5489" s="3"/>
      <c r="C5489" s="25" t="s">
        <v>6817</v>
      </c>
      <c r="E5489" s="3"/>
      <c r="F5489" s="3"/>
      <c r="G5489" s="537" t="s">
        <v>3</v>
      </c>
      <c r="H5489" s="10">
        <f>0.225*0.08*1*2.4*1.15</f>
        <v>4.9680000000000002E-2</v>
      </c>
      <c r="I5489" s="538"/>
      <c r="J5489" s="242"/>
      <c r="K5489" s="326"/>
    </row>
    <row r="5490" spans="1:11" customFormat="1" x14ac:dyDescent="0.25">
      <c r="A5490" s="545"/>
      <c r="B5490" s="3"/>
      <c r="C5490" s="3"/>
      <c r="D5490" s="3"/>
      <c r="E5490" s="3"/>
      <c r="G5490" s="537"/>
      <c r="H5490" s="10"/>
      <c r="I5490" s="538"/>
      <c r="J5490" s="242"/>
      <c r="K5490" s="326"/>
    </row>
    <row r="5491" spans="1:11" customFormat="1" x14ac:dyDescent="0.25">
      <c r="A5491" s="545" t="s">
        <v>5274</v>
      </c>
      <c r="B5491" s="3" t="s">
        <v>7015</v>
      </c>
      <c r="C5491" s="3"/>
      <c r="D5491" s="3"/>
      <c r="E5491" s="3"/>
      <c r="G5491" s="537"/>
      <c r="H5491" s="10"/>
      <c r="I5491" s="538"/>
      <c r="J5491" s="242"/>
      <c r="K5491" s="326"/>
    </row>
    <row r="5492" spans="1:11" customFormat="1" x14ac:dyDescent="0.25">
      <c r="A5492" s="545"/>
      <c r="B5492" s="3"/>
      <c r="C5492" s="25" t="s">
        <v>7014</v>
      </c>
      <c r="D5492" s="3"/>
      <c r="E5492" s="3"/>
      <c r="G5492" s="537" t="s">
        <v>3</v>
      </c>
      <c r="H5492" s="10">
        <f>0.038*0.038*2*2.7*1</f>
        <v>7.7976E-3</v>
      </c>
      <c r="I5492" s="538"/>
      <c r="J5492" s="242"/>
      <c r="K5492" s="326"/>
    </row>
    <row r="5493" spans="1:11" customFormat="1" x14ac:dyDescent="0.25">
      <c r="A5493" s="545"/>
      <c r="B5493" s="3"/>
      <c r="C5493" s="3"/>
      <c r="D5493" s="3"/>
      <c r="E5493" s="3"/>
      <c r="G5493" s="537"/>
      <c r="H5493" s="10"/>
      <c r="I5493" s="538"/>
      <c r="J5493" s="242"/>
      <c r="K5493" s="326"/>
    </row>
    <row r="5494" spans="1:11" customFormat="1" x14ac:dyDescent="0.25">
      <c r="A5494" s="545" t="s">
        <v>7013</v>
      </c>
      <c r="B5494" s="3" t="s">
        <v>7012</v>
      </c>
      <c r="C5494" s="3"/>
      <c r="D5494" s="3"/>
      <c r="E5494" s="3"/>
      <c r="G5494" s="537"/>
      <c r="H5494" s="10"/>
      <c r="I5494" s="538"/>
      <c r="J5494" s="242"/>
      <c r="K5494" s="326"/>
    </row>
    <row r="5495" spans="1:11" customFormat="1" x14ac:dyDescent="0.25">
      <c r="A5495" s="545"/>
      <c r="B5495" s="3"/>
      <c r="C5495" s="25" t="s">
        <v>7011</v>
      </c>
      <c r="D5495" s="3"/>
      <c r="E5495" s="3"/>
      <c r="G5495" s="537" t="s">
        <v>3</v>
      </c>
      <c r="H5495" s="10">
        <f>0.025*0.025*1.5*1.5*1.1</f>
        <v>1.5468750000000005E-3</v>
      </c>
      <c r="I5495" s="538"/>
      <c r="J5495" s="242"/>
      <c r="K5495" s="326"/>
    </row>
    <row r="5496" spans="1:11" customFormat="1" x14ac:dyDescent="0.25">
      <c r="A5496" s="545"/>
      <c r="B5496" s="3"/>
      <c r="C5496" s="3"/>
      <c r="D5496" s="3"/>
      <c r="E5496" s="3"/>
      <c r="G5496" s="537"/>
      <c r="H5496" s="10"/>
      <c r="I5496" s="538"/>
      <c r="J5496" s="242"/>
      <c r="K5496" s="326"/>
    </row>
    <row r="5497" spans="1:11" customFormat="1" x14ac:dyDescent="0.25">
      <c r="A5497" s="545" t="s">
        <v>7010</v>
      </c>
      <c r="B5497" s="3" t="s">
        <v>7009</v>
      </c>
      <c r="C5497" s="3"/>
      <c r="D5497" s="3"/>
      <c r="E5497" s="3"/>
      <c r="G5497" s="537"/>
      <c r="H5497" s="10"/>
      <c r="I5497" s="538"/>
      <c r="J5497" s="242"/>
      <c r="K5497" s="326"/>
    </row>
    <row r="5498" spans="1:11" customFormat="1" x14ac:dyDescent="0.25">
      <c r="A5498" s="545"/>
      <c r="B5498" s="25" t="s">
        <v>8</v>
      </c>
      <c r="C5498" s="3"/>
      <c r="D5498" s="3"/>
      <c r="E5498" s="3"/>
      <c r="G5498" s="537" t="s">
        <v>3</v>
      </c>
      <c r="H5498" s="10">
        <v>0.1</v>
      </c>
      <c r="I5498" s="538"/>
      <c r="J5498" s="242"/>
      <c r="K5498" s="326"/>
    </row>
    <row r="5499" spans="1:11" customFormat="1" x14ac:dyDescent="0.25">
      <c r="A5499" s="545"/>
      <c r="B5499" s="25" t="s">
        <v>12</v>
      </c>
      <c r="C5499" s="3"/>
      <c r="D5499" s="3"/>
      <c r="E5499" s="3"/>
      <c r="G5499" s="537" t="s">
        <v>3</v>
      </c>
      <c r="H5499" s="10">
        <f>0.3*H5498</f>
        <v>0.03</v>
      </c>
      <c r="I5499" s="538"/>
      <c r="J5499" s="242"/>
      <c r="K5499" s="326"/>
    </row>
    <row r="5500" spans="1:11" customFormat="1" x14ac:dyDescent="0.25">
      <c r="A5500" s="545"/>
      <c r="B5500" s="25" t="s">
        <v>72</v>
      </c>
      <c r="C5500" s="3"/>
      <c r="D5500" s="3"/>
      <c r="E5500" s="3"/>
      <c r="G5500" s="537" t="s">
        <v>3</v>
      </c>
      <c r="H5500" s="10">
        <f>0.12</f>
        <v>0.12</v>
      </c>
      <c r="I5500" s="538"/>
      <c r="J5500" s="242"/>
      <c r="K5500" s="326"/>
    </row>
    <row r="5501" spans="1:11" customFormat="1" x14ac:dyDescent="0.25">
      <c r="A5501" s="545"/>
      <c r="B5501" s="25" t="s">
        <v>11</v>
      </c>
      <c r="C5501" s="3"/>
      <c r="D5501" s="3"/>
      <c r="E5501" s="3"/>
      <c r="G5501" s="537" t="s">
        <v>3</v>
      </c>
      <c r="H5501" s="10">
        <f>0.3*H5500</f>
        <v>3.5999999999999997E-2</v>
      </c>
      <c r="I5501" s="538"/>
      <c r="J5501" s="242"/>
      <c r="K5501" s="326"/>
    </row>
    <row r="5502" spans="1:11" customFormat="1" x14ac:dyDescent="0.25">
      <c r="A5502" s="545"/>
      <c r="B5502" s="25" t="s">
        <v>13</v>
      </c>
      <c r="C5502" s="3"/>
      <c r="D5502" s="3"/>
      <c r="E5502" s="3"/>
      <c r="G5502" s="537" t="s">
        <v>3</v>
      </c>
      <c r="H5502" s="10">
        <f>0.05</f>
        <v>0.05</v>
      </c>
      <c r="I5502" s="538"/>
      <c r="J5502" s="242"/>
      <c r="K5502" s="326"/>
    </row>
    <row r="5503" spans="1:11" customFormat="1" x14ac:dyDescent="0.25">
      <c r="A5503" s="545" t="s">
        <v>7008</v>
      </c>
      <c r="B5503" s="3"/>
      <c r="C5503" s="3" t="s">
        <v>7007</v>
      </c>
      <c r="D5503" s="3"/>
      <c r="E5503" s="3"/>
      <c r="G5503" s="537"/>
      <c r="H5503" s="10"/>
      <c r="I5503" s="538"/>
      <c r="J5503" s="242"/>
      <c r="K5503" s="326"/>
    </row>
    <row r="5504" spans="1:11" customFormat="1" x14ac:dyDescent="0.25">
      <c r="A5504" s="545" t="s">
        <v>7006</v>
      </c>
      <c r="B5504" s="3"/>
      <c r="C5504" s="3"/>
      <c r="D5504" s="3" t="s">
        <v>7005</v>
      </c>
      <c r="E5504" s="3"/>
      <c r="G5504" s="537"/>
      <c r="H5504" s="10"/>
      <c r="I5504" s="538"/>
      <c r="J5504" s="242"/>
      <c r="K5504" s="326"/>
    </row>
    <row r="5505" spans="1:11" customFormat="1" x14ac:dyDescent="0.25">
      <c r="A5505" s="545"/>
      <c r="B5505" s="3"/>
      <c r="C5505" s="3"/>
      <c r="D5505" s="25" t="s">
        <v>876</v>
      </c>
      <c r="E5505" s="3"/>
      <c r="G5505" s="537" t="s">
        <v>3</v>
      </c>
      <c r="H5505" s="10">
        <f>0.002</f>
        <v>2E-3</v>
      </c>
      <c r="I5505" s="538"/>
      <c r="J5505" s="242"/>
      <c r="K5505" s="326"/>
    </row>
    <row r="5506" spans="1:11" customFormat="1" ht="17.25" x14ac:dyDescent="0.25">
      <c r="A5506" s="545"/>
      <c r="B5506" s="3"/>
      <c r="C5506" s="3"/>
      <c r="D5506" s="25" t="s">
        <v>23</v>
      </c>
      <c r="E5506" s="3"/>
      <c r="G5506" s="537" t="s">
        <v>596</v>
      </c>
      <c r="H5506" s="10">
        <f>H5505*2</f>
        <v>4.0000000000000001E-3</v>
      </c>
      <c r="I5506" s="538"/>
      <c r="J5506" s="242"/>
      <c r="K5506" s="326"/>
    </row>
    <row r="5507" spans="1:11" customFormat="1" x14ac:dyDescent="0.25">
      <c r="A5507" s="545"/>
      <c r="B5507" s="3"/>
      <c r="C5507" s="3"/>
      <c r="D5507" s="25" t="s">
        <v>142</v>
      </c>
      <c r="E5507" s="3"/>
      <c r="G5507" s="537" t="s">
        <v>3</v>
      </c>
      <c r="H5507" s="10">
        <f>H5505/4</f>
        <v>5.0000000000000001E-4</v>
      </c>
      <c r="I5507" s="538"/>
      <c r="J5507" s="242"/>
      <c r="K5507" s="326"/>
    </row>
    <row r="5508" spans="1:11" customFormat="1" x14ac:dyDescent="0.25">
      <c r="A5508" s="545" t="s">
        <v>7004</v>
      </c>
      <c r="B5508" s="3"/>
      <c r="C5508" s="3"/>
      <c r="D5508" s="3" t="s">
        <v>7003</v>
      </c>
      <c r="E5508" s="3"/>
      <c r="G5508" s="537"/>
      <c r="H5508" s="10"/>
      <c r="I5508" s="538"/>
      <c r="J5508" s="242"/>
      <c r="K5508" s="326"/>
    </row>
    <row r="5509" spans="1:11" customFormat="1" x14ac:dyDescent="0.25">
      <c r="A5509" s="545"/>
      <c r="B5509" s="3"/>
      <c r="C5509" s="3"/>
      <c r="D5509" s="25" t="s">
        <v>6996</v>
      </c>
      <c r="E5509" s="3"/>
      <c r="G5509" s="537" t="s">
        <v>3</v>
      </c>
      <c r="H5509" s="10">
        <f>0.3*0.16*1*8*1.1</f>
        <v>0.42240000000000005</v>
      </c>
      <c r="I5509" s="538"/>
      <c r="J5509" s="242"/>
      <c r="K5509" s="326"/>
    </row>
    <row r="5510" spans="1:11" customFormat="1" x14ac:dyDescent="0.25">
      <c r="A5510" s="545" t="s">
        <v>7002</v>
      </c>
      <c r="B5510" s="3"/>
      <c r="C5510" s="3" t="s">
        <v>7001</v>
      </c>
      <c r="D5510" s="3"/>
      <c r="E5510" s="3"/>
      <c r="G5510" s="537"/>
      <c r="H5510" s="10"/>
      <c r="I5510" s="538"/>
      <c r="J5510" s="242"/>
      <c r="K5510" s="326"/>
    </row>
    <row r="5511" spans="1:11" customFormat="1" x14ac:dyDescent="0.25">
      <c r="A5511" s="545"/>
      <c r="B5511" s="3"/>
      <c r="C5511" s="25" t="s">
        <v>6996</v>
      </c>
      <c r="D5511" s="3"/>
      <c r="E5511" s="3"/>
      <c r="G5511" s="537" t="s">
        <v>3</v>
      </c>
      <c r="H5511" s="10">
        <f>0.275*0.26*1*8*1.11</f>
        <v>0.63492000000000015</v>
      </c>
      <c r="I5511" s="538"/>
      <c r="J5511" s="242"/>
      <c r="K5511" s="326"/>
    </row>
    <row r="5512" spans="1:11" customFormat="1" x14ac:dyDescent="0.25">
      <c r="A5512" s="545" t="s">
        <v>7000</v>
      </c>
      <c r="B5512" s="3"/>
      <c r="C5512" s="3" t="s">
        <v>6999</v>
      </c>
      <c r="D5512" s="3"/>
      <c r="E5512" s="3"/>
      <c r="G5512" s="537"/>
      <c r="H5512" s="10"/>
      <c r="I5512" s="538"/>
      <c r="J5512" s="242"/>
      <c r="K5512" s="326"/>
    </row>
    <row r="5513" spans="1:11" customFormat="1" x14ac:dyDescent="0.25">
      <c r="A5513" s="545"/>
      <c r="B5513" s="3"/>
      <c r="C5513" s="25" t="s">
        <v>6996</v>
      </c>
      <c r="D5513" s="3"/>
      <c r="E5513" s="3"/>
      <c r="G5513" s="537" t="s">
        <v>3</v>
      </c>
      <c r="H5513" s="10">
        <f>0.15*0.088*1*8*1.1</f>
        <v>0.11616</v>
      </c>
      <c r="I5513" s="538"/>
      <c r="J5513" s="242"/>
      <c r="K5513" s="326"/>
    </row>
    <row r="5514" spans="1:11" customFormat="1" x14ac:dyDescent="0.25">
      <c r="A5514" s="545" t="s">
        <v>6998</v>
      </c>
      <c r="B5514" s="3"/>
      <c r="C5514" s="3" t="s">
        <v>6997</v>
      </c>
      <c r="D5514" s="3"/>
      <c r="E5514" s="3"/>
      <c r="G5514" s="537"/>
      <c r="H5514" s="10"/>
      <c r="I5514" s="538"/>
      <c r="J5514" s="242"/>
      <c r="K5514" s="326"/>
    </row>
    <row r="5515" spans="1:11" customFormat="1" x14ac:dyDescent="0.25">
      <c r="A5515" s="545"/>
      <c r="B5515" s="3"/>
      <c r="C5515" s="25" t="s">
        <v>6996</v>
      </c>
      <c r="D5515" s="3"/>
      <c r="E5515" s="3"/>
      <c r="G5515" s="537" t="s">
        <v>3</v>
      </c>
      <c r="H5515" s="10">
        <f>0.15*0.06*1*8*1.11</f>
        <v>7.9920000000000005E-2</v>
      </c>
      <c r="I5515" s="538"/>
      <c r="J5515" s="242"/>
      <c r="K5515" s="326"/>
    </row>
    <row r="5516" spans="1:11" customFormat="1" x14ac:dyDescent="0.25">
      <c r="A5516" s="545"/>
      <c r="B5516" s="3"/>
      <c r="C5516" s="3"/>
      <c r="D5516" s="3"/>
      <c r="E5516" s="3"/>
      <c r="G5516" s="537"/>
      <c r="H5516" s="10"/>
      <c r="I5516" s="538"/>
      <c r="J5516" s="242"/>
      <c r="K5516" s="326"/>
    </row>
    <row r="5517" spans="1:11" customFormat="1" x14ac:dyDescent="0.25">
      <c r="A5517" s="545" t="s">
        <v>6995</v>
      </c>
      <c r="B5517" s="3" t="s">
        <v>6994</v>
      </c>
      <c r="D5517" s="3"/>
      <c r="E5517" s="3"/>
      <c r="G5517" s="537"/>
      <c r="H5517" s="10"/>
      <c r="I5517" s="538"/>
      <c r="J5517" s="242"/>
      <c r="K5517" s="326"/>
    </row>
    <row r="5518" spans="1:11" customFormat="1" x14ac:dyDescent="0.25">
      <c r="A5518" s="545"/>
      <c r="B5518" s="8" t="s">
        <v>1054</v>
      </c>
      <c r="D5518" s="3"/>
      <c r="E5518" s="3"/>
      <c r="G5518" s="537" t="s">
        <v>3</v>
      </c>
      <c r="H5518" s="10">
        <f>0.022*3.14*2*0.05*1.4</f>
        <v>9.6712000000000013E-3</v>
      </c>
      <c r="I5518" s="538"/>
      <c r="J5518" s="242"/>
      <c r="K5518" s="326"/>
    </row>
    <row r="5519" spans="1:11" customFormat="1" x14ac:dyDescent="0.25">
      <c r="A5519" s="545"/>
      <c r="B5519" t="s">
        <v>485</v>
      </c>
      <c r="D5519" s="3"/>
      <c r="E5519" s="3"/>
      <c r="G5519" s="537" t="s">
        <v>3</v>
      </c>
      <c r="H5519" s="10">
        <f>1.5*H5518</f>
        <v>1.4506800000000002E-2</v>
      </c>
      <c r="I5519" s="538"/>
      <c r="J5519" s="242"/>
      <c r="K5519" s="326"/>
    </row>
    <row r="5520" spans="1:11" customFormat="1" x14ac:dyDescent="0.25">
      <c r="A5520" s="545"/>
      <c r="B5520" s="25" t="s">
        <v>143</v>
      </c>
      <c r="D5520" s="3"/>
      <c r="E5520" s="3"/>
      <c r="G5520" s="537" t="s">
        <v>3</v>
      </c>
      <c r="H5520" s="10">
        <f>0.11*0.011*1.3*2.5</f>
        <v>3.9325000000000002E-3</v>
      </c>
      <c r="I5520" s="538"/>
      <c r="J5520" s="242"/>
      <c r="K5520" s="326"/>
    </row>
    <row r="5521" spans="1:11" customFormat="1" x14ac:dyDescent="0.25">
      <c r="A5521" s="545"/>
      <c r="B5521" s="25" t="s">
        <v>12</v>
      </c>
      <c r="D5521" s="3"/>
      <c r="E5521" s="3"/>
      <c r="G5521" s="537" t="s">
        <v>3</v>
      </c>
      <c r="H5521" s="10">
        <f>0.3*H5520</f>
        <v>1.17975E-3</v>
      </c>
      <c r="I5521" s="538"/>
      <c r="J5521" s="242"/>
      <c r="K5521" s="326"/>
    </row>
    <row r="5522" spans="1:11" customFormat="1" x14ac:dyDescent="0.25">
      <c r="A5522" s="545" t="s">
        <v>6993</v>
      </c>
      <c r="B5522" s="3"/>
      <c r="C5522" s="4" t="s">
        <v>6992</v>
      </c>
      <c r="D5522" s="3"/>
      <c r="E5522" s="3"/>
      <c r="G5522" s="537"/>
      <c r="H5522" s="10"/>
      <c r="I5522" s="538"/>
      <c r="J5522" s="242"/>
      <c r="K5522" s="326"/>
    </row>
    <row r="5523" spans="1:11" customFormat="1" x14ac:dyDescent="0.25">
      <c r="A5523" s="545"/>
      <c r="B5523" s="3"/>
      <c r="C5523" s="25" t="s">
        <v>6991</v>
      </c>
      <c r="D5523" s="3"/>
      <c r="E5523" s="3"/>
      <c r="G5523" s="537" t="s">
        <v>3</v>
      </c>
      <c r="H5523" s="10">
        <v>5.1999999999999998E-2</v>
      </c>
      <c r="I5523" s="538"/>
      <c r="J5523" s="242"/>
      <c r="K5523" s="326"/>
    </row>
    <row r="5524" spans="1:11" customFormat="1" x14ac:dyDescent="0.25">
      <c r="A5524" s="545"/>
      <c r="B5524" s="3"/>
      <c r="D5524" s="3"/>
      <c r="E5524" s="3"/>
      <c r="G5524" s="537"/>
      <c r="H5524" s="10"/>
      <c r="I5524" s="538"/>
      <c r="J5524" s="242"/>
      <c r="K5524" s="326"/>
    </row>
    <row r="5525" spans="1:11" customFormat="1" x14ac:dyDescent="0.25">
      <c r="A5525" s="545" t="s">
        <v>6990</v>
      </c>
      <c r="B5525" s="3" t="s">
        <v>6989</v>
      </c>
      <c r="D5525" s="3"/>
      <c r="E5525" s="3"/>
      <c r="G5525" s="537"/>
      <c r="H5525" s="10"/>
      <c r="I5525" s="538"/>
      <c r="J5525" s="242"/>
      <c r="K5525" s="326"/>
    </row>
    <row r="5526" spans="1:11" customFormat="1" x14ac:dyDescent="0.25">
      <c r="A5526" s="545"/>
      <c r="B5526" t="s">
        <v>6988</v>
      </c>
      <c r="D5526" s="3"/>
      <c r="E5526" s="3"/>
      <c r="G5526" s="537" t="s">
        <v>195</v>
      </c>
      <c r="H5526" s="32">
        <v>0.09</v>
      </c>
      <c r="I5526" s="538"/>
      <c r="J5526" s="242"/>
      <c r="K5526" s="326"/>
    </row>
    <row r="5527" spans="1:11" customFormat="1" x14ac:dyDescent="0.25">
      <c r="A5527" s="545" t="s">
        <v>6987</v>
      </c>
      <c r="B5527" s="3"/>
      <c r="C5527" s="3" t="s">
        <v>6986</v>
      </c>
      <c r="D5527" s="3"/>
      <c r="E5527" s="3"/>
      <c r="G5527" s="537"/>
      <c r="H5527" s="10"/>
      <c r="I5527" s="538"/>
      <c r="J5527" s="242"/>
      <c r="K5527" s="326"/>
    </row>
    <row r="5528" spans="1:11" customFormat="1" x14ac:dyDescent="0.25">
      <c r="A5528" s="545"/>
      <c r="B5528" s="3"/>
      <c r="C5528" s="8" t="s">
        <v>1054</v>
      </c>
      <c r="D5528" s="3"/>
      <c r="E5528" s="3"/>
      <c r="G5528" s="537" t="s">
        <v>3</v>
      </c>
      <c r="H5528" s="10">
        <f>0.02*3.14*0.05*1.3</f>
        <v>4.0820000000000006E-3</v>
      </c>
      <c r="I5528" s="538"/>
      <c r="J5528" s="242"/>
      <c r="K5528" s="326"/>
    </row>
    <row r="5529" spans="1:11" customFormat="1" x14ac:dyDescent="0.25">
      <c r="A5529" s="545"/>
      <c r="B5529" s="3"/>
      <c r="C5529" t="s">
        <v>485</v>
      </c>
      <c r="D5529" s="3"/>
      <c r="E5529" s="3"/>
      <c r="G5529" s="537" t="s">
        <v>3</v>
      </c>
      <c r="H5529" s="10">
        <f>1.5*H5528</f>
        <v>6.1230000000000008E-3</v>
      </c>
      <c r="I5529" s="538"/>
      <c r="J5529" s="242"/>
      <c r="K5529" s="326"/>
    </row>
    <row r="5530" spans="1:11" customFormat="1" x14ac:dyDescent="0.25">
      <c r="A5530" s="545"/>
      <c r="B5530" s="3"/>
      <c r="C5530" s="25" t="s">
        <v>143</v>
      </c>
      <c r="E5530" s="3"/>
      <c r="G5530" s="537" t="s">
        <v>3</v>
      </c>
      <c r="H5530" s="10">
        <f>0.1*0.011*2*1.3</f>
        <v>2.8600000000000001E-3</v>
      </c>
      <c r="I5530" s="538"/>
      <c r="J5530" s="242"/>
      <c r="K5530" s="326"/>
    </row>
    <row r="5531" spans="1:11" customFormat="1" x14ac:dyDescent="0.25">
      <c r="A5531" s="545"/>
      <c r="B5531" s="3"/>
      <c r="C5531" s="25" t="s">
        <v>12</v>
      </c>
      <c r="E5531" s="3"/>
      <c r="G5531" s="537" t="s">
        <v>3</v>
      </c>
      <c r="H5531" s="10">
        <f>0.3*H5530</f>
        <v>8.5800000000000004E-4</v>
      </c>
      <c r="I5531" s="538"/>
      <c r="J5531" s="242"/>
      <c r="K5531" s="326"/>
    </row>
    <row r="5532" spans="1:11" customFormat="1" x14ac:dyDescent="0.25">
      <c r="A5532" s="545" t="s">
        <v>6985</v>
      </c>
      <c r="B5532" s="3"/>
      <c r="D5532" s="3" t="s">
        <v>6984</v>
      </c>
      <c r="E5532" s="3"/>
      <c r="G5532" s="537"/>
      <c r="H5532" s="10"/>
      <c r="I5532" s="538"/>
      <c r="J5532" s="242"/>
      <c r="K5532" s="326"/>
    </row>
    <row r="5533" spans="1:11" customFormat="1" x14ac:dyDescent="0.25">
      <c r="A5533" s="545"/>
      <c r="B5533" s="3"/>
      <c r="D5533" s="25" t="s">
        <v>6983</v>
      </c>
      <c r="E5533" s="3"/>
      <c r="G5533" s="537" t="s">
        <v>3</v>
      </c>
      <c r="H5533" s="10">
        <v>3.1E-2</v>
      </c>
      <c r="I5533" s="538"/>
      <c r="J5533" s="242"/>
      <c r="K5533" s="326"/>
    </row>
    <row r="5534" spans="1:11" customFormat="1" x14ac:dyDescent="0.25">
      <c r="A5534" s="545" t="s">
        <v>6982</v>
      </c>
      <c r="B5534" s="3"/>
      <c r="D5534" s="3" t="s">
        <v>6981</v>
      </c>
      <c r="E5534" s="3"/>
      <c r="G5534" s="537"/>
      <c r="H5534" s="10"/>
      <c r="I5534" s="538"/>
      <c r="J5534" s="242"/>
      <c r="K5534" s="326"/>
    </row>
    <row r="5535" spans="1:11" customFormat="1" x14ac:dyDescent="0.25">
      <c r="A5535" s="545"/>
      <c r="B5535" s="3"/>
      <c r="D5535" s="25" t="s">
        <v>6980</v>
      </c>
      <c r="E5535" s="3"/>
      <c r="G5535" s="537" t="s">
        <v>3</v>
      </c>
      <c r="H5535" s="10">
        <v>3.3000000000000002E-2</v>
      </c>
      <c r="I5535" s="538"/>
      <c r="J5535" s="242"/>
      <c r="K5535" s="326"/>
    </row>
    <row r="5536" spans="1:11" customFormat="1" x14ac:dyDescent="0.25">
      <c r="A5536" s="545"/>
      <c r="B5536" s="3"/>
      <c r="D5536" s="3"/>
      <c r="E5536" s="3"/>
      <c r="G5536" s="537"/>
      <c r="H5536" s="10"/>
      <c r="I5536" s="538"/>
      <c r="J5536" s="242"/>
      <c r="K5536" s="326"/>
    </row>
    <row r="5537" spans="1:11" customFormat="1" x14ac:dyDescent="0.25">
      <c r="A5537" s="545" t="s">
        <v>6979</v>
      </c>
      <c r="B5537" s="3" t="s">
        <v>6978</v>
      </c>
      <c r="D5537" s="3"/>
      <c r="E5537" s="3"/>
      <c r="G5537" s="537"/>
      <c r="H5537" s="10"/>
      <c r="I5537" s="538"/>
      <c r="J5537" s="242"/>
      <c r="K5537" s="326"/>
    </row>
    <row r="5538" spans="1:11" customFormat="1" x14ac:dyDescent="0.25">
      <c r="A5538" s="545"/>
      <c r="B5538" s="25" t="s">
        <v>6977</v>
      </c>
      <c r="D5538" s="3"/>
      <c r="E5538" s="3"/>
      <c r="G5538" s="537" t="s">
        <v>3</v>
      </c>
      <c r="H5538" s="10">
        <f>(0.2*0.24/2+0.2*0.24)*0.2*1.39</f>
        <v>2.0016000000000003E-2</v>
      </c>
      <c r="I5538" s="538"/>
      <c r="J5538" s="242"/>
      <c r="K5538" s="326"/>
    </row>
    <row r="5539" spans="1:11" customFormat="1" x14ac:dyDescent="0.25">
      <c r="A5539" s="545" t="s">
        <v>6976</v>
      </c>
      <c r="B5539" s="3"/>
      <c r="C5539" s="3" t="s">
        <v>6975</v>
      </c>
      <c r="D5539" s="3"/>
      <c r="E5539" s="3"/>
      <c r="G5539" s="537"/>
      <c r="H5539" s="10"/>
      <c r="I5539" s="538"/>
      <c r="J5539" s="242"/>
      <c r="K5539" s="326"/>
    </row>
    <row r="5540" spans="1:11" customFormat="1" x14ac:dyDescent="0.25">
      <c r="A5540" s="545"/>
      <c r="B5540" s="3"/>
      <c r="C5540" s="11" t="s">
        <v>6724</v>
      </c>
      <c r="D5540" s="3"/>
      <c r="E5540" s="3"/>
      <c r="G5540" s="537" t="s">
        <v>3</v>
      </c>
      <c r="H5540" s="10">
        <f>0.75*0.05*1.33</f>
        <v>4.987500000000001E-2</v>
      </c>
      <c r="I5540" s="538"/>
      <c r="J5540" s="242"/>
      <c r="K5540" s="326"/>
    </row>
    <row r="5541" spans="1:11" customFormat="1" ht="17.25" x14ac:dyDescent="0.25">
      <c r="A5541" s="545"/>
      <c r="B5541" s="3"/>
      <c r="C5541" s="42" t="s">
        <v>6723</v>
      </c>
      <c r="D5541" s="3"/>
      <c r="E5541" s="3"/>
      <c r="G5541" s="537" t="s">
        <v>596</v>
      </c>
      <c r="H5541" s="10">
        <f>1.1*H5540</f>
        <v>5.4862500000000015E-2</v>
      </c>
      <c r="I5541" s="538"/>
      <c r="J5541" s="242"/>
      <c r="K5541" s="326"/>
    </row>
    <row r="5542" spans="1:11" customFormat="1" x14ac:dyDescent="0.25">
      <c r="A5542" s="545" t="s">
        <v>6974</v>
      </c>
      <c r="B5542" s="3"/>
      <c r="D5542" s="3" t="s">
        <v>6973</v>
      </c>
      <c r="E5542" s="3"/>
      <c r="G5542" s="537"/>
      <c r="H5542" s="10"/>
      <c r="I5542" s="538"/>
      <c r="J5542" s="242"/>
      <c r="K5542" s="326"/>
    </row>
    <row r="5543" spans="1:11" customFormat="1" x14ac:dyDescent="0.25">
      <c r="A5543" s="545"/>
      <c r="B5543" s="3"/>
      <c r="D5543" s="11" t="s">
        <v>6724</v>
      </c>
      <c r="E5543" s="3"/>
      <c r="G5543" s="537" t="s">
        <v>3</v>
      </c>
      <c r="H5543" s="10">
        <f>0.05*0.03*1.3</f>
        <v>1.9500000000000001E-3</v>
      </c>
      <c r="I5543" s="538"/>
      <c r="J5543" s="242"/>
      <c r="K5543" s="326"/>
    </row>
    <row r="5544" spans="1:11" customFormat="1" ht="17.25" x14ac:dyDescent="0.25">
      <c r="A5544" s="545"/>
      <c r="B5544" s="3"/>
      <c r="D5544" s="42" t="s">
        <v>6723</v>
      </c>
      <c r="E5544" s="3"/>
      <c r="G5544" s="537" t="s">
        <v>596</v>
      </c>
      <c r="H5544" s="10">
        <f>1.1*H5543</f>
        <v>2.1450000000000002E-3</v>
      </c>
      <c r="I5544" s="538"/>
      <c r="J5544" s="242"/>
      <c r="K5544" s="326"/>
    </row>
    <row r="5545" spans="1:11" customFormat="1" x14ac:dyDescent="0.25">
      <c r="A5545" s="545" t="s">
        <v>6972</v>
      </c>
      <c r="B5545" s="3"/>
      <c r="D5545" s="3"/>
      <c r="E5545" s="3" t="s">
        <v>6971</v>
      </c>
      <c r="G5545" s="537"/>
      <c r="H5545" s="10"/>
      <c r="I5545" s="538"/>
      <c r="J5545" s="242"/>
      <c r="K5545" s="326"/>
    </row>
    <row r="5546" spans="1:11" customFormat="1" x14ac:dyDescent="0.25">
      <c r="A5546" s="545"/>
      <c r="B5546" s="3"/>
      <c r="D5546" s="3"/>
      <c r="E5546" s="25" t="s">
        <v>140</v>
      </c>
      <c r="G5546" s="537" t="s">
        <v>3</v>
      </c>
      <c r="H5546" s="10">
        <v>2E-3</v>
      </c>
      <c r="I5546" s="538"/>
      <c r="J5546" s="242"/>
      <c r="K5546" s="326"/>
    </row>
    <row r="5547" spans="1:11" customFormat="1" ht="17.25" x14ac:dyDescent="0.25">
      <c r="A5547" s="545"/>
      <c r="B5547" s="3"/>
      <c r="D5547" s="3"/>
      <c r="E5547" s="25" t="s">
        <v>23</v>
      </c>
      <c r="G5547" s="537" t="s">
        <v>596</v>
      </c>
      <c r="H5547" s="10">
        <f>H5546*2</f>
        <v>4.0000000000000001E-3</v>
      </c>
      <c r="I5547" s="538"/>
      <c r="J5547" s="242"/>
      <c r="K5547" s="326"/>
    </row>
    <row r="5548" spans="1:11" customFormat="1" x14ac:dyDescent="0.25">
      <c r="A5548" s="545"/>
      <c r="B5548" s="3"/>
      <c r="D5548" s="3"/>
      <c r="E5548" s="25" t="s">
        <v>142</v>
      </c>
      <c r="G5548" s="537" t="s">
        <v>3</v>
      </c>
      <c r="H5548" s="10">
        <f>H5546/4</f>
        <v>5.0000000000000001E-4</v>
      </c>
      <c r="I5548" s="538"/>
      <c r="J5548" s="242"/>
      <c r="K5548" s="326"/>
    </row>
    <row r="5549" spans="1:11" customFormat="1" x14ac:dyDescent="0.25">
      <c r="A5549" s="637" t="s">
        <v>6970</v>
      </c>
      <c r="B5549" s="3"/>
      <c r="D5549" s="3"/>
      <c r="E5549" s="3" t="s">
        <v>6969</v>
      </c>
      <c r="G5549" s="537"/>
      <c r="H5549" s="10"/>
      <c r="I5549" s="538"/>
      <c r="J5549" s="242"/>
      <c r="K5549" s="326"/>
    </row>
    <row r="5550" spans="1:11" customFormat="1" x14ac:dyDescent="0.25">
      <c r="A5550" s="637"/>
      <c r="B5550" s="3"/>
      <c r="D5550" s="3"/>
      <c r="E5550" t="s">
        <v>6968</v>
      </c>
      <c r="G5550" s="537" t="s">
        <v>3</v>
      </c>
      <c r="H5550" s="10">
        <f>0.03*0.02*1.5*2.7*1.1</f>
        <v>2.6730000000000005E-3</v>
      </c>
      <c r="I5550" s="538"/>
      <c r="J5550" s="242"/>
      <c r="K5550" s="326"/>
    </row>
    <row r="5551" spans="1:11" customFormat="1" x14ac:dyDescent="0.25">
      <c r="A5551" s="545" t="s">
        <v>6967</v>
      </c>
      <c r="B5551" s="3"/>
      <c r="D5551" s="3"/>
      <c r="E5551" s="3" t="s">
        <v>6966</v>
      </c>
      <c r="G5551" s="537"/>
      <c r="H5551" s="10"/>
      <c r="I5551" s="538"/>
      <c r="J5551" s="242"/>
      <c r="K5551" s="326"/>
    </row>
    <row r="5552" spans="1:11" customFormat="1" x14ac:dyDescent="0.25">
      <c r="A5552" s="545"/>
      <c r="B5552" s="3"/>
      <c r="D5552" s="3"/>
      <c r="E5552" s="25" t="s">
        <v>855</v>
      </c>
      <c r="G5552" s="537" t="s">
        <v>3</v>
      </c>
      <c r="H5552" s="10">
        <f>0.28*0.24*1.5*2.7*1.103</f>
        <v>0.30019248000000009</v>
      </c>
      <c r="I5552" s="538"/>
      <c r="J5552" s="242"/>
      <c r="K5552" s="326"/>
    </row>
    <row r="5553" spans="1:11" customFormat="1" x14ac:dyDescent="0.25">
      <c r="A5553" s="545" t="s">
        <v>6965</v>
      </c>
      <c r="B5553" s="3"/>
      <c r="D5553" s="3" t="s">
        <v>6964</v>
      </c>
      <c r="E5553" s="3"/>
      <c r="G5553" s="537"/>
      <c r="H5553" s="10"/>
      <c r="I5553" s="538"/>
      <c r="J5553" s="242"/>
      <c r="K5553" s="326"/>
    </row>
    <row r="5554" spans="1:11" customFormat="1" x14ac:dyDescent="0.25">
      <c r="A5554" s="545"/>
      <c r="B5554" s="3"/>
      <c r="D5554" t="s">
        <v>6817</v>
      </c>
      <c r="E5554" s="3"/>
      <c r="G5554" s="537" t="s">
        <v>3</v>
      </c>
      <c r="H5554" s="10">
        <f>0.35*0.22*1*2.7*1.105</f>
        <v>0.2297295</v>
      </c>
      <c r="I5554" s="538"/>
      <c r="J5554" s="242"/>
      <c r="K5554" s="326"/>
    </row>
    <row r="5555" spans="1:11" customFormat="1" x14ac:dyDescent="0.25">
      <c r="A5555" s="545" t="s">
        <v>6963</v>
      </c>
      <c r="B5555" s="3"/>
      <c r="D5555" s="3" t="s">
        <v>6962</v>
      </c>
      <c r="E5555" s="3"/>
      <c r="G5555" s="537"/>
      <c r="H5555" s="10"/>
      <c r="I5555" s="538"/>
      <c r="J5555" s="242"/>
      <c r="K5555" s="326"/>
    </row>
    <row r="5556" spans="1:11" customFormat="1" x14ac:dyDescent="0.25">
      <c r="A5556" s="545"/>
      <c r="B5556" s="3"/>
      <c r="D5556" s="25" t="s">
        <v>855</v>
      </c>
      <c r="E5556" s="3"/>
      <c r="G5556" s="537" t="s">
        <v>3</v>
      </c>
      <c r="H5556" s="10">
        <f>0.225*0.1*1.5*2.7*1.1</f>
        <v>0.10023750000000002</v>
      </c>
      <c r="I5556" s="538"/>
      <c r="J5556" s="242"/>
      <c r="K5556" s="326"/>
    </row>
    <row r="5557" spans="1:11" customFormat="1" x14ac:dyDescent="0.25">
      <c r="A5557" s="545" t="s">
        <v>6961</v>
      </c>
      <c r="B5557" s="3"/>
      <c r="D5557" s="3" t="s">
        <v>6960</v>
      </c>
      <c r="E5557" s="3"/>
      <c r="G5557" s="537"/>
      <c r="H5557" s="10"/>
      <c r="I5557" s="538"/>
      <c r="J5557" s="242"/>
      <c r="K5557" s="326"/>
    </row>
    <row r="5558" spans="1:11" customFormat="1" x14ac:dyDescent="0.25">
      <c r="A5558" s="545"/>
      <c r="B5558" s="3"/>
      <c r="D5558" s="25" t="s">
        <v>855</v>
      </c>
      <c r="E5558" s="3"/>
      <c r="G5558" s="537" t="s">
        <v>3</v>
      </c>
      <c r="H5558" s="10">
        <f>0.26*0.025*1.5*2.7*1.15</f>
        <v>3.0273750000000002E-2</v>
      </c>
      <c r="I5558" s="538"/>
      <c r="J5558" s="242"/>
      <c r="K5558" s="326"/>
    </row>
    <row r="5559" spans="1:11" customFormat="1" x14ac:dyDescent="0.25">
      <c r="A5559" s="545" t="s">
        <v>6959</v>
      </c>
      <c r="B5559" s="3"/>
      <c r="D5559" s="3" t="s">
        <v>6958</v>
      </c>
      <c r="E5559" s="3"/>
      <c r="G5559" s="537"/>
      <c r="H5559" s="10"/>
      <c r="I5559" s="538"/>
      <c r="J5559" s="242"/>
      <c r="K5559" s="326"/>
    </row>
    <row r="5560" spans="1:11" customFormat="1" x14ac:dyDescent="0.25">
      <c r="A5560" s="545"/>
      <c r="B5560" s="3"/>
      <c r="D5560" s="25" t="s">
        <v>855</v>
      </c>
      <c r="E5560" s="3"/>
      <c r="G5560" s="537" t="s">
        <v>3</v>
      </c>
      <c r="H5560" s="10">
        <f>0.048*0.22*1.5*2.7*1.1</f>
        <v>4.7044800000000005E-2</v>
      </c>
      <c r="I5560" s="538"/>
      <c r="J5560" s="242"/>
      <c r="K5560" s="326"/>
    </row>
    <row r="5561" spans="1:11" customFormat="1" x14ac:dyDescent="0.25">
      <c r="A5561" s="545" t="s">
        <v>6957</v>
      </c>
      <c r="B5561" s="3"/>
      <c r="D5561" s="3" t="s">
        <v>6956</v>
      </c>
      <c r="E5561" s="3"/>
      <c r="G5561" s="537"/>
      <c r="H5561" s="10"/>
      <c r="I5561" s="538"/>
      <c r="J5561" s="242"/>
      <c r="K5561" s="326"/>
    </row>
    <row r="5562" spans="1:11" customFormat="1" x14ac:dyDescent="0.25">
      <c r="A5562" s="545"/>
      <c r="B5562" s="3"/>
      <c r="D5562" t="s">
        <v>651</v>
      </c>
      <c r="E5562" s="3"/>
      <c r="G5562" s="537" t="s">
        <v>3</v>
      </c>
      <c r="H5562" s="10">
        <f>0.03*0.02*2*2.7*1.1</f>
        <v>3.5639999999999999E-3</v>
      </c>
      <c r="I5562" s="538"/>
      <c r="J5562" s="242"/>
      <c r="K5562" s="326"/>
    </row>
    <row r="5563" spans="1:11" customFormat="1" x14ac:dyDescent="0.25">
      <c r="A5563" s="545" t="s">
        <v>6955</v>
      </c>
      <c r="B5563" s="3"/>
      <c r="D5563" s="3" t="s">
        <v>6954</v>
      </c>
      <c r="E5563" s="3"/>
      <c r="G5563" s="537"/>
      <c r="H5563" s="10"/>
      <c r="I5563" s="538"/>
      <c r="J5563" s="242"/>
      <c r="K5563" s="326"/>
    </row>
    <row r="5564" spans="1:11" customFormat="1" x14ac:dyDescent="0.25">
      <c r="A5564" s="545"/>
      <c r="B5564" s="3"/>
      <c r="D5564" t="s">
        <v>651</v>
      </c>
      <c r="E5564" s="3"/>
      <c r="G5564" s="537" t="s">
        <v>3</v>
      </c>
      <c r="H5564" s="10">
        <f>0.026*0.018*2*2.7*1.1</f>
        <v>2.77992E-3</v>
      </c>
      <c r="I5564" s="538"/>
      <c r="J5564" s="242"/>
      <c r="K5564" s="326"/>
    </row>
    <row r="5565" spans="1:11" customFormat="1" x14ac:dyDescent="0.25">
      <c r="A5565" s="545"/>
      <c r="B5565" s="3"/>
      <c r="D5565" s="3"/>
      <c r="E5565" s="3"/>
      <c r="G5565" s="537"/>
      <c r="H5565" s="10"/>
      <c r="I5565" s="538"/>
      <c r="J5565" s="242"/>
      <c r="K5565" s="326"/>
    </row>
    <row r="5566" spans="1:11" customFormat="1" x14ac:dyDescent="0.25">
      <c r="A5566" s="545" t="s">
        <v>6953</v>
      </c>
      <c r="B5566" s="3" t="s">
        <v>6952</v>
      </c>
      <c r="D5566" s="3"/>
      <c r="E5566" s="3"/>
      <c r="G5566" s="537"/>
      <c r="H5566" s="10"/>
      <c r="I5566" s="538"/>
      <c r="J5566" s="242"/>
      <c r="K5566" s="326"/>
    </row>
    <row r="5567" spans="1:11" customFormat="1" x14ac:dyDescent="0.25">
      <c r="A5567" s="545"/>
      <c r="C5567" s="25" t="s">
        <v>6951</v>
      </c>
      <c r="D5567" s="3"/>
      <c r="E5567" s="3"/>
      <c r="G5567" s="537" t="s">
        <v>3</v>
      </c>
      <c r="H5567" s="10">
        <v>4.0000000000000001E-3</v>
      </c>
      <c r="I5567" s="538"/>
      <c r="J5567" s="242"/>
      <c r="K5567" s="326"/>
    </row>
    <row r="5568" spans="1:11" customFormat="1" x14ac:dyDescent="0.25">
      <c r="A5568" s="545"/>
      <c r="B5568" s="3"/>
      <c r="C5568" t="s">
        <v>671</v>
      </c>
      <c r="D5568" s="3"/>
      <c r="E5568" s="3"/>
      <c r="G5568" s="537" t="s">
        <v>3</v>
      </c>
      <c r="H5568" s="10">
        <v>2E-3</v>
      </c>
      <c r="I5568" s="538"/>
      <c r="J5568" s="242"/>
      <c r="K5568" s="326"/>
    </row>
    <row r="5569" spans="1:11" customFormat="1" x14ac:dyDescent="0.25">
      <c r="A5569" s="545"/>
      <c r="B5569" s="3"/>
      <c r="C5569" t="s">
        <v>672</v>
      </c>
      <c r="D5569" s="3"/>
      <c r="E5569" s="3"/>
      <c r="G5569" s="537" t="s">
        <v>3</v>
      </c>
      <c r="H5569" s="10">
        <f>2.5*H5568</f>
        <v>5.0000000000000001E-3</v>
      </c>
      <c r="I5569" s="538"/>
      <c r="J5569" s="242"/>
      <c r="K5569" s="326"/>
    </row>
    <row r="5570" spans="1:11" customFormat="1" x14ac:dyDescent="0.25">
      <c r="A5570" s="545"/>
      <c r="B5570" s="3"/>
      <c r="D5570" s="3"/>
      <c r="E5570" s="3"/>
      <c r="G5570" s="537"/>
      <c r="H5570" s="10"/>
      <c r="I5570" s="538"/>
      <c r="J5570" s="242"/>
      <c r="K5570" s="326"/>
    </row>
    <row r="5571" spans="1:11" customFormat="1" x14ac:dyDescent="0.25">
      <c r="A5571" s="545" t="s">
        <v>6950</v>
      </c>
      <c r="B5571" s="3" t="s">
        <v>6949</v>
      </c>
      <c r="D5571" s="3"/>
      <c r="E5571" s="3"/>
      <c r="G5571" s="537"/>
      <c r="H5571" s="10"/>
      <c r="I5571" s="538"/>
      <c r="J5571" s="242"/>
      <c r="K5571" s="326"/>
    </row>
    <row r="5572" spans="1:11" customFormat="1" x14ac:dyDescent="0.25">
      <c r="A5572" s="545"/>
      <c r="B5572" s="11" t="s">
        <v>6724</v>
      </c>
      <c r="C5572" s="11"/>
      <c r="D5572" s="11"/>
      <c r="E5572" s="11"/>
      <c r="F5572" s="11"/>
      <c r="G5572" s="603" t="s">
        <v>3</v>
      </c>
      <c r="H5572" s="12">
        <f>1*0.038</f>
        <v>3.7999999999999999E-2</v>
      </c>
      <c r="I5572" s="636"/>
      <c r="J5572" s="242"/>
      <c r="K5572" s="326"/>
    </row>
    <row r="5573" spans="1:11" customFormat="1" ht="17.25" x14ac:dyDescent="0.25">
      <c r="A5573" s="545"/>
      <c r="B5573" s="42" t="s">
        <v>6723</v>
      </c>
      <c r="C5573" s="11"/>
      <c r="D5573" s="11"/>
      <c r="E5573" s="11"/>
      <c r="F5573" s="11"/>
      <c r="G5573" s="603" t="s">
        <v>596</v>
      </c>
      <c r="H5573" s="12">
        <f>H5572*1.5/1.4</f>
        <v>4.0714285714285717E-2</v>
      </c>
      <c r="I5573" s="636"/>
      <c r="J5573" s="242"/>
      <c r="K5573" s="326"/>
    </row>
    <row r="5574" spans="1:11" customFormat="1" x14ac:dyDescent="0.25">
      <c r="A5574" s="545"/>
      <c r="B5574" t="s">
        <v>114</v>
      </c>
      <c r="G5574" s="603" t="s">
        <v>3</v>
      </c>
      <c r="H5574" s="32">
        <f>H5577/4</f>
        <v>0.37309772500000005</v>
      </c>
      <c r="I5574" s="590"/>
      <c r="J5574" s="242"/>
      <c r="K5574" s="326"/>
    </row>
    <row r="5575" spans="1:11" customFormat="1" x14ac:dyDescent="0.25">
      <c r="A5575" s="545"/>
      <c r="B5575" t="s">
        <v>163</v>
      </c>
      <c r="G5575" s="603" t="s">
        <v>3</v>
      </c>
      <c r="H5575" s="32">
        <f>H5577/4</f>
        <v>0.37309772500000005</v>
      </c>
      <c r="I5575" s="590"/>
      <c r="J5575" s="242"/>
      <c r="K5575" s="326"/>
    </row>
    <row r="5576" spans="1:11" customFormat="1" x14ac:dyDescent="0.25">
      <c r="A5576" s="545"/>
      <c r="B5576" t="s">
        <v>164</v>
      </c>
      <c r="G5576" s="603" t="s">
        <v>3</v>
      </c>
      <c r="H5576" s="32">
        <f>0.5*(H5575+H5574)</f>
        <v>0.37309772500000005</v>
      </c>
      <c r="I5576" s="590"/>
      <c r="J5576" s="242"/>
      <c r="K5576" s="326"/>
    </row>
    <row r="5577" spans="1:11" customFormat="1" x14ac:dyDescent="0.25">
      <c r="A5577" s="545"/>
      <c r="B5577" t="s">
        <v>72</v>
      </c>
      <c r="G5577" s="603" t="s">
        <v>3</v>
      </c>
      <c r="H5577" s="32">
        <f>(0.48*1.32*2+0.435*0.55+0.52*0.55+1.32*0.6*2)*0.17*2*1.3</f>
        <v>1.4923909000000002</v>
      </c>
      <c r="I5577" s="590"/>
      <c r="J5577" s="242"/>
      <c r="K5577" s="326"/>
    </row>
    <row r="5578" spans="1:11" customFormat="1" x14ac:dyDescent="0.25">
      <c r="A5578" s="545"/>
      <c r="B5578" t="s">
        <v>11</v>
      </c>
      <c r="G5578" s="603" t="s">
        <v>3</v>
      </c>
      <c r="H5578" s="32">
        <f>0.3*H5577</f>
        <v>0.44771727000000006</v>
      </c>
      <c r="I5578" s="590"/>
      <c r="J5578" s="242"/>
      <c r="K5578" s="326"/>
    </row>
    <row r="5579" spans="1:11" customFormat="1" x14ac:dyDescent="0.25">
      <c r="A5579" s="545"/>
      <c r="B5579" t="s">
        <v>13</v>
      </c>
      <c r="G5579" s="603" t="s">
        <v>3</v>
      </c>
      <c r="H5579" s="32">
        <v>0.67</v>
      </c>
      <c r="I5579" s="590"/>
      <c r="J5579" s="242"/>
      <c r="K5579" s="326"/>
    </row>
    <row r="5580" spans="1:11" customFormat="1" x14ac:dyDescent="0.25">
      <c r="A5580" s="545" t="s">
        <v>6948</v>
      </c>
      <c r="B5580" s="3"/>
      <c r="C5580" s="3" t="s">
        <v>6947</v>
      </c>
      <c r="D5580" s="3"/>
      <c r="E5580" s="3"/>
      <c r="G5580" s="537"/>
      <c r="H5580" s="10"/>
      <c r="I5580" s="538"/>
      <c r="J5580" s="242"/>
      <c r="K5580" s="326"/>
    </row>
    <row r="5581" spans="1:11" customFormat="1" x14ac:dyDescent="0.25">
      <c r="A5581" s="545"/>
      <c r="B5581" s="3"/>
      <c r="C5581" s="42" t="s">
        <v>6724</v>
      </c>
      <c r="D5581" s="42"/>
      <c r="E5581" s="42"/>
      <c r="G5581" s="158" t="s">
        <v>3</v>
      </c>
      <c r="H5581" s="10">
        <f>(0.55*4+0.35*2+0.43*2+1.32*2*1*2+0.5+0.7+0.25+0.25)*0.04</f>
        <v>0.42960000000000004</v>
      </c>
      <c r="I5581" s="538"/>
      <c r="J5581" s="242"/>
      <c r="K5581" s="326"/>
    </row>
    <row r="5582" spans="1:11" customFormat="1" ht="17.25" x14ac:dyDescent="0.25">
      <c r="A5582" s="545"/>
      <c r="B5582" s="3"/>
      <c r="C5582" s="42" t="s">
        <v>6723</v>
      </c>
      <c r="D5582" s="42"/>
      <c r="E5582" s="42"/>
      <c r="G5582" s="158" t="s">
        <v>596</v>
      </c>
      <c r="H5582" s="10">
        <f>1.09*H5581</f>
        <v>0.46826400000000007</v>
      </c>
      <c r="I5582" s="538"/>
      <c r="J5582" s="242"/>
      <c r="K5582" s="326"/>
    </row>
    <row r="5583" spans="1:11" customFormat="1" x14ac:dyDescent="0.25">
      <c r="A5583" s="545" t="s">
        <v>6946</v>
      </c>
      <c r="B5583" s="3"/>
      <c r="D5583" s="3" t="s">
        <v>6945</v>
      </c>
      <c r="E5583" s="3"/>
      <c r="G5583" s="537"/>
      <c r="H5583" s="10"/>
      <c r="I5583" s="538"/>
      <c r="J5583" s="242"/>
      <c r="K5583" s="326"/>
    </row>
    <row r="5584" spans="1:11" customFormat="1" x14ac:dyDescent="0.25">
      <c r="A5584" s="545"/>
      <c r="B5584" s="3"/>
      <c r="D5584" s="25" t="s">
        <v>6940</v>
      </c>
      <c r="E5584" s="3"/>
      <c r="G5584" s="603" t="s">
        <v>3</v>
      </c>
      <c r="H5584" s="10">
        <f>(0.544+0.515*2+0.13*2)*1.32*3*2.7*1.1</f>
        <v>21.570040800000008</v>
      </c>
      <c r="I5584" s="538"/>
      <c r="J5584" s="242"/>
      <c r="K5584" s="326"/>
    </row>
    <row r="5585" spans="1:11" customFormat="1" x14ac:dyDescent="0.25">
      <c r="A5585" s="545"/>
      <c r="B5585" s="3"/>
      <c r="D5585" s="11" t="s">
        <v>6724</v>
      </c>
      <c r="E5585" s="3"/>
      <c r="G5585" s="603" t="s">
        <v>3</v>
      </c>
      <c r="H5585" s="10">
        <f>1*0.04*1.3</f>
        <v>5.2000000000000005E-2</v>
      </c>
      <c r="I5585" s="538"/>
      <c r="J5585" s="242"/>
      <c r="K5585" s="326"/>
    </row>
    <row r="5586" spans="1:11" customFormat="1" ht="17.25" x14ac:dyDescent="0.25">
      <c r="A5586" s="545"/>
      <c r="B5586" s="3"/>
      <c r="D5586" s="42" t="s">
        <v>6723</v>
      </c>
      <c r="E5586" s="3"/>
      <c r="G5586" s="603" t="s">
        <v>596</v>
      </c>
      <c r="H5586" s="10">
        <f>1.1*H5585</f>
        <v>5.7200000000000008E-2</v>
      </c>
      <c r="I5586" s="538"/>
      <c r="J5586" s="242"/>
      <c r="K5586" s="326"/>
    </row>
    <row r="5587" spans="1:11" customFormat="1" x14ac:dyDescent="0.25">
      <c r="A5587" s="545" t="s">
        <v>6944</v>
      </c>
      <c r="B5587" s="3"/>
      <c r="D5587" s="3" t="s">
        <v>6943</v>
      </c>
      <c r="E5587" s="3"/>
      <c r="G5587" s="537"/>
      <c r="H5587" s="10"/>
      <c r="I5587" s="538"/>
      <c r="J5587" s="242"/>
      <c r="K5587" s="326"/>
    </row>
    <row r="5588" spans="1:11" customFormat="1" x14ac:dyDescent="0.25">
      <c r="A5588" s="545"/>
      <c r="B5588" s="3"/>
      <c r="D5588" s="11" t="s">
        <v>6724</v>
      </c>
      <c r="E5588" s="3"/>
      <c r="G5588" s="603" t="s">
        <v>3</v>
      </c>
      <c r="H5588" s="10">
        <f>1*0.04*1.3</f>
        <v>5.2000000000000005E-2</v>
      </c>
      <c r="I5588" s="538"/>
      <c r="J5588" s="242"/>
      <c r="K5588" s="326"/>
    </row>
    <row r="5589" spans="1:11" customFormat="1" ht="17.25" x14ac:dyDescent="0.25">
      <c r="A5589" s="545"/>
      <c r="B5589" s="3"/>
      <c r="D5589" s="42" t="s">
        <v>6723</v>
      </c>
      <c r="E5589" s="3"/>
      <c r="G5589" s="603" t="s">
        <v>596</v>
      </c>
      <c r="H5589" s="10">
        <f>0.1*0.04*1.3</f>
        <v>5.2000000000000006E-3</v>
      </c>
      <c r="I5589" s="538"/>
      <c r="J5589" s="242"/>
      <c r="K5589" s="326"/>
    </row>
    <row r="5590" spans="1:11" customFormat="1" x14ac:dyDescent="0.25">
      <c r="A5590" s="545"/>
      <c r="B5590" s="3"/>
      <c r="D5590" s="25" t="s">
        <v>6940</v>
      </c>
      <c r="E5590" s="3"/>
      <c r="G5590" s="603" t="s">
        <v>3</v>
      </c>
      <c r="H5590" s="10">
        <f>1.1*H5589</f>
        <v>5.7200000000000011E-3</v>
      </c>
      <c r="I5590" s="538"/>
      <c r="J5590" s="242"/>
      <c r="K5590" s="326"/>
    </row>
    <row r="5591" spans="1:11" customFormat="1" x14ac:dyDescent="0.25">
      <c r="A5591" s="545" t="s">
        <v>6942</v>
      </c>
      <c r="B5591" s="3"/>
      <c r="D5591" s="3" t="s">
        <v>6941</v>
      </c>
      <c r="E5591" s="3"/>
      <c r="G5591" s="537"/>
      <c r="H5591" s="10"/>
      <c r="I5591" s="538"/>
      <c r="J5591" s="242"/>
      <c r="K5591" s="326"/>
    </row>
    <row r="5592" spans="1:11" customFormat="1" x14ac:dyDescent="0.25">
      <c r="A5592" s="545"/>
      <c r="B5592" s="3"/>
      <c r="D5592" s="25" t="s">
        <v>6940</v>
      </c>
      <c r="E5592" s="3"/>
      <c r="G5592" s="603" t="s">
        <v>3</v>
      </c>
      <c r="H5592" s="10">
        <f>0.57*0.45*3*2.7*1.1</f>
        <v>2.2854150000000004</v>
      </c>
      <c r="I5592" s="538"/>
      <c r="J5592" s="242"/>
      <c r="K5592" s="326"/>
    </row>
    <row r="5593" spans="1:11" customFormat="1" x14ac:dyDescent="0.25">
      <c r="A5593" s="545"/>
      <c r="B5593" s="3"/>
      <c r="D5593" s="11" t="s">
        <v>6724</v>
      </c>
      <c r="E5593" s="3"/>
      <c r="G5593" s="603" t="s">
        <v>3</v>
      </c>
      <c r="H5593" s="10">
        <f>0.1*0.04*1.3</f>
        <v>5.2000000000000006E-3</v>
      </c>
      <c r="I5593" s="538"/>
      <c r="J5593" s="242"/>
      <c r="K5593" s="326"/>
    </row>
    <row r="5594" spans="1:11" customFormat="1" ht="17.25" x14ac:dyDescent="0.25">
      <c r="A5594" s="545"/>
      <c r="B5594" s="3"/>
      <c r="D5594" s="42" t="s">
        <v>6723</v>
      </c>
      <c r="E5594" s="3"/>
      <c r="G5594" s="603" t="s">
        <v>596</v>
      </c>
      <c r="H5594" s="10">
        <f>1.1*H5593</f>
        <v>5.7200000000000011E-3</v>
      </c>
      <c r="I5594" s="538"/>
      <c r="J5594" s="242"/>
      <c r="K5594" s="326"/>
    </row>
    <row r="5595" spans="1:11" customFormat="1" x14ac:dyDescent="0.25">
      <c r="A5595" s="545" t="s">
        <v>6939</v>
      </c>
      <c r="B5595" s="3"/>
      <c r="C5595" s="3" t="s">
        <v>6938</v>
      </c>
      <c r="D5595" s="3"/>
      <c r="E5595" s="3"/>
      <c r="G5595" s="537"/>
      <c r="H5595" s="10"/>
      <c r="I5595" s="538"/>
      <c r="J5595" s="242"/>
      <c r="K5595" s="326"/>
    </row>
    <row r="5596" spans="1:11" customFormat="1" x14ac:dyDescent="0.25">
      <c r="A5596" s="545"/>
      <c r="B5596" s="3"/>
      <c r="C5596" t="s">
        <v>37</v>
      </c>
      <c r="G5596" s="603" t="s">
        <v>3</v>
      </c>
      <c r="H5596" s="32">
        <f>0.05</f>
        <v>0.05</v>
      </c>
      <c r="I5596" s="538"/>
      <c r="J5596" s="242"/>
      <c r="K5596" s="326"/>
    </row>
    <row r="5597" spans="1:11" customFormat="1" x14ac:dyDescent="0.25">
      <c r="A5597" s="545"/>
      <c r="B5597" s="3"/>
      <c r="C5597" s="11" t="s">
        <v>6724</v>
      </c>
      <c r="D5597" s="11"/>
      <c r="E5597" s="11"/>
      <c r="F5597" s="11"/>
      <c r="G5597" s="158" t="s">
        <v>3</v>
      </c>
      <c r="H5597" s="32">
        <f>(15*0.03+0.02*12*2+0.3)*0.04</f>
        <v>4.9200000000000001E-2</v>
      </c>
      <c r="I5597" s="538"/>
      <c r="J5597" s="242"/>
      <c r="K5597" s="326"/>
    </row>
    <row r="5598" spans="1:11" customFormat="1" ht="17.25" x14ac:dyDescent="0.25">
      <c r="A5598" s="545"/>
      <c r="B5598" s="3"/>
      <c r="C5598" s="42" t="s">
        <v>6723</v>
      </c>
      <c r="D5598" s="11"/>
      <c r="E5598" s="11"/>
      <c r="F5598" s="11"/>
      <c r="G5598" s="158" t="s">
        <v>596</v>
      </c>
      <c r="H5598" s="32">
        <f>1.09*H5597</f>
        <v>5.3628000000000002E-2</v>
      </c>
      <c r="I5598" s="538"/>
      <c r="J5598" s="242"/>
      <c r="K5598" s="326"/>
    </row>
    <row r="5599" spans="1:11" customFormat="1" x14ac:dyDescent="0.25">
      <c r="A5599" s="545"/>
      <c r="B5599" s="3"/>
      <c r="D5599" s="3"/>
      <c r="E5599" s="3"/>
      <c r="G5599" s="537"/>
      <c r="H5599" s="10"/>
      <c r="I5599" s="538"/>
      <c r="J5599" s="242"/>
      <c r="K5599" s="326"/>
    </row>
    <row r="5600" spans="1:11" customFormat="1" x14ac:dyDescent="0.25">
      <c r="A5600" s="545" t="s">
        <v>6937</v>
      </c>
      <c r="B5600" s="3" t="s">
        <v>6936</v>
      </c>
      <c r="D5600" s="3"/>
      <c r="E5600" s="3"/>
      <c r="G5600" s="537"/>
      <c r="H5600" s="10"/>
      <c r="I5600" s="538"/>
      <c r="J5600" s="242"/>
      <c r="K5600" s="326"/>
    </row>
    <row r="5601" spans="1:11" customFormat="1" x14ac:dyDescent="0.25">
      <c r="A5601" s="545"/>
      <c r="B5601" s="25" t="s">
        <v>8</v>
      </c>
      <c r="D5601" s="3"/>
      <c r="E5601" s="3"/>
      <c r="G5601" s="537" t="s">
        <v>3</v>
      </c>
      <c r="H5601" s="10">
        <f>1.2*0.1*2*0.12*2*1.3</f>
        <v>7.4880000000000002E-2</v>
      </c>
      <c r="I5601" s="538"/>
      <c r="J5601" s="242"/>
      <c r="K5601" s="326"/>
    </row>
    <row r="5602" spans="1:11" customFormat="1" x14ac:dyDescent="0.25">
      <c r="A5602" s="545"/>
      <c r="B5602" s="25" t="s">
        <v>12</v>
      </c>
      <c r="D5602" s="3"/>
      <c r="E5602" s="3"/>
      <c r="G5602" s="537" t="s">
        <v>3</v>
      </c>
      <c r="H5602" s="10">
        <f>0.3*H5601</f>
        <v>2.2464000000000001E-2</v>
      </c>
      <c r="I5602" s="538"/>
      <c r="J5602" s="242"/>
      <c r="K5602" s="326"/>
    </row>
    <row r="5603" spans="1:11" customFormat="1" x14ac:dyDescent="0.25">
      <c r="A5603" s="545"/>
      <c r="B5603" s="25" t="s">
        <v>72</v>
      </c>
      <c r="D5603" s="3"/>
      <c r="E5603" s="3"/>
      <c r="G5603" s="537" t="s">
        <v>3</v>
      </c>
      <c r="H5603" s="10">
        <f>1.2*0.1*2*0.15*2*1.39</f>
        <v>0.10007999999999999</v>
      </c>
      <c r="I5603" s="538"/>
      <c r="J5603" s="242"/>
      <c r="K5603" s="326"/>
    </row>
    <row r="5604" spans="1:11" customFormat="1" x14ac:dyDescent="0.25">
      <c r="A5604" s="545"/>
      <c r="B5604" s="25" t="s">
        <v>11</v>
      </c>
      <c r="D5604" s="3"/>
      <c r="E5604" s="3"/>
      <c r="G5604" s="537" t="s">
        <v>3</v>
      </c>
      <c r="H5604" s="10">
        <f>0.3*H5603</f>
        <v>3.0023999999999995E-2</v>
      </c>
      <c r="I5604" s="538"/>
      <c r="J5604" s="242"/>
      <c r="K5604" s="326"/>
    </row>
    <row r="5605" spans="1:11" customFormat="1" x14ac:dyDescent="0.25">
      <c r="A5605" s="545"/>
      <c r="B5605" s="25" t="s">
        <v>13</v>
      </c>
      <c r="D5605" s="3"/>
      <c r="E5605" s="3"/>
      <c r="G5605" s="537" t="s">
        <v>3</v>
      </c>
      <c r="H5605" s="10">
        <v>0.02</v>
      </c>
      <c r="I5605" s="538"/>
      <c r="J5605" s="242"/>
      <c r="K5605" s="326"/>
    </row>
    <row r="5606" spans="1:11" customFormat="1" x14ac:dyDescent="0.25">
      <c r="A5606" s="545" t="s">
        <v>6935</v>
      </c>
      <c r="B5606" s="3"/>
      <c r="C5606" s="3" t="s">
        <v>6934</v>
      </c>
      <c r="D5606" s="3"/>
      <c r="E5606" s="3"/>
      <c r="G5606" s="537"/>
      <c r="H5606" s="10"/>
      <c r="I5606" s="538"/>
      <c r="J5606" s="242"/>
      <c r="K5606" s="326"/>
    </row>
    <row r="5607" spans="1:11" customFormat="1" x14ac:dyDescent="0.25">
      <c r="A5607" s="545" t="s">
        <v>6933</v>
      </c>
      <c r="B5607" s="3"/>
      <c r="D5607" s="3" t="s">
        <v>6932</v>
      </c>
      <c r="E5607" s="3"/>
      <c r="G5607" s="537"/>
      <c r="H5607" s="10"/>
      <c r="I5607" s="538"/>
      <c r="J5607" s="242"/>
      <c r="K5607" s="326"/>
    </row>
    <row r="5608" spans="1:11" customFormat="1" x14ac:dyDescent="0.25">
      <c r="A5608" s="545"/>
      <c r="B5608" s="3"/>
      <c r="D5608" s="25" t="s">
        <v>920</v>
      </c>
      <c r="E5608" s="3"/>
      <c r="G5608" s="537" t="s">
        <v>3</v>
      </c>
      <c r="H5608" s="10">
        <f>0.05*0.05*4*8*1.12</f>
        <v>8.9600000000000027E-2</v>
      </c>
      <c r="I5608" s="538"/>
      <c r="J5608" s="242"/>
      <c r="K5608" s="326"/>
    </row>
    <row r="5609" spans="1:11" customFormat="1" x14ac:dyDescent="0.25">
      <c r="A5609" s="545" t="s">
        <v>6931</v>
      </c>
      <c r="B5609" s="3"/>
      <c r="D5609" s="3" t="s">
        <v>6930</v>
      </c>
      <c r="E5609" s="3"/>
      <c r="G5609" s="537"/>
      <c r="H5609" s="10"/>
      <c r="I5609" s="538"/>
      <c r="J5609" s="242"/>
      <c r="K5609" s="326"/>
    </row>
    <row r="5610" spans="1:11" customFormat="1" x14ac:dyDescent="0.25">
      <c r="A5610" s="545"/>
      <c r="B5610" s="3"/>
      <c r="D5610" s="25" t="s">
        <v>6905</v>
      </c>
      <c r="E5610" s="3"/>
      <c r="G5610" s="537" t="s">
        <v>3</v>
      </c>
      <c r="H5610" s="10">
        <f>0.09*0.06*5*8*1.159</f>
        <v>0.25034399999999996</v>
      </c>
      <c r="I5610" s="538"/>
      <c r="J5610" s="242"/>
      <c r="K5610" s="326"/>
    </row>
    <row r="5611" spans="1:11" customFormat="1" x14ac:dyDescent="0.25">
      <c r="A5611" s="545" t="s">
        <v>6929</v>
      </c>
      <c r="B5611" s="3"/>
      <c r="C5611" s="3" t="s">
        <v>6928</v>
      </c>
      <c r="D5611" s="3"/>
      <c r="E5611" s="3"/>
      <c r="G5611" s="537"/>
      <c r="H5611" s="10"/>
      <c r="I5611" s="538"/>
      <c r="J5611" s="242"/>
      <c r="K5611" s="326"/>
    </row>
    <row r="5612" spans="1:11" customFormat="1" x14ac:dyDescent="0.25">
      <c r="A5612" s="545"/>
      <c r="B5612" s="3"/>
      <c r="C5612" t="s">
        <v>847</v>
      </c>
      <c r="D5612" s="3"/>
      <c r="E5612" s="3"/>
      <c r="G5612" s="537" t="s">
        <v>3</v>
      </c>
      <c r="H5612" s="10">
        <f>1.1*0.055*3*8*1.15</f>
        <v>1.6698000000000002</v>
      </c>
      <c r="I5612" s="538"/>
      <c r="J5612" s="242"/>
      <c r="K5612" s="326"/>
    </row>
    <row r="5613" spans="1:11" customFormat="1" x14ac:dyDescent="0.25">
      <c r="A5613" s="545"/>
      <c r="B5613" s="3"/>
      <c r="D5613" s="3"/>
      <c r="E5613" s="3"/>
      <c r="G5613" s="537"/>
      <c r="H5613" s="10"/>
      <c r="I5613" s="538"/>
      <c r="J5613" s="242"/>
      <c r="K5613" s="326"/>
    </row>
    <row r="5614" spans="1:11" customFormat="1" x14ac:dyDescent="0.25">
      <c r="A5614" s="545" t="s">
        <v>6927</v>
      </c>
      <c r="B5614" s="3" t="s">
        <v>6926</v>
      </c>
      <c r="D5614" s="3"/>
      <c r="E5614" s="3"/>
      <c r="G5614" s="537"/>
      <c r="H5614" s="10"/>
      <c r="I5614" s="538"/>
      <c r="J5614" s="242"/>
      <c r="K5614" s="326"/>
    </row>
    <row r="5615" spans="1:11" customFormat="1" x14ac:dyDescent="0.25">
      <c r="A5615" s="545" t="s">
        <v>6925</v>
      </c>
      <c r="B5615" s="3"/>
      <c r="C5615" s="3" t="s">
        <v>6924</v>
      </c>
      <c r="D5615" s="3"/>
      <c r="E5615" s="3"/>
      <c r="G5615" s="537"/>
      <c r="H5615" s="558"/>
      <c r="I5615" s="635"/>
      <c r="J5615" s="242"/>
      <c r="K5615" s="326"/>
    </row>
    <row r="5616" spans="1:11" customFormat="1" x14ac:dyDescent="0.25">
      <c r="A5616" s="545"/>
      <c r="B5616" s="3"/>
      <c r="C5616" t="s">
        <v>6919</v>
      </c>
      <c r="D5616" s="3"/>
      <c r="E5616" s="3"/>
      <c r="G5616" s="537" t="s">
        <v>3</v>
      </c>
      <c r="H5616" s="32">
        <f>0.11*0.06*3*8.5*1.13</f>
        <v>0.19017899999999996</v>
      </c>
      <c r="I5616" s="635"/>
      <c r="J5616" s="242"/>
      <c r="K5616" s="326"/>
    </row>
    <row r="5617" spans="1:10" customFormat="1" x14ac:dyDescent="0.25">
      <c r="A5617" s="545"/>
      <c r="B5617" s="3"/>
      <c r="D5617" s="3"/>
      <c r="E5617" s="3"/>
      <c r="G5617" s="537"/>
      <c r="H5617" s="32"/>
      <c r="I5617" s="635"/>
      <c r="J5617" s="242"/>
    </row>
    <row r="5618" spans="1:10" customFormat="1" x14ac:dyDescent="0.25">
      <c r="A5618" s="545" t="s">
        <v>6923</v>
      </c>
      <c r="B5618" s="3" t="s">
        <v>6922</v>
      </c>
      <c r="D5618" s="3"/>
      <c r="E5618" s="3"/>
      <c r="G5618" s="537"/>
      <c r="H5618" s="32"/>
      <c r="I5618" s="635"/>
      <c r="J5618" s="242"/>
    </row>
    <row r="5619" spans="1:10" customFormat="1" x14ac:dyDescent="0.25">
      <c r="A5619" s="545" t="s">
        <v>6921</v>
      </c>
      <c r="B5619" s="3"/>
      <c r="C5619" s="3" t="s">
        <v>6920</v>
      </c>
      <c r="D5619" s="3"/>
      <c r="E5619" s="3"/>
      <c r="G5619" s="537"/>
      <c r="H5619" s="558"/>
      <c r="I5619" s="635"/>
      <c r="J5619" s="242"/>
    </row>
    <row r="5620" spans="1:10" customFormat="1" x14ac:dyDescent="0.25">
      <c r="A5620" s="545"/>
      <c r="B5620" s="3"/>
      <c r="C5620" t="s">
        <v>6919</v>
      </c>
      <c r="D5620" s="3"/>
      <c r="E5620" s="3"/>
      <c r="G5620" s="537" t="s">
        <v>3</v>
      </c>
      <c r="H5620" s="32">
        <f>0.11*0.06*3*8.5*1.13</f>
        <v>0.19017899999999996</v>
      </c>
      <c r="I5620" s="635"/>
      <c r="J5620" s="242"/>
    </row>
    <row r="5621" spans="1:10" customFormat="1" x14ac:dyDescent="0.25">
      <c r="A5621" s="545"/>
      <c r="B5621" s="3"/>
      <c r="D5621" s="3"/>
      <c r="E5621" s="3"/>
      <c r="G5621" s="537"/>
      <c r="H5621" s="32"/>
      <c r="I5621" s="635"/>
      <c r="J5621" s="242"/>
    </row>
    <row r="5622" spans="1:10" customFormat="1" x14ac:dyDescent="0.25">
      <c r="A5622" s="545" t="s">
        <v>6918</v>
      </c>
      <c r="B5622" s="3" t="s">
        <v>6917</v>
      </c>
      <c r="D5622" s="3"/>
      <c r="E5622" s="3"/>
      <c r="G5622" s="537"/>
      <c r="H5622" s="10"/>
      <c r="I5622" s="538"/>
      <c r="J5622" s="242"/>
    </row>
    <row r="5623" spans="1:10" customFormat="1" x14ac:dyDescent="0.25">
      <c r="A5623" s="545" t="s">
        <v>6916</v>
      </c>
      <c r="B5623" s="3"/>
      <c r="C5623" s="4" t="s">
        <v>6915</v>
      </c>
      <c r="D5623" s="3"/>
      <c r="E5623" s="3"/>
      <c r="G5623" s="537"/>
      <c r="H5623" s="10"/>
      <c r="I5623" s="538"/>
      <c r="J5623" s="242"/>
    </row>
    <row r="5624" spans="1:10" customFormat="1" x14ac:dyDescent="0.25">
      <c r="A5624" s="545"/>
      <c r="B5624" s="3"/>
      <c r="C5624" t="s">
        <v>6914</v>
      </c>
      <c r="D5624" s="3"/>
      <c r="E5624" s="3"/>
      <c r="G5624" s="537" t="s">
        <v>3</v>
      </c>
      <c r="H5624" s="10">
        <f>0.07*0.045*2*8.5*1.12</f>
        <v>5.9976000000000008E-2</v>
      </c>
      <c r="I5624" s="538"/>
      <c r="J5624" s="242"/>
    </row>
    <row r="5625" spans="1:10" customFormat="1" x14ac:dyDescent="0.25">
      <c r="A5625" s="545"/>
      <c r="B5625" s="3"/>
      <c r="D5625" s="3"/>
      <c r="E5625" s="3"/>
      <c r="G5625" s="537"/>
      <c r="H5625" s="10"/>
      <c r="I5625" s="538"/>
      <c r="J5625" s="242"/>
    </row>
    <row r="5626" spans="1:10" customFormat="1" x14ac:dyDescent="0.25">
      <c r="A5626" s="545" t="s">
        <v>6913</v>
      </c>
      <c r="B5626" s="3" t="s">
        <v>6912</v>
      </c>
      <c r="D5626" s="3"/>
      <c r="E5626" s="3"/>
      <c r="G5626" s="537"/>
      <c r="H5626" s="10"/>
      <c r="I5626" s="538"/>
      <c r="J5626" s="242"/>
    </row>
    <row r="5627" spans="1:10" customFormat="1" x14ac:dyDescent="0.25">
      <c r="A5627" s="545"/>
      <c r="B5627" s="8" t="s">
        <v>1054</v>
      </c>
      <c r="D5627" s="3"/>
      <c r="E5627" s="3"/>
      <c r="G5627" s="537" t="s">
        <v>3</v>
      </c>
      <c r="H5627" s="10">
        <f>(0.2+0.06*3+0.1)*0.06*1.3</f>
        <v>3.7440000000000001E-2</v>
      </c>
      <c r="I5627" s="538"/>
      <c r="J5627" s="242"/>
    </row>
    <row r="5628" spans="1:10" customFormat="1" x14ac:dyDescent="0.25">
      <c r="A5628" s="545"/>
      <c r="B5628" t="s">
        <v>485</v>
      </c>
      <c r="D5628" s="3"/>
      <c r="E5628" s="3"/>
      <c r="G5628" s="537" t="s">
        <v>3</v>
      </c>
      <c r="H5628" s="10">
        <f>1.5*H5627</f>
        <v>5.6160000000000002E-2</v>
      </c>
      <c r="I5628" s="538"/>
      <c r="J5628" s="242"/>
    </row>
    <row r="5629" spans="1:10" customFormat="1" x14ac:dyDescent="0.25">
      <c r="A5629" s="545"/>
      <c r="B5629" s="25" t="s">
        <v>8</v>
      </c>
      <c r="D5629" s="3"/>
      <c r="E5629" s="3"/>
      <c r="G5629" s="537" t="s">
        <v>3</v>
      </c>
      <c r="H5629" s="10">
        <v>2.5000000000000001E-2</v>
      </c>
      <c r="I5629" s="538"/>
      <c r="J5629" s="242"/>
    </row>
    <row r="5630" spans="1:10" customFormat="1" x14ac:dyDescent="0.25">
      <c r="A5630" s="545"/>
      <c r="B5630" s="25" t="s">
        <v>12</v>
      </c>
      <c r="D5630" s="3"/>
      <c r="E5630" s="3"/>
      <c r="G5630" s="537" t="s">
        <v>3</v>
      </c>
      <c r="H5630" s="10">
        <f>0.3*H5629</f>
        <v>7.4999999999999997E-3</v>
      </c>
      <c r="I5630" s="538"/>
      <c r="J5630" s="242"/>
    </row>
    <row r="5631" spans="1:10" customFormat="1" x14ac:dyDescent="0.25">
      <c r="A5631" s="545"/>
      <c r="B5631" s="25" t="s">
        <v>72</v>
      </c>
      <c r="D5631" s="3"/>
      <c r="E5631" s="3"/>
      <c r="G5631" s="537" t="s">
        <v>3</v>
      </c>
      <c r="H5631" s="10">
        <f>0.35*0.1*2*0.15*2*1.5</f>
        <v>3.15E-2</v>
      </c>
      <c r="I5631" s="538"/>
      <c r="J5631" s="10"/>
    </row>
    <row r="5632" spans="1:10" customFormat="1" x14ac:dyDescent="0.25">
      <c r="A5632" s="545"/>
      <c r="B5632" s="25" t="s">
        <v>11</v>
      </c>
      <c r="D5632" s="3"/>
      <c r="E5632" s="3"/>
      <c r="G5632" s="537" t="s">
        <v>3</v>
      </c>
      <c r="H5632" s="10">
        <f>0.3*H5631</f>
        <v>9.4500000000000001E-3</v>
      </c>
      <c r="I5632" s="538"/>
      <c r="J5632" s="242"/>
    </row>
    <row r="5633" spans="1:10" customFormat="1" x14ac:dyDescent="0.25">
      <c r="A5633" s="545"/>
      <c r="B5633" s="25" t="s">
        <v>13</v>
      </c>
      <c r="D5633" s="3"/>
      <c r="E5633" s="3"/>
      <c r="G5633" s="537" t="s">
        <v>3</v>
      </c>
      <c r="H5633" s="10">
        <v>0.02</v>
      </c>
      <c r="I5633" s="538"/>
      <c r="J5633" s="242"/>
    </row>
    <row r="5634" spans="1:10" customFormat="1" x14ac:dyDescent="0.25">
      <c r="A5634" s="545"/>
      <c r="B5634" s="25" t="s">
        <v>420</v>
      </c>
      <c r="D5634" s="3"/>
      <c r="E5634" s="3"/>
      <c r="G5634" s="537" t="s">
        <v>3</v>
      </c>
      <c r="H5634" s="10">
        <f>0.002</f>
        <v>2E-3</v>
      </c>
      <c r="I5634" s="538"/>
    </row>
    <row r="5635" spans="1:10" customFormat="1" x14ac:dyDescent="0.25">
      <c r="A5635" s="545" t="s">
        <v>6911</v>
      </c>
      <c r="C5635" s="3" t="s">
        <v>6910</v>
      </c>
      <c r="D5635" s="3"/>
      <c r="E5635" s="3"/>
      <c r="G5635" s="537"/>
      <c r="H5635" s="10"/>
      <c r="I5635" s="538"/>
    </row>
    <row r="5636" spans="1:10" customFormat="1" x14ac:dyDescent="0.25">
      <c r="A5636" s="545"/>
      <c r="C5636" s="8" t="s">
        <v>1054</v>
      </c>
      <c r="D5636" s="154"/>
      <c r="E5636" s="8"/>
      <c r="F5636" s="8"/>
      <c r="G5636" s="537" t="s">
        <v>3</v>
      </c>
      <c r="H5636" s="10">
        <f>0.15*0.065*1.3</f>
        <v>1.2675000000000001E-2</v>
      </c>
      <c r="I5636" s="538"/>
    </row>
    <row r="5637" spans="1:10" customFormat="1" x14ac:dyDescent="0.25">
      <c r="A5637" s="545"/>
      <c r="C5637" t="s">
        <v>485</v>
      </c>
      <c r="D5637" s="25"/>
      <c r="G5637" s="537" t="s">
        <v>3</v>
      </c>
      <c r="H5637" s="10">
        <f>1.5*H5636</f>
        <v>1.9012500000000002E-2</v>
      </c>
      <c r="I5637" s="538"/>
    </row>
    <row r="5638" spans="1:10" customFormat="1" x14ac:dyDescent="0.25">
      <c r="A5638" s="545" t="s">
        <v>6909</v>
      </c>
      <c r="D5638" s="3" t="s">
        <v>6908</v>
      </c>
      <c r="E5638" s="3"/>
      <c r="G5638" s="537"/>
      <c r="H5638" s="10"/>
      <c r="I5638" s="538"/>
    </row>
    <row r="5639" spans="1:10" customFormat="1" x14ac:dyDescent="0.25">
      <c r="A5639" s="545"/>
      <c r="D5639" s="25" t="s">
        <v>920</v>
      </c>
      <c r="E5639" s="3"/>
      <c r="G5639" s="537" t="s">
        <v>3</v>
      </c>
      <c r="H5639" s="10">
        <f>0.045*0.03*4*8*1.1</f>
        <v>4.752E-2</v>
      </c>
      <c r="I5639" s="538"/>
    </row>
    <row r="5640" spans="1:10" customFormat="1" x14ac:dyDescent="0.25">
      <c r="A5640" s="545" t="s">
        <v>6907</v>
      </c>
      <c r="D5640" s="3" t="s">
        <v>6906</v>
      </c>
      <c r="E5640" s="3"/>
      <c r="G5640" s="537"/>
      <c r="H5640" s="10"/>
      <c r="I5640" s="538"/>
    </row>
    <row r="5641" spans="1:10" customFormat="1" x14ac:dyDescent="0.25">
      <c r="A5641" s="545"/>
      <c r="D5641" t="s">
        <v>6905</v>
      </c>
      <c r="E5641" s="3"/>
      <c r="G5641" s="537" t="s">
        <v>3</v>
      </c>
      <c r="H5641" s="10">
        <f>0.085*0.06*5*8*1.105</f>
        <v>0.22542000000000001</v>
      </c>
      <c r="I5641" s="538"/>
    </row>
    <row r="5642" spans="1:10" customFormat="1" x14ac:dyDescent="0.25">
      <c r="A5642" s="545" t="s">
        <v>6904</v>
      </c>
      <c r="C5642" s="3" t="s">
        <v>6903</v>
      </c>
      <c r="D5642" s="3"/>
      <c r="E5642" s="3"/>
      <c r="G5642" s="537"/>
      <c r="H5642" s="10"/>
      <c r="I5642" s="538"/>
    </row>
    <row r="5643" spans="1:10" customFormat="1" x14ac:dyDescent="0.25">
      <c r="A5643" s="545"/>
      <c r="B5643" s="3"/>
      <c r="C5643" t="s">
        <v>847</v>
      </c>
      <c r="D5643" s="3"/>
      <c r="E5643" s="3"/>
      <c r="G5643" s="537" t="s">
        <v>3</v>
      </c>
      <c r="H5643" s="10">
        <f>0.07*0.065*3*8*1.1</f>
        <v>0.12012000000000002</v>
      </c>
      <c r="I5643" s="538"/>
      <c r="J5643">
        <f>27.39*5</f>
        <v>136.94999999999999</v>
      </c>
    </row>
    <row r="5644" spans="1:10" customFormat="1" x14ac:dyDescent="0.25">
      <c r="A5644" s="545" t="s">
        <v>6902</v>
      </c>
      <c r="C5644" s="3" t="s">
        <v>6901</v>
      </c>
      <c r="D5644" s="3"/>
      <c r="E5644" s="3"/>
      <c r="G5644" s="537"/>
      <c r="H5644" s="10"/>
      <c r="I5644" s="538"/>
    </row>
    <row r="5645" spans="1:10" customFormat="1" x14ac:dyDescent="0.25">
      <c r="A5645" s="545"/>
      <c r="B5645" s="3"/>
      <c r="C5645" t="s">
        <v>847</v>
      </c>
      <c r="D5645" s="3"/>
      <c r="E5645" s="3"/>
      <c r="G5645" s="537" t="s">
        <v>3</v>
      </c>
      <c r="H5645" s="10">
        <f>0.45*0.055*3*8*1.12</f>
        <v>0.6652800000000002</v>
      </c>
      <c r="I5645" s="538"/>
    </row>
    <row r="5646" spans="1:10" customFormat="1" x14ac:dyDescent="0.25">
      <c r="A5646" s="545"/>
      <c r="B5646" s="3"/>
      <c r="D5646" s="3"/>
      <c r="E5646" s="3"/>
      <c r="G5646" s="537"/>
      <c r="H5646" s="10"/>
      <c r="I5646" s="538"/>
    </row>
    <row r="5647" spans="1:10" customFormat="1" x14ac:dyDescent="0.25">
      <c r="A5647" s="545" t="s">
        <v>6900</v>
      </c>
      <c r="B5647" s="3" t="s">
        <v>6899</v>
      </c>
      <c r="D5647" s="3"/>
      <c r="E5647" s="3"/>
      <c r="G5647" s="537"/>
      <c r="H5647" s="10"/>
      <c r="I5647" s="538"/>
    </row>
    <row r="5648" spans="1:10" customFormat="1" x14ac:dyDescent="0.25">
      <c r="A5648" s="545"/>
      <c r="B5648" s="25" t="s">
        <v>6898</v>
      </c>
      <c r="D5648" s="3"/>
      <c r="E5648" s="3"/>
      <c r="G5648" s="537" t="s">
        <v>195</v>
      </c>
      <c r="H5648" s="10">
        <f>0.09</f>
        <v>0.09</v>
      </c>
      <c r="I5648" s="538"/>
    </row>
    <row r="5649" spans="1:10" customFormat="1" x14ac:dyDescent="0.25">
      <c r="A5649" s="545"/>
      <c r="C5649" s="3" t="s">
        <v>6897</v>
      </c>
      <c r="D5649" s="3"/>
      <c r="E5649" s="3"/>
      <c r="G5649" s="537"/>
      <c r="H5649" s="10"/>
      <c r="I5649" s="538"/>
    </row>
    <row r="5650" spans="1:10" customFormat="1" x14ac:dyDescent="0.25">
      <c r="A5650" s="545"/>
      <c r="C5650" s="8" t="s">
        <v>1054</v>
      </c>
      <c r="D5650" s="3"/>
      <c r="E5650" s="3"/>
      <c r="G5650" s="537" t="s">
        <v>3</v>
      </c>
      <c r="H5650" s="10">
        <f>0.025*3.14*0.05*1.3</f>
        <v>5.1025000000000011E-3</v>
      </c>
      <c r="I5650" s="538"/>
      <c r="J5650" s="242"/>
    </row>
    <row r="5651" spans="1:10" customFormat="1" x14ac:dyDescent="0.25">
      <c r="A5651" s="545"/>
      <c r="C5651" t="s">
        <v>485</v>
      </c>
      <c r="D5651" s="3"/>
      <c r="E5651" s="3"/>
      <c r="G5651" s="537" t="s">
        <v>3</v>
      </c>
      <c r="H5651" s="10">
        <f>1.5*H5650</f>
        <v>7.6537500000000017E-3</v>
      </c>
      <c r="I5651" s="538"/>
      <c r="J5651" s="242"/>
    </row>
    <row r="5652" spans="1:10" customFormat="1" x14ac:dyDescent="0.25">
      <c r="A5652" s="545"/>
      <c r="C5652" t="s">
        <v>876</v>
      </c>
      <c r="D5652" s="3"/>
      <c r="E5652" s="3"/>
      <c r="G5652" s="537" t="s">
        <v>3</v>
      </c>
      <c r="H5652" s="10">
        <f>0.025*3.14*0.08*1.3</f>
        <v>8.1640000000000011E-3</v>
      </c>
      <c r="I5652" s="538"/>
      <c r="J5652" s="242"/>
    </row>
    <row r="5653" spans="1:10" customFormat="1" ht="17.25" x14ac:dyDescent="0.25">
      <c r="A5653" s="545"/>
      <c r="C5653" t="s">
        <v>23</v>
      </c>
      <c r="D5653" s="3"/>
      <c r="E5653" s="3"/>
      <c r="G5653" s="158" t="s">
        <v>596</v>
      </c>
      <c r="H5653" s="10">
        <f>H5652*2</f>
        <v>1.6328000000000002E-2</v>
      </c>
      <c r="I5653" s="538"/>
      <c r="J5653" s="242"/>
    </row>
    <row r="5654" spans="1:10" customFormat="1" x14ac:dyDescent="0.25">
      <c r="A5654" s="545"/>
      <c r="C5654" t="s">
        <v>142</v>
      </c>
      <c r="D5654" s="3"/>
      <c r="E5654" s="3"/>
      <c r="G5654" s="537" t="s">
        <v>3</v>
      </c>
      <c r="H5654" s="10">
        <f>H5652/4</f>
        <v>2.0410000000000003E-3</v>
      </c>
      <c r="I5654" s="538"/>
      <c r="J5654" s="242"/>
    </row>
    <row r="5655" spans="1:10" customFormat="1" x14ac:dyDescent="0.25">
      <c r="A5655" s="545"/>
      <c r="D5655" s="3" t="s">
        <v>6896</v>
      </c>
      <c r="E5655" s="3"/>
      <c r="G5655" s="537"/>
      <c r="H5655" s="10"/>
      <c r="I5655" s="538"/>
      <c r="J5655" s="242"/>
    </row>
    <row r="5656" spans="1:10" customFormat="1" x14ac:dyDescent="0.25">
      <c r="A5656" s="545"/>
      <c r="D5656" s="25" t="s">
        <v>1460</v>
      </c>
      <c r="E5656" s="3"/>
      <c r="G5656" s="537" t="s">
        <v>3</v>
      </c>
      <c r="H5656" s="10">
        <v>7.0000000000000007E-2</v>
      </c>
      <c r="I5656" s="538"/>
      <c r="J5656" s="242"/>
    </row>
    <row r="5657" spans="1:10" customFormat="1" x14ac:dyDescent="0.25">
      <c r="A5657" s="545"/>
      <c r="D5657" s="3" t="s">
        <v>6895</v>
      </c>
      <c r="E5657" s="3"/>
      <c r="G5657" s="537"/>
      <c r="H5657" s="10"/>
      <c r="I5657" s="538"/>
      <c r="J5657" s="242"/>
    </row>
    <row r="5658" spans="1:10" customFormat="1" x14ac:dyDescent="0.25">
      <c r="A5658" s="545"/>
      <c r="D5658" t="s">
        <v>6894</v>
      </c>
      <c r="E5658" s="3"/>
      <c r="G5658" s="537" t="s">
        <v>3</v>
      </c>
      <c r="H5658" s="10">
        <v>0.4</v>
      </c>
      <c r="I5658" s="538"/>
      <c r="J5658" s="242" t="s">
        <v>6893</v>
      </c>
    </row>
    <row r="5659" spans="1:10" customFormat="1" x14ac:dyDescent="0.25">
      <c r="A5659" s="545"/>
      <c r="B5659" s="3" t="s">
        <v>6892</v>
      </c>
      <c r="D5659" s="3"/>
      <c r="E5659" s="3"/>
      <c r="G5659" s="537"/>
      <c r="H5659" s="10"/>
      <c r="I5659" s="538"/>
      <c r="J5659" s="242"/>
    </row>
    <row r="5660" spans="1:10" customFormat="1" x14ac:dyDescent="0.25">
      <c r="A5660" s="545"/>
      <c r="C5660" s="3" t="s">
        <v>6891</v>
      </c>
      <c r="D5660" s="3"/>
      <c r="E5660" s="3"/>
      <c r="G5660" s="537"/>
      <c r="H5660" s="10"/>
      <c r="I5660" s="538"/>
      <c r="J5660" s="242"/>
    </row>
    <row r="5661" spans="1:10" customFormat="1" x14ac:dyDescent="0.25">
      <c r="A5661" s="545"/>
      <c r="C5661" t="s">
        <v>6890</v>
      </c>
      <c r="D5661" s="3"/>
      <c r="E5661" s="3"/>
      <c r="G5661" s="537" t="s">
        <v>3</v>
      </c>
      <c r="H5661" s="10">
        <f>0.165*0.052*1.5*8*1.12</f>
        <v>0.11531520000000002</v>
      </c>
      <c r="I5661" s="538"/>
      <c r="J5661" s="242"/>
    </row>
    <row r="5662" spans="1:10" customFormat="1" x14ac:dyDescent="0.25">
      <c r="A5662" s="545"/>
      <c r="C5662" s="3" t="s">
        <v>6889</v>
      </c>
      <c r="D5662" s="3"/>
      <c r="E5662" s="3"/>
      <c r="G5662" s="537"/>
      <c r="H5662" s="10"/>
      <c r="I5662" s="538"/>
      <c r="J5662" s="242"/>
    </row>
    <row r="5663" spans="1:10" customFormat="1" x14ac:dyDescent="0.25">
      <c r="A5663" s="545"/>
      <c r="C5663" s="25" t="s">
        <v>6888</v>
      </c>
      <c r="D5663" s="3"/>
      <c r="E5663" s="3"/>
      <c r="G5663" s="537" t="s">
        <v>3</v>
      </c>
      <c r="H5663" s="10">
        <f>0.05*0.025*1*8*1.12</f>
        <v>1.1200000000000003E-2</v>
      </c>
      <c r="I5663" s="538"/>
      <c r="J5663" s="242"/>
    </row>
    <row r="5664" spans="1:10" customFormat="1" x14ac:dyDescent="0.25">
      <c r="A5664" s="545"/>
      <c r="B5664" s="3"/>
      <c r="D5664" s="3"/>
      <c r="E5664" s="3"/>
      <c r="G5664" s="537"/>
      <c r="H5664" s="10"/>
      <c r="I5664" s="538"/>
      <c r="J5664" s="242"/>
    </row>
    <row r="5665" spans="1:10" customFormat="1" x14ac:dyDescent="0.25">
      <c r="A5665" s="545" t="s">
        <v>6887</v>
      </c>
      <c r="B5665" s="3" t="s">
        <v>6886</v>
      </c>
      <c r="D5665" s="3"/>
      <c r="E5665" s="3"/>
      <c r="G5665" s="537"/>
      <c r="H5665" s="10"/>
      <c r="I5665" s="538"/>
      <c r="J5665" s="242"/>
    </row>
    <row r="5666" spans="1:10" customFormat="1" x14ac:dyDescent="0.25">
      <c r="A5666" s="545"/>
      <c r="B5666" t="s">
        <v>8</v>
      </c>
      <c r="D5666" s="3"/>
      <c r="E5666" s="3"/>
      <c r="G5666" s="537" t="s">
        <v>3</v>
      </c>
      <c r="H5666" s="10">
        <v>0.05</v>
      </c>
      <c r="I5666" s="538"/>
    </row>
    <row r="5667" spans="1:10" customFormat="1" x14ac:dyDescent="0.25">
      <c r="A5667" s="545"/>
      <c r="B5667" t="s">
        <v>12</v>
      </c>
      <c r="D5667" s="3"/>
      <c r="E5667" s="3"/>
      <c r="G5667" s="537" t="s">
        <v>3</v>
      </c>
      <c r="H5667" s="10">
        <f>0.3*H5666</f>
        <v>1.4999999999999999E-2</v>
      </c>
      <c r="I5667" s="538"/>
    </row>
    <row r="5668" spans="1:10" customFormat="1" x14ac:dyDescent="0.25">
      <c r="A5668" s="545"/>
      <c r="B5668" t="s">
        <v>72</v>
      </c>
      <c r="D5668" s="3"/>
      <c r="E5668" s="3"/>
      <c r="G5668" s="537" t="s">
        <v>3</v>
      </c>
      <c r="H5668" s="10">
        <f>0.2*0.15*2*0.18*2*2*1.39</f>
        <v>6.004799999999999E-2</v>
      </c>
      <c r="I5668" s="538"/>
    </row>
    <row r="5669" spans="1:10" customFormat="1" x14ac:dyDescent="0.25">
      <c r="A5669" s="545"/>
      <c r="B5669" t="s">
        <v>11</v>
      </c>
      <c r="D5669" s="3"/>
      <c r="E5669" s="3"/>
      <c r="G5669" s="537" t="s">
        <v>3</v>
      </c>
      <c r="H5669" s="10">
        <f>0.3*H5668</f>
        <v>1.8014399999999996E-2</v>
      </c>
      <c r="I5669" s="538"/>
    </row>
    <row r="5670" spans="1:10" customFormat="1" x14ac:dyDescent="0.25">
      <c r="A5670" s="545" t="s">
        <v>6885</v>
      </c>
      <c r="B5670" s="3"/>
      <c r="C5670" s="3" t="s">
        <v>6884</v>
      </c>
      <c r="D5670" s="3"/>
      <c r="E5670" s="3"/>
      <c r="G5670" s="537"/>
      <c r="H5670" s="10"/>
      <c r="I5670" s="538"/>
    </row>
    <row r="5671" spans="1:10" customFormat="1" x14ac:dyDescent="0.25">
      <c r="A5671" s="545" t="s">
        <v>6883</v>
      </c>
      <c r="B5671" s="3"/>
      <c r="D5671" s="3" t="s">
        <v>6882</v>
      </c>
      <c r="E5671" s="3"/>
      <c r="G5671" s="537"/>
      <c r="H5671" s="10"/>
      <c r="I5671" s="538"/>
    </row>
    <row r="5672" spans="1:10" customFormat="1" x14ac:dyDescent="0.25">
      <c r="A5672" s="545"/>
      <c r="B5672" s="3"/>
      <c r="D5672" s="25" t="s">
        <v>6877</v>
      </c>
      <c r="E5672" s="3"/>
      <c r="G5672" s="537" t="s">
        <v>3</v>
      </c>
      <c r="H5672" s="10">
        <f>0.2*0.15*5*8*1.14</f>
        <v>1.3679999999999999</v>
      </c>
      <c r="I5672" s="538"/>
    </row>
    <row r="5673" spans="1:10" customFormat="1" x14ac:dyDescent="0.25">
      <c r="A5673" s="545" t="s">
        <v>6881</v>
      </c>
      <c r="B5673" s="3"/>
      <c r="D5673" s="3" t="s">
        <v>6880</v>
      </c>
      <c r="E5673" s="3"/>
      <c r="G5673" s="537"/>
      <c r="H5673" s="10"/>
      <c r="I5673" s="538"/>
    </row>
    <row r="5674" spans="1:10" customFormat="1" x14ac:dyDescent="0.25">
      <c r="A5674" s="545"/>
      <c r="B5674" s="3"/>
      <c r="D5674" s="25" t="s">
        <v>6877</v>
      </c>
      <c r="E5674" s="3"/>
      <c r="G5674" s="537" t="s">
        <v>3</v>
      </c>
      <c r="H5674" s="10">
        <f>0.16*0.05*5*8*1.14</f>
        <v>0.36479999999999996</v>
      </c>
      <c r="I5674" s="538"/>
    </row>
    <row r="5675" spans="1:10" customFormat="1" x14ac:dyDescent="0.25">
      <c r="A5675" s="545" t="s">
        <v>6879</v>
      </c>
      <c r="B5675" s="3"/>
      <c r="D5675" s="3" t="s">
        <v>6878</v>
      </c>
      <c r="E5675" s="3"/>
      <c r="G5675" s="537"/>
      <c r="H5675" s="10"/>
      <c r="I5675" s="538"/>
    </row>
    <row r="5676" spans="1:10" customFormat="1" x14ac:dyDescent="0.25">
      <c r="A5676" s="545"/>
      <c r="B5676" s="3"/>
      <c r="D5676" s="25" t="s">
        <v>6877</v>
      </c>
      <c r="E5676" s="3"/>
      <c r="G5676" s="537" t="s">
        <v>3</v>
      </c>
      <c r="H5676" s="10">
        <f>0.052*0.03*5*8*1.14</f>
        <v>7.1135999999999991E-2</v>
      </c>
      <c r="I5676" s="538"/>
    </row>
    <row r="5677" spans="1:10" customFormat="1" x14ac:dyDescent="0.25">
      <c r="A5677" s="545"/>
      <c r="B5677" s="3"/>
      <c r="D5677" s="3"/>
      <c r="E5677" s="3"/>
      <c r="G5677" s="537"/>
      <c r="H5677" s="10"/>
      <c r="I5677" s="538"/>
    </row>
    <row r="5678" spans="1:10" customFormat="1" x14ac:dyDescent="0.25">
      <c r="A5678" s="545" t="s">
        <v>6876</v>
      </c>
      <c r="B5678" s="3" t="s">
        <v>6875</v>
      </c>
      <c r="D5678" s="3"/>
      <c r="E5678" s="3"/>
      <c r="G5678" s="537"/>
      <c r="H5678" s="10"/>
      <c r="I5678" s="538"/>
    </row>
    <row r="5679" spans="1:10" customFormat="1" x14ac:dyDescent="0.25">
      <c r="A5679" s="545"/>
      <c r="B5679" s="11" t="s">
        <v>6724</v>
      </c>
      <c r="D5679" s="3"/>
      <c r="E5679" s="3"/>
      <c r="G5679" s="603" t="s">
        <v>3</v>
      </c>
      <c r="H5679" s="10">
        <f>(1.5/0.09*0.03+0.24+0.025+0.1)*0.04*1.3</f>
        <v>4.4979999999999999E-2</v>
      </c>
      <c r="I5679" s="538"/>
    </row>
    <row r="5680" spans="1:10" customFormat="1" ht="17.25" x14ac:dyDescent="0.25">
      <c r="A5680" s="545"/>
      <c r="B5680" s="42" t="s">
        <v>6723</v>
      </c>
      <c r="D5680" s="3"/>
      <c r="E5680" s="3"/>
      <c r="G5680" s="603" t="s">
        <v>596</v>
      </c>
      <c r="H5680" s="10">
        <f>1.1*H5679</f>
        <v>4.9478000000000001E-2</v>
      </c>
      <c r="I5680" s="538"/>
    </row>
    <row r="5681" spans="1:10" customFormat="1" x14ac:dyDescent="0.25">
      <c r="A5681" s="545"/>
      <c r="B5681" s="25" t="s">
        <v>13</v>
      </c>
      <c r="D5681" s="3"/>
      <c r="E5681" s="3"/>
      <c r="G5681" s="603" t="s">
        <v>3</v>
      </c>
      <c r="H5681" s="10">
        <v>0.68</v>
      </c>
      <c r="I5681" s="538"/>
    </row>
    <row r="5682" spans="1:10" customFormat="1" x14ac:dyDescent="0.25">
      <c r="A5682" s="545"/>
      <c r="B5682" s="25" t="s">
        <v>114</v>
      </c>
      <c r="D5682" s="3"/>
      <c r="E5682" s="3"/>
      <c r="G5682" s="603" t="s">
        <v>3</v>
      </c>
      <c r="H5682" s="10">
        <v>0.2</v>
      </c>
      <c r="I5682" s="538"/>
      <c r="J5682" s="242"/>
    </row>
    <row r="5683" spans="1:10" customFormat="1" x14ac:dyDescent="0.25">
      <c r="A5683" s="545"/>
      <c r="B5683" s="25" t="s">
        <v>163</v>
      </c>
      <c r="D5683" s="3"/>
      <c r="E5683" s="3"/>
      <c r="G5683" s="603" t="s">
        <v>3</v>
      </c>
      <c r="H5683" s="10">
        <v>0.2</v>
      </c>
      <c r="I5683" s="538"/>
      <c r="J5683" s="242"/>
    </row>
    <row r="5684" spans="1:10" customFormat="1" x14ac:dyDescent="0.25">
      <c r="A5684" s="545"/>
      <c r="B5684" s="25" t="s">
        <v>164</v>
      </c>
      <c r="D5684" s="3"/>
      <c r="E5684" s="3"/>
      <c r="G5684" s="603" t="s">
        <v>3</v>
      </c>
      <c r="H5684" s="10">
        <f>0.3*(H5683+H5682)</f>
        <v>0.12</v>
      </c>
      <c r="I5684" s="538"/>
      <c r="J5684" s="242"/>
    </row>
    <row r="5685" spans="1:10" customFormat="1" x14ac:dyDescent="0.25">
      <c r="A5685" s="545"/>
      <c r="B5685" s="25" t="s">
        <v>72</v>
      </c>
      <c r="D5685" s="3"/>
      <c r="E5685" s="3"/>
      <c r="G5685" s="603" t="s">
        <v>3</v>
      </c>
      <c r="H5685" s="10">
        <v>0.4</v>
      </c>
      <c r="I5685" s="538"/>
      <c r="J5685" s="242"/>
    </row>
    <row r="5686" spans="1:10" customFormat="1" x14ac:dyDescent="0.25">
      <c r="A5686" s="545"/>
      <c r="B5686" s="25" t="s">
        <v>444</v>
      </c>
      <c r="D5686" s="3"/>
      <c r="E5686" s="3"/>
      <c r="G5686" s="603" t="s">
        <v>3</v>
      </c>
      <c r="H5686" s="10">
        <f>0.3*H5685</f>
        <v>0.12</v>
      </c>
      <c r="I5686" s="538"/>
      <c r="J5686" s="242"/>
    </row>
    <row r="5687" spans="1:10" customFormat="1" x14ac:dyDescent="0.25">
      <c r="A5687" s="545"/>
      <c r="B5687" t="s">
        <v>147</v>
      </c>
      <c r="D5687" s="3"/>
      <c r="E5687" s="3"/>
      <c r="G5687" s="603" t="s">
        <v>3</v>
      </c>
      <c r="H5687" s="10">
        <f>0.1</f>
        <v>0.1</v>
      </c>
      <c r="I5687" s="538"/>
      <c r="J5687" s="370" t="s">
        <v>6874</v>
      </c>
    </row>
    <row r="5688" spans="1:10" customFormat="1" x14ac:dyDescent="0.25">
      <c r="A5688" s="545" t="s">
        <v>6873</v>
      </c>
      <c r="B5688" s="3"/>
      <c r="C5688" s="3" t="s">
        <v>6872</v>
      </c>
      <c r="D5688" s="3"/>
      <c r="E5688" s="3"/>
      <c r="G5688" s="537"/>
      <c r="H5688" s="10"/>
      <c r="I5688" s="538"/>
      <c r="J5688" s="242"/>
    </row>
    <row r="5689" spans="1:10" customFormat="1" x14ac:dyDescent="0.25">
      <c r="A5689" s="545"/>
      <c r="B5689" s="3"/>
      <c r="C5689" s="11" t="s">
        <v>6724</v>
      </c>
      <c r="D5689" s="3"/>
      <c r="G5689" s="603" t="s">
        <v>3</v>
      </c>
      <c r="H5689" s="10">
        <f>4*0.04*1.25</f>
        <v>0.2</v>
      </c>
      <c r="I5689" s="538"/>
      <c r="J5689" s="242"/>
    </row>
    <row r="5690" spans="1:10" customFormat="1" ht="17.25" x14ac:dyDescent="0.25">
      <c r="A5690" s="545"/>
      <c r="B5690" s="3"/>
      <c r="C5690" s="42" t="s">
        <v>6723</v>
      </c>
      <c r="D5690" s="3"/>
      <c r="G5690" s="603" t="s">
        <v>596</v>
      </c>
      <c r="H5690" s="10">
        <f>1.1*H5689</f>
        <v>0.22000000000000003</v>
      </c>
      <c r="I5690" s="538"/>
      <c r="J5690" s="242"/>
    </row>
    <row r="5691" spans="1:10" customFormat="1" x14ac:dyDescent="0.25">
      <c r="A5691" s="545" t="s">
        <v>6871</v>
      </c>
      <c r="B5691" s="3"/>
      <c r="D5691" s="3" t="s">
        <v>6870</v>
      </c>
      <c r="E5691" s="3"/>
      <c r="G5691" s="537"/>
      <c r="H5691" s="10"/>
      <c r="I5691" s="538"/>
      <c r="J5691" s="242"/>
    </row>
    <row r="5692" spans="1:10" customFormat="1" x14ac:dyDescent="0.25">
      <c r="A5692" s="545"/>
      <c r="B5692" s="3"/>
      <c r="D5692" s="25" t="s">
        <v>213</v>
      </c>
      <c r="E5692" s="3"/>
      <c r="G5692" s="537" t="s">
        <v>3</v>
      </c>
      <c r="H5692" s="10">
        <f>0.795*0.32*3*2.7*1.1</f>
        <v>2.2667040000000003</v>
      </c>
      <c r="I5692" s="538"/>
      <c r="J5692" s="242"/>
    </row>
    <row r="5693" spans="1:10" customFormat="1" x14ac:dyDescent="0.25">
      <c r="A5693" s="545" t="s">
        <v>6869</v>
      </c>
      <c r="B5693" s="3"/>
      <c r="D5693" s="3" t="s">
        <v>6868</v>
      </c>
      <c r="E5693" s="3"/>
      <c r="G5693" s="537"/>
      <c r="H5693" s="10"/>
      <c r="I5693" s="538"/>
      <c r="J5693" s="242"/>
    </row>
    <row r="5694" spans="1:10" customFormat="1" x14ac:dyDescent="0.25">
      <c r="A5694" s="545"/>
      <c r="B5694" s="3"/>
      <c r="D5694" s="25" t="s">
        <v>213</v>
      </c>
      <c r="E5694" s="3"/>
      <c r="G5694" s="537" t="s">
        <v>3</v>
      </c>
      <c r="H5694" s="10">
        <f>0.512*0.265*3*2.7*1.11</f>
        <v>1.2198988800000004</v>
      </c>
      <c r="I5694" s="538"/>
      <c r="J5694" s="242"/>
    </row>
    <row r="5695" spans="1:10" customFormat="1" x14ac:dyDescent="0.25">
      <c r="A5695" s="545" t="s">
        <v>6867</v>
      </c>
      <c r="B5695" s="3"/>
      <c r="D5695" s="3" t="s">
        <v>6866</v>
      </c>
      <c r="E5695" s="3"/>
      <c r="G5695" s="537"/>
      <c r="H5695" s="10"/>
      <c r="I5695" s="538"/>
      <c r="J5695" s="242"/>
    </row>
    <row r="5696" spans="1:10" customFormat="1" x14ac:dyDescent="0.25">
      <c r="A5696" s="545"/>
      <c r="B5696" s="3"/>
      <c r="D5696" s="25" t="s">
        <v>213</v>
      </c>
      <c r="E5696" s="3"/>
      <c r="G5696" s="537" t="s">
        <v>3</v>
      </c>
      <c r="H5696" s="10">
        <f>0.512*0.2*3*2.7*1.11</f>
        <v>0.92067840000000023</v>
      </c>
      <c r="I5696" s="538"/>
      <c r="J5696" s="242"/>
    </row>
    <row r="5697" spans="1:10" customFormat="1" x14ac:dyDescent="0.25">
      <c r="A5697" s="545" t="s">
        <v>6865</v>
      </c>
      <c r="B5697" s="3"/>
      <c r="D5697" s="3" t="s">
        <v>6864</v>
      </c>
      <c r="E5697" s="3"/>
      <c r="G5697" s="537"/>
      <c r="H5697" s="10"/>
      <c r="I5697" s="538"/>
      <c r="J5697" s="242"/>
    </row>
    <row r="5698" spans="1:10" customFormat="1" x14ac:dyDescent="0.25">
      <c r="A5698" s="545"/>
      <c r="B5698" s="3"/>
      <c r="D5698" s="25" t="s">
        <v>213</v>
      </c>
      <c r="E5698" s="3"/>
      <c r="G5698" s="537" t="s">
        <v>3</v>
      </c>
      <c r="H5698" s="10">
        <f>0.295*0.2*3*2.7*1.11</f>
        <v>0.53046900000000008</v>
      </c>
      <c r="I5698" s="538"/>
    </row>
    <row r="5699" spans="1:10" customFormat="1" x14ac:dyDescent="0.25">
      <c r="A5699" s="545" t="s">
        <v>6863</v>
      </c>
      <c r="B5699" s="3"/>
      <c r="D5699" s="3" t="s">
        <v>6862</v>
      </c>
      <c r="E5699" s="3"/>
      <c r="G5699" s="537"/>
      <c r="H5699" s="10"/>
      <c r="I5699" s="538"/>
    </row>
    <row r="5700" spans="1:10" customFormat="1" x14ac:dyDescent="0.25">
      <c r="A5700" s="545"/>
      <c r="B5700" s="3"/>
      <c r="D5700" s="25" t="s">
        <v>213</v>
      </c>
      <c r="E5700" s="3"/>
      <c r="G5700" s="537" t="s">
        <v>3</v>
      </c>
      <c r="H5700" s="10">
        <f>0.26*0.48*3*2.7*1.12</f>
        <v>1.1321856000000001</v>
      </c>
      <c r="I5700" s="538"/>
    </row>
    <row r="5701" spans="1:10" customFormat="1" x14ac:dyDescent="0.25">
      <c r="A5701" s="545" t="s">
        <v>6861</v>
      </c>
      <c r="B5701" s="3"/>
      <c r="D5701" s="3" t="s">
        <v>6860</v>
      </c>
      <c r="E5701" s="3"/>
      <c r="G5701" s="537"/>
      <c r="H5701" s="10"/>
      <c r="I5701" s="538"/>
    </row>
    <row r="5702" spans="1:10" customFormat="1" x14ac:dyDescent="0.25">
      <c r="A5702" s="545"/>
      <c r="B5702" s="3"/>
      <c r="D5702" s="25" t="s">
        <v>213</v>
      </c>
      <c r="E5702" s="3"/>
      <c r="G5702" s="537" t="s">
        <v>3</v>
      </c>
      <c r="H5702" s="10">
        <f>0.3*0.165*3*2.7*1.11</f>
        <v>0.44505450000000013</v>
      </c>
      <c r="I5702" s="538"/>
    </row>
    <row r="5703" spans="1:10" customFormat="1" x14ac:dyDescent="0.25">
      <c r="A5703" s="545" t="s">
        <v>6859</v>
      </c>
      <c r="B5703" s="3"/>
      <c r="D5703" s="3" t="s">
        <v>6858</v>
      </c>
      <c r="E5703" s="3"/>
      <c r="G5703" s="537"/>
      <c r="H5703" s="10"/>
      <c r="I5703" s="538"/>
    </row>
    <row r="5704" spans="1:10" customFormat="1" x14ac:dyDescent="0.25">
      <c r="A5704" s="545"/>
      <c r="B5704" s="3"/>
      <c r="D5704" s="25" t="s">
        <v>213</v>
      </c>
      <c r="E5704" s="3"/>
      <c r="G5704" s="537" t="s">
        <v>3</v>
      </c>
      <c r="H5704" s="10">
        <f>0.797*0.495*3*2.7*1.11</f>
        <v>3.5470843650000003</v>
      </c>
      <c r="I5704" s="538"/>
    </row>
    <row r="5705" spans="1:10" customFormat="1" x14ac:dyDescent="0.25">
      <c r="A5705" s="545" t="s">
        <v>6857</v>
      </c>
      <c r="B5705" s="3"/>
      <c r="D5705" s="3" t="s">
        <v>6856</v>
      </c>
      <c r="E5705" s="3"/>
      <c r="G5705" s="537"/>
      <c r="H5705" s="10"/>
      <c r="I5705" s="538"/>
    </row>
    <row r="5706" spans="1:10" customFormat="1" x14ac:dyDescent="0.25">
      <c r="A5706" s="545"/>
      <c r="B5706" s="3"/>
      <c r="D5706" s="25" t="s">
        <v>213</v>
      </c>
      <c r="E5706" s="3"/>
      <c r="G5706" s="537" t="s">
        <v>3</v>
      </c>
      <c r="H5706" s="10">
        <f>0.55*0.794*3*2.7*1.11</f>
        <v>3.9263697000000009</v>
      </c>
      <c r="I5706" s="538"/>
    </row>
    <row r="5707" spans="1:10" customFormat="1" x14ac:dyDescent="0.25">
      <c r="A5707" s="545" t="s">
        <v>6855</v>
      </c>
      <c r="B5707" s="3"/>
      <c r="C5707" s="3" t="s">
        <v>6854</v>
      </c>
      <c r="D5707" s="3"/>
      <c r="E5707" s="3"/>
      <c r="G5707" s="537"/>
      <c r="H5707" s="10"/>
      <c r="I5707" s="538"/>
    </row>
    <row r="5708" spans="1:10" customFormat="1" x14ac:dyDescent="0.25">
      <c r="A5708" s="545"/>
      <c r="B5708" s="3"/>
      <c r="C5708" s="25" t="s">
        <v>37</v>
      </c>
      <c r="D5708" s="3"/>
      <c r="E5708" s="3"/>
      <c r="G5708" s="537" t="s">
        <v>3</v>
      </c>
      <c r="H5708" s="10">
        <f>0.86*0.07*0.2*1.65</f>
        <v>1.9866000000000002E-2</v>
      </c>
      <c r="I5708" s="538"/>
    </row>
    <row r="5709" spans="1:10" customFormat="1" x14ac:dyDescent="0.25">
      <c r="A5709" s="545"/>
      <c r="B5709" s="3"/>
      <c r="C5709" s="11" t="s">
        <v>6724</v>
      </c>
      <c r="D5709" s="3"/>
      <c r="E5709" s="3"/>
      <c r="G5709" s="537" t="s">
        <v>3</v>
      </c>
      <c r="H5709" s="10">
        <f>(0.245*2+0.225*2+0.4*2+1.9/0.18*0.03+0.03*8)*0.04*1.31</f>
        <v>0.12034533333333336</v>
      </c>
      <c r="I5709" s="538"/>
    </row>
    <row r="5710" spans="1:10" customFormat="1" x14ac:dyDescent="0.25">
      <c r="A5710" s="545"/>
      <c r="B5710" s="3"/>
      <c r="C5710" s="42" t="s">
        <v>6723</v>
      </c>
      <c r="D5710" s="3"/>
      <c r="E5710" s="3"/>
      <c r="G5710" s="537" t="s">
        <v>3</v>
      </c>
      <c r="H5710" s="10">
        <f>1.1*H5709</f>
        <v>0.13237986666666671</v>
      </c>
      <c r="I5710" s="538"/>
    </row>
    <row r="5711" spans="1:10" customFormat="1" x14ac:dyDescent="0.25">
      <c r="A5711" s="545" t="s">
        <v>6853</v>
      </c>
      <c r="B5711" s="3"/>
      <c r="D5711" s="3" t="s">
        <v>6852</v>
      </c>
      <c r="E5711" s="3"/>
      <c r="G5711" s="537"/>
      <c r="H5711" s="10"/>
      <c r="I5711" s="538"/>
    </row>
    <row r="5712" spans="1:10" customFormat="1" x14ac:dyDescent="0.25">
      <c r="A5712" s="545"/>
      <c r="B5712" s="3"/>
      <c r="D5712" s="25" t="s">
        <v>213</v>
      </c>
      <c r="E5712" s="3"/>
      <c r="G5712" s="537" t="s">
        <v>3</v>
      </c>
      <c r="H5712" s="10">
        <f>0.87*0.285*3*2.7*1.1105</f>
        <v>2.2303226475</v>
      </c>
      <c r="I5712" s="538"/>
    </row>
    <row r="5713" spans="1:9" customFormat="1" x14ac:dyDescent="0.25">
      <c r="A5713" s="545"/>
      <c r="B5713" s="3"/>
      <c r="D5713" s="11" t="s">
        <v>6724</v>
      </c>
      <c r="E5713" s="3"/>
      <c r="G5713" s="603" t="s">
        <v>3</v>
      </c>
      <c r="H5713" s="10">
        <f>0.08*0.05*1.3</f>
        <v>5.2000000000000006E-3</v>
      </c>
      <c r="I5713" s="538"/>
    </row>
    <row r="5714" spans="1:9" customFormat="1" ht="17.25" x14ac:dyDescent="0.25">
      <c r="A5714" s="545"/>
      <c r="B5714" s="3"/>
      <c r="D5714" s="42" t="s">
        <v>6723</v>
      </c>
      <c r="E5714" s="3"/>
      <c r="G5714" s="603" t="s">
        <v>596</v>
      </c>
      <c r="H5714" s="10">
        <f>1.1*H5713</f>
        <v>5.7200000000000011E-3</v>
      </c>
      <c r="I5714" s="538"/>
    </row>
    <row r="5715" spans="1:9" customFormat="1" x14ac:dyDescent="0.25">
      <c r="A5715" s="545" t="s">
        <v>6851</v>
      </c>
      <c r="B5715" s="3"/>
      <c r="D5715" s="3" t="s">
        <v>6850</v>
      </c>
      <c r="E5715" s="3"/>
      <c r="G5715" s="537"/>
      <c r="H5715" s="10"/>
      <c r="I5715" s="538"/>
    </row>
    <row r="5716" spans="1:9" customFormat="1" x14ac:dyDescent="0.25">
      <c r="A5716" s="545"/>
      <c r="B5716" s="3"/>
      <c r="D5716" t="s">
        <v>1138</v>
      </c>
      <c r="E5716" s="3"/>
      <c r="G5716" s="537" t="s">
        <v>3</v>
      </c>
      <c r="H5716" s="10">
        <f>0.245*0.022*4*2.7*1.12</f>
        <v>6.5197440000000009E-2</v>
      </c>
      <c r="I5716" s="538"/>
    </row>
    <row r="5717" spans="1:9" customFormat="1" x14ac:dyDescent="0.25">
      <c r="A5717" s="545" t="s">
        <v>6849</v>
      </c>
      <c r="B5717" s="3"/>
      <c r="D5717" s="3" t="s">
        <v>6848</v>
      </c>
      <c r="E5717" s="3"/>
      <c r="G5717" s="537"/>
      <c r="H5717" s="10"/>
      <c r="I5717" s="538"/>
    </row>
    <row r="5718" spans="1:9" customFormat="1" x14ac:dyDescent="0.25">
      <c r="A5718" s="545"/>
      <c r="B5718" s="3"/>
      <c r="D5718" t="s">
        <v>1138</v>
      </c>
      <c r="E5718" s="3"/>
      <c r="G5718" s="537" t="s">
        <v>3</v>
      </c>
      <c r="H5718" s="10">
        <f>0.225*0.022*4*2.7*1.12</f>
        <v>5.9875200000000003E-2</v>
      </c>
      <c r="I5718" s="538"/>
    </row>
    <row r="5719" spans="1:9" customFormat="1" x14ac:dyDescent="0.25">
      <c r="A5719" s="545" t="s">
        <v>6847</v>
      </c>
      <c r="B5719" s="3"/>
      <c r="D5719" s="3" t="s">
        <v>6846</v>
      </c>
      <c r="E5719" s="3"/>
      <c r="G5719" s="537"/>
      <c r="H5719" s="10"/>
      <c r="I5719" s="538"/>
    </row>
    <row r="5720" spans="1:9" customFormat="1" x14ac:dyDescent="0.25">
      <c r="A5720" s="545"/>
      <c r="B5720" s="3"/>
      <c r="D5720" t="s">
        <v>1138</v>
      </c>
      <c r="E5720" s="3"/>
      <c r="G5720" s="537" t="s">
        <v>3</v>
      </c>
      <c r="H5720" s="10">
        <f>0.21*0.022*4*2.7*1.12</f>
        <v>5.5883520000000006E-2</v>
      </c>
      <c r="I5720" s="538"/>
    </row>
    <row r="5721" spans="1:9" customFormat="1" x14ac:dyDescent="0.25">
      <c r="A5721" s="545" t="s">
        <v>6845</v>
      </c>
      <c r="B5721" s="3"/>
      <c r="D5721" s="3" t="s">
        <v>6844</v>
      </c>
      <c r="E5721" s="3"/>
      <c r="G5721" s="537"/>
      <c r="H5721" s="10"/>
      <c r="I5721" s="538"/>
    </row>
    <row r="5722" spans="1:9" customFormat="1" x14ac:dyDescent="0.25">
      <c r="A5722" s="545"/>
      <c r="B5722" s="3"/>
      <c r="D5722" t="s">
        <v>1138</v>
      </c>
      <c r="E5722" s="3"/>
      <c r="G5722" s="537" t="s">
        <v>3</v>
      </c>
      <c r="H5722" s="10">
        <f>0.19*0.022*4*2.7*1.12</f>
        <v>5.056128E-2</v>
      </c>
      <c r="I5722" s="538"/>
    </row>
    <row r="5723" spans="1:9" customFormat="1" x14ac:dyDescent="0.25">
      <c r="A5723" s="545" t="s">
        <v>6843</v>
      </c>
      <c r="B5723" s="3"/>
      <c r="D5723" s="3" t="s">
        <v>6842</v>
      </c>
      <c r="E5723" s="3"/>
      <c r="G5723" s="537"/>
      <c r="H5723" s="10"/>
      <c r="I5723" s="538"/>
    </row>
    <row r="5724" spans="1:9" customFormat="1" x14ac:dyDescent="0.25">
      <c r="A5724" s="545"/>
      <c r="B5724" s="3"/>
      <c r="D5724" s="25" t="s">
        <v>213</v>
      </c>
      <c r="E5724" s="3"/>
      <c r="G5724" s="537" t="s">
        <v>3</v>
      </c>
      <c r="H5724" s="10">
        <f>0.715*0.02*3*2.7*1.12</f>
        <v>0.12972960000000003</v>
      </c>
      <c r="I5724" s="538"/>
    </row>
    <row r="5725" spans="1:9" customFormat="1" x14ac:dyDescent="0.25">
      <c r="A5725" s="545" t="s">
        <v>6841</v>
      </c>
      <c r="B5725" s="3"/>
      <c r="D5725" s="3" t="s">
        <v>6840</v>
      </c>
      <c r="E5725" s="3"/>
      <c r="G5725" s="537"/>
      <c r="H5725" s="10"/>
      <c r="I5725" s="538"/>
    </row>
    <row r="5726" spans="1:9" customFormat="1" x14ac:dyDescent="0.25">
      <c r="A5726" s="545"/>
      <c r="B5726" s="3"/>
      <c r="D5726" s="25" t="s">
        <v>213</v>
      </c>
      <c r="E5726" s="3"/>
      <c r="G5726" s="537" t="s">
        <v>3</v>
      </c>
      <c r="H5726" s="10">
        <f>0.175*0.02*3*2.7*1.11</f>
        <v>3.1468500000000003E-2</v>
      </c>
      <c r="I5726" s="538"/>
    </row>
    <row r="5727" spans="1:9" customFormat="1" x14ac:dyDescent="0.25">
      <c r="A5727" s="545" t="s">
        <v>6839</v>
      </c>
      <c r="B5727" s="3"/>
      <c r="D5727" s="3" t="s">
        <v>6838</v>
      </c>
      <c r="E5727" s="3"/>
      <c r="G5727" s="537"/>
      <c r="H5727" s="10"/>
      <c r="I5727" s="538"/>
    </row>
    <row r="5728" spans="1:9" customFormat="1" x14ac:dyDescent="0.25">
      <c r="A5728" s="545"/>
      <c r="B5728" s="3"/>
      <c r="D5728" s="25" t="s">
        <v>213</v>
      </c>
      <c r="E5728" s="3"/>
      <c r="G5728" s="537" t="s">
        <v>3</v>
      </c>
      <c r="H5728" s="10">
        <f>0.235*0.02*3*2.7*1.12</f>
        <v>4.2638400000000014E-2</v>
      </c>
      <c r="I5728" s="538"/>
    </row>
    <row r="5729" spans="1:9" customFormat="1" x14ac:dyDescent="0.25">
      <c r="A5729" s="545" t="s">
        <v>6837</v>
      </c>
      <c r="B5729" s="3"/>
      <c r="C5729" s="3" t="s">
        <v>6836</v>
      </c>
      <c r="D5729" s="3"/>
      <c r="E5729" s="3"/>
      <c r="G5729" s="537"/>
      <c r="H5729" s="10"/>
      <c r="I5729" s="538"/>
    </row>
    <row r="5730" spans="1:9" customFormat="1" x14ac:dyDescent="0.25">
      <c r="A5730" s="545"/>
      <c r="B5730" s="3"/>
      <c r="C5730" s="25" t="s">
        <v>37</v>
      </c>
      <c r="D5730" s="3"/>
      <c r="E5730" s="3"/>
      <c r="G5730" s="537" t="s">
        <v>3</v>
      </c>
      <c r="H5730" s="10">
        <f>(0.3*2*0.02+0.18*2*0.02)*0.2*1.5</f>
        <v>5.7600000000000012E-3</v>
      </c>
      <c r="I5730" s="538"/>
    </row>
    <row r="5731" spans="1:9" customFormat="1" x14ac:dyDescent="0.25">
      <c r="A5731" s="545" t="s">
        <v>6835</v>
      </c>
      <c r="B5731" s="3"/>
      <c r="D5731" s="3" t="s">
        <v>6834</v>
      </c>
      <c r="E5731" s="3"/>
      <c r="G5731" s="537"/>
      <c r="H5731" s="10"/>
      <c r="I5731" s="538"/>
    </row>
    <row r="5732" spans="1:9" customFormat="1" x14ac:dyDescent="0.25">
      <c r="A5732" s="545"/>
      <c r="B5732" s="3"/>
      <c r="D5732" s="25" t="s">
        <v>213</v>
      </c>
      <c r="E5732" s="3"/>
      <c r="G5732" s="537" t="s">
        <v>3</v>
      </c>
      <c r="H5732" s="10">
        <f>0.3*0.22*3*2.7*1.123</f>
        <v>0.60035580000000011</v>
      </c>
      <c r="I5732" s="538"/>
    </row>
    <row r="5733" spans="1:9" customFormat="1" x14ac:dyDescent="0.25">
      <c r="A5733" s="545" t="s">
        <v>6833</v>
      </c>
      <c r="B5733" s="3"/>
      <c r="C5733" s="3" t="s">
        <v>6832</v>
      </c>
      <c r="D5733" s="3"/>
      <c r="E5733" s="3"/>
      <c r="G5733" s="537"/>
      <c r="H5733" s="10"/>
      <c r="I5733" s="538"/>
    </row>
    <row r="5734" spans="1:9" customFormat="1" x14ac:dyDescent="0.25">
      <c r="A5734" s="545" t="s">
        <v>6831</v>
      </c>
      <c r="B5734" s="3"/>
      <c r="D5734" s="3" t="s">
        <v>6830</v>
      </c>
      <c r="E5734" s="3"/>
      <c r="G5734" s="537"/>
      <c r="H5734" s="10"/>
      <c r="I5734" s="538"/>
    </row>
    <row r="5735" spans="1:9" customFormat="1" x14ac:dyDescent="0.25">
      <c r="A5735" s="545"/>
      <c r="B5735" s="3"/>
      <c r="D5735" s="25" t="s">
        <v>6829</v>
      </c>
      <c r="E5735" s="3"/>
      <c r="G5735" s="537" t="s">
        <v>3</v>
      </c>
      <c r="H5735" s="10">
        <v>5.0000000000000001E-3</v>
      </c>
      <c r="I5735" s="538"/>
    </row>
    <row r="5736" spans="1:9" customFormat="1" x14ac:dyDescent="0.25">
      <c r="A5736" s="545" t="s">
        <v>6828</v>
      </c>
      <c r="B5736" s="3"/>
      <c r="D5736" s="3" t="s">
        <v>6827</v>
      </c>
      <c r="E5736" s="3"/>
      <c r="G5736" s="537"/>
      <c r="H5736" s="10"/>
      <c r="I5736" s="538"/>
    </row>
    <row r="5737" spans="1:9" customFormat="1" x14ac:dyDescent="0.25">
      <c r="A5737" s="545"/>
      <c r="B5737" s="3"/>
      <c r="D5737" s="25" t="s">
        <v>6826</v>
      </c>
      <c r="E5737" s="3"/>
      <c r="G5737" s="537" t="s">
        <v>3</v>
      </c>
      <c r="H5737" s="10">
        <v>2.1000000000000001E-2</v>
      </c>
      <c r="I5737" s="538"/>
    </row>
    <row r="5738" spans="1:9" customFormat="1" x14ac:dyDescent="0.25">
      <c r="A5738" s="545" t="s">
        <v>6825</v>
      </c>
      <c r="B5738" s="3"/>
      <c r="C5738" s="3" t="s">
        <v>6824</v>
      </c>
      <c r="D5738" s="3"/>
      <c r="E5738" s="3"/>
      <c r="G5738" s="537"/>
      <c r="H5738" s="10"/>
      <c r="I5738" s="538"/>
    </row>
    <row r="5739" spans="1:9" customFormat="1" x14ac:dyDescent="0.25">
      <c r="A5739" s="545"/>
      <c r="B5739" s="3"/>
      <c r="C5739" s="25" t="s">
        <v>213</v>
      </c>
      <c r="D5739" s="3"/>
      <c r="E5739" s="3"/>
      <c r="G5739" s="537" t="s">
        <v>3</v>
      </c>
      <c r="H5739" s="10">
        <f>0.1*0.77*3*2.7</f>
        <v>0.62370000000000014</v>
      </c>
      <c r="I5739" s="538"/>
    </row>
    <row r="5740" spans="1:9" customFormat="1" x14ac:dyDescent="0.25">
      <c r="A5740" s="545" t="s">
        <v>6823</v>
      </c>
      <c r="B5740" s="3"/>
      <c r="C5740" s="3" t="s">
        <v>6822</v>
      </c>
      <c r="D5740" s="3"/>
      <c r="E5740" s="3"/>
      <c r="G5740" s="537"/>
      <c r="H5740" s="10"/>
      <c r="I5740" s="538"/>
    </row>
    <row r="5741" spans="1:9" customFormat="1" x14ac:dyDescent="0.25">
      <c r="A5741" s="545"/>
      <c r="B5741" s="3"/>
      <c r="C5741" s="25" t="s">
        <v>213</v>
      </c>
      <c r="D5741" s="3"/>
      <c r="E5741" s="3"/>
      <c r="G5741" s="537" t="s">
        <v>3</v>
      </c>
      <c r="H5741" s="10">
        <f>0.08*0.025*3*2.7*1.11</f>
        <v>1.7982000000000005E-2</v>
      </c>
      <c r="I5741" s="538"/>
    </row>
    <row r="5742" spans="1:9" customFormat="1" x14ac:dyDescent="0.25">
      <c r="A5742" s="545"/>
      <c r="B5742" s="3"/>
      <c r="C5742" s="11"/>
      <c r="D5742" s="3"/>
      <c r="F5742" s="603"/>
      <c r="G5742" s="537"/>
      <c r="H5742" s="10"/>
      <c r="I5742" s="538"/>
    </row>
    <row r="5743" spans="1:9" customFormat="1" x14ac:dyDescent="0.25">
      <c r="A5743" s="545" t="s">
        <v>6821</v>
      </c>
      <c r="B5743" s="3" t="s">
        <v>6820</v>
      </c>
      <c r="C5743" s="11"/>
      <c r="D5743" s="3"/>
      <c r="F5743" s="603"/>
      <c r="G5743" s="537"/>
      <c r="H5743" s="10"/>
      <c r="I5743" s="538"/>
    </row>
    <row r="5744" spans="1:9" customFormat="1" x14ac:dyDescent="0.25">
      <c r="A5744" s="545"/>
      <c r="B5744" s="11" t="s">
        <v>6724</v>
      </c>
      <c r="D5744" s="3"/>
      <c r="E5744" s="3"/>
      <c r="G5744" s="603" t="s">
        <v>3</v>
      </c>
      <c r="H5744" s="10">
        <f>0.9*0.04*1.3</f>
        <v>4.6800000000000008E-2</v>
      </c>
      <c r="I5744" s="538"/>
    </row>
    <row r="5745" spans="1:9" customFormat="1" ht="17.25" x14ac:dyDescent="0.25">
      <c r="A5745" s="545"/>
      <c r="B5745" s="42" t="s">
        <v>6723</v>
      </c>
      <c r="D5745" s="3"/>
      <c r="E5745" s="3"/>
      <c r="G5745" s="603" t="s">
        <v>596</v>
      </c>
      <c r="H5745" s="10">
        <f>1.1*H5744</f>
        <v>5.1480000000000012E-2</v>
      </c>
      <c r="I5745" s="538"/>
    </row>
    <row r="5746" spans="1:9" customFormat="1" x14ac:dyDescent="0.25">
      <c r="A5746" s="545" t="s">
        <v>6819</v>
      </c>
      <c r="B5746" s="3"/>
      <c r="C5746" s="3" t="s">
        <v>6818</v>
      </c>
      <c r="D5746" s="3"/>
      <c r="E5746" s="3"/>
      <c r="G5746" s="537"/>
      <c r="H5746" s="10"/>
      <c r="I5746" s="538"/>
    </row>
    <row r="5747" spans="1:9" customFormat="1" x14ac:dyDescent="0.25">
      <c r="A5747" s="545"/>
      <c r="B5747" s="3"/>
      <c r="C5747" t="s">
        <v>6817</v>
      </c>
      <c r="D5747" s="3"/>
      <c r="E5747" s="3"/>
      <c r="G5747" s="537" t="s">
        <v>3</v>
      </c>
      <c r="H5747" s="10">
        <f>0.41*0.1*1*2.7*1.1</f>
        <v>0.12177000000000002</v>
      </c>
      <c r="I5747" s="538"/>
    </row>
    <row r="5748" spans="1:9" customFormat="1" x14ac:dyDescent="0.25">
      <c r="A5748" s="545"/>
      <c r="B5748" s="3"/>
      <c r="D5748" s="3"/>
      <c r="E5748" s="3"/>
      <c r="G5748" s="537"/>
      <c r="H5748" s="10"/>
      <c r="I5748" s="538"/>
    </row>
    <row r="5749" spans="1:9" customFormat="1" x14ac:dyDescent="0.25">
      <c r="A5749" s="545" t="s">
        <v>6816</v>
      </c>
      <c r="B5749" s="3" t="s">
        <v>6815</v>
      </c>
      <c r="D5749" s="3"/>
      <c r="E5749" s="3"/>
      <c r="G5749" s="537"/>
      <c r="H5749" s="10"/>
      <c r="I5749" s="538"/>
    </row>
    <row r="5750" spans="1:9" customFormat="1" x14ac:dyDescent="0.25">
      <c r="A5750" s="545"/>
      <c r="B5750" s="25" t="s">
        <v>8</v>
      </c>
      <c r="D5750" s="3"/>
      <c r="E5750" s="3"/>
      <c r="G5750" s="537" t="s">
        <v>3</v>
      </c>
      <c r="H5750" s="10">
        <v>0.4</v>
      </c>
      <c r="I5750" s="538"/>
    </row>
    <row r="5751" spans="1:9" customFormat="1" x14ac:dyDescent="0.25">
      <c r="A5751" s="545"/>
      <c r="B5751" s="25" t="s">
        <v>36</v>
      </c>
      <c r="D5751" s="3"/>
      <c r="E5751" s="3"/>
      <c r="G5751" s="537" t="s">
        <v>3</v>
      </c>
      <c r="H5751" s="10">
        <v>0.45</v>
      </c>
      <c r="I5751" s="538"/>
    </row>
    <row r="5752" spans="1:9" customFormat="1" x14ac:dyDescent="0.25">
      <c r="A5752" s="545"/>
      <c r="B5752" s="25" t="s">
        <v>12</v>
      </c>
      <c r="D5752" s="3"/>
      <c r="E5752" s="3"/>
      <c r="G5752" s="537" t="s">
        <v>3</v>
      </c>
      <c r="H5752" s="10">
        <f>0.3*(H5751+H5750)</f>
        <v>0.255</v>
      </c>
      <c r="I5752" s="538"/>
    </row>
    <row r="5753" spans="1:9" customFormat="1" x14ac:dyDescent="0.25">
      <c r="A5753" s="545"/>
      <c r="B5753" s="11" t="s">
        <v>6724</v>
      </c>
      <c r="D5753" s="3"/>
      <c r="G5753" s="603" t="s">
        <v>3</v>
      </c>
      <c r="H5753" s="10">
        <f>0.2*0.05*1.39</f>
        <v>1.3900000000000001E-2</v>
      </c>
      <c r="I5753" s="538"/>
    </row>
    <row r="5754" spans="1:9" customFormat="1" ht="17.25" x14ac:dyDescent="0.25">
      <c r="A5754" s="545"/>
      <c r="B5754" s="42" t="s">
        <v>6723</v>
      </c>
      <c r="D5754" s="3"/>
      <c r="G5754" s="603" t="s">
        <v>596</v>
      </c>
      <c r="H5754" s="10">
        <f>1.1*H5753</f>
        <v>1.5290000000000002E-2</v>
      </c>
      <c r="I5754" s="538"/>
    </row>
    <row r="5755" spans="1:9" customFormat="1" x14ac:dyDescent="0.25">
      <c r="A5755" s="545"/>
      <c r="B5755" s="25" t="s">
        <v>13</v>
      </c>
      <c r="D5755" s="3"/>
      <c r="E5755" s="3"/>
      <c r="G5755" s="537" t="s">
        <v>3</v>
      </c>
      <c r="H5755" s="10">
        <v>0.4</v>
      </c>
      <c r="I5755" s="538"/>
    </row>
    <row r="5756" spans="1:9" customFormat="1" x14ac:dyDescent="0.25">
      <c r="A5756" s="545" t="s">
        <v>6814</v>
      </c>
      <c r="B5756" s="3"/>
      <c r="C5756" s="3" t="s">
        <v>6813</v>
      </c>
      <c r="D5756" s="3"/>
      <c r="E5756" s="3"/>
      <c r="G5756" s="537"/>
      <c r="H5756" s="10"/>
      <c r="I5756" s="538"/>
    </row>
    <row r="5757" spans="1:9" customFormat="1" x14ac:dyDescent="0.25">
      <c r="A5757" s="545"/>
      <c r="B5757" s="3"/>
      <c r="C5757" s="11" t="s">
        <v>6724</v>
      </c>
      <c r="E5757" s="3"/>
      <c r="G5757" s="603" t="s">
        <v>3</v>
      </c>
      <c r="H5757" s="10">
        <f>1*0.06*1.3</f>
        <v>7.8E-2</v>
      </c>
      <c r="I5757" s="538"/>
    </row>
    <row r="5758" spans="1:9" customFormat="1" ht="17.25" x14ac:dyDescent="0.25">
      <c r="A5758" s="545"/>
      <c r="B5758" s="3"/>
      <c r="C5758" s="42" t="s">
        <v>6723</v>
      </c>
      <c r="E5758" s="3"/>
      <c r="G5758" s="603" t="s">
        <v>596</v>
      </c>
      <c r="H5758" s="10">
        <f>1.1*H5757</f>
        <v>8.5800000000000001E-2</v>
      </c>
      <c r="I5758" s="538"/>
    </row>
    <row r="5759" spans="1:9" customFormat="1" x14ac:dyDescent="0.25">
      <c r="A5759" s="545"/>
      <c r="B5759" s="3"/>
      <c r="C5759" s="42" t="s">
        <v>37</v>
      </c>
      <c r="E5759" s="3"/>
      <c r="G5759" s="603" t="s">
        <v>3</v>
      </c>
      <c r="H5759" s="10">
        <f>(0.045*0.2+0.05*0.15+0.05*0.2+0.05*0.2)*0.2*1.35</f>
        <v>9.8550000000000026E-3</v>
      </c>
      <c r="I5759" s="538"/>
    </row>
    <row r="5760" spans="1:9" customFormat="1" x14ac:dyDescent="0.25">
      <c r="A5760" s="545" t="s">
        <v>6812</v>
      </c>
      <c r="B5760" s="3"/>
      <c r="D5760" s="3" t="s">
        <v>6811</v>
      </c>
      <c r="E5760" s="3"/>
      <c r="G5760" s="537"/>
      <c r="H5760" s="10"/>
      <c r="I5760" s="538"/>
    </row>
    <row r="5761" spans="1:9" customFormat="1" x14ac:dyDescent="0.25">
      <c r="A5761" s="545"/>
      <c r="B5761" s="3"/>
      <c r="D5761" s="11" t="s">
        <v>6724</v>
      </c>
      <c r="F5761" s="3"/>
      <c r="G5761" s="603" t="s">
        <v>3</v>
      </c>
      <c r="H5761" s="10">
        <f>0.8*0.04*1.3</f>
        <v>4.1600000000000005E-2</v>
      </c>
      <c r="I5761" s="538"/>
    </row>
    <row r="5762" spans="1:9" customFormat="1" ht="17.25" x14ac:dyDescent="0.25">
      <c r="A5762" s="545"/>
      <c r="B5762" s="3"/>
      <c r="D5762" s="42" t="s">
        <v>6723</v>
      </c>
      <c r="F5762" s="3"/>
      <c r="G5762" s="603" t="s">
        <v>596</v>
      </c>
      <c r="H5762" s="10">
        <f>1.1*H5761</f>
        <v>4.5760000000000009E-2</v>
      </c>
      <c r="I5762" s="538"/>
    </row>
    <row r="5763" spans="1:9" customFormat="1" x14ac:dyDescent="0.25">
      <c r="A5763" s="545" t="s">
        <v>6810</v>
      </c>
      <c r="B5763" s="3"/>
      <c r="E5763" s="3" t="s">
        <v>6809</v>
      </c>
      <c r="F5763" s="3"/>
      <c r="G5763" s="537"/>
      <c r="H5763" s="10"/>
      <c r="I5763" s="538"/>
    </row>
    <row r="5764" spans="1:9" customFormat="1" x14ac:dyDescent="0.25">
      <c r="A5764" s="545"/>
      <c r="B5764" s="3"/>
      <c r="E5764" s="25" t="s">
        <v>651</v>
      </c>
      <c r="F5764" s="3"/>
      <c r="G5764" s="537" t="s">
        <v>3</v>
      </c>
      <c r="H5764" s="10">
        <f>0.142*0.322*2*2.7*1.1</f>
        <v>0.27160055999999999</v>
      </c>
      <c r="I5764" s="538"/>
    </row>
    <row r="5765" spans="1:9" customFormat="1" x14ac:dyDescent="0.25">
      <c r="A5765" s="545" t="s">
        <v>6808</v>
      </c>
      <c r="B5765" s="3"/>
      <c r="E5765" s="3" t="s">
        <v>6807</v>
      </c>
      <c r="F5765" s="3"/>
      <c r="G5765" s="537"/>
      <c r="H5765" s="10"/>
      <c r="I5765" s="538"/>
    </row>
    <row r="5766" spans="1:9" customFormat="1" x14ac:dyDescent="0.25">
      <c r="A5766" s="545"/>
      <c r="B5766" s="3"/>
      <c r="E5766" s="25" t="s">
        <v>651</v>
      </c>
      <c r="F5766" s="3"/>
      <c r="G5766" s="537" t="s">
        <v>3</v>
      </c>
      <c r="H5766" s="10">
        <f>0.4*0.155*2*2.7*1.1</f>
        <v>0.36828000000000005</v>
      </c>
      <c r="I5766" s="538"/>
    </row>
    <row r="5767" spans="1:9" customFormat="1" x14ac:dyDescent="0.25">
      <c r="A5767" s="545" t="s">
        <v>6806</v>
      </c>
      <c r="B5767" s="3"/>
      <c r="E5767" s="3" t="s">
        <v>6805</v>
      </c>
      <c r="F5767" s="3"/>
      <c r="G5767" s="537"/>
      <c r="H5767" s="10"/>
      <c r="I5767" s="538"/>
    </row>
    <row r="5768" spans="1:9" customFormat="1" x14ac:dyDescent="0.25">
      <c r="A5768" s="545"/>
      <c r="B5768" s="3"/>
      <c r="E5768" s="25" t="s">
        <v>651</v>
      </c>
      <c r="F5768" s="3"/>
      <c r="G5768" s="537" t="s">
        <v>3</v>
      </c>
      <c r="H5768" s="10">
        <f>0.215*0.13*2*2.7*1.1</f>
        <v>0.16602300000000003</v>
      </c>
      <c r="I5768" s="538"/>
    </row>
    <row r="5769" spans="1:9" customFormat="1" x14ac:dyDescent="0.25">
      <c r="A5769" s="545" t="s">
        <v>6804</v>
      </c>
      <c r="B5769" s="3"/>
      <c r="E5769" s="3" t="s">
        <v>6803</v>
      </c>
      <c r="F5769" s="3"/>
      <c r="G5769" s="537"/>
      <c r="H5769" s="10"/>
      <c r="I5769" s="538"/>
    </row>
    <row r="5770" spans="1:9" customFormat="1" x14ac:dyDescent="0.25">
      <c r="A5770" s="545"/>
      <c r="B5770" s="3"/>
      <c r="E5770" s="25" t="s">
        <v>651</v>
      </c>
      <c r="F5770" s="3"/>
      <c r="G5770" s="537" t="s">
        <v>3</v>
      </c>
      <c r="H5770" s="10">
        <f>0.305*0.13*2*2.7*1.1</f>
        <v>0.23552100000000001</v>
      </c>
      <c r="I5770" s="538"/>
    </row>
    <row r="5771" spans="1:9" customFormat="1" x14ac:dyDescent="0.25">
      <c r="A5771" s="545" t="s">
        <v>6802</v>
      </c>
      <c r="B5771" s="3"/>
      <c r="E5771" s="3" t="s">
        <v>3122</v>
      </c>
      <c r="F5771" s="3"/>
      <c r="G5771" s="537"/>
      <c r="H5771" s="10"/>
      <c r="I5771" s="538"/>
    </row>
    <row r="5772" spans="1:9" customFormat="1" x14ac:dyDescent="0.25">
      <c r="A5772" s="545"/>
      <c r="B5772" s="3"/>
      <c r="E5772" s="25" t="s">
        <v>6801</v>
      </c>
      <c r="F5772" s="3"/>
      <c r="G5772" s="537" t="s">
        <v>3</v>
      </c>
      <c r="H5772" s="10">
        <v>3.0000000000000001E-3</v>
      </c>
      <c r="I5772" s="538"/>
    </row>
    <row r="5773" spans="1:9" customFormat="1" x14ac:dyDescent="0.25">
      <c r="A5773" s="545" t="s">
        <v>6800</v>
      </c>
      <c r="B5773" s="3"/>
      <c r="D5773" s="3" t="s">
        <v>6799</v>
      </c>
      <c r="E5773" s="3"/>
      <c r="G5773" s="537"/>
      <c r="H5773" s="10"/>
      <c r="I5773" s="538"/>
    </row>
    <row r="5774" spans="1:9" customFormat="1" x14ac:dyDescent="0.25">
      <c r="A5774" s="545"/>
      <c r="B5774" s="3"/>
      <c r="D5774" s="25" t="s">
        <v>651</v>
      </c>
      <c r="E5774" s="3"/>
      <c r="G5774" s="537" t="s">
        <v>3</v>
      </c>
      <c r="H5774" s="10">
        <f>(0.655+0.385)*0.43*2*2.7*1.1015</f>
        <v>2.6599903199999999</v>
      </c>
      <c r="I5774" s="538"/>
    </row>
    <row r="5775" spans="1:9" customFormat="1" x14ac:dyDescent="0.25">
      <c r="A5775" s="545" t="s">
        <v>6798</v>
      </c>
      <c r="B5775" s="3"/>
      <c r="D5775" s="3" t="s">
        <v>6797</v>
      </c>
      <c r="E5775" s="3"/>
      <c r="G5775" s="537"/>
      <c r="H5775" s="10"/>
      <c r="I5775" s="538"/>
    </row>
    <row r="5776" spans="1:9" customFormat="1" x14ac:dyDescent="0.25">
      <c r="A5776" s="545"/>
      <c r="B5776" s="3"/>
      <c r="D5776" s="25" t="s">
        <v>651</v>
      </c>
      <c r="E5776" s="3"/>
      <c r="G5776" s="537" t="s">
        <v>3</v>
      </c>
      <c r="H5776" s="10">
        <f>0.385*0.33*2*2.7*1.1</f>
        <v>0.75467700000000015</v>
      </c>
      <c r="I5776" s="538"/>
    </row>
    <row r="5777" spans="1:9" customFormat="1" x14ac:dyDescent="0.25">
      <c r="A5777" s="545" t="s">
        <v>6796</v>
      </c>
      <c r="B5777" s="3"/>
      <c r="D5777" s="3" t="s">
        <v>6795</v>
      </c>
      <c r="E5777" s="3"/>
      <c r="G5777" s="537"/>
      <c r="H5777" s="10"/>
      <c r="I5777" s="538"/>
    </row>
    <row r="5778" spans="1:9" customFormat="1" x14ac:dyDescent="0.25">
      <c r="A5778" s="545"/>
      <c r="B5778" s="3"/>
      <c r="D5778" s="25" t="s">
        <v>651</v>
      </c>
      <c r="E5778" s="3"/>
      <c r="G5778" s="537" t="s">
        <v>3</v>
      </c>
      <c r="H5778" s="10">
        <f>0.385*0.405*2*2.7*1.1</f>
        <v>0.92619450000000014</v>
      </c>
      <c r="I5778" s="538"/>
    </row>
    <row r="5779" spans="1:9" customFormat="1" x14ac:dyDescent="0.25">
      <c r="A5779" s="545" t="s">
        <v>6794</v>
      </c>
      <c r="B5779" s="3"/>
      <c r="D5779" s="3" t="s">
        <v>6793</v>
      </c>
      <c r="E5779" s="3"/>
      <c r="G5779" s="537"/>
      <c r="H5779" s="10"/>
      <c r="I5779" s="538"/>
    </row>
    <row r="5780" spans="1:9" customFormat="1" x14ac:dyDescent="0.25">
      <c r="A5780" s="545"/>
      <c r="B5780" s="3"/>
      <c r="D5780" t="s">
        <v>1138</v>
      </c>
      <c r="E5780" s="3"/>
      <c r="G5780" s="537" t="s">
        <v>3</v>
      </c>
      <c r="H5780" s="10">
        <f>0.21*0.095*4*2.7*1.1</f>
        <v>0.23700600000000002</v>
      </c>
      <c r="I5780" s="538"/>
    </row>
    <row r="5781" spans="1:9" customFormat="1" x14ac:dyDescent="0.25">
      <c r="A5781" s="545" t="s">
        <v>6792</v>
      </c>
      <c r="B5781" s="3"/>
      <c r="D5781" s="3" t="s">
        <v>6791</v>
      </c>
      <c r="E5781" s="3"/>
      <c r="G5781" s="537"/>
      <c r="H5781" s="10"/>
      <c r="I5781" s="538"/>
    </row>
    <row r="5782" spans="1:9" customFormat="1" x14ac:dyDescent="0.25">
      <c r="A5782" s="545"/>
      <c r="B5782" s="3"/>
      <c r="D5782" t="s">
        <v>1138</v>
      </c>
      <c r="E5782" s="3"/>
      <c r="G5782" s="537" t="s">
        <v>3</v>
      </c>
      <c r="H5782" s="10">
        <f>0.277*0.095*4*2.7*1.1</f>
        <v>0.31262220000000002</v>
      </c>
      <c r="I5782" s="538"/>
    </row>
    <row r="5783" spans="1:9" customFormat="1" x14ac:dyDescent="0.25">
      <c r="A5783" s="545" t="s">
        <v>6790</v>
      </c>
      <c r="B5783" s="3"/>
      <c r="D5783" s="3" t="s">
        <v>6789</v>
      </c>
      <c r="E5783" s="3"/>
      <c r="G5783" s="537"/>
      <c r="H5783" s="10"/>
      <c r="I5783" s="538"/>
    </row>
    <row r="5784" spans="1:9" customFormat="1" x14ac:dyDescent="0.25">
      <c r="A5784" s="545"/>
      <c r="B5784" s="3"/>
      <c r="D5784" t="s">
        <v>1138</v>
      </c>
      <c r="E5784" s="3"/>
      <c r="G5784" s="537" t="s">
        <v>3</v>
      </c>
      <c r="H5784" s="10">
        <f>0.095*0.277*4*2.7*1.1</f>
        <v>0.31262220000000002</v>
      </c>
      <c r="I5784" s="538"/>
    </row>
    <row r="5785" spans="1:9" customFormat="1" x14ac:dyDescent="0.25">
      <c r="A5785" s="545" t="s">
        <v>6788</v>
      </c>
      <c r="B5785" s="3"/>
      <c r="D5785" s="3" t="s">
        <v>6787</v>
      </c>
      <c r="E5785" s="3"/>
      <c r="G5785" s="537"/>
      <c r="H5785" s="10"/>
      <c r="I5785" s="538"/>
    </row>
    <row r="5786" spans="1:9" customFormat="1" x14ac:dyDescent="0.25">
      <c r="A5786" s="545"/>
      <c r="B5786" s="3"/>
      <c r="D5786" t="s">
        <v>1138</v>
      </c>
      <c r="E5786" s="3"/>
      <c r="G5786" s="537" t="s">
        <v>3</v>
      </c>
      <c r="H5786" s="10">
        <f>0.1*0.037*4*2.7*1.12</f>
        <v>4.4755200000000009E-2</v>
      </c>
      <c r="I5786" s="538"/>
    </row>
    <row r="5787" spans="1:9" customFormat="1" x14ac:dyDescent="0.25">
      <c r="A5787" s="545" t="s">
        <v>6786</v>
      </c>
      <c r="B5787" s="3"/>
      <c r="D5787" s="3" t="s">
        <v>6785</v>
      </c>
      <c r="E5787" s="3"/>
      <c r="G5787" s="537"/>
      <c r="H5787" s="10"/>
      <c r="I5787" s="538"/>
    </row>
    <row r="5788" spans="1:9" customFormat="1" x14ac:dyDescent="0.25">
      <c r="A5788" s="545"/>
      <c r="B5788" s="3"/>
      <c r="D5788" s="25" t="s">
        <v>651</v>
      </c>
      <c r="E5788" s="3"/>
      <c r="G5788" s="537" t="s">
        <v>3</v>
      </c>
      <c r="H5788" s="10">
        <f>0.091*0.1*2*2.7*1.1</f>
        <v>5.4054000000000005E-2</v>
      </c>
      <c r="I5788" s="538"/>
    </row>
    <row r="5789" spans="1:9" customFormat="1" x14ac:dyDescent="0.25">
      <c r="A5789" s="545" t="s">
        <v>6784</v>
      </c>
      <c r="B5789" s="3"/>
      <c r="D5789" s="3" t="s">
        <v>6783</v>
      </c>
      <c r="E5789" s="3"/>
      <c r="G5789" s="537"/>
      <c r="H5789" s="10"/>
      <c r="I5789" s="538"/>
    </row>
    <row r="5790" spans="1:9" customFormat="1" x14ac:dyDescent="0.25">
      <c r="A5790" s="545"/>
      <c r="B5790" s="3"/>
      <c r="D5790" s="25" t="s">
        <v>651</v>
      </c>
      <c r="E5790" s="3"/>
      <c r="G5790" s="537" t="s">
        <v>3</v>
      </c>
      <c r="H5790" s="10">
        <f>0.11*0.06*2*2.7*1.1</f>
        <v>3.920400000000001E-2</v>
      </c>
      <c r="I5790" s="538"/>
    </row>
    <row r="5791" spans="1:9" customFormat="1" x14ac:dyDescent="0.25">
      <c r="A5791" s="545" t="s">
        <v>6782</v>
      </c>
      <c r="B5791" s="3"/>
      <c r="D5791" s="3" t="s">
        <v>6781</v>
      </c>
      <c r="E5791" s="3"/>
      <c r="G5791" s="537"/>
      <c r="H5791" s="10"/>
      <c r="I5791" s="538"/>
    </row>
    <row r="5792" spans="1:9" customFormat="1" x14ac:dyDescent="0.25">
      <c r="A5792" s="545"/>
      <c r="B5792" s="3"/>
      <c r="D5792" t="s">
        <v>1138</v>
      </c>
      <c r="E5792" s="3"/>
      <c r="G5792" s="537" t="s">
        <v>3</v>
      </c>
      <c r="H5792" s="10">
        <f>0.095*0.112*4*2.7*1.1</f>
        <v>0.12640320000000002</v>
      </c>
      <c r="I5792" s="538"/>
    </row>
    <row r="5793" spans="1:9" customFormat="1" x14ac:dyDescent="0.25">
      <c r="A5793" s="545" t="s">
        <v>6780</v>
      </c>
      <c r="B5793" s="3"/>
      <c r="C5793" s="3" t="s">
        <v>6779</v>
      </c>
      <c r="D5793" s="3"/>
      <c r="E5793" s="3"/>
      <c r="G5793" s="537"/>
      <c r="H5793" s="10"/>
      <c r="I5793" s="538"/>
    </row>
    <row r="5794" spans="1:9" customFormat="1" x14ac:dyDescent="0.25">
      <c r="A5794" s="545"/>
      <c r="B5794" s="3"/>
      <c r="C5794" s="8" t="s">
        <v>1054</v>
      </c>
      <c r="D5794" s="3"/>
      <c r="E5794" s="3"/>
      <c r="G5794" s="537" t="s">
        <v>3</v>
      </c>
      <c r="H5794" s="10">
        <f>((0.353*2+0.407*2)/0.18*0.06+0.08+0.1)*0.05*1.3</f>
        <v>4.4633333333333337E-2</v>
      </c>
      <c r="I5794" s="538"/>
    </row>
    <row r="5795" spans="1:9" customFormat="1" x14ac:dyDescent="0.25">
      <c r="A5795" s="545"/>
      <c r="B5795" s="3"/>
      <c r="C5795" t="s">
        <v>485</v>
      </c>
      <c r="D5795" s="3"/>
      <c r="E5795" s="3"/>
      <c r="G5795" s="537" t="s">
        <v>3</v>
      </c>
      <c r="H5795" s="10">
        <f>1.5*H5794</f>
        <v>6.695000000000001E-2</v>
      </c>
      <c r="I5795" s="538"/>
    </row>
    <row r="5796" spans="1:9" customFormat="1" x14ac:dyDescent="0.25">
      <c r="A5796" s="545"/>
      <c r="B5796" s="3"/>
      <c r="C5796" s="42" t="s">
        <v>37</v>
      </c>
      <c r="D5796" s="3"/>
      <c r="E5796" s="3"/>
      <c r="G5796" s="537" t="s">
        <v>3</v>
      </c>
      <c r="H5796" s="10">
        <f>(0.353*2+0.407*2)*0.04*0.2*1.3</f>
        <v>1.5808000000000003E-2</v>
      </c>
      <c r="I5796" s="538"/>
    </row>
    <row r="5797" spans="1:9" customFormat="1" x14ac:dyDescent="0.25">
      <c r="A5797" s="545" t="s">
        <v>6778</v>
      </c>
      <c r="B5797" s="3"/>
      <c r="D5797" s="3" t="s">
        <v>6777</v>
      </c>
      <c r="E5797" s="3"/>
      <c r="G5797" s="537"/>
      <c r="H5797" s="10"/>
      <c r="I5797" s="538"/>
    </row>
    <row r="5798" spans="1:9" customFormat="1" x14ac:dyDescent="0.25">
      <c r="A5798" s="545"/>
      <c r="B5798" s="3"/>
      <c r="D5798" s="25" t="s">
        <v>722</v>
      </c>
      <c r="E5798" s="3"/>
      <c r="G5798" s="537" t="s">
        <v>3</v>
      </c>
      <c r="H5798" s="10">
        <f>0.48*0.43*1.5*8*1.1</f>
        <v>2.7244800000000002</v>
      </c>
      <c r="I5798" s="538"/>
    </row>
    <row r="5799" spans="1:9" customFormat="1" x14ac:dyDescent="0.25">
      <c r="A5799" s="545"/>
      <c r="B5799" s="3"/>
      <c r="D5799" s="8" t="s">
        <v>1054</v>
      </c>
      <c r="E5799" s="3"/>
      <c r="F5799" s="3"/>
      <c r="G5799" s="537" t="s">
        <v>3</v>
      </c>
      <c r="H5799" s="10">
        <f>0.06*0.08*1.3</f>
        <v>6.2399999999999999E-3</v>
      </c>
      <c r="I5799" s="538"/>
    </row>
    <row r="5800" spans="1:9" customFormat="1" x14ac:dyDescent="0.25">
      <c r="A5800" s="545"/>
      <c r="B5800" s="3"/>
      <c r="D5800" t="s">
        <v>485</v>
      </c>
      <c r="E5800" s="3"/>
      <c r="F5800" s="3"/>
      <c r="G5800" s="537" t="s">
        <v>3</v>
      </c>
      <c r="H5800" s="10">
        <f>1.5*H5799</f>
        <v>9.3600000000000003E-3</v>
      </c>
      <c r="I5800" s="538"/>
    </row>
    <row r="5801" spans="1:9" customFormat="1" x14ac:dyDescent="0.25">
      <c r="A5801" s="545" t="s">
        <v>6776</v>
      </c>
      <c r="D5801" s="3" t="s">
        <v>6775</v>
      </c>
      <c r="G5801" s="537"/>
      <c r="H5801" s="10"/>
      <c r="I5801" s="538"/>
    </row>
    <row r="5802" spans="1:9" customFormat="1" x14ac:dyDescent="0.25">
      <c r="A5802" s="545"/>
      <c r="D5802" t="s">
        <v>6774</v>
      </c>
      <c r="G5802" s="537" t="s">
        <v>3</v>
      </c>
      <c r="H5802" s="10">
        <f>0.05*0.058*2.5*8*1.1</f>
        <v>6.3800000000000009E-2</v>
      </c>
      <c r="I5802" s="538"/>
    </row>
    <row r="5803" spans="1:9" customFormat="1" x14ac:dyDescent="0.25">
      <c r="A5803" s="545" t="s">
        <v>6773</v>
      </c>
      <c r="D5803" s="3" t="s">
        <v>6772</v>
      </c>
      <c r="G5803" s="537"/>
      <c r="H5803" s="10"/>
      <c r="I5803" s="538"/>
    </row>
    <row r="5804" spans="1:9" customFormat="1" x14ac:dyDescent="0.25">
      <c r="A5804" s="545"/>
      <c r="D5804" t="s">
        <v>150</v>
      </c>
      <c r="G5804" s="537" t="s">
        <v>3</v>
      </c>
      <c r="H5804" s="10">
        <f>0.04*0.045*2*8*1.1</f>
        <v>3.168E-2</v>
      </c>
      <c r="I5804" s="538"/>
    </row>
    <row r="5805" spans="1:9" customFormat="1" x14ac:dyDescent="0.25">
      <c r="A5805" s="545" t="s">
        <v>6771</v>
      </c>
      <c r="D5805" s="3" t="s">
        <v>6770</v>
      </c>
      <c r="I5805" s="538"/>
    </row>
    <row r="5806" spans="1:9" customFormat="1" x14ac:dyDescent="0.25">
      <c r="A5806" s="545"/>
      <c r="D5806" s="25" t="s">
        <v>722</v>
      </c>
      <c r="G5806" s="537" t="s">
        <v>3</v>
      </c>
      <c r="H5806" s="10">
        <f>(0.353*2+0.407*2)*0.01*1.5*8*1.1</f>
        <v>0.20064000000000001</v>
      </c>
      <c r="I5806" s="538"/>
    </row>
    <row r="5807" spans="1:9" customFormat="1" x14ac:dyDescent="0.25">
      <c r="A5807" s="545" t="s">
        <v>6769</v>
      </c>
      <c r="C5807" s="3" t="s">
        <v>6768</v>
      </c>
      <c r="I5807" s="538"/>
    </row>
    <row r="5808" spans="1:9" customFormat="1" x14ac:dyDescent="0.25">
      <c r="A5808" s="545"/>
      <c r="C5808" s="8" t="s">
        <v>1054</v>
      </c>
      <c r="G5808" s="537" t="s">
        <v>3</v>
      </c>
      <c r="H5808" s="10">
        <f>0.05*0.08*1.3</f>
        <v>5.2000000000000006E-3</v>
      </c>
      <c r="I5808" s="538"/>
    </row>
    <row r="5809" spans="1:9" customFormat="1" x14ac:dyDescent="0.25">
      <c r="A5809" s="545"/>
      <c r="C5809" t="s">
        <v>485</v>
      </c>
      <c r="G5809" s="537" t="s">
        <v>3</v>
      </c>
      <c r="H5809" s="10">
        <f>1.5*H5808</f>
        <v>7.8000000000000014E-3</v>
      </c>
      <c r="I5809" s="538"/>
    </row>
    <row r="5810" spans="1:9" customFormat="1" x14ac:dyDescent="0.25">
      <c r="A5810" s="545" t="s">
        <v>6767</v>
      </c>
      <c r="D5810" s="3" t="s">
        <v>6766</v>
      </c>
      <c r="I5810" s="538"/>
    </row>
    <row r="5811" spans="1:9" customFormat="1" x14ac:dyDescent="0.25">
      <c r="A5811" s="545"/>
      <c r="D5811" s="25" t="s">
        <v>140</v>
      </c>
      <c r="G5811" s="537" t="s">
        <v>3</v>
      </c>
      <c r="H5811" s="10">
        <f>0.002</f>
        <v>2E-3</v>
      </c>
      <c r="I5811" s="538"/>
    </row>
    <row r="5812" spans="1:9" customFormat="1" ht="17.25" x14ac:dyDescent="0.25">
      <c r="A5812" s="545"/>
      <c r="D5812" s="25" t="s">
        <v>23</v>
      </c>
      <c r="G5812" s="603" t="s">
        <v>596</v>
      </c>
      <c r="H5812" s="10">
        <f>H5811*2</f>
        <v>4.0000000000000001E-3</v>
      </c>
      <c r="I5812" s="538"/>
    </row>
    <row r="5813" spans="1:9" customFormat="1" x14ac:dyDescent="0.25">
      <c r="A5813" s="545"/>
      <c r="D5813" s="25" t="s">
        <v>142</v>
      </c>
      <c r="G5813" s="537" t="s">
        <v>3</v>
      </c>
      <c r="H5813" s="10">
        <f>H5811/4</f>
        <v>5.0000000000000001E-4</v>
      </c>
      <c r="I5813" s="538"/>
    </row>
    <row r="5814" spans="1:9" customFormat="1" x14ac:dyDescent="0.25">
      <c r="A5814" s="545" t="s">
        <v>6765</v>
      </c>
      <c r="E5814" s="3" t="s">
        <v>6764</v>
      </c>
      <c r="I5814" s="538"/>
    </row>
    <row r="5815" spans="1:9" customFormat="1" x14ac:dyDescent="0.25">
      <c r="A5815" s="545"/>
      <c r="E5815" s="25" t="s">
        <v>1068</v>
      </c>
      <c r="G5815" s="537" t="s">
        <v>3</v>
      </c>
      <c r="H5815" s="10">
        <f>0.135*0.04*4*8*1.1</f>
        <v>0.19008000000000003</v>
      </c>
      <c r="I5815" s="538"/>
    </row>
    <row r="5816" spans="1:9" customFormat="1" x14ac:dyDescent="0.25">
      <c r="A5816" s="545" t="s">
        <v>6763</v>
      </c>
      <c r="D5816" s="3" t="s">
        <v>6762</v>
      </c>
      <c r="I5816" s="538"/>
    </row>
    <row r="5817" spans="1:9" customFormat="1" x14ac:dyDescent="0.25">
      <c r="A5817" s="545"/>
      <c r="D5817" t="s">
        <v>213</v>
      </c>
      <c r="G5817" s="537" t="s">
        <v>3</v>
      </c>
      <c r="H5817" s="10">
        <f>0.075*0.02*3*2.7*1.1</f>
        <v>1.3365000000000004E-2</v>
      </c>
      <c r="I5817" s="538"/>
    </row>
    <row r="5818" spans="1:9" customFormat="1" x14ac:dyDescent="0.25">
      <c r="A5818" s="545" t="s">
        <v>6761</v>
      </c>
      <c r="D5818" s="3" t="s">
        <v>6760</v>
      </c>
      <c r="H5818" s="570" t="s">
        <v>99</v>
      </c>
      <c r="I5818" s="538"/>
    </row>
    <row r="5819" spans="1:9" customFormat="1" x14ac:dyDescent="0.25">
      <c r="A5819" s="545"/>
      <c r="D5819" s="154" t="s">
        <v>6759</v>
      </c>
      <c r="E5819" s="8"/>
      <c r="F5819" s="8"/>
      <c r="G5819" s="128" t="s">
        <v>3</v>
      </c>
      <c r="H5819" s="13">
        <v>2.5999999999999999E-2</v>
      </c>
      <c r="I5819" s="538"/>
    </row>
    <row r="5820" spans="1:9" customFormat="1" x14ac:dyDescent="0.25">
      <c r="A5820" s="545" t="s">
        <v>6758</v>
      </c>
      <c r="C5820" s="3" t="s">
        <v>6757</v>
      </c>
      <c r="I5820" s="538"/>
    </row>
    <row r="5821" spans="1:9" customFormat="1" x14ac:dyDescent="0.25">
      <c r="A5821" s="545"/>
      <c r="C5821" t="s">
        <v>213</v>
      </c>
      <c r="G5821" s="537" t="s">
        <v>3</v>
      </c>
      <c r="H5821" s="10">
        <f>0.055*0.03*3*2.7*1.1</f>
        <v>1.4701500000000001E-2</v>
      </c>
      <c r="I5821" s="538"/>
    </row>
    <row r="5822" spans="1:9" customFormat="1" x14ac:dyDescent="0.25">
      <c r="A5822" s="545" t="s">
        <v>6756</v>
      </c>
      <c r="C5822" s="3" t="s">
        <v>6755</v>
      </c>
      <c r="G5822" s="537"/>
      <c r="H5822" s="634" t="s">
        <v>624</v>
      </c>
      <c r="I5822" s="538"/>
    </row>
    <row r="5823" spans="1:9" customFormat="1" x14ac:dyDescent="0.25">
      <c r="A5823" s="545"/>
      <c r="C5823" s="25" t="s">
        <v>6754</v>
      </c>
      <c r="G5823" s="537" t="s">
        <v>3</v>
      </c>
      <c r="H5823" s="10">
        <f>0.015*0.025*10*2.7*1.2</f>
        <v>1.2149999999999999E-2</v>
      </c>
      <c r="I5823" s="538"/>
    </row>
    <row r="5824" spans="1:9" customFormat="1" x14ac:dyDescent="0.25">
      <c r="A5824" s="545" t="s">
        <v>6753</v>
      </c>
      <c r="C5824" s="3" t="s">
        <v>6752</v>
      </c>
      <c r="G5824" s="537"/>
      <c r="H5824" s="570" t="s">
        <v>99</v>
      </c>
      <c r="I5824" s="538"/>
    </row>
    <row r="5825" spans="1:9" customFormat="1" x14ac:dyDescent="0.25">
      <c r="A5825" s="545"/>
      <c r="C5825" s="25" t="s">
        <v>6751</v>
      </c>
      <c r="G5825" s="537" t="s">
        <v>3</v>
      </c>
      <c r="H5825" s="10">
        <v>0.02</v>
      </c>
      <c r="I5825" s="538"/>
    </row>
    <row r="5826" spans="1:9" customFormat="1" x14ac:dyDescent="0.25">
      <c r="A5826" s="545"/>
      <c r="C5826" s="3"/>
      <c r="G5826" s="537"/>
      <c r="H5826" s="10"/>
      <c r="I5826" s="538"/>
    </row>
    <row r="5827" spans="1:9" customFormat="1" x14ac:dyDescent="0.25">
      <c r="A5827" s="545" t="s">
        <v>6749</v>
      </c>
      <c r="B5827" s="3" t="s">
        <v>6750</v>
      </c>
      <c r="C5827" s="3"/>
      <c r="G5827" s="537"/>
      <c r="H5827" s="10"/>
      <c r="I5827" s="538"/>
    </row>
    <row r="5828" spans="1:9" customFormat="1" x14ac:dyDescent="0.25">
      <c r="A5828" s="545"/>
      <c r="C5828" t="s">
        <v>598</v>
      </c>
      <c r="G5828" s="537" t="s">
        <v>3</v>
      </c>
      <c r="H5828" s="10">
        <f>0.26*0.086*2.5*2.7*1.1</f>
        <v>0.166023</v>
      </c>
      <c r="I5828" s="538"/>
    </row>
    <row r="5829" spans="1:9" customFormat="1" x14ac:dyDescent="0.25">
      <c r="A5829" s="545"/>
      <c r="C5829" t="s">
        <v>114</v>
      </c>
      <c r="G5829" s="537" t="s">
        <v>3</v>
      </c>
      <c r="H5829" s="10">
        <v>8.0000000000000002E-3</v>
      </c>
      <c r="I5829" s="538"/>
    </row>
    <row r="5830" spans="1:9" customFormat="1" x14ac:dyDescent="0.25">
      <c r="A5830" s="545"/>
      <c r="C5830" t="s">
        <v>163</v>
      </c>
      <c r="G5830" s="537" t="s">
        <v>3</v>
      </c>
      <c r="H5830" s="10">
        <v>8.0000000000000002E-3</v>
      </c>
      <c r="I5830" s="538"/>
    </row>
    <row r="5831" spans="1:9" customFormat="1" x14ac:dyDescent="0.25">
      <c r="A5831" s="545"/>
      <c r="C5831" t="s">
        <v>164</v>
      </c>
      <c r="G5831" s="537" t="s">
        <v>3</v>
      </c>
      <c r="H5831" s="10">
        <f>0.3*(H5830+H16388)</f>
        <v>2.3999999999999998E-3</v>
      </c>
      <c r="I5831" s="538"/>
    </row>
    <row r="5832" spans="1:9" customFormat="1" x14ac:dyDescent="0.25">
      <c r="A5832" s="545"/>
      <c r="C5832" t="s">
        <v>72</v>
      </c>
      <c r="G5832" s="537" t="s">
        <v>3</v>
      </c>
      <c r="H5832" s="10">
        <f>0.26*0.086*2*0.15*2*1.3</f>
        <v>1.7440799999999999E-2</v>
      </c>
      <c r="I5832" s="538"/>
    </row>
    <row r="5833" spans="1:9" customFormat="1" x14ac:dyDescent="0.25">
      <c r="A5833" s="545"/>
      <c r="C5833" t="s">
        <v>11</v>
      </c>
      <c r="G5833" s="537" t="s">
        <v>3</v>
      </c>
      <c r="H5833" s="10">
        <f>0.3*H5832</f>
        <v>5.23224E-3</v>
      </c>
      <c r="I5833" s="538"/>
    </row>
    <row r="5834" spans="1:9" customFormat="1" x14ac:dyDescent="0.25">
      <c r="A5834" s="545"/>
      <c r="C5834" s="3"/>
      <c r="G5834" s="537"/>
      <c r="H5834" s="10"/>
      <c r="I5834" s="538"/>
    </row>
    <row r="5835" spans="1:9" customFormat="1" x14ac:dyDescent="0.25">
      <c r="A5835" s="545" t="s">
        <v>6749</v>
      </c>
      <c r="B5835" s="3" t="s">
        <v>6748</v>
      </c>
      <c r="C5835" s="3"/>
      <c r="G5835" s="537"/>
      <c r="H5835" s="10"/>
      <c r="I5835" s="538"/>
    </row>
    <row r="5836" spans="1:9" customFormat="1" x14ac:dyDescent="0.25">
      <c r="A5836" s="545"/>
      <c r="B5836" s="25" t="s">
        <v>37</v>
      </c>
      <c r="C5836" s="3"/>
      <c r="G5836" s="537" t="s">
        <v>3</v>
      </c>
      <c r="H5836" s="10">
        <f>0.245*0.068*0.2*1.3</f>
        <v>4.3316000000000006E-3</v>
      </c>
      <c r="I5836" s="538"/>
    </row>
    <row r="5837" spans="1:9" customFormat="1" x14ac:dyDescent="0.25">
      <c r="A5837" s="545"/>
      <c r="B5837" s="3"/>
      <c r="C5837" s="3" t="s">
        <v>6747</v>
      </c>
      <c r="G5837" s="537"/>
      <c r="H5837" s="10"/>
      <c r="I5837" s="538"/>
    </row>
    <row r="5838" spans="1:9" customFormat="1" x14ac:dyDescent="0.25">
      <c r="A5838" s="545"/>
      <c r="B5838" s="3"/>
      <c r="C5838" s="25" t="s">
        <v>598</v>
      </c>
      <c r="G5838" s="537" t="s">
        <v>3</v>
      </c>
      <c r="H5838" s="10">
        <f>0.245*0.068*2.5*2.7*1.1</f>
        <v>0.12370050000000005</v>
      </c>
      <c r="I5838" s="538"/>
    </row>
    <row r="5839" spans="1:9" customFormat="1" x14ac:dyDescent="0.25">
      <c r="A5839" s="545"/>
      <c r="C5839" t="s">
        <v>163</v>
      </c>
      <c r="G5839" s="537" t="s">
        <v>3</v>
      </c>
      <c r="H5839" s="10">
        <v>0.01</v>
      </c>
      <c r="I5839" s="538"/>
    </row>
    <row r="5840" spans="1:9" customFormat="1" x14ac:dyDescent="0.25">
      <c r="A5840" s="545"/>
      <c r="C5840" t="s">
        <v>164</v>
      </c>
      <c r="G5840" s="537" t="s">
        <v>3</v>
      </c>
      <c r="H5840" s="10">
        <f>0.3*H5839</f>
        <v>3.0000000000000001E-3</v>
      </c>
      <c r="I5840" s="538"/>
    </row>
    <row r="5841" spans="1:9" customFormat="1" x14ac:dyDescent="0.25">
      <c r="A5841" s="545"/>
      <c r="C5841" t="s">
        <v>36</v>
      </c>
      <c r="G5841" s="537" t="s">
        <v>3</v>
      </c>
      <c r="H5841" s="10">
        <f>0.245*0.068*2*0.15*2*1.3</f>
        <v>1.2994800000000001E-2</v>
      </c>
      <c r="I5841" s="538"/>
    </row>
    <row r="5842" spans="1:9" customFormat="1" x14ac:dyDescent="0.25">
      <c r="A5842" s="545"/>
      <c r="C5842" t="s">
        <v>12</v>
      </c>
      <c r="G5842" s="537" t="s">
        <v>3</v>
      </c>
      <c r="H5842" s="10">
        <f>0.3*H5841</f>
        <v>3.89844E-3</v>
      </c>
      <c r="I5842" s="538"/>
    </row>
    <row r="5843" spans="1:9" customFormat="1" x14ac:dyDescent="0.25">
      <c r="A5843" s="545"/>
      <c r="C5843" s="3"/>
      <c r="G5843" s="537"/>
      <c r="H5843" s="10"/>
      <c r="I5843" s="538"/>
    </row>
    <row r="5844" spans="1:9" customFormat="1" x14ac:dyDescent="0.25">
      <c r="A5844" s="545" t="s">
        <v>6746</v>
      </c>
      <c r="B5844" s="3" t="s">
        <v>6745</v>
      </c>
      <c r="C5844" s="3"/>
      <c r="G5844" s="537"/>
      <c r="H5844" s="10"/>
      <c r="I5844" s="538"/>
    </row>
    <row r="5845" spans="1:9" customFormat="1" x14ac:dyDescent="0.25">
      <c r="A5845" s="545"/>
      <c r="B5845" s="11" t="s">
        <v>6724</v>
      </c>
      <c r="D5845" s="3"/>
      <c r="E5845" s="3"/>
      <c r="G5845" s="603" t="s">
        <v>3</v>
      </c>
      <c r="H5845" s="10">
        <f>0.05*0.04*1.3</f>
        <v>2.6000000000000003E-3</v>
      </c>
      <c r="I5845" s="538"/>
    </row>
    <row r="5846" spans="1:9" customFormat="1" ht="17.25" x14ac:dyDescent="0.25">
      <c r="A5846" s="545"/>
      <c r="B5846" s="42" t="s">
        <v>6723</v>
      </c>
      <c r="D5846" s="3"/>
      <c r="E5846" s="3"/>
      <c r="G5846" s="603" t="s">
        <v>596</v>
      </c>
      <c r="H5846" s="10">
        <f>1.1*H5845</f>
        <v>2.8600000000000006E-3</v>
      </c>
      <c r="I5846" s="538"/>
    </row>
    <row r="5847" spans="1:9" customFormat="1" x14ac:dyDescent="0.25">
      <c r="A5847" s="545" t="s">
        <v>6744</v>
      </c>
      <c r="B5847" s="3"/>
      <c r="C5847" s="3" t="s">
        <v>6743</v>
      </c>
      <c r="G5847" s="537"/>
      <c r="H5847" s="10"/>
      <c r="I5847" s="538"/>
    </row>
    <row r="5848" spans="1:9" customFormat="1" x14ac:dyDescent="0.25">
      <c r="A5848" s="545"/>
      <c r="B5848" s="3"/>
      <c r="C5848" s="25" t="s">
        <v>213</v>
      </c>
      <c r="G5848" s="537" t="s">
        <v>3</v>
      </c>
      <c r="H5848" s="10">
        <f>0.04*0.01*3*2.7*1.1</f>
        <v>3.5640000000000012E-3</v>
      </c>
      <c r="I5848" s="538"/>
    </row>
    <row r="5849" spans="1:9" customFormat="1" x14ac:dyDescent="0.25">
      <c r="A5849" s="545"/>
      <c r="B5849" s="3"/>
      <c r="C5849" s="3"/>
      <c r="G5849" s="537"/>
      <c r="H5849" s="10"/>
      <c r="I5849" s="538"/>
    </row>
    <row r="5850" spans="1:9" customFormat="1" x14ac:dyDescent="0.25">
      <c r="A5850" s="545" t="s">
        <v>6742</v>
      </c>
      <c r="B5850" s="3" t="s">
        <v>6741</v>
      </c>
      <c r="C5850" s="3"/>
      <c r="G5850" s="537"/>
      <c r="H5850" s="10"/>
      <c r="I5850" s="538"/>
    </row>
    <row r="5851" spans="1:9" customFormat="1" x14ac:dyDescent="0.25">
      <c r="A5851" s="545" t="s">
        <v>6740</v>
      </c>
      <c r="B5851" s="3"/>
      <c r="C5851" s="3" t="s">
        <v>6739</v>
      </c>
      <c r="G5851" s="537"/>
      <c r="H5851" s="10"/>
      <c r="I5851" s="538"/>
    </row>
    <row r="5852" spans="1:9" customFormat="1" x14ac:dyDescent="0.25">
      <c r="A5852" s="545"/>
      <c r="B5852" s="3"/>
      <c r="C5852" t="s">
        <v>1199</v>
      </c>
      <c r="G5852" s="603" t="s">
        <v>3</v>
      </c>
      <c r="H5852" s="10">
        <f>0.42*0.06*1.2</f>
        <v>3.0239999999999996E-2</v>
      </c>
      <c r="I5852" s="538"/>
    </row>
    <row r="5853" spans="1:9" customFormat="1" ht="17.25" x14ac:dyDescent="0.25">
      <c r="A5853" s="545"/>
      <c r="B5853" s="3"/>
      <c r="C5853" s="42" t="s">
        <v>6723</v>
      </c>
      <c r="G5853" s="603" t="s">
        <v>596</v>
      </c>
      <c r="H5853" s="10">
        <f>1.1*H5852</f>
        <v>3.3263999999999995E-2</v>
      </c>
      <c r="I5853" s="538"/>
    </row>
    <row r="5854" spans="1:9" customFormat="1" x14ac:dyDescent="0.25">
      <c r="A5854" s="545"/>
      <c r="B5854" s="3"/>
      <c r="C5854" s="3"/>
      <c r="D5854" s="3" t="s">
        <v>6738</v>
      </c>
      <c r="G5854" s="537"/>
      <c r="H5854" s="10"/>
      <c r="I5854" s="538"/>
    </row>
    <row r="5855" spans="1:9" customFormat="1" x14ac:dyDescent="0.25">
      <c r="A5855" s="545"/>
      <c r="B5855" s="3"/>
      <c r="C5855" s="3"/>
      <c r="D5855" t="s">
        <v>6737</v>
      </c>
      <c r="G5855" s="537" t="s">
        <v>3</v>
      </c>
      <c r="H5855" s="10">
        <f>0.27*0.07*4*8*1.11</f>
        <v>0.67132800000000015</v>
      </c>
      <c r="I5855" s="538"/>
    </row>
    <row r="5856" spans="1:9" customFormat="1" x14ac:dyDescent="0.25">
      <c r="A5856" s="545"/>
      <c r="B5856" s="3"/>
      <c r="C5856" s="3"/>
      <c r="G5856" s="537"/>
      <c r="H5856" s="10"/>
      <c r="I5856" s="538"/>
    </row>
    <row r="5857" spans="1:9" customFormat="1" x14ac:dyDescent="0.25">
      <c r="A5857" s="545" t="s">
        <v>6736</v>
      </c>
      <c r="B5857" s="3" t="s">
        <v>6735</v>
      </c>
      <c r="C5857" s="3"/>
      <c r="G5857" s="537"/>
      <c r="H5857" s="10"/>
      <c r="I5857" s="538"/>
    </row>
    <row r="5858" spans="1:9" customFormat="1" x14ac:dyDescent="0.25">
      <c r="A5858" s="545" t="s">
        <v>6734</v>
      </c>
      <c r="B5858" s="3"/>
      <c r="C5858" s="3" t="s">
        <v>6733</v>
      </c>
      <c r="G5858" s="537"/>
      <c r="H5858" s="10"/>
      <c r="I5858" s="538"/>
    </row>
    <row r="5859" spans="1:9" customFormat="1" x14ac:dyDescent="0.25">
      <c r="A5859" s="545"/>
      <c r="B5859" s="3"/>
      <c r="C5859" s="25" t="s">
        <v>651</v>
      </c>
      <c r="G5859" s="537" t="s">
        <v>3</v>
      </c>
      <c r="H5859" s="10">
        <f>0.09*0.02*2*2.7*1.1</f>
        <v>1.0692000000000002E-2</v>
      </c>
      <c r="I5859" s="538"/>
    </row>
    <row r="5860" spans="1:9" customFormat="1" x14ac:dyDescent="0.25">
      <c r="A5860" s="545"/>
      <c r="B5860" s="3"/>
      <c r="C5860" s="3"/>
      <c r="G5860" s="537"/>
      <c r="H5860" s="10"/>
      <c r="I5860" s="538"/>
    </row>
    <row r="5861" spans="1:9" customFormat="1" x14ac:dyDescent="0.25">
      <c r="A5861" s="545" t="s">
        <v>6732</v>
      </c>
      <c r="B5861" s="3" t="s">
        <v>6731</v>
      </c>
      <c r="C5861" s="3"/>
      <c r="G5861" s="537"/>
      <c r="H5861" s="10"/>
      <c r="I5861" s="538"/>
    </row>
    <row r="5862" spans="1:9" customFormat="1" x14ac:dyDescent="0.25">
      <c r="A5862" s="545"/>
      <c r="B5862" s="25" t="s">
        <v>37</v>
      </c>
      <c r="C5862" s="3"/>
      <c r="G5862" s="537" t="s">
        <v>3</v>
      </c>
      <c r="H5862" s="10">
        <f>0.25*0.1*0.2*1.3</f>
        <v>6.5000000000000014E-3</v>
      </c>
      <c r="I5862" s="538"/>
    </row>
    <row r="5863" spans="1:9" customFormat="1" x14ac:dyDescent="0.25">
      <c r="A5863" s="545" t="s">
        <v>6730</v>
      </c>
      <c r="B5863" s="3"/>
      <c r="C5863" s="3" t="s">
        <v>6729</v>
      </c>
      <c r="G5863" s="537"/>
      <c r="H5863" s="10"/>
      <c r="I5863" s="538"/>
    </row>
    <row r="5864" spans="1:9" customFormat="1" x14ac:dyDescent="0.25">
      <c r="A5864" s="545"/>
      <c r="B5864" s="3"/>
      <c r="C5864" s="11" t="s">
        <v>6724</v>
      </c>
      <c r="G5864" s="603" t="s">
        <v>3</v>
      </c>
      <c r="H5864" s="10">
        <f>0.7*0.03</f>
        <v>2.0999999999999998E-2</v>
      </c>
      <c r="I5864" s="538"/>
    </row>
    <row r="5865" spans="1:9" customFormat="1" ht="17.25" x14ac:dyDescent="0.25">
      <c r="A5865" s="545"/>
      <c r="B5865" s="3"/>
      <c r="C5865" s="42" t="s">
        <v>6723</v>
      </c>
      <c r="G5865" s="603" t="s">
        <v>596</v>
      </c>
      <c r="H5865" s="10">
        <f>1.1*H5864</f>
        <v>2.3099999999999999E-2</v>
      </c>
      <c r="I5865" s="538"/>
    </row>
    <row r="5866" spans="1:9" customFormat="1" x14ac:dyDescent="0.25">
      <c r="A5866" s="545" t="s">
        <v>6728</v>
      </c>
      <c r="B5866" s="3"/>
      <c r="D5866" s="3" t="s">
        <v>6727</v>
      </c>
      <c r="G5866" s="537"/>
      <c r="H5866" s="10"/>
      <c r="I5866" s="538"/>
    </row>
    <row r="5867" spans="1:9" customFormat="1" x14ac:dyDescent="0.25">
      <c r="A5867" s="545"/>
      <c r="B5867" s="3"/>
      <c r="D5867" s="25" t="s">
        <v>37</v>
      </c>
      <c r="G5867" s="537" t="s">
        <v>3</v>
      </c>
      <c r="H5867" s="10">
        <f>0.17*0.1*0.2*1.3</f>
        <v>4.4200000000000003E-3</v>
      </c>
      <c r="I5867" s="538"/>
    </row>
    <row r="5868" spans="1:9" customFormat="1" x14ac:dyDescent="0.25">
      <c r="A5868" s="545"/>
      <c r="B5868" s="3"/>
      <c r="D5868" s="11" t="s">
        <v>6724</v>
      </c>
      <c r="G5868" s="603" t="s">
        <v>3</v>
      </c>
      <c r="H5868" s="10">
        <f>0.04*0.05*1.3</f>
        <v>2.6000000000000003E-3</v>
      </c>
      <c r="I5868" s="538"/>
    </row>
    <row r="5869" spans="1:9" customFormat="1" ht="17.25" x14ac:dyDescent="0.25">
      <c r="A5869" s="545"/>
      <c r="B5869" s="3"/>
      <c r="D5869" s="42" t="s">
        <v>6723</v>
      </c>
      <c r="G5869" s="603" t="s">
        <v>596</v>
      </c>
      <c r="H5869" s="10">
        <f>1.1*H5868</f>
        <v>2.8600000000000006E-3</v>
      </c>
      <c r="I5869" s="538"/>
    </row>
    <row r="5870" spans="1:9" customFormat="1" x14ac:dyDescent="0.25">
      <c r="A5870" s="545" t="s">
        <v>6726</v>
      </c>
      <c r="B5870" s="3"/>
      <c r="E5870" s="3" t="s">
        <v>6725</v>
      </c>
      <c r="G5870" s="537"/>
      <c r="H5870" s="10"/>
      <c r="I5870" s="538"/>
    </row>
    <row r="5871" spans="1:9" customFormat="1" x14ac:dyDescent="0.25">
      <c r="A5871" s="545"/>
      <c r="B5871" s="3"/>
      <c r="E5871" s="25" t="s">
        <v>855</v>
      </c>
      <c r="G5871" s="537" t="s">
        <v>3</v>
      </c>
      <c r="H5871" s="10">
        <f>0.345*0.155*1.5*2.7*1.1</f>
        <v>0.23823112499999999</v>
      </c>
      <c r="I5871" s="538"/>
    </row>
    <row r="5872" spans="1:9" customFormat="1" x14ac:dyDescent="0.25">
      <c r="A5872" s="545"/>
      <c r="B5872" s="3"/>
      <c r="E5872" s="11" t="s">
        <v>6724</v>
      </c>
      <c r="G5872" s="603" t="s">
        <v>3</v>
      </c>
      <c r="H5872" s="10">
        <f>0.08*0.05*1.3</f>
        <v>5.2000000000000006E-3</v>
      </c>
      <c r="I5872" s="538"/>
    </row>
    <row r="5873" spans="1:9" customFormat="1" ht="17.25" x14ac:dyDescent="0.25">
      <c r="A5873" s="545"/>
      <c r="B5873" s="3"/>
      <c r="E5873" s="42" t="s">
        <v>6723</v>
      </c>
      <c r="G5873" s="603" t="s">
        <v>596</v>
      </c>
      <c r="H5873" s="10">
        <f>1.1*H5872</f>
        <v>5.7200000000000011E-3</v>
      </c>
      <c r="I5873" s="538"/>
    </row>
    <row r="5874" spans="1:9" customFormat="1" x14ac:dyDescent="0.25">
      <c r="A5874" s="545" t="s">
        <v>6722</v>
      </c>
      <c r="B5874" s="3"/>
      <c r="D5874" s="3" t="s">
        <v>6721</v>
      </c>
      <c r="G5874" s="537"/>
      <c r="H5874" s="10"/>
      <c r="I5874" s="538"/>
    </row>
    <row r="5875" spans="1:9" customFormat="1" x14ac:dyDescent="0.25">
      <c r="A5875" s="545"/>
      <c r="B5875" s="3"/>
      <c r="D5875" s="25" t="s">
        <v>855</v>
      </c>
      <c r="G5875" s="537" t="s">
        <v>3</v>
      </c>
      <c r="H5875" s="10">
        <f>0.265*0.286*1.5*2.7*1.1</f>
        <v>0.33764444999999998</v>
      </c>
      <c r="I5875" s="538"/>
    </row>
    <row r="5876" spans="1:9" customFormat="1" x14ac:dyDescent="0.25">
      <c r="A5876" s="545" t="s">
        <v>6720</v>
      </c>
      <c r="B5876" s="3"/>
      <c r="D5876" s="3" t="s">
        <v>6719</v>
      </c>
      <c r="G5876" s="537"/>
      <c r="H5876" s="10"/>
      <c r="I5876" s="538"/>
    </row>
    <row r="5877" spans="1:9" customFormat="1" x14ac:dyDescent="0.25">
      <c r="A5877" s="545"/>
      <c r="B5877" s="3"/>
      <c r="D5877" s="25" t="s">
        <v>855</v>
      </c>
      <c r="E5877" s="25"/>
      <c r="G5877" s="537" t="s">
        <v>3</v>
      </c>
      <c r="H5877" s="10">
        <f>0.13*0.092*1.5*2.7*1.12</f>
        <v>5.4250560000000017E-2</v>
      </c>
      <c r="I5877" s="538"/>
    </row>
    <row r="5878" spans="1:9" customFormat="1" x14ac:dyDescent="0.25">
      <c r="A5878" s="545" t="s">
        <v>6718</v>
      </c>
      <c r="B5878" s="3"/>
      <c r="D5878" s="3" t="s">
        <v>6717</v>
      </c>
      <c r="G5878" s="537"/>
      <c r="H5878" s="10"/>
      <c r="I5878" s="538"/>
    </row>
    <row r="5879" spans="1:9" customFormat="1" x14ac:dyDescent="0.25">
      <c r="A5879" s="545"/>
      <c r="B5879" s="3"/>
      <c r="C5879" s="3"/>
      <c r="D5879" s="25" t="s">
        <v>855</v>
      </c>
      <c r="G5879" s="537" t="s">
        <v>3</v>
      </c>
      <c r="H5879" s="10">
        <f>0.13*0.045*1.5*2.7*1.1</f>
        <v>2.6061750000000005E-2</v>
      </c>
      <c r="I5879" s="538"/>
    </row>
    <row r="5880" spans="1:9" customFormat="1" x14ac:dyDescent="0.25">
      <c r="A5880" s="545"/>
      <c r="B5880" s="3"/>
      <c r="C5880" s="3"/>
      <c r="G5880" s="537"/>
      <c r="H5880" s="10"/>
      <c r="I5880" s="538"/>
    </row>
    <row r="5881" spans="1:9" customFormat="1" x14ac:dyDescent="0.25">
      <c r="A5881" s="545" t="s">
        <v>6716</v>
      </c>
      <c r="B5881" s="3" t="s">
        <v>6715</v>
      </c>
      <c r="C5881" s="3"/>
      <c r="G5881" s="537"/>
      <c r="H5881" s="10"/>
      <c r="I5881" s="538"/>
    </row>
    <row r="5882" spans="1:9" customFormat="1" x14ac:dyDescent="0.25">
      <c r="A5882" s="545"/>
      <c r="B5882" s="8" t="s">
        <v>1054</v>
      </c>
      <c r="C5882" s="3"/>
      <c r="G5882" s="537" t="s">
        <v>3</v>
      </c>
      <c r="H5882" s="10">
        <f>0.65*0.06*1.3</f>
        <v>5.0700000000000002E-2</v>
      </c>
      <c r="I5882" s="538"/>
    </row>
    <row r="5883" spans="1:9" customFormat="1" x14ac:dyDescent="0.25">
      <c r="A5883" s="545"/>
      <c r="B5883" t="s">
        <v>485</v>
      </c>
      <c r="C5883" s="3"/>
      <c r="G5883" s="537" t="s">
        <v>3</v>
      </c>
      <c r="H5883" s="10">
        <f>1.5*H5882</f>
        <v>7.6050000000000006E-2</v>
      </c>
      <c r="I5883" s="538"/>
    </row>
    <row r="5884" spans="1:9" customFormat="1" x14ac:dyDescent="0.25">
      <c r="A5884" s="545"/>
      <c r="B5884" s="25" t="s">
        <v>13</v>
      </c>
      <c r="C5884" s="3"/>
      <c r="G5884" s="537" t="s">
        <v>3</v>
      </c>
      <c r="H5884" s="10">
        <v>0.2</v>
      </c>
      <c r="I5884" s="538"/>
    </row>
    <row r="5885" spans="1:9" customFormat="1" x14ac:dyDescent="0.25">
      <c r="A5885" s="545"/>
      <c r="B5885" s="25" t="s">
        <v>1021</v>
      </c>
      <c r="C5885" s="3"/>
      <c r="G5885" s="537" t="s">
        <v>3</v>
      </c>
      <c r="H5885" s="10">
        <f>((0.94*0.57*2)+(0.1*(0.94*2+0.57*2))*2)*0.15*2*1.312</f>
        <v>0.65951615999999991</v>
      </c>
      <c r="I5885" s="538"/>
    </row>
    <row r="5886" spans="1:9" customFormat="1" x14ac:dyDescent="0.25">
      <c r="A5886" s="545"/>
      <c r="B5886" s="25" t="s">
        <v>661</v>
      </c>
      <c r="C5886" s="3"/>
      <c r="G5886" s="537" t="s">
        <v>3</v>
      </c>
      <c r="H5886" s="10">
        <f>0.3*H5885*1.01</f>
        <v>0.19983339647999998</v>
      </c>
      <c r="I5886" s="538"/>
    </row>
    <row r="5887" spans="1:9" customFormat="1" x14ac:dyDescent="0.25">
      <c r="A5887" s="545" t="s">
        <v>6714</v>
      </c>
      <c r="B5887" s="3"/>
      <c r="C5887" s="3" t="s">
        <v>6713</v>
      </c>
      <c r="G5887" s="623"/>
      <c r="H5887" s="10"/>
      <c r="I5887" s="538"/>
    </row>
    <row r="5888" spans="1:9" customFormat="1" x14ac:dyDescent="0.25">
      <c r="A5888" s="545"/>
      <c r="B5888" s="3"/>
      <c r="C5888" s="8" t="s">
        <v>1054</v>
      </c>
      <c r="G5888" s="537" t="s">
        <v>3</v>
      </c>
      <c r="H5888" s="10">
        <f>0.05*3.14*0.08*1.3</f>
        <v>1.6328000000000002E-2</v>
      </c>
      <c r="I5888" s="538"/>
    </row>
    <row r="5889" spans="1:10" customFormat="1" x14ac:dyDescent="0.25">
      <c r="A5889" s="545"/>
      <c r="B5889" s="3"/>
      <c r="C5889" t="s">
        <v>485</v>
      </c>
      <c r="G5889" s="537" t="s">
        <v>3</v>
      </c>
      <c r="H5889" s="10">
        <f>1.5*H5888</f>
        <v>2.4492000000000003E-2</v>
      </c>
      <c r="I5889" s="538"/>
    </row>
    <row r="5890" spans="1:10" customFormat="1" x14ac:dyDescent="0.25">
      <c r="A5890" s="545" t="s">
        <v>6712</v>
      </c>
      <c r="B5890" s="3"/>
      <c r="C5890" s="3"/>
      <c r="D5890" s="3" t="s">
        <v>6711</v>
      </c>
      <c r="G5890" s="623"/>
      <c r="H5890" s="10"/>
      <c r="I5890" s="538"/>
    </row>
    <row r="5891" spans="1:10" customFormat="1" x14ac:dyDescent="0.25">
      <c r="A5891" s="545"/>
      <c r="B5891" s="3"/>
      <c r="C5891" s="3"/>
      <c r="D5891" s="154" t="s">
        <v>6710</v>
      </c>
      <c r="E5891" s="154"/>
      <c r="G5891" s="537" t="s">
        <v>3</v>
      </c>
      <c r="H5891" s="10">
        <f>0.105*0.09*3*8*1.101</f>
        <v>0.24970680000000001</v>
      </c>
      <c r="I5891" s="538"/>
    </row>
    <row r="5892" spans="1:10" customFormat="1" x14ac:dyDescent="0.25">
      <c r="A5892" s="545" t="s">
        <v>6709</v>
      </c>
      <c r="B5892" s="3"/>
      <c r="C5892" s="3" t="s">
        <v>6708</v>
      </c>
      <c r="G5892" s="623"/>
      <c r="H5892" s="10"/>
      <c r="I5892" s="538"/>
    </row>
    <row r="5893" spans="1:10" customFormat="1" x14ac:dyDescent="0.25">
      <c r="A5893" s="545"/>
      <c r="B5893" s="3"/>
      <c r="C5893" s="8" t="s">
        <v>1054</v>
      </c>
      <c r="G5893" s="537" t="s">
        <v>3</v>
      </c>
      <c r="H5893" s="10">
        <f>0.014*3.14*0.05*1.3</f>
        <v>2.8574000000000004E-3</v>
      </c>
      <c r="I5893" s="538"/>
    </row>
    <row r="5894" spans="1:10" customFormat="1" x14ac:dyDescent="0.25">
      <c r="A5894" s="545"/>
      <c r="B5894" s="3"/>
      <c r="C5894" t="s">
        <v>485</v>
      </c>
      <c r="G5894" s="537" t="s">
        <v>3</v>
      </c>
      <c r="H5894" s="10">
        <f>1.5*H5893</f>
        <v>4.286100000000001E-3</v>
      </c>
      <c r="I5894" s="538"/>
    </row>
    <row r="5895" spans="1:10" customFormat="1" x14ac:dyDescent="0.25">
      <c r="A5895" s="545" t="s">
        <v>6707</v>
      </c>
      <c r="B5895" s="3"/>
      <c r="C5895" s="3"/>
      <c r="D5895" s="3" t="s">
        <v>6706</v>
      </c>
      <c r="G5895" s="623"/>
      <c r="H5895" s="10"/>
      <c r="I5895" s="538"/>
    </row>
    <row r="5896" spans="1:10" customFormat="1" x14ac:dyDescent="0.25">
      <c r="A5896" s="545"/>
      <c r="B5896" s="3"/>
      <c r="C5896" s="3"/>
      <c r="D5896" s="154" t="s">
        <v>272</v>
      </c>
      <c r="E5896" s="154"/>
      <c r="G5896" s="537" t="s">
        <v>3</v>
      </c>
      <c r="H5896" s="10">
        <f>0.025*0.008*2*8*1.1</f>
        <v>3.5200000000000006E-3</v>
      </c>
      <c r="I5896" s="538"/>
    </row>
    <row r="5897" spans="1:10" customFormat="1" x14ac:dyDescent="0.25">
      <c r="A5897" s="545" t="s">
        <v>6705</v>
      </c>
      <c r="B5897" s="3"/>
      <c r="C5897" s="3" t="s">
        <v>6704</v>
      </c>
      <c r="G5897" s="623"/>
      <c r="H5897" s="10"/>
      <c r="I5897" s="538"/>
    </row>
    <row r="5898" spans="1:10" customFormat="1" x14ac:dyDescent="0.25">
      <c r="A5898" s="545"/>
      <c r="B5898" s="3"/>
      <c r="C5898" s="25" t="s">
        <v>6703</v>
      </c>
      <c r="G5898" s="623" t="s">
        <v>3</v>
      </c>
      <c r="H5898" s="10">
        <v>0.53</v>
      </c>
      <c r="I5898" s="538"/>
    </row>
    <row r="5899" spans="1:10" customFormat="1" x14ac:dyDescent="0.25">
      <c r="A5899" s="545" t="s">
        <v>6702</v>
      </c>
      <c r="B5899" s="3"/>
      <c r="C5899" s="3" t="s">
        <v>6701</v>
      </c>
      <c r="G5899" s="623"/>
      <c r="H5899" s="10"/>
      <c r="I5899" s="538"/>
    </row>
    <row r="5900" spans="1:10" customFormat="1" x14ac:dyDescent="0.25">
      <c r="A5900" s="545"/>
      <c r="B5900" s="3"/>
      <c r="C5900" s="25" t="s">
        <v>55</v>
      </c>
      <c r="G5900" s="623" t="s">
        <v>3</v>
      </c>
      <c r="H5900" s="10">
        <f>0.05*0.03*3*8*1.12</f>
        <v>4.0320000000000009E-2</v>
      </c>
      <c r="I5900" s="538"/>
    </row>
    <row r="5901" spans="1:10" customFormat="1" x14ac:dyDescent="0.25">
      <c r="A5901" s="545" t="s">
        <v>6700</v>
      </c>
      <c r="B5901" s="3"/>
      <c r="C5901" s="3" t="s">
        <v>6699</v>
      </c>
      <c r="G5901" s="623"/>
      <c r="H5901" s="10"/>
      <c r="I5901" s="538"/>
    </row>
    <row r="5902" spans="1:10" customFormat="1" x14ac:dyDescent="0.25">
      <c r="A5902" s="545"/>
      <c r="B5902" s="3"/>
      <c r="C5902" s="25" t="s">
        <v>275</v>
      </c>
      <c r="G5902" s="623" t="s">
        <v>3</v>
      </c>
      <c r="H5902" s="32">
        <f>1.28*0.91*1.5*8*1.0016</f>
        <v>13.999964160000001</v>
      </c>
      <c r="I5902" s="538"/>
    </row>
    <row r="5903" spans="1:10" customFormat="1" x14ac:dyDescent="0.25">
      <c r="A5903" s="545" t="s">
        <v>6698</v>
      </c>
      <c r="B5903" s="3"/>
      <c r="C5903" s="3" t="s">
        <v>6697</v>
      </c>
      <c r="G5903" s="623"/>
      <c r="H5903" s="10"/>
      <c r="I5903" s="538"/>
    </row>
    <row r="5904" spans="1:10" customFormat="1" x14ac:dyDescent="0.25">
      <c r="A5904" s="564"/>
      <c r="B5904" s="75"/>
      <c r="C5904" s="100" t="s">
        <v>55</v>
      </c>
      <c r="D5904" s="73"/>
      <c r="E5904" s="73"/>
      <c r="F5904" s="73"/>
      <c r="G5904" s="627" t="s">
        <v>3</v>
      </c>
      <c r="H5904" s="153">
        <f>0.16*0.075*3*8*1.1</f>
        <v>0.31680000000000008</v>
      </c>
      <c r="I5904" s="538"/>
      <c r="J5904" s="73"/>
    </row>
    <row r="5905" spans="1:9" customFormat="1" x14ac:dyDescent="0.25">
      <c r="A5905" s="584"/>
      <c r="B5905" s="625"/>
      <c r="C5905" s="625"/>
      <c r="D5905" s="539"/>
      <c r="E5905" s="539"/>
      <c r="F5905" s="539"/>
      <c r="G5905" s="624"/>
      <c r="H5905" s="600"/>
      <c r="I5905" s="540"/>
    </row>
    <row r="5906" spans="1:9" customFormat="1" x14ac:dyDescent="0.25">
      <c r="A5906" s="633" t="s">
        <v>6696</v>
      </c>
      <c r="B5906" s="75"/>
      <c r="C5906" s="75"/>
      <c r="D5906" s="73"/>
      <c r="E5906" s="73"/>
      <c r="F5906" s="73"/>
      <c r="G5906" s="128"/>
      <c r="H5906" s="632" t="s">
        <v>6695</v>
      </c>
      <c r="I5906" s="631"/>
    </row>
    <row r="5907" spans="1:9" customFormat="1" ht="21" x14ac:dyDescent="0.35">
      <c r="A5907" s="628"/>
      <c r="B5907" s="630" t="s">
        <v>6694</v>
      </c>
      <c r="C5907" s="75"/>
      <c r="D5907" s="73"/>
      <c r="E5907" s="73"/>
      <c r="F5907" s="73"/>
      <c r="G5907" s="627"/>
      <c r="H5907" s="153"/>
      <c r="I5907" s="538"/>
    </row>
    <row r="5908" spans="1:9" customFormat="1" x14ac:dyDescent="0.25">
      <c r="A5908" s="628"/>
      <c r="B5908" s="75"/>
      <c r="C5908" s="75"/>
      <c r="D5908" s="73"/>
      <c r="E5908" s="73"/>
      <c r="F5908" s="73"/>
      <c r="G5908" s="627"/>
      <c r="H5908" s="153"/>
      <c r="I5908" s="538"/>
    </row>
    <row r="5909" spans="1:9" customFormat="1" x14ac:dyDescent="0.25">
      <c r="A5909" s="629"/>
      <c r="B5909" s="75" t="s">
        <v>6693</v>
      </c>
      <c r="C5909" s="75"/>
      <c r="D5909" s="73"/>
      <c r="E5909" s="73"/>
      <c r="F5909" s="73"/>
      <c r="G5909" s="627"/>
      <c r="H5909" s="153"/>
      <c r="I5909" s="538"/>
    </row>
    <row r="5910" spans="1:9" customFormat="1" x14ac:dyDescent="0.25">
      <c r="A5910" s="628"/>
      <c r="B5910" s="100" t="s">
        <v>651</v>
      </c>
      <c r="C5910" s="75"/>
      <c r="D5910" s="73"/>
      <c r="E5910" s="73"/>
      <c r="F5910" s="73"/>
      <c r="G5910" s="627" t="s">
        <v>3</v>
      </c>
      <c r="H5910" s="153">
        <f>0.66*0.485*2*2.7*1.1225</f>
        <v>1.9402861500000004</v>
      </c>
      <c r="I5910" s="538"/>
    </row>
    <row r="5911" spans="1:9" customFormat="1" x14ac:dyDescent="0.25">
      <c r="A5911" s="628"/>
      <c r="B5911" s="75"/>
      <c r="C5911" s="75"/>
      <c r="D5911" s="73"/>
      <c r="E5911" s="73"/>
      <c r="F5911" s="73"/>
      <c r="G5911" s="627"/>
      <c r="H5911" s="153"/>
      <c r="I5911" s="538"/>
    </row>
    <row r="5912" spans="1:9" customFormat="1" x14ac:dyDescent="0.25">
      <c r="A5912" s="629"/>
      <c r="B5912" s="75" t="s">
        <v>6692</v>
      </c>
      <c r="C5912" s="75"/>
      <c r="D5912" s="73"/>
      <c r="E5912" s="73"/>
      <c r="F5912" s="73"/>
      <c r="G5912" s="627"/>
      <c r="H5912" s="153"/>
      <c r="I5912" s="538"/>
    </row>
    <row r="5913" spans="1:9" customFormat="1" x14ac:dyDescent="0.25">
      <c r="A5913" s="628"/>
      <c r="B5913" s="100" t="s">
        <v>651</v>
      </c>
      <c r="C5913" s="75"/>
      <c r="D5913" s="73"/>
      <c r="E5913" s="73"/>
      <c r="F5913" s="73"/>
      <c r="G5913" s="627" t="s">
        <v>3</v>
      </c>
      <c r="H5913" s="153">
        <f>0.3*0.07*2*2.7*1.12</f>
        <v>0.12700800000000004</v>
      </c>
      <c r="I5913" s="538"/>
    </row>
    <row r="5914" spans="1:9" customFormat="1" x14ac:dyDescent="0.25">
      <c r="A5914" s="628"/>
      <c r="B5914" s="75"/>
      <c r="C5914" s="75"/>
      <c r="D5914" s="73"/>
      <c r="E5914" s="73"/>
      <c r="F5914" s="73"/>
      <c r="G5914" s="627"/>
      <c r="H5914" s="153"/>
      <c r="I5914" s="538"/>
    </row>
    <row r="5915" spans="1:9" customFormat="1" x14ac:dyDescent="0.25">
      <c r="A5915" s="629"/>
      <c r="B5915" s="75" t="s">
        <v>6691</v>
      </c>
      <c r="C5915" s="75"/>
      <c r="D5915" s="73"/>
      <c r="E5915" s="73"/>
      <c r="F5915" s="73"/>
      <c r="G5915" s="627"/>
      <c r="H5915" s="153"/>
      <c r="I5915" s="538"/>
    </row>
    <row r="5916" spans="1:9" customFormat="1" x14ac:dyDescent="0.25">
      <c r="A5916" s="628"/>
      <c r="B5916" s="100" t="s">
        <v>800</v>
      </c>
      <c r="C5916" s="75"/>
      <c r="D5916" s="73"/>
      <c r="E5916" s="73"/>
      <c r="F5916" s="73"/>
      <c r="G5916" s="627" t="s">
        <v>3</v>
      </c>
      <c r="H5916" s="153">
        <f>1.05*0.04*5*8*1.131</f>
        <v>1.9000800000000002</v>
      </c>
      <c r="I5916" s="538"/>
    </row>
    <row r="5917" spans="1:9" customFormat="1" x14ac:dyDescent="0.25">
      <c r="A5917" s="626"/>
      <c r="B5917" s="625"/>
      <c r="C5917" s="625"/>
      <c r="D5917" s="539"/>
      <c r="E5917" s="539"/>
      <c r="F5917" s="539"/>
      <c r="G5917" s="624"/>
      <c r="H5917" s="600"/>
      <c r="I5917" s="540"/>
    </row>
    <row r="5918" spans="1:9" customFormat="1" x14ac:dyDescent="0.25">
      <c r="A5918" s="545"/>
      <c r="B5918" s="3"/>
      <c r="C5918" s="3"/>
      <c r="G5918" s="623"/>
      <c r="H5918" s="10"/>
      <c r="I5918" s="601"/>
    </row>
    <row r="5919" spans="1:9" customFormat="1" x14ac:dyDescent="0.25">
      <c r="A5919" s="545"/>
      <c r="B5919" s="3" t="s">
        <v>9533</v>
      </c>
      <c r="C5919" s="3"/>
      <c r="G5919" s="623"/>
      <c r="H5919" s="10"/>
      <c r="I5919" s="538"/>
    </row>
    <row r="5920" spans="1:9" customFormat="1" x14ac:dyDescent="0.25">
      <c r="A5920" s="545"/>
      <c r="B5920" s="100" t="s">
        <v>9535</v>
      </c>
      <c r="C5920" s="73"/>
      <c r="D5920" s="73"/>
      <c r="E5920" s="73"/>
      <c r="F5920" s="73"/>
      <c r="G5920" s="74" t="s">
        <v>1516</v>
      </c>
      <c r="H5920" s="10">
        <v>2</v>
      </c>
      <c r="I5920" s="538"/>
    </row>
    <row r="5921" spans="1:11" customFormat="1" x14ac:dyDescent="0.25">
      <c r="A5921" s="545"/>
      <c r="B5921" s="25" t="s">
        <v>9534</v>
      </c>
      <c r="C5921" s="3"/>
      <c r="G5921" s="623" t="s">
        <v>3</v>
      </c>
      <c r="H5921" s="10">
        <v>4.0000000000000001E-3</v>
      </c>
      <c r="I5921" s="538"/>
    </row>
    <row r="5922" spans="1:11" customFormat="1" x14ac:dyDescent="0.25">
      <c r="A5922" s="584"/>
      <c r="B5922" s="625"/>
      <c r="C5922" s="625"/>
      <c r="D5922" s="539"/>
      <c r="E5922" s="539"/>
      <c r="F5922" s="539"/>
      <c r="G5922" s="624"/>
      <c r="H5922" s="600"/>
      <c r="I5922" s="540"/>
    </row>
    <row r="5923" spans="1:11" customFormat="1" x14ac:dyDescent="0.25">
      <c r="A5923" s="545"/>
      <c r="B5923" s="3"/>
      <c r="C5923" s="3"/>
      <c r="G5923" s="623"/>
      <c r="H5923" s="10"/>
    </row>
    <row r="5924" spans="1:11" customFormat="1" x14ac:dyDescent="0.25">
      <c r="A5924" s="545"/>
      <c r="B5924" s="3"/>
      <c r="C5924" s="3"/>
      <c r="G5924" s="623"/>
      <c r="H5924" s="10"/>
    </row>
    <row r="5925" spans="1:11" customFormat="1" x14ac:dyDescent="0.25">
      <c r="A5925" s="545"/>
      <c r="B5925" s="3"/>
      <c r="C5925" s="3"/>
      <c r="G5925" s="623"/>
      <c r="H5925" s="10"/>
    </row>
    <row r="5926" spans="1:11" customFormat="1" x14ac:dyDescent="0.25">
      <c r="A5926" s="545"/>
      <c r="B5926" s="3"/>
      <c r="C5926" s="3"/>
      <c r="G5926" s="623"/>
      <c r="H5926" s="10"/>
    </row>
    <row r="5927" spans="1:11" customFormat="1" x14ac:dyDescent="0.25">
      <c r="A5927" s="545"/>
      <c r="B5927" s="3"/>
      <c r="C5927" s="3"/>
      <c r="G5927" s="623"/>
      <c r="H5927" s="10"/>
    </row>
    <row r="5928" spans="1:11" customFormat="1" x14ac:dyDescent="0.25">
      <c r="A5928" s="545"/>
      <c r="B5928" s="3"/>
      <c r="C5928" s="3"/>
      <c r="G5928" s="623"/>
      <c r="H5928" s="10"/>
    </row>
    <row r="5929" spans="1:11" customFormat="1" x14ac:dyDescent="0.25">
      <c r="A5929" s="545"/>
      <c r="B5929" s="3"/>
      <c r="C5929" s="3"/>
      <c r="G5929" s="623"/>
      <c r="H5929" s="10"/>
    </row>
    <row r="5930" spans="1:11" customFormat="1" x14ac:dyDescent="0.25">
      <c r="A5930" s="545"/>
      <c r="B5930" s="3"/>
      <c r="C5930" s="3"/>
      <c r="G5930" s="623"/>
      <c r="H5930" s="10"/>
    </row>
    <row r="5931" spans="1:11" customFormat="1" x14ac:dyDescent="0.25">
      <c r="A5931" s="567" t="s">
        <v>6690</v>
      </c>
      <c r="B5931" s="3" t="s">
        <v>6689</v>
      </c>
      <c r="D5931" s="3"/>
      <c r="E5931" s="3"/>
      <c r="G5931" s="537"/>
      <c r="H5931" s="10"/>
      <c r="J5931" s="242"/>
      <c r="K5931" s="326"/>
    </row>
    <row r="5932" spans="1:11" customFormat="1" x14ac:dyDescent="0.25">
      <c r="A5932" s="545"/>
      <c r="D5932" s="3"/>
      <c r="E5932" s="3"/>
      <c r="G5932" s="537"/>
      <c r="H5932" s="10"/>
      <c r="I5932">
        <f>0.7*1.074*4*2</f>
        <v>6.0144000000000002</v>
      </c>
      <c r="J5932" s="242"/>
      <c r="K5932" s="326"/>
    </row>
    <row r="5933" spans="1:11" customFormat="1" x14ac:dyDescent="0.25">
      <c r="A5933" s="545"/>
      <c r="B5933" s="3" t="s">
        <v>6688</v>
      </c>
      <c r="G5933" s="537"/>
      <c r="H5933" s="10"/>
      <c r="J5933" s="242"/>
      <c r="K5933" s="326"/>
    </row>
    <row r="5934" spans="1:11" customFormat="1" x14ac:dyDescent="0.25">
      <c r="A5934" s="545"/>
      <c r="B5934" t="s">
        <v>6687</v>
      </c>
      <c r="G5934" s="537" t="s">
        <v>3</v>
      </c>
      <c r="H5934" s="2">
        <f>0.7*0.12*4*2-0.002</f>
        <v>0.66999999999999993</v>
      </c>
      <c r="J5934" s="242"/>
      <c r="K5934" s="326"/>
    </row>
    <row r="5935" spans="1:11" customFormat="1" x14ac:dyDescent="0.25">
      <c r="A5935" s="545"/>
      <c r="G5935" s="537"/>
      <c r="H5935" s="2">
        <f>0.7*0.12*4*1.9-0.002</f>
        <v>0.63639999999999985</v>
      </c>
      <c r="J5935" s="242"/>
      <c r="K5935" s="326"/>
    </row>
    <row r="5936" spans="1:11" customFormat="1" x14ac:dyDescent="0.25">
      <c r="A5936" s="545"/>
      <c r="G5936" s="537"/>
      <c r="H5936" s="10"/>
      <c r="J5936" s="242"/>
      <c r="K5936" s="326"/>
    </row>
    <row r="5937" spans="1:11" customFormat="1" x14ac:dyDescent="0.25">
      <c r="A5937" s="545"/>
      <c r="G5937" s="537"/>
      <c r="H5937" s="10"/>
      <c r="J5937" s="242"/>
      <c r="K5937" s="326"/>
    </row>
    <row r="5938" spans="1:11" x14ac:dyDescent="0.25">
      <c r="B5938" s="75"/>
    </row>
  </sheetData>
  <pageMargins left="0.9055118110236221" right="0.70866141732283472" top="0.15748031496062992" bottom="0.15748031496062992" header="0.31496062992125984" footer="0.31496062992125984"/>
  <pageSetup paperSize="9" orientation="portrait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431"/>
  <sheetViews>
    <sheetView topLeftCell="A370" workbookViewId="0">
      <selection activeCell="C381" sqref="C381"/>
    </sheetView>
  </sheetViews>
  <sheetFormatPr defaultRowHeight="15" x14ac:dyDescent="0.25"/>
  <cols>
    <col min="1" max="1" width="9" style="1" customWidth="1"/>
    <col min="2" max="2" width="2.5703125" customWidth="1"/>
    <col min="3" max="3" width="2.42578125" customWidth="1"/>
    <col min="4" max="4" width="41.7109375" customWidth="1"/>
    <col min="5" max="5" width="4.85546875" customWidth="1"/>
    <col min="6" max="6" width="9.140625" style="2"/>
  </cols>
  <sheetData>
    <row r="1" spans="1:10" x14ac:dyDescent="0.25">
      <c r="A1" s="1">
        <v>1</v>
      </c>
      <c r="B1" s="3" t="s">
        <v>0</v>
      </c>
    </row>
    <row r="2" spans="1:10" x14ac:dyDescent="0.25">
      <c r="C2" s="4" t="s">
        <v>1</v>
      </c>
    </row>
    <row r="3" spans="1:10" x14ac:dyDescent="0.25">
      <c r="C3" t="s">
        <v>2</v>
      </c>
      <c r="E3" s="5" t="s">
        <v>3</v>
      </c>
      <c r="F3" s="6">
        <f>0.676*0.1*4*1.8*1.08</f>
        <v>0.52565760000000006</v>
      </c>
      <c r="H3" s="6">
        <f>0.7*0.105*4*1.8*1.05</f>
        <v>0.55566000000000004</v>
      </c>
    </row>
    <row r="4" spans="1:10" x14ac:dyDescent="0.25">
      <c r="C4" s="4" t="s">
        <v>5</v>
      </c>
      <c r="E4" s="5"/>
      <c r="F4" s="6"/>
    </row>
    <row r="5" spans="1:10" x14ac:dyDescent="0.25">
      <c r="C5" t="s">
        <v>6</v>
      </c>
      <c r="E5" s="5" t="s">
        <v>3</v>
      </c>
      <c r="F5" s="7">
        <f>(0.15*0.75*0.15*8.9*1.1)/2</f>
        <v>8.2603124999999986E-2</v>
      </c>
      <c r="I5" s="2"/>
      <c r="J5" t="s">
        <v>7</v>
      </c>
    </row>
    <row r="6" spans="1:10" x14ac:dyDescent="0.25">
      <c r="C6" s="4" t="s">
        <v>4</v>
      </c>
      <c r="E6" s="5"/>
      <c r="F6" s="8"/>
    </row>
    <row r="7" spans="1:10" x14ac:dyDescent="0.25">
      <c r="C7" t="s">
        <v>6</v>
      </c>
      <c r="E7" s="5" t="s">
        <v>3</v>
      </c>
      <c r="F7" s="7">
        <f>(0.15*0.75*0.15*8.9*1.1)/2</f>
        <v>8.2603124999999986E-2</v>
      </c>
    </row>
    <row r="8" spans="1:10" x14ac:dyDescent="0.25">
      <c r="I8" s="117" t="s">
        <v>10043</v>
      </c>
    </row>
    <row r="9" spans="1:10" x14ac:dyDescent="0.25">
      <c r="A9" s="1">
        <v>1</v>
      </c>
      <c r="B9" s="3" t="s">
        <v>10</v>
      </c>
      <c r="I9" t="s">
        <v>10044</v>
      </c>
    </row>
    <row r="10" spans="1:10" x14ac:dyDescent="0.25">
      <c r="C10" t="s">
        <v>8</v>
      </c>
      <c r="E10" s="5" t="s">
        <v>3</v>
      </c>
      <c r="F10" s="2">
        <f>(0.1*0.04*4+0.2*0.04*4)*0.1*1.5</f>
        <v>7.2000000000000007E-3</v>
      </c>
      <c r="I10" s="783">
        <v>18</v>
      </c>
    </row>
    <row r="11" spans="1:10" x14ac:dyDescent="0.25">
      <c r="C11" t="s">
        <v>12</v>
      </c>
      <c r="E11" s="5" t="s">
        <v>3</v>
      </c>
      <c r="F11" s="2">
        <f>0.3*F10</f>
        <v>2.16E-3</v>
      </c>
      <c r="I11" s="783">
        <v>19</v>
      </c>
    </row>
    <row r="12" spans="1:10" x14ac:dyDescent="0.25">
      <c r="C12" t="s">
        <v>9</v>
      </c>
      <c r="E12" s="5" t="s">
        <v>3</v>
      </c>
      <c r="F12" s="2">
        <f>(0.1*0.04*4+0.2*0.04*4)*0.15*2*1.2</f>
        <v>1.728E-2</v>
      </c>
      <c r="I12" s="783">
        <v>24</v>
      </c>
    </row>
    <row r="13" spans="1:10" x14ac:dyDescent="0.25">
      <c r="C13" t="s">
        <v>11</v>
      </c>
      <c r="E13" s="5" t="s">
        <v>3</v>
      </c>
      <c r="F13" s="2">
        <f>0.3*F12</f>
        <v>5.1840000000000002E-3</v>
      </c>
      <c r="I13" s="783">
        <v>26</v>
      </c>
    </row>
    <row r="14" spans="1:10" x14ac:dyDescent="0.25">
      <c r="C14" t="s">
        <v>13</v>
      </c>
      <c r="E14" s="5" t="s">
        <v>3</v>
      </c>
      <c r="F14" s="2">
        <v>1.4999999999999999E-2</v>
      </c>
      <c r="I14" s="783">
        <v>27</v>
      </c>
    </row>
    <row r="15" spans="1:10" x14ac:dyDescent="0.25">
      <c r="I15" s="783">
        <v>28</v>
      </c>
    </row>
    <row r="16" spans="1:10" x14ac:dyDescent="0.25">
      <c r="B16" s="117" t="s">
        <v>550</v>
      </c>
      <c r="I16" s="783">
        <v>29</v>
      </c>
    </row>
    <row r="17" spans="1:9" x14ac:dyDescent="0.25">
      <c r="B17" t="s">
        <v>573</v>
      </c>
      <c r="E17" s="5" t="s">
        <v>195</v>
      </c>
      <c r="F17" s="2">
        <v>2.02</v>
      </c>
      <c r="I17" s="783">
        <v>30</v>
      </c>
    </row>
    <row r="18" spans="1:9" x14ac:dyDescent="0.25">
      <c r="B18" t="s">
        <v>574</v>
      </c>
      <c r="E18" s="5" t="s">
        <v>195</v>
      </c>
      <c r="F18" s="2">
        <v>2.52</v>
      </c>
      <c r="I18" s="783">
        <v>31</v>
      </c>
    </row>
    <row r="19" spans="1:9" x14ac:dyDescent="0.25">
      <c r="B19" t="s">
        <v>575</v>
      </c>
      <c r="E19" s="5" t="s">
        <v>3</v>
      </c>
      <c r="F19" s="2">
        <v>0.02</v>
      </c>
      <c r="I19" s="783">
        <v>33</v>
      </c>
    </row>
    <row r="20" spans="1:9" x14ac:dyDescent="0.25">
      <c r="A20" s="118">
        <v>1</v>
      </c>
      <c r="B20" s="3" t="s">
        <v>551</v>
      </c>
      <c r="E20" s="116"/>
      <c r="F20" s="10"/>
      <c r="I20" s="783">
        <v>37</v>
      </c>
    </row>
    <row r="21" spans="1:9" x14ac:dyDescent="0.25">
      <c r="A21" s="119"/>
      <c r="B21" t="s">
        <v>552</v>
      </c>
      <c r="E21" s="116" t="s">
        <v>195</v>
      </c>
      <c r="F21" s="10">
        <v>0.78</v>
      </c>
      <c r="I21" s="783">
        <v>38</v>
      </c>
    </row>
    <row r="22" spans="1:9" x14ac:dyDescent="0.25">
      <c r="A22" s="119"/>
      <c r="B22" t="s">
        <v>560</v>
      </c>
      <c r="E22" s="116" t="s">
        <v>3</v>
      </c>
      <c r="F22" s="10">
        <f>0.005</f>
        <v>5.0000000000000001E-3</v>
      </c>
      <c r="I22" s="783">
        <v>40</v>
      </c>
    </row>
    <row r="23" spans="1:9" x14ac:dyDescent="0.25">
      <c r="A23" s="119"/>
      <c r="C23" s="4" t="s">
        <v>553</v>
      </c>
      <c r="E23" s="116"/>
      <c r="F23" s="10"/>
      <c r="I23" s="783">
        <v>41</v>
      </c>
    </row>
    <row r="24" spans="1:9" x14ac:dyDescent="0.25">
      <c r="A24" s="119"/>
      <c r="C24" s="77" t="s">
        <v>39</v>
      </c>
      <c r="E24" s="116" t="s">
        <v>3</v>
      </c>
      <c r="F24" s="10">
        <f>(0.025*3.14*4+0.09*3.14)*0.04*1.3</f>
        <v>3.1023200000000001E-2</v>
      </c>
      <c r="I24" s="783">
        <v>42</v>
      </c>
    </row>
    <row r="25" spans="1:9" x14ac:dyDescent="0.25">
      <c r="A25" s="119"/>
      <c r="C25" s="77" t="s">
        <v>40</v>
      </c>
      <c r="E25" s="116" t="s">
        <v>3</v>
      </c>
      <c r="F25" s="10">
        <f>1.5*F24</f>
        <v>4.6534800000000001E-2</v>
      </c>
      <c r="I25" s="783">
        <v>43</v>
      </c>
    </row>
    <row r="26" spans="1:9" x14ac:dyDescent="0.25">
      <c r="A26" s="119"/>
      <c r="C26" s="77" t="s">
        <v>8</v>
      </c>
      <c r="E26" s="116" t="s">
        <v>3</v>
      </c>
      <c r="F26" s="10">
        <f>0.02</f>
        <v>0.02</v>
      </c>
      <c r="I26" s="783">
        <v>44</v>
      </c>
    </row>
    <row r="27" spans="1:9" x14ac:dyDescent="0.25">
      <c r="A27" s="119"/>
      <c r="C27" s="77" t="s">
        <v>12</v>
      </c>
      <c r="E27" s="116" t="s">
        <v>3</v>
      </c>
      <c r="F27" s="10">
        <f>0.3*F26</f>
        <v>6.0000000000000001E-3</v>
      </c>
      <c r="I27" s="783">
        <v>45</v>
      </c>
    </row>
    <row r="28" spans="1:9" x14ac:dyDescent="0.25">
      <c r="A28" s="119"/>
      <c r="C28" s="77" t="s">
        <v>72</v>
      </c>
      <c r="E28" s="116" t="s">
        <v>3</v>
      </c>
      <c r="F28" s="10">
        <f>0.16*0.16*3*0.15*2*1.3</f>
        <v>2.9952000000000003E-2</v>
      </c>
      <c r="I28" s="783">
        <v>46</v>
      </c>
    </row>
    <row r="29" spans="1:9" x14ac:dyDescent="0.25">
      <c r="A29" s="119"/>
      <c r="C29" s="77" t="s">
        <v>11</v>
      </c>
      <c r="E29" s="116" t="s">
        <v>3</v>
      </c>
      <c r="F29" s="10">
        <f>0.3*F28</f>
        <v>8.9855999999999998E-3</v>
      </c>
      <c r="I29" s="783">
        <v>48</v>
      </c>
    </row>
    <row r="30" spans="1:9" x14ac:dyDescent="0.25">
      <c r="A30" s="119"/>
      <c r="D30" s="4" t="s">
        <v>554</v>
      </c>
      <c r="E30" s="116"/>
      <c r="F30" s="10"/>
      <c r="I30" s="783"/>
    </row>
    <row r="31" spans="1:9" x14ac:dyDescent="0.25">
      <c r="A31" s="119"/>
      <c r="D31" t="s">
        <v>555</v>
      </c>
      <c r="E31" s="116" t="s">
        <v>3</v>
      </c>
      <c r="F31" s="10">
        <v>0.37</v>
      </c>
      <c r="I31" s="783"/>
    </row>
    <row r="32" spans="1:9" x14ac:dyDescent="0.25">
      <c r="A32" s="119"/>
      <c r="D32" s="4" t="s">
        <v>556</v>
      </c>
      <c r="E32" s="116"/>
      <c r="F32" s="10"/>
      <c r="I32" s="783"/>
    </row>
    <row r="33" spans="1:9" x14ac:dyDescent="0.25">
      <c r="A33" s="119"/>
      <c r="D33" t="s">
        <v>557</v>
      </c>
      <c r="E33" s="116" t="s">
        <v>3</v>
      </c>
      <c r="F33" s="10">
        <v>0.28999999999999998</v>
      </c>
      <c r="I33" s="783"/>
    </row>
    <row r="34" spans="1:9" x14ac:dyDescent="0.25">
      <c r="A34" s="119"/>
      <c r="D34" s="4" t="s">
        <v>558</v>
      </c>
      <c r="E34" s="116"/>
      <c r="F34" s="10"/>
      <c r="I34" s="783"/>
    </row>
    <row r="35" spans="1:9" x14ac:dyDescent="0.25">
      <c r="A35" s="119"/>
      <c r="D35" t="s">
        <v>557</v>
      </c>
      <c r="E35" s="116" t="s">
        <v>3</v>
      </c>
      <c r="F35" s="10">
        <f>0.23</f>
        <v>0.23</v>
      </c>
      <c r="I35" s="783"/>
    </row>
    <row r="36" spans="1:9" x14ac:dyDescent="0.25">
      <c r="A36" s="119"/>
      <c r="D36" s="4" t="s">
        <v>559</v>
      </c>
      <c r="E36" s="116"/>
      <c r="F36" s="10"/>
    </row>
    <row r="37" spans="1:9" x14ac:dyDescent="0.25">
      <c r="A37" s="119"/>
      <c r="D37" t="s">
        <v>557</v>
      </c>
      <c r="E37" s="116" t="s">
        <v>3</v>
      </c>
      <c r="F37" s="10">
        <v>7.4999999999999997E-2</v>
      </c>
    </row>
    <row r="38" spans="1:9" x14ac:dyDescent="0.25">
      <c r="A38" s="118">
        <v>2</v>
      </c>
      <c r="B38" s="3" t="s">
        <v>561</v>
      </c>
      <c r="E38" s="116"/>
      <c r="F38" s="10"/>
    </row>
    <row r="39" spans="1:9" x14ac:dyDescent="0.25">
      <c r="A39" s="119"/>
      <c r="B39" t="s">
        <v>562</v>
      </c>
      <c r="E39" s="116" t="s">
        <v>195</v>
      </c>
      <c r="F39" s="10">
        <v>2.0699999999999998</v>
      </c>
    </row>
    <row r="40" spans="1:9" x14ac:dyDescent="0.25">
      <c r="A40" s="118">
        <v>3</v>
      </c>
      <c r="B40" s="4" t="s">
        <v>563</v>
      </c>
      <c r="E40" s="116"/>
      <c r="F40" s="10"/>
    </row>
    <row r="41" spans="1:9" x14ac:dyDescent="0.25">
      <c r="A41" s="119"/>
      <c r="B41" s="77" t="s">
        <v>39</v>
      </c>
      <c r="E41" s="116" t="s">
        <v>3</v>
      </c>
      <c r="F41" s="10">
        <f>0.016*3.14*2*0.03*1.3</f>
        <v>3.9187200000000005E-3</v>
      </c>
    </row>
    <row r="42" spans="1:9" x14ac:dyDescent="0.25">
      <c r="A42" s="119"/>
      <c r="B42" s="77" t="s">
        <v>40</v>
      </c>
      <c r="E42" s="116" t="s">
        <v>3</v>
      </c>
      <c r="F42" s="10">
        <f>1.5*F41</f>
        <v>5.8780800000000008E-3</v>
      </c>
    </row>
    <row r="43" spans="1:9" x14ac:dyDescent="0.25">
      <c r="A43" s="119"/>
      <c r="C43" s="4" t="s">
        <v>564</v>
      </c>
      <c r="E43" s="116"/>
      <c r="F43" s="10"/>
    </row>
    <row r="44" spans="1:9" x14ac:dyDescent="0.25">
      <c r="A44" s="119"/>
      <c r="C44" t="s">
        <v>55</v>
      </c>
      <c r="E44" s="116" t="s">
        <v>3</v>
      </c>
      <c r="F44" s="10">
        <f>0.172*0.045*3*8*1.04</f>
        <v>0.19319039999999998</v>
      </c>
    </row>
    <row r="45" spans="1:9" x14ac:dyDescent="0.25">
      <c r="A45" s="118">
        <v>4</v>
      </c>
      <c r="B45" s="3" t="s">
        <v>570</v>
      </c>
      <c r="E45" s="116"/>
      <c r="F45" s="10"/>
    </row>
    <row r="46" spans="1:9" x14ac:dyDescent="0.25">
      <c r="A46" s="119"/>
      <c r="B46" s="77" t="s">
        <v>39</v>
      </c>
      <c r="E46" s="116" t="s">
        <v>3</v>
      </c>
      <c r="F46" s="10">
        <f>0.025*3.14*0.04*1.3</f>
        <v>4.0820000000000006E-3</v>
      </c>
    </row>
    <row r="47" spans="1:9" x14ac:dyDescent="0.25">
      <c r="A47" s="119"/>
      <c r="B47" s="77" t="s">
        <v>40</v>
      </c>
      <c r="E47" s="116" t="s">
        <v>3</v>
      </c>
      <c r="F47" s="10">
        <f>1.5*F46</f>
        <v>6.1230000000000008E-3</v>
      </c>
    </row>
    <row r="48" spans="1:9" x14ac:dyDescent="0.25">
      <c r="A48" s="119"/>
      <c r="B48" s="77" t="s">
        <v>143</v>
      </c>
      <c r="E48" s="116" t="s">
        <v>3</v>
      </c>
      <c r="F48" s="10">
        <v>0.01</v>
      </c>
    </row>
    <row r="49" spans="1:6" x14ac:dyDescent="0.25">
      <c r="A49" s="119"/>
      <c r="B49" s="77" t="s">
        <v>8</v>
      </c>
      <c r="E49" s="116" t="s">
        <v>3</v>
      </c>
      <c r="F49" s="10">
        <v>8.0000000000000002E-3</v>
      </c>
    </row>
    <row r="50" spans="1:6" x14ac:dyDescent="0.25">
      <c r="A50" s="119"/>
      <c r="B50" s="77" t="s">
        <v>566</v>
      </c>
      <c r="E50" s="116" t="s">
        <v>3</v>
      </c>
      <c r="F50" s="10">
        <f>0.3*(F49+F617)</f>
        <v>2.3999999999999998E-3</v>
      </c>
    </row>
    <row r="51" spans="1:6" x14ac:dyDescent="0.25">
      <c r="A51" s="119"/>
      <c r="B51" s="77" t="s">
        <v>72</v>
      </c>
      <c r="E51" s="116" t="s">
        <v>3</v>
      </c>
      <c r="F51" s="10">
        <f>0.2*0.02*2*1.5</f>
        <v>1.2E-2</v>
      </c>
    </row>
    <row r="52" spans="1:6" x14ac:dyDescent="0.25">
      <c r="A52" s="119"/>
      <c r="B52" s="77" t="s">
        <v>11</v>
      </c>
      <c r="E52" s="116" t="s">
        <v>3</v>
      </c>
      <c r="F52" s="10">
        <f>0.3*F51</f>
        <v>3.5999999999999999E-3</v>
      </c>
    </row>
    <row r="53" spans="1:6" x14ac:dyDescent="0.25">
      <c r="A53" s="119"/>
      <c r="C53" s="4" t="s">
        <v>567</v>
      </c>
    </row>
    <row r="54" spans="1:6" x14ac:dyDescent="0.25">
      <c r="A54" s="119"/>
      <c r="C54" t="s">
        <v>557</v>
      </c>
      <c r="E54" s="116" t="s">
        <v>3</v>
      </c>
      <c r="F54" s="10">
        <v>0.22500000000000001</v>
      </c>
    </row>
    <row r="55" spans="1:6" x14ac:dyDescent="0.25">
      <c r="A55" s="119"/>
      <c r="C55" s="3" t="s">
        <v>571</v>
      </c>
      <c r="E55" s="116"/>
      <c r="F55" s="10"/>
    </row>
    <row r="56" spans="1:6" x14ac:dyDescent="0.25">
      <c r="A56" s="119"/>
      <c r="C56" t="s">
        <v>572</v>
      </c>
      <c r="E56" s="116" t="s">
        <v>3</v>
      </c>
      <c r="F56" s="10">
        <f>0.08</f>
        <v>0.08</v>
      </c>
    </row>
    <row r="57" spans="1:6" x14ac:dyDescent="0.25">
      <c r="A57" s="118">
        <v>5</v>
      </c>
      <c r="B57" s="3" t="s">
        <v>565</v>
      </c>
      <c r="E57" s="116"/>
      <c r="F57" s="10"/>
    </row>
    <row r="58" spans="1:6" x14ac:dyDescent="0.25">
      <c r="A58" s="119"/>
      <c r="B58" t="s">
        <v>481</v>
      </c>
      <c r="E58" s="116" t="s">
        <v>3</v>
      </c>
      <c r="F58" s="10">
        <f>0.012*3.14*2*0.08*1.2</f>
        <v>7.234560000000001E-3</v>
      </c>
    </row>
    <row r="59" spans="1:6" x14ac:dyDescent="0.25">
      <c r="A59" s="119"/>
      <c r="B59" t="s">
        <v>23</v>
      </c>
      <c r="E59" s="116" t="s">
        <v>3</v>
      </c>
      <c r="F59" s="10">
        <f>F58*2</f>
        <v>1.4469120000000002E-2</v>
      </c>
    </row>
    <row r="60" spans="1:6" x14ac:dyDescent="0.25">
      <c r="A60" s="119"/>
      <c r="B60" t="s">
        <v>24</v>
      </c>
      <c r="E60" s="116" t="s">
        <v>3</v>
      </c>
      <c r="F60" s="10">
        <f>F58/4</f>
        <v>1.8086400000000002E-3</v>
      </c>
    </row>
    <row r="61" spans="1:6" x14ac:dyDescent="0.25">
      <c r="A61" s="119"/>
      <c r="B61" s="77" t="s">
        <v>143</v>
      </c>
      <c r="E61" s="116" t="s">
        <v>3</v>
      </c>
      <c r="F61" s="10">
        <f>0.15*0.02*2*1.3</f>
        <v>7.8000000000000005E-3</v>
      </c>
    </row>
    <row r="62" spans="1:6" x14ac:dyDescent="0.25">
      <c r="A62" s="119"/>
      <c r="B62" s="77" t="s">
        <v>8</v>
      </c>
      <c r="E62" s="116" t="s">
        <v>3</v>
      </c>
      <c r="F62" s="10">
        <v>8.0000000000000002E-3</v>
      </c>
    </row>
    <row r="63" spans="1:6" x14ac:dyDescent="0.25">
      <c r="A63" s="119"/>
      <c r="B63" s="77" t="s">
        <v>566</v>
      </c>
      <c r="E63" s="116" t="s">
        <v>3</v>
      </c>
      <c r="F63" s="10">
        <f>0.3*(F62+F61)</f>
        <v>4.7400000000000003E-3</v>
      </c>
    </row>
    <row r="64" spans="1:6" x14ac:dyDescent="0.25">
      <c r="A64" s="119"/>
      <c r="B64" s="77" t="s">
        <v>72</v>
      </c>
      <c r="E64" s="116" t="s">
        <v>3</v>
      </c>
      <c r="F64" s="10">
        <f>0.15*0.02*2*1.3</f>
        <v>7.8000000000000005E-3</v>
      </c>
    </row>
    <row r="65" spans="1:6" x14ac:dyDescent="0.25">
      <c r="A65" s="119"/>
      <c r="B65" s="77" t="s">
        <v>11</v>
      </c>
      <c r="E65" s="116" t="s">
        <v>3</v>
      </c>
      <c r="F65" s="10">
        <f>0.3*F64</f>
        <v>2.3400000000000001E-3</v>
      </c>
    </row>
    <row r="66" spans="1:6" x14ac:dyDescent="0.25">
      <c r="A66" s="119"/>
      <c r="C66" s="4" t="s">
        <v>568</v>
      </c>
      <c r="E66" s="116"/>
      <c r="F66" s="10"/>
    </row>
    <row r="67" spans="1:6" x14ac:dyDescent="0.25">
      <c r="A67" s="119"/>
      <c r="C67" t="s">
        <v>159</v>
      </c>
      <c r="E67" s="116" t="s">
        <v>3</v>
      </c>
      <c r="F67" s="10">
        <v>0.03</v>
      </c>
    </row>
    <row r="68" spans="1:6" x14ac:dyDescent="0.25">
      <c r="A68" s="119"/>
      <c r="C68" s="3" t="s">
        <v>569</v>
      </c>
      <c r="E68" s="116"/>
      <c r="F68" s="10"/>
    </row>
    <row r="69" spans="1:6" x14ac:dyDescent="0.25">
      <c r="A69" s="119"/>
      <c r="C69" t="s">
        <v>557</v>
      </c>
      <c r="E69" s="116" t="s">
        <v>3</v>
      </c>
      <c r="F69" s="10">
        <v>0.05</v>
      </c>
    </row>
    <row r="70" spans="1:6" x14ac:dyDescent="0.25">
      <c r="A70" s="119"/>
      <c r="E70" s="116"/>
      <c r="F70" s="10"/>
    </row>
    <row r="71" spans="1:6" x14ac:dyDescent="0.25">
      <c r="D71" t="s">
        <v>4927</v>
      </c>
      <c r="E71" t="s">
        <v>4940</v>
      </c>
    </row>
    <row r="72" spans="1:6" x14ac:dyDescent="0.25">
      <c r="D72" t="s">
        <v>4928</v>
      </c>
      <c r="E72" t="s">
        <v>4941</v>
      </c>
    </row>
    <row r="73" spans="1:6" x14ac:dyDescent="0.25">
      <c r="D73" t="s">
        <v>4919</v>
      </c>
      <c r="E73" t="s">
        <v>4936</v>
      </c>
    </row>
    <row r="74" spans="1:6" x14ac:dyDescent="0.25">
      <c r="D74" t="s">
        <v>4920</v>
      </c>
      <c r="E74" t="s">
        <v>4937</v>
      </c>
    </row>
    <row r="76" spans="1:6" x14ac:dyDescent="0.25">
      <c r="D76" t="s">
        <v>4926</v>
      </c>
      <c r="E76" t="s">
        <v>4947</v>
      </c>
    </row>
    <row r="77" spans="1:6" x14ac:dyDescent="0.25">
      <c r="D77" t="s">
        <v>4924</v>
      </c>
      <c r="E77" t="s">
        <v>4925</v>
      </c>
    </row>
    <row r="78" spans="1:6" x14ac:dyDescent="0.25">
      <c r="D78" t="s">
        <v>4921</v>
      </c>
      <c r="E78" t="s">
        <v>4938</v>
      </c>
    </row>
    <row r="79" spans="1:6" x14ac:dyDescent="0.25">
      <c r="D79" t="s">
        <v>4922</v>
      </c>
      <c r="E79" t="s">
        <v>4939</v>
      </c>
    </row>
    <row r="81" spans="1:6" x14ac:dyDescent="0.25">
      <c r="D81" t="s">
        <v>4929</v>
      </c>
      <c r="E81" t="s">
        <v>4948</v>
      </c>
    </row>
    <row r="82" spans="1:6" x14ac:dyDescent="0.25">
      <c r="D82" t="s">
        <v>4930</v>
      </c>
      <c r="E82" t="s">
        <v>4949</v>
      </c>
    </row>
    <row r="83" spans="1:6" x14ac:dyDescent="0.25">
      <c r="D83" t="s">
        <v>4918</v>
      </c>
      <c r="E83" t="s">
        <v>4935</v>
      </c>
    </row>
    <row r="84" spans="1:6" x14ac:dyDescent="0.25">
      <c r="D84" t="s">
        <v>4923</v>
      </c>
      <c r="E84" t="s">
        <v>4946</v>
      </c>
    </row>
    <row r="86" spans="1:6" x14ac:dyDescent="0.25">
      <c r="D86" t="s">
        <v>4931</v>
      </c>
      <c r="E86" t="s">
        <v>4942</v>
      </c>
    </row>
    <row r="87" spans="1:6" x14ac:dyDescent="0.25">
      <c r="D87" t="s">
        <v>4932</v>
      </c>
      <c r="E87" t="s">
        <v>4943</v>
      </c>
    </row>
    <row r="88" spans="1:6" x14ac:dyDescent="0.25">
      <c r="D88" t="s">
        <v>4934</v>
      </c>
      <c r="E88" t="s">
        <v>4945</v>
      </c>
    </row>
    <row r="89" spans="1:6" x14ac:dyDescent="0.25">
      <c r="D89" t="s">
        <v>4933</v>
      </c>
      <c r="E89" t="s">
        <v>4944</v>
      </c>
    </row>
    <row r="91" spans="1:6" x14ac:dyDescent="0.25">
      <c r="A91"/>
      <c r="B91" s="3" t="s">
        <v>17</v>
      </c>
      <c r="E91" s="155"/>
      <c r="F91" s="10"/>
    </row>
    <row r="92" spans="1:6" x14ac:dyDescent="0.25">
      <c r="A92"/>
      <c r="C92" t="s">
        <v>14</v>
      </c>
      <c r="E92" s="155" t="s">
        <v>3</v>
      </c>
      <c r="F92" s="10">
        <f>(0.94*0.15*2+0.56*0.15)*0.1*1.4</f>
        <v>5.1240000000000001E-2</v>
      </c>
    </row>
    <row r="93" spans="1:6" x14ac:dyDescent="0.25">
      <c r="A93"/>
      <c r="C93" t="s">
        <v>15</v>
      </c>
      <c r="E93" s="155" t="s">
        <v>3</v>
      </c>
      <c r="F93" s="10">
        <f>(0.94*0.15*2+0.56*0.15)*0.15*2*1.4</f>
        <v>0.15372</v>
      </c>
    </row>
    <row r="94" spans="1:6" x14ac:dyDescent="0.25">
      <c r="A94"/>
      <c r="C94" t="s">
        <v>12</v>
      </c>
      <c r="E94" s="155" t="s">
        <v>3</v>
      </c>
      <c r="F94" s="10">
        <f>0.3*(F93+F92)</f>
        <v>6.1488000000000001E-2</v>
      </c>
    </row>
    <row r="95" spans="1:6" x14ac:dyDescent="0.25">
      <c r="A95"/>
      <c r="C95" t="s">
        <v>18</v>
      </c>
      <c r="E95" s="155" t="s">
        <v>3</v>
      </c>
      <c r="F95" s="10"/>
    </row>
    <row r="96" spans="1:6" x14ac:dyDescent="0.25">
      <c r="A96"/>
      <c r="C96" t="s">
        <v>19</v>
      </c>
      <c r="E96" s="155" t="s">
        <v>3</v>
      </c>
      <c r="F96" s="10"/>
    </row>
    <row r="97" spans="1:6" x14ac:dyDescent="0.25">
      <c r="A97"/>
      <c r="E97" s="155"/>
      <c r="F97" s="10"/>
    </row>
    <row r="98" spans="1:6" x14ac:dyDescent="0.25">
      <c r="A98"/>
      <c r="B98" s="3" t="s">
        <v>16</v>
      </c>
      <c r="E98" s="155"/>
      <c r="F98" s="10"/>
    </row>
    <row r="99" spans="1:6" x14ac:dyDescent="0.25">
      <c r="A99"/>
      <c r="C99" t="s">
        <v>14</v>
      </c>
      <c r="E99" s="155" t="s">
        <v>3</v>
      </c>
      <c r="F99" s="10">
        <f>(0.945*0.15*2+0.56*0.15)*0.1*1.35</f>
        <v>4.9612500000000004E-2</v>
      </c>
    </row>
    <row r="100" spans="1:6" x14ac:dyDescent="0.25">
      <c r="A100"/>
      <c r="C100" t="s">
        <v>15</v>
      </c>
      <c r="E100" s="155" t="s">
        <v>3</v>
      </c>
      <c r="F100" s="10">
        <f>(0.945*0.15*2+0.56*0.15)*0.15*2*1.35</f>
        <v>0.14883750000000001</v>
      </c>
    </row>
    <row r="101" spans="1:6" x14ac:dyDescent="0.25">
      <c r="A101"/>
      <c r="C101" t="s">
        <v>12</v>
      </c>
      <c r="E101" s="155" t="s">
        <v>3</v>
      </c>
      <c r="F101" s="10">
        <f>0.3*(F100+F99)</f>
        <v>5.9535000000000005E-2</v>
      </c>
    </row>
    <row r="102" spans="1:6" x14ac:dyDescent="0.25">
      <c r="A102"/>
      <c r="C102" t="s">
        <v>18</v>
      </c>
      <c r="E102" s="155" t="s">
        <v>3</v>
      </c>
      <c r="F102" s="10"/>
    </row>
    <row r="103" spans="1:6" x14ac:dyDescent="0.25">
      <c r="A103"/>
      <c r="C103" t="s">
        <v>19</v>
      </c>
      <c r="E103" s="155" t="s">
        <v>3</v>
      </c>
      <c r="F103" s="10"/>
    </row>
    <row r="104" spans="1:6" x14ac:dyDescent="0.25">
      <c r="A104"/>
      <c r="E104" s="155"/>
      <c r="F104" s="10"/>
    </row>
    <row r="105" spans="1:6" x14ac:dyDescent="0.25">
      <c r="A105"/>
      <c r="B105" s="3" t="s">
        <v>576</v>
      </c>
      <c r="E105" s="155"/>
      <c r="F105" s="10"/>
    </row>
    <row r="106" spans="1:6" x14ac:dyDescent="0.25">
      <c r="A106"/>
      <c r="C106" t="s">
        <v>577</v>
      </c>
      <c r="E106" s="155" t="s">
        <v>3</v>
      </c>
      <c r="F106" s="10">
        <f>0.006</f>
        <v>6.0000000000000001E-3</v>
      </c>
    </row>
    <row r="107" spans="1:6" x14ac:dyDescent="0.25">
      <c r="A107"/>
      <c r="E107" s="305"/>
      <c r="F107" s="10"/>
    </row>
    <row r="108" spans="1:6" x14ac:dyDescent="0.25">
      <c r="A108"/>
      <c r="B108" s="117" t="s">
        <v>584</v>
      </c>
      <c r="E108" s="305"/>
      <c r="F108" s="10"/>
    </row>
    <row r="109" spans="1:6" x14ac:dyDescent="0.25">
      <c r="A109"/>
      <c r="C109" t="s">
        <v>579</v>
      </c>
      <c r="E109" s="305" t="s">
        <v>195</v>
      </c>
      <c r="F109" s="10">
        <f>0.054*3.14*1.03</f>
        <v>0.17464680000000002</v>
      </c>
    </row>
    <row r="110" spans="1:6" x14ac:dyDescent="0.25">
      <c r="A110"/>
      <c r="C110" t="s">
        <v>578</v>
      </c>
      <c r="E110" s="305" t="s">
        <v>3</v>
      </c>
      <c r="F110" s="10">
        <f>0.06*0.06*0.3*9*2*1.05</f>
        <v>2.0412E-2</v>
      </c>
    </row>
    <row r="111" spans="1:6" x14ac:dyDescent="0.25">
      <c r="A111"/>
      <c r="E111" s="305"/>
      <c r="F111" s="10"/>
    </row>
    <row r="112" spans="1:6" x14ac:dyDescent="0.25">
      <c r="A112"/>
      <c r="B112" s="3" t="s">
        <v>580</v>
      </c>
      <c r="E112" s="155"/>
      <c r="F112" s="10"/>
    </row>
    <row r="113" spans="1:7" x14ac:dyDescent="0.25">
      <c r="A113"/>
      <c r="C113" t="s">
        <v>581</v>
      </c>
      <c r="E113" s="155" t="s">
        <v>3</v>
      </c>
      <c r="F113" s="10">
        <v>0.01</v>
      </c>
    </row>
    <row r="114" spans="1:7" x14ac:dyDescent="0.25">
      <c r="A114"/>
      <c r="C114" t="s">
        <v>582</v>
      </c>
      <c r="E114" s="155" t="s">
        <v>3</v>
      </c>
      <c r="F114" s="10">
        <v>1.4999999999999999E-2</v>
      </c>
    </row>
    <row r="115" spans="1:7" x14ac:dyDescent="0.25">
      <c r="A115"/>
      <c r="C115" t="s">
        <v>583</v>
      </c>
      <c r="E115" s="155"/>
      <c r="F115" s="10">
        <f>0.19*0.009*0.5*8*1.05</f>
        <v>7.182E-3</v>
      </c>
    </row>
    <row r="116" spans="1:7" x14ac:dyDescent="0.25">
      <c r="A116"/>
      <c r="E116" s="155"/>
      <c r="F116" s="10"/>
    </row>
    <row r="117" spans="1:7" x14ac:dyDescent="0.25">
      <c r="A117" s="121">
        <v>1</v>
      </c>
      <c r="B117" s="3" t="s">
        <v>20</v>
      </c>
      <c r="E117" s="13" t="s">
        <v>21</v>
      </c>
      <c r="F117" s="13"/>
    </row>
    <row r="118" spans="1:7" x14ac:dyDescent="0.25">
      <c r="A118" s="121"/>
      <c r="C118" t="s">
        <v>22</v>
      </c>
      <c r="E118" s="158" t="s">
        <v>3</v>
      </c>
      <c r="F118" s="10">
        <f>0.01*3.14*0.08*1.2</f>
        <v>3.0144000000000004E-3</v>
      </c>
    </row>
    <row r="119" spans="1:7" x14ac:dyDescent="0.25">
      <c r="A119" s="121"/>
      <c r="C119" s="11" t="s">
        <v>23</v>
      </c>
      <c r="E119" s="158" t="s">
        <v>3</v>
      </c>
      <c r="F119" s="12">
        <f>F118*2</f>
        <v>6.0288000000000008E-3</v>
      </c>
    </row>
    <row r="120" spans="1:7" x14ac:dyDescent="0.25">
      <c r="A120" s="121"/>
      <c r="C120" s="11" t="s">
        <v>24</v>
      </c>
      <c r="E120" s="158" t="s">
        <v>3</v>
      </c>
      <c r="F120" s="12">
        <v>1E-3</v>
      </c>
    </row>
    <row r="121" spans="1:7" x14ac:dyDescent="0.25">
      <c r="A121" s="121"/>
      <c r="C121" s="4" t="s">
        <v>25</v>
      </c>
      <c r="E121" s="155"/>
      <c r="F121" s="13"/>
    </row>
    <row r="122" spans="1:7" x14ac:dyDescent="0.25">
      <c r="A122" s="121"/>
      <c r="C122" t="s">
        <v>26</v>
      </c>
      <c r="E122" s="158" t="s">
        <v>3</v>
      </c>
      <c r="F122" s="10">
        <f>0.073*1.2</f>
        <v>8.7599999999999997E-2</v>
      </c>
    </row>
    <row r="123" spans="1:7" x14ac:dyDescent="0.25">
      <c r="A123" s="121"/>
      <c r="C123" s="4" t="s">
        <v>27</v>
      </c>
      <c r="E123" s="155"/>
      <c r="F123" s="13"/>
    </row>
    <row r="124" spans="1:7" x14ac:dyDescent="0.25">
      <c r="A124" s="121"/>
      <c r="C124" t="s">
        <v>28</v>
      </c>
      <c r="E124" s="158" t="s">
        <v>3</v>
      </c>
      <c r="F124" s="10">
        <f>0.03*0.03*0.35*8.5*1.2</f>
        <v>3.2129999999999997E-3</v>
      </c>
    </row>
    <row r="125" spans="1:7" x14ac:dyDescent="0.25">
      <c r="A125"/>
      <c r="E125" s="155"/>
      <c r="F125" s="13"/>
    </row>
    <row r="126" spans="1:7" ht="19.5" thickBot="1" x14ac:dyDescent="0.35">
      <c r="A126"/>
      <c r="B126" s="46" t="s">
        <v>10006</v>
      </c>
      <c r="E126" s="155"/>
      <c r="F126" s="10"/>
    </row>
    <row r="127" spans="1:7" x14ac:dyDescent="0.25">
      <c r="A127" s="159"/>
      <c r="B127" s="93"/>
      <c r="C127" s="93"/>
      <c r="D127" s="93"/>
      <c r="E127" s="160"/>
      <c r="F127" s="161"/>
      <c r="G127" s="162"/>
    </row>
    <row r="128" spans="1:7" ht="36" customHeight="1" x14ac:dyDescent="0.25">
      <c r="A128" s="163"/>
      <c r="B128" s="1039" t="s">
        <v>1023</v>
      </c>
      <c r="C128" s="1039"/>
      <c r="D128" s="1039"/>
      <c r="E128" s="1039"/>
      <c r="F128" s="1039"/>
      <c r="G128" s="1040"/>
    </row>
    <row r="129" spans="1:7" x14ac:dyDescent="0.25">
      <c r="A129" s="163"/>
      <c r="B129" s="73"/>
      <c r="C129" s="73"/>
      <c r="D129" s="73"/>
      <c r="E129" s="74"/>
      <c r="F129" s="153"/>
      <c r="G129" s="164"/>
    </row>
    <row r="130" spans="1:7" x14ac:dyDescent="0.25">
      <c r="A130" s="163"/>
      <c r="B130" s="73"/>
      <c r="C130" s="73"/>
      <c r="D130" s="73" t="s">
        <v>8</v>
      </c>
      <c r="E130" s="74" t="s">
        <v>3</v>
      </c>
      <c r="F130" s="153">
        <v>0.39</v>
      </c>
      <c r="G130" s="164"/>
    </row>
    <row r="131" spans="1:7" x14ac:dyDescent="0.25">
      <c r="A131" s="163"/>
      <c r="B131" s="73"/>
      <c r="C131" s="73"/>
      <c r="D131" s="73" t="s">
        <v>36</v>
      </c>
      <c r="E131" s="74" t="s">
        <v>3</v>
      </c>
      <c r="F131" s="153">
        <v>1.2E-2</v>
      </c>
      <c r="G131" s="164"/>
    </row>
    <row r="132" spans="1:7" x14ac:dyDescent="0.25">
      <c r="A132" s="163"/>
      <c r="B132" s="73"/>
      <c r="C132" s="73"/>
      <c r="D132" s="73" t="s">
        <v>420</v>
      </c>
      <c r="E132" s="74" t="s">
        <v>3</v>
      </c>
      <c r="F132" s="153">
        <v>0.02</v>
      </c>
      <c r="G132" s="164"/>
    </row>
    <row r="133" spans="1:7" x14ac:dyDescent="0.25">
      <c r="A133" s="163"/>
      <c r="B133" s="73"/>
      <c r="C133" s="73"/>
      <c r="D133" s="73" t="s">
        <v>148</v>
      </c>
      <c r="E133" s="74" t="s">
        <v>3</v>
      </c>
      <c r="F133" s="153">
        <v>5.0000000000000001E-3</v>
      </c>
      <c r="G133" s="164"/>
    </row>
    <row r="134" spans="1:7" x14ac:dyDescent="0.25">
      <c r="A134" s="163"/>
      <c r="B134" s="73"/>
      <c r="C134" s="73"/>
      <c r="D134" s="73" t="s">
        <v>12</v>
      </c>
      <c r="E134" s="74" t="s">
        <v>3</v>
      </c>
      <c r="F134" s="153">
        <f>0.3*(F130+F131+F132+F133)</f>
        <v>0.12810000000000002</v>
      </c>
      <c r="G134" s="164"/>
    </row>
    <row r="135" spans="1:7" x14ac:dyDescent="0.25">
      <c r="A135" s="163"/>
      <c r="B135" s="73"/>
      <c r="C135" s="73"/>
      <c r="D135" s="73" t="s">
        <v>72</v>
      </c>
      <c r="E135" s="74" t="s">
        <v>3</v>
      </c>
      <c r="F135" s="153">
        <v>0.39</v>
      </c>
      <c r="G135" s="164"/>
    </row>
    <row r="136" spans="1:7" x14ac:dyDescent="0.25">
      <c r="A136" s="163"/>
      <c r="B136" s="73"/>
      <c r="C136" s="73"/>
      <c r="D136" s="73" t="s">
        <v>11</v>
      </c>
      <c r="E136" s="74" t="s">
        <v>3</v>
      </c>
      <c r="F136" s="153">
        <f>0.3*F135</f>
        <v>0.11699999999999999</v>
      </c>
      <c r="G136" s="164"/>
    </row>
    <row r="137" spans="1:7" x14ac:dyDescent="0.25">
      <c r="A137" s="163"/>
      <c r="B137" s="73"/>
      <c r="C137" s="73"/>
      <c r="D137" s="73" t="s">
        <v>1021</v>
      </c>
      <c r="E137" s="74" t="s">
        <v>3</v>
      </c>
      <c r="F137" s="153">
        <f>((0.94*0.57*2)+(0.1*(0.94*2+0.57*2))*2)*0.15*2*1.312</f>
        <v>0.65951615999999991</v>
      </c>
      <c r="G137" s="164"/>
    </row>
    <row r="138" spans="1:7" x14ac:dyDescent="0.25">
      <c r="A138" s="163"/>
      <c r="B138" s="73"/>
      <c r="C138" s="73"/>
      <c r="D138" s="73" t="s">
        <v>661</v>
      </c>
      <c r="E138" s="74" t="s">
        <v>3</v>
      </c>
      <c r="F138" s="153">
        <f>0.3*F137</f>
        <v>0.19785484799999997</v>
      </c>
      <c r="G138" s="164"/>
    </row>
    <row r="139" spans="1:7" x14ac:dyDescent="0.25">
      <c r="A139" s="163"/>
      <c r="B139" s="73"/>
      <c r="C139" s="73"/>
      <c r="D139" s="73" t="s">
        <v>13</v>
      </c>
      <c r="E139" s="74" t="s">
        <v>3</v>
      </c>
      <c r="F139" s="153">
        <v>0.3</v>
      </c>
      <c r="G139" s="164"/>
    </row>
    <row r="140" spans="1:7" x14ac:dyDescent="0.25">
      <c r="A140" s="163"/>
      <c r="B140" s="73"/>
      <c r="C140" s="73"/>
      <c r="D140" s="73" t="s">
        <v>1022</v>
      </c>
      <c r="E140" s="74" t="s">
        <v>3</v>
      </c>
      <c r="F140" s="153">
        <v>1</v>
      </c>
      <c r="G140" s="164"/>
    </row>
    <row r="141" spans="1:7" x14ac:dyDescent="0.25">
      <c r="A141" s="163"/>
      <c r="B141" s="73"/>
      <c r="C141" s="73"/>
      <c r="D141" s="77" t="s">
        <v>39</v>
      </c>
      <c r="E141" s="74" t="s">
        <v>3</v>
      </c>
      <c r="F141" s="153">
        <f>0.2*0.08*1.22</f>
        <v>1.9519999999999999E-2</v>
      </c>
      <c r="G141" s="164"/>
    </row>
    <row r="142" spans="1:7" x14ac:dyDescent="0.25">
      <c r="A142" s="163"/>
      <c r="B142" s="73"/>
      <c r="C142" s="73"/>
      <c r="D142" s="77" t="s">
        <v>40</v>
      </c>
      <c r="E142" s="74" t="s">
        <v>3</v>
      </c>
      <c r="F142" s="153">
        <f>1.5*F141</f>
        <v>2.928E-2</v>
      </c>
      <c r="G142" s="164"/>
    </row>
    <row r="143" spans="1:7" x14ac:dyDescent="0.25">
      <c r="A143" s="163"/>
      <c r="B143" s="73"/>
      <c r="C143" s="73"/>
      <c r="D143" s="73"/>
      <c r="E143" s="74"/>
      <c r="F143" s="153"/>
      <c r="G143" s="164"/>
    </row>
    <row r="144" spans="1:7" x14ac:dyDescent="0.25">
      <c r="A144" s="163"/>
      <c r="B144" s="73"/>
      <c r="C144" s="75" t="s">
        <v>1020</v>
      </c>
      <c r="D144" s="73"/>
      <c r="E144" s="74"/>
      <c r="F144" s="153"/>
      <c r="G144" s="164"/>
    </row>
    <row r="145" spans="1:18" ht="15.75" thickBot="1" x14ac:dyDescent="0.3">
      <c r="A145" s="67"/>
      <c r="B145" s="68"/>
      <c r="C145" s="68"/>
      <c r="D145" s="68" t="s">
        <v>272</v>
      </c>
      <c r="E145" s="82" t="s">
        <v>3</v>
      </c>
      <c r="F145" s="89">
        <f>0.08*0.05*2*8*1.1</f>
        <v>7.0400000000000004E-2</v>
      </c>
      <c r="G145" s="165"/>
    </row>
    <row r="146" spans="1:18" x14ac:dyDescent="0.25">
      <c r="A146"/>
      <c r="E146" s="155"/>
      <c r="F146" s="10"/>
    </row>
    <row r="147" spans="1:18" ht="15.75" x14ac:dyDescent="0.25">
      <c r="A147"/>
      <c r="D147" s="306" t="s">
        <v>2548</v>
      </c>
      <c r="E147" s="304"/>
      <c r="F147" s="10"/>
    </row>
    <row r="148" spans="1:18" x14ac:dyDescent="0.25">
      <c r="A148"/>
      <c r="E148" s="304"/>
      <c r="F148" s="10"/>
    </row>
    <row r="149" spans="1:18" ht="18.75" x14ac:dyDescent="0.3">
      <c r="A149"/>
      <c r="B149" s="3" t="s">
        <v>2544</v>
      </c>
      <c r="C149" s="120"/>
      <c r="E149" s="120"/>
      <c r="F149" s="120"/>
      <c r="G149" s="157"/>
      <c r="H149" s="156"/>
    </row>
    <row r="150" spans="1:18" ht="18.75" x14ac:dyDescent="0.3">
      <c r="A150"/>
      <c r="C150" s="3" t="s">
        <v>2545</v>
      </c>
      <c r="E150" s="155"/>
      <c r="F150" s="120"/>
      <c r="G150" s="157"/>
      <c r="H150" s="156"/>
    </row>
    <row r="151" spans="1:18" x14ac:dyDescent="0.25">
      <c r="A151"/>
      <c r="C151" s="13" t="s">
        <v>2546</v>
      </c>
      <c r="E151" s="5" t="s">
        <v>3</v>
      </c>
      <c r="F151" s="61">
        <f>0.218*0.258*3*8*1.09</f>
        <v>1.47134304</v>
      </c>
    </row>
    <row r="152" spans="1:18" x14ac:dyDescent="0.25">
      <c r="A152"/>
      <c r="C152" s="3" t="s">
        <v>2547</v>
      </c>
      <c r="E152" s="5"/>
      <c r="F152" s="61"/>
    </row>
    <row r="153" spans="1:18" x14ac:dyDescent="0.25">
      <c r="A153"/>
      <c r="C153" s="13" t="s">
        <v>2546</v>
      </c>
      <c r="E153" s="5" t="s">
        <v>3</v>
      </c>
      <c r="F153" s="61">
        <f>0.165*0.255*3*8*1.09</f>
        <v>1.1006820000000002</v>
      </c>
    </row>
    <row r="154" spans="1:18" ht="15.75" thickBot="1" x14ac:dyDescent="0.3">
      <c r="A154"/>
      <c r="E154" s="155"/>
      <c r="F154" s="10"/>
      <c r="G154" s="13"/>
      <c r="H154" s="13"/>
    </row>
    <row r="155" spans="1:18" x14ac:dyDescent="0.25">
      <c r="A155" s="298"/>
      <c r="B155" s="93"/>
      <c r="C155" s="93"/>
      <c r="D155" s="184" t="s">
        <v>2505</v>
      </c>
      <c r="E155" s="160"/>
      <c r="F155" s="161"/>
      <c r="G155" s="162"/>
    </row>
    <row r="156" spans="1:18" x14ac:dyDescent="0.25">
      <c r="A156" s="299"/>
      <c r="B156" s="73"/>
      <c r="C156" s="73"/>
      <c r="D156" s="73"/>
      <c r="E156" s="74"/>
      <c r="F156" s="153"/>
      <c r="G156" s="164"/>
    </row>
    <row r="157" spans="1:18" x14ac:dyDescent="0.25">
      <c r="A157" s="299"/>
      <c r="B157" s="73"/>
      <c r="C157" s="73"/>
      <c r="D157" s="73"/>
      <c r="E157" s="74"/>
      <c r="F157" s="183" t="s">
        <v>2503</v>
      </c>
      <c r="G157" s="300" t="s">
        <v>2504</v>
      </c>
      <c r="H157" s="119" t="s">
        <v>2874</v>
      </c>
      <c r="I157" s="342" t="s">
        <v>2875</v>
      </c>
      <c r="P157" s="342"/>
    </row>
    <row r="158" spans="1:18" x14ac:dyDescent="0.25">
      <c r="A158" s="299"/>
      <c r="B158" s="75" t="s">
        <v>2499</v>
      </c>
      <c r="C158" s="73"/>
      <c r="D158" s="73"/>
      <c r="E158" s="74" t="s">
        <v>3</v>
      </c>
      <c r="F158" s="153">
        <v>0.52</v>
      </c>
      <c r="G158" s="164">
        <v>0.65100000000000002</v>
      </c>
      <c r="H158" s="2">
        <v>0.626</v>
      </c>
      <c r="I158">
        <f>0.544+0.014*2</f>
        <v>0.57200000000000006</v>
      </c>
      <c r="J158" s="2">
        <f>H158*I158*0.5*2.8</f>
        <v>0.5013008000000001</v>
      </c>
      <c r="K158" s="2">
        <f>J158*1.31</f>
        <v>0.65670404800000015</v>
      </c>
      <c r="R158" s="2"/>
    </row>
    <row r="159" spans="1:18" x14ac:dyDescent="0.25">
      <c r="A159" s="299"/>
      <c r="B159" s="75" t="s">
        <v>2500</v>
      </c>
      <c r="C159" s="73"/>
      <c r="D159" s="73"/>
      <c r="E159" s="74" t="s">
        <v>3</v>
      </c>
      <c r="F159" s="153">
        <v>0.54</v>
      </c>
      <c r="G159" s="164">
        <v>0.67600000000000005</v>
      </c>
      <c r="H159" s="2">
        <v>0.626</v>
      </c>
      <c r="I159">
        <f>0.556+0.014*2</f>
        <v>0.58400000000000007</v>
      </c>
      <c r="J159" s="2">
        <f>H159*I159*0.5*2.8</f>
        <v>0.51181759999999998</v>
      </c>
      <c r="K159" s="2">
        <f>J159*1.31</f>
        <v>0.67048105599999996</v>
      </c>
      <c r="R159" s="2"/>
    </row>
    <row r="160" spans="1:18" x14ac:dyDescent="0.25">
      <c r="A160" s="299"/>
      <c r="B160" s="75" t="s">
        <v>2501</v>
      </c>
      <c r="C160" s="73"/>
      <c r="D160" s="73"/>
      <c r="E160" s="74" t="s">
        <v>3</v>
      </c>
      <c r="F160" s="153">
        <v>0.78</v>
      </c>
      <c r="G160" s="164">
        <v>0.97599999999999998</v>
      </c>
      <c r="H160" s="2">
        <f>0.83+0.06</f>
        <v>0.8899999999999999</v>
      </c>
      <c r="I160">
        <f>0.625+0.028</f>
        <v>0.65300000000000002</v>
      </c>
      <c r="J160" s="2">
        <f>H160*I160*0.5*2.8</f>
        <v>0.81363799999999986</v>
      </c>
      <c r="K160" s="2">
        <f>J160*1.31</f>
        <v>1.0658657799999998</v>
      </c>
      <c r="R160" s="2"/>
    </row>
    <row r="161" spans="1:18" x14ac:dyDescent="0.25">
      <c r="A161" s="299"/>
      <c r="B161" s="75" t="s">
        <v>2502</v>
      </c>
      <c r="C161" s="73"/>
      <c r="D161" s="73"/>
      <c r="E161" s="74" t="s">
        <v>3</v>
      </c>
      <c r="F161" s="153">
        <v>0.9</v>
      </c>
      <c r="G161" s="164">
        <v>1.127</v>
      </c>
      <c r="H161" s="2">
        <f>0.83+0.06</f>
        <v>0.8899999999999999</v>
      </c>
      <c r="I161">
        <f>0.685+0.028</f>
        <v>0.71300000000000008</v>
      </c>
      <c r="J161" s="2">
        <f>H161*I161*0.5*2.8</f>
        <v>0.88839799999999991</v>
      </c>
      <c r="K161" s="2">
        <f>J161*1.31</f>
        <v>1.16380138</v>
      </c>
      <c r="R161" s="2"/>
    </row>
    <row r="162" spans="1:18" x14ac:dyDescent="0.25">
      <c r="A162" s="299"/>
      <c r="B162" s="73"/>
      <c r="C162" s="73"/>
      <c r="D162" s="73"/>
      <c r="E162" s="74"/>
      <c r="F162" s="153">
        <f>SUM(F158:F161)</f>
        <v>2.74</v>
      </c>
      <c r="G162" s="164">
        <v>3.4299999999999997</v>
      </c>
      <c r="J162" s="2">
        <f>SUM(J158:J161)</f>
        <v>2.7151543999999999</v>
      </c>
      <c r="K162" s="2">
        <f>SUM(K158:K161)</f>
        <v>3.5568522639999998</v>
      </c>
      <c r="R162" s="2"/>
    </row>
    <row r="163" spans="1:18" ht="15.75" thickBot="1" x14ac:dyDescent="0.3">
      <c r="A163" s="301"/>
      <c r="B163" s="68"/>
      <c r="C163" s="68"/>
      <c r="D163" s="68"/>
      <c r="E163" s="82"/>
      <c r="F163" s="89"/>
      <c r="G163" s="165"/>
    </row>
    <row r="164" spans="1:18" x14ac:dyDescent="0.25">
      <c r="A164" s="159"/>
      <c r="B164" s="93"/>
      <c r="C164" s="93"/>
      <c r="D164" s="93"/>
      <c r="E164" s="160"/>
      <c r="F164" s="161"/>
      <c r="G164" s="162"/>
      <c r="P164" s="342"/>
    </row>
    <row r="165" spans="1:18" ht="15.75" x14ac:dyDescent="0.25">
      <c r="A165" s="163"/>
      <c r="B165" s="73"/>
      <c r="C165" s="73"/>
      <c r="D165" s="187" t="s">
        <v>2117</v>
      </c>
      <c r="E165" s="73"/>
      <c r="F165" s="73"/>
      <c r="G165" s="164"/>
      <c r="R165" s="2"/>
    </row>
    <row r="166" spans="1:18" x14ac:dyDescent="0.25">
      <c r="A166" s="163"/>
      <c r="B166" s="73"/>
      <c r="C166" s="73"/>
      <c r="D166" s="73"/>
      <c r="E166" s="73"/>
      <c r="F166" s="73" t="s">
        <v>2118</v>
      </c>
      <c r="G166" s="164"/>
      <c r="R166" s="2"/>
    </row>
    <row r="167" spans="1:18" x14ac:dyDescent="0.25">
      <c r="A167" s="163"/>
      <c r="B167" s="73"/>
      <c r="C167" s="73"/>
      <c r="D167" s="73"/>
      <c r="E167" s="73"/>
      <c r="F167" s="73"/>
      <c r="G167" s="164"/>
      <c r="R167" s="2"/>
    </row>
    <row r="168" spans="1:18" x14ac:dyDescent="0.25">
      <c r="A168" s="163"/>
      <c r="B168" s="75" t="s">
        <v>2557</v>
      </c>
      <c r="C168" s="73"/>
      <c r="D168" s="73"/>
      <c r="E168" s="73"/>
      <c r="F168" s="73"/>
      <c r="G168" s="164"/>
      <c r="R168" s="2"/>
    </row>
    <row r="169" spans="1:18" x14ac:dyDescent="0.25">
      <c r="A169" s="163"/>
      <c r="B169" s="73"/>
      <c r="C169" s="75" t="s">
        <v>2119</v>
      </c>
      <c r="D169" s="73"/>
      <c r="E169" s="73"/>
      <c r="F169" s="96" t="s">
        <v>549</v>
      </c>
      <c r="G169" s="164" t="s">
        <v>2120</v>
      </c>
      <c r="R169" s="2"/>
    </row>
    <row r="170" spans="1:18" x14ac:dyDescent="0.25">
      <c r="A170" s="163"/>
      <c r="B170" s="73"/>
      <c r="C170" s="73" t="s">
        <v>2558</v>
      </c>
      <c r="D170" s="73"/>
      <c r="E170" s="74" t="s">
        <v>3</v>
      </c>
      <c r="F170" s="153">
        <f>1*2*1.5*8/4</f>
        <v>6</v>
      </c>
      <c r="G170" s="72">
        <f>F170*45</f>
        <v>270</v>
      </c>
    </row>
    <row r="171" spans="1:18" x14ac:dyDescent="0.25">
      <c r="A171" s="163"/>
      <c r="B171" s="73"/>
      <c r="C171" s="73" t="s">
        <v>8</v>
      </c>
      <c r="D171" s="73"/>
      <c r="E171" s="74" t="s">
        <v>3</v>
      </c>
      <c r="F171" s="153">
        <f>2*0.238*2*0.1*2*1.155</f>
        <v>0.21991200000000002</v>
      </c>
      <c r="G171" s="72">
        <f>0.22*45</f>
        <v>9.9</v>
      </c>
    </row>
    <row r="172" spans="1:18" x14ac:dyDescent="0.25">
      <c r="A172" s="163"/>
      <c r="B172" s="73"/>
      <c r="C172" s="73" t="s">
        <v>12</v>
      </c>
      <c r="D172" s="73"/>
      <c r="E172" s="74" t="s">
        <v>3</v>
      </c>
      <c r="F172" s="153">
        <f>0.455*F171</f>
        <v>0.10005996000000002</v>
      </c>
      <c r="G172" s="72">
        <f>0.1*45</f>
        <v>4.5</v>
      </c>
    </row>
    <row r="173" spans="1:18" ht="15.75" thickBot="1" x14ac:dyDescent="0.3">
      <c r="A173" s="67"/>
      <c r="B173" s="68"/>
      <c r="C173" s="68"/>
      <c r="D173" s="68"/>
      <c r="E173" s="82"/>
      <c r="F173" s="89"/>
      <c r="G173" s="165"/>
    </row>
    <row r="174" spans="1:18" x14ac:dyDescent="0.25">
      <c r="A174"/>
      <c r="E174" s="155"/>
      <c r="F174" s="10"/>
    </row>
    <row r="175" spans="1:18" x14ac:dyDescent="0.25">
      <c r="A175"/>
      <c r="C175" s="3" t="s">
        <v>2577</v>
      </c>
      <c r="F175" s="9"/>
      <c r="G175" s="10"/>
    </row>
    <row r="176" spans="1:18" x14ac:dyDescent="0.25">
      <c r="A176"/>
      <c r="C176" t="s">
        <v>2576</v>
      </c>
      <c r="F176" s="311" t="s">
        <v>3</v>
      </c>
      <c r="G176" s="10">
        <f>0.16*0.16*2*2.7*1.05</f>
        <v>0.14515200000000003</v>
      </c>
    </row>
    <row r="177" spans="1:8" x14ac:dyDescent="0.25">
      <c r="A177"/>
      <c r="F177" s="9"/>
      <c r="G177" s="10"/>
    </row>
    <row r="178" spans="1:8" x14ac:dyDescent="0.25">
      <c r="A178"/>
      <c r="C178" s="3" t="s">
        <v>2578</v>
      </c>
      <c r="F178" s="9"/>
      <c r="G178" s="10"/>
    </row>
    <row r="179" spans="1:8" x14ac:dyDescent="0.25">
      <c r="A179"/>
      <c r="C179" t="s">
        <v>2576</v>
      </c>
      <c r="F179" s="311" t="s">
        <v>3</v>
      </c>
      <c r="G179" s="10">
        <f>0.1025*3.14*0.133*2*2.7*1.125</f>
        <v>0.26004675375000003</v>
      </c>
    </row>
    <row r="180" spans="1:8" ht="15.75" thickBot="1" x14ac:dyDescent="0.3">
      <c r="A180"/>
      <c r="F180" s="314"/>
      <c r="G180" s="10"/>
    </row>
    <row r="181" spans="1:8" x14ac:dyDescent="0.25">
      <c r="A181" s="159"/>
      <c r="B181" s="93"/>
      <c r="C181" s="93"/>
      <c r="D181" s="317" t="s">
        <v>2627</v>
      </c>
      <c r="E181" s="93"/>
      <c r="F181" s="160"/>
      <c r="G181" s="90"/>
    </row>
    <row r="182" spans="1:8" x14ac:dyDescent="0.25">
      <c r="A182" s="163"/>
      <c r="B182" s="73"/>
      <c r="C182" s="73"/>
      <c r="D182" s="73"/>
      <c r="E182" s="73"/>
      <c r="F182" s="74"/>
      <c r="G182" s="72"/>
    </row>
    <row r="183" spans="1:8" x14ac:dyDescent="0.25">
      <c r="A183" s="163"/>
      <c r="B183" s="75" t="s">
        <v>2625</v>
      </c>
      <c r="D183" s="73"/>
      <c r="E183" s="74"/>
      <c r="F183" s="345" t="s">
        <v>624</v>
      </c>
      <c r="G183" s="72"/>
    </row>
    <row r="184" spans="1:8" x14ac:dyDescent="0.25">
      <c r="A184" s="163"/>
      <c r="B184" s="73" t="s">
        <v>2626</v>
      </c>
      <c r="D184" s="73"/>
      <c r="E184" s="74" t="s">
        <v>3</v>
      </c>
      <c r="F184" s="74">
        <f>0.06*0.03*10*8*1.145</f>
        <v>0.16488</v>
      </c>
      <c r="G184" s="72"/>
    </row>
    <row r="185" spans="1:8" ht="15.75" thickBot="1" x14ac:dyDescent="0.3">
      <c r="A185" s="67"/>
      <c r="B185" s="68"/>
      <c r="C185" s="68"/>
      <c r="D185" s="68"/>
      <c r="E185" s="82"/>
      <c r="F185" s="89"/>
      <c r="G185" s="165"/>
    </row>
    <row r="186" spans="1:8" x14ac:dyDescent="0.25">
      <c r="A186" s="159"/>
      <c r="B186" s="93"/>
      <c r="C186" s="93"/>
      <c r="D186" s="93"/>
      <c r="E186" s="160"/>
      <c r="F186" s="161"/>
      <c r="G186" s="162"/>
    </row>
    <row r="187" spans="1:8" x14ac:dyDescent="0.25">
      <c r="A187" s="163"/>
      <c r="B187" s="73"/>
      <c r="C187" s="73"/>
      <c r="D187" s="73"/>
      <c r="E187" s="74"/>
      <c r="F187" s="153"/>
      <c r="G187" s="164"/>
    </row>
    <row r="188" spans="1:8" x14ac:dyDescent="0.25">
      <c r="A188" s="163"/>
      <c r="B188" s="75" t="s">
        <v>2876</v>
      </c>
      <c r="C188" s="73"/>
      <c r="D188" s="73"/>
      <c r="E188" s="74"/>
      <c r="F188" s="153"/>
      <c r="G188" s="164"/>
    </row>
    <row r="189" spans="1:8" x14ac:dyDescent="0.25">
      <c r="A189" s="163"/>
      <c r="B189" s="73"/>
      <c r="C189" s="73" t="s">
        <v>2879</v>
      </c>
      <c r="D189" s="73"/>
      <c r="E189" s="74" t="s">
        <v>3</v>
      </c>
      <c r="F189" s="153">
        <f>0.38*0.01*0.5*8*1.2</f>
        <v>1.8239999999999999E-2</v>
      </c>
      <c r="G189" s="72"/>
      <c r="H189" s="10"/>
    </row>
    <row r="190" spans="1:8" x14ac:dyDescent="0.25">
      <c r="A190" s="163"/>
      <c r="B190" s="73"/>
      <c r="C190" s="73"/>
      <c r="D190" s="73"/>
      <c r="E190" s="74"/>
      <c r="F190" s="153"/>
      <c r="G190" s="72"/>
    </row>
    <row r="191" spans="1:8" x14ac:dyDescent="0.25">
      <c r="A191" s="163"/>
      <c r="B191" s="75" t="s">
        <v>2877</v>
      </c>
      <c r="C191" s="73"/>
      <c r="D191" s="73"/>
      <c r="E191" s="74"/>
      <c r="F191" s="153"/>
      <c r="G191" s="72"/>
    </row>
    <row r="192" spans="1:8" x14ac:dyDescent="0.25">
      <c r="A192" s="163"/>
      <c r="B192" s="73"/>
      <c r="C192" s="73" t="s">
        <v>2879</v>
      </c>
      <c r="D192" s="73"/>
      <c r="E192" s="74" t="s">
        <v>3</v>
      </c>
      <c r="F192" s="153">
        <f>0.28*0.01*0.5*8*1.22</f>
        <v>1.3664000000000003E-2</v>
      </c>
      <c r="G192" s="72"/>
    </row>
    <row r="193" spans="1:7" x14ac:dyDescent="0.25">
      <c r="A193" s="163"/>
      <c r="B193" s="73"/>
      <c r="C193" s="73"/>
      <c r="D193" s="73"/>
      <c r="E193" s="74"/>
      <c r="F193" s="153"/>
      <c r="G193" s="72"/>
    </row>
    <row r="194" spans="1:7" x14ac:dyDescent="0.25">
      <c r="A194" s="163"/>
      <c r="B194" s="75" t="s">
        <v>2878</v>
      </c>
      <c r="C194" s="73"/>
      <c r="D194" s="73"/>
      <c r="E194" s="74"/>
      <c r="F194" s="153"/>
      <c r="G194" s="72"/>
    </row>
    <row r="195" spans="1:7" x14ac:dyDescent="0.25">
      <c r="A195" s="163"/>
      <c r="B195" s="73"/>
      <c r="C195" s="73" t="s">
        <v>2879</v>
      </c>
      <c r="D195" s="73"/>
      <c r="E195" s="74" t="s">
        <v>3</v>
      </c>
      <c r="F195" s="153">
        <f>0.42*0.01*0.5*8*1.2</f>
        <v>2.0159999999999997E-2</v>
      </c>
      <c r="G195" s="72"/>
    </row>
    <row r="196" spans="1:7" x14ac:dyDescent="0.25">
      <c r="A196" s="163"/>
      <c r="B196" s="73"/>
      <c r="C196" s="73"/>
      <c r="D196" s="73"/>
      <c r="E196" s="74"/>
      <c r="F196" s="153"/>
      <c r="G196" s="164"/>
    </row>
    <row r="197" spans="1:7" ht="15.75" thickBot="1" x14ac:dyDescent="0.3">
      <c r="A197" s="67"/>
      <c r="B197" s="68"/>
      <c r="C197" s="68"/>
      <c r="D197" s="68"/>
      <c r="E197" s="82"/>
      <c r="F197" s="89"/>
      <c r="G197" s="165"/>
    </row>
    <row r="198" spans="1:7" x14ac:dyDescent="0.25">
      <c r="A198"/>
      <c r="E198" s="155"/>
      <c r="F198" s="10"/>
    </row>
    <row r="199" spans="1:7" x14ac:dyDescent="0.25">
      <c r="A199"/>
      <c r="B199" s="3" t="s">
        <v>2980</v>
      </c>
      <c r="E199" s="155"/>
      <c r="F199" s="10"/>
    </row>
    <row r="200" spans="1:7" x14ac:dyDescent="0.25">
      <c r="A200"/>
      <c r="B200" t="s">
        <v>2982</v>
      </c>
      <c r="E200" s="155" t="s">
        <v>3</v>
      </c>
      <c r="F200" s="10">
        <f>1.39*0.215*2*2*1.1545</f>
        <v>1.3800892999999999</v>
      </c>
    </row>
    <row r="201" spans="1:7" x14ac:dyDescent="0.25">
      <c r="A201"/>
      <c r="E201" s="155"/>
      <c r="F201" s="10"/>
    </row>
    <row r="202" spans="1:7" x14ac:dyDescent="0.25">
      <c r="A202"/>
      <c r="B202" s="3" t="s">
        <v>2981</v>
      </c>
      <c r="E202" s="155"/>
      <c r="F202" s="10"/>
    </row>
    <row r="203" spans="1:7" x14ac:dyDescent="0.25">
      <c r="A203"/>
      <c r="B203" t="s">
        <v>2982</v>
      </c>
      <c r="E203" s="155" t="s">
        <v>3</v>
      </c>
      <c r="F203" s="10">
        <f>1.39*0.23*2*2*1.1495</f>
        <v>1.4699806</v>
      </c>
    </row>
    <row r="204" spans="1:7" x14ac:dyDescent="0.25">
      <c r="A204"/>
      <c r="E204" s="155"/>
      <c r="F204" s="10">
        <f>SUM(F200:F203)</f>
        <v>2.8500698999999998</v>
      </c>
    </row>
    <row r="205" spans="1:7" x14ac:dyDescent="0.25">
      <c r="A205"/>
      <c r="B205" s="3" t="s">
        <v>2983</v>
      </c>
      <c r="E205" s="251" t="s">
        <v>646</v>
      </c>
      <c r="F205" s="10"/>
    </row>
    <row r="206" spans="1:7" x14ac:dyDescent="0.25">
      <c r="A206"/>
      <c r="B206" t="s">
        <v>2984</v>
      </c>
      <c r="E206" s="155" t="s">
        <v>3</v>
      </c>
      <c r="F206" s="10">
        <f>(1.4*2+0.65*2)*0.25*0.15*2*1.138</f>
        <v>0.34993499999999989</v>
      </c>
    </row>
    <row r="207" spans="1:7" x14ac:dyDescent="0.25">
      <c r="A207"/>
      <c r="B207" t="s">
        <v>8</v>
      </c>
      <c r="E207" s="155" t="s">
        <v>3</v>
      </c>
      <c r="F207" s="10">
        <f>F206*0.86-0.001</f>
        <v>0.29994409999999988</v>
      </c>
    </row>
    <row r="208" spans="1:7" x14ac:dyDescent="0.25">
      <c r="A208"/>
      <c r="B208" t="s">
        <v>12</v>
      </c>
      <c r="E208" s="155" t="s">
        <v>3</v>
      </c>
      <c r="F208" s="10">
        <f>0.3*(F207+F206)</f>
        <v>0.19496372999999992</v>
      </c>
    </row>
    <row r="209" spans="1:11" x14ac:dyDescent="0.25">
      <c r="A209"/>
      <c r="B209" t="s">
        <v>671</v>
      </c>
      <c r="E209" s="354" t="s">
        <v>3</v>
      </c>
      <c r="F209" s="10">
        <v>0.05</v>
      </c>
    </row>
    <row r="210" spans="1:11" x14ac:dyDescent="0.25">
      <c r="A210"/>
      <c r="B210" t="s">
        <v>672</v>
      </c>
      <c r="E210" s="354" t="s">
        <v>3</v>
      </c>
      <c r="F210" s="10">
        <f>F209*2</f>
        <v>0.1</v>
      </c>
    </row>
    <row r="211" spans="1:11" x14ac:dyDescent="0.25">
      <c r="A211"/>
      <c r="E211" s="155"/>
      <c r="F211" s="346"/>
    </row>
    <row r="212" spans="1:11" x14ac:dyDescent="0.25">
      <c r="A212"/>
      <c r="E212" s="155"/>
      <c r="F212" s="10"/>
    </row>
    <row r="213" spans="1:11" ht="15.75" thickBot="1" x14ac:dyDescent="0.3">
      <c r="A213"/>
      <c r="B213" s="18"/>
      <c r="F213" s="362"/>
      <c r="G213" s="10"/>
      <c r="J213" s="13"/>
      <c r="K213" s="362"/>
    </row>
    <row r="214" spans="1:11" ht="18.75" x14ac:dyDescent="0.3">
      <c r="A214" s="159"/>
      <c r="B214" s="181"/>
      <c r="C214" s="93"/>
      <c r="D214" s="93"/>
      <c r="E214" s="347"/>
      <c r="F214" s="192" t="s">
        <v>2848</v>
      </c>
      <c r="G214" s="90"/>
      <c r="H214" s="2"/>
      <c r="J214" s="13"/>
      <c r="K214" s="362"/>
    </row>
    <row r="215" spans="1:11" x14ac:dyDescent="0.25">
      <c r="A215" s="163"/>
      <c r="B215" s="106"/>
      <c r="C215" s="73"/>
      <c r="D215" s="73"/>
      <c r="E215" s="73"/>
      <c r="F215" s="74"/>
      <c r="G215" s="72"/>
      <c r="J215" s="13"/>
      <c r="K215" s="362"/>
    </row>
    <row r="216" spans="1:11" x14ac:dyDescent="0.25">
      <c r="A216" s="163"/>
      <c r="B216" s="106"/>
      <c r="C216" s="75" t="s">
        <v>2954</v>
      </c>
      <c r="D216" s="100"/>
      <c r="E216" s="73"/>
      <c r="F216" s="364" t="s">
        <v>2979</v>
      </c>
      <c r="G216" s="365"/>
      <c r="J216" s="13"/>
      <c r="K216" s="362"/>
    </row>
    <row r="217" spans="1:11" x14ac:dyDescent="0.25">
      <c r="A217" s="163"/>
      <c r="B217" s="106"/>
      <c r="C217" s="100" t="s">
        <v>2955</v>
      </c>
      <c r="D217" s="100"/>
      <c r="E217" s="73"/>
      <c r="F217" s="152" t="s">
        <v>3</v>
      </c>
      <c r="G217" s="72"/>
      <c r="J217" s="13"/>
      <c r="K217" s="362"/>
    </row>
    <row r="218" spans="1:11" ht="17.25" x14ac:dyDescent="0.25">
      <c r="A218" s="163"/>
      <c r="B218" s="106"/>
      <c r="C218" s="100" t="s">
        <v>168</v>
      </c>
      <c r="D218" s="100"/>
      <c r="E218" s="73"/>
      <c r="F218" s="152" t="s">
        <v>596</v>
      </c>
      <c r="G218" s="72">
        <f>G217*1.1</f>
        <v>0</v>
      </c>
      <c r="J218" s="13"/>
      <c r="K218" s="362"/>
    </row>
    <row r="219" spans="1:11" x14ac:dyDescent="0.25">
      <c r="A219" s="163"/>
      <c r="B219" s="106"/>
      <c r="C219" s="100" t="s">
        <v>114</v>
      </c>
      <c r="D219" s="100"/>
      <c r="E219" s="73"/>
      <c r="F219" s="74" t="s">
        <v>3</v>
      </c>
      <c r="G219" s="72"/>
      <c r="J219" s="13"/>
      <c r="K219" s="362"/>
    </row>
    <row r="220" spans="1:11" x14ac:dyDescent="0.25">
      <c r="A220" s="163"/>
      <c r="B220" s="106"/>
      <c r="C220" s="100" t="s">
        <v>164</v>
      </c>
      <c r="D220" s="100"/>
      <c r="E220" s="73"/>
      <c r="F220" s="74" t="s">
        <v>3</v>
      </c>
      <c r="G220" s="72">
        <f>0.3*G219</f>
        <v>0</v>
      </c>
      <c r="J220" s="13"/>
      <c r="K220" s="362"/>
    </row>
    <row r="221" spans="1:11" x14ac:dyDescent="0.25">
      <c r="A221" s="163"/>
      <c r="B221" s="106"/>
      <c r="C221" s="100" t="s">
        <v>879</v>
      </c>
      <c r="D221" s="100"/>
      <c r="E221" s="73"/>
      <c r="F221" s="74" t="s">
        <v>3</v>
      </c>
      <c r="G221" s="72"/>
      <c r="J221" s="13"/>
      <c r="K221" s="362"/>
    </row>
    <row r="222" spans="1:11" x14ac:dyDescent="0.25">
      <c r="A222" s="163"/>
      <c r="B222" s="106"/>
      <c r="C222" s="100" t="s">
        <v>12</v>
      </c>
      <c r="D222" s="100"/>
      <c r="E222" s="73"/>
      <c r="F222" s="74" t="s">
        <v>3</v>
      </c>
      <c r="G222" s="72">
        <f>0.3*G221</f>
        <v>0</v>
      </c>
      <c r="J222" s="13"/>
      <c r="K222" s="362"/>
    </row>
    <row r="223" spans="1:11" x14ac:dyDescent="0.25">
      <c r="A223" s="163"/>
      <c r="B223" s="106"/>
      <c r="C223" s="75"/>
      <c r="D223" s="75" t="s">
        <v>2956</v>
      </c>
      <c r="E223" s="73"/>
      <c r="F223" s="74"/>
      <c r="G223" s="72"/>
      <c r="J223" s="13"/>
      <c r="K223" s="362"/>
    </row>
    <row r="224" spans="1:11" x14ac:dyDescent="0.25">
      <c r="A224" s="163"/>
      <c r="B224" s="106"/>
      <c r="C224" s="75"/>
      <c r="D224" s="100" t="s">
        <v>2955</v>
      </c>
      <c r="E224" s="100"/>
      <c r="F224" s="152" t="s">
        <v>3</v>
      </c>
      <c r="G224" s="72">
        <f>0.012*3.14*0.08*1.2</f>
        <v>3.6172800000000005E-3</v>
      </c>
      <c r="J224" s="13"/>
      <c r="K224" s="362"/>
    </row>
    <row r="225" spans="1:11" ht="17.25" x14ac:dyDescent="0.25">
      <c r="A225" s="163"/>
      <c r="B225" s="106"/>
      <c r="C225" s="75"/>
      <c r="D225" s="100" t="s">
        <v>168</v>
      </c>
      <c r="E225" s="100"/>
      <c r="F225" s="152" t="s">
        <v>596</v>
      </c>
      <c r="G225" s="72">
        <f>G224*1.1</f>
        <v>3.9790080000000009E-3</v>
      </c>
      <c r="J225" s="13"/>
      <c r="K225" s="362"/>
    </row>
    <row r="226" spans="1:11" x14ac:dyDescent="0.25">
      <c r="A226" s="163"/>
      <c r="B226" s="106"/>
      <c r="C226" s="75"/>
      <c r="D226" s="100"/>
      <c r="E226" s="75" t="s">
        <v>2961</v>
      </c>
      <c r="F226" s="74"/>
      <c r="G226" s="72"/>
      <c r="J226" s="13"/>
      <c r="K226" s="362"/>
    </row>
    <row r="227" spans="1:11" x14ac:dyDescent="0.25">
      <c r="A227" s="163"/>
      <c r="B227" s="106"/>
      <c r="C227" s="75"/>
      <c r="D227" s="100"/>
      <c r="E227" s="73" t="s">
        <v>2957</v>
      </c>
      <c r="F227" s="74" t="s">
        <v>3</v>
      </c>
      <c r="G227" s="72">
        <v>1.4999999999999999E-2</v>
      </c>
      <c r="I227" t="s">
        <v>2958</v>
      </c>
      <c r="J227" s="13"/>
      <c r="K227" s="362"/>
    </row>
    <row r="228" spans="1:11" x14ac:dyDescent="0.25">
      <c r="A228" s="163"/>
      <c r="B228" s="106"/>
      <c r="C228" s="75"/>
      <c r="D228" s="75" t="s">
        <v>2959</v>
      </c>
      <c r="E228" s="73"/>
      <c r="F228" s="74"/>
      <c r="G228" s="72"/>
      <c r="J228" s="13"/>
      <c r="K228" s="362"/>
    </row>
    <row r="229" spans="1:11" x14ac:dyDescent="0.25">
      <c r="A229" s="163"/>
      <c r="B229" s="106"/>
      <c r="C229" s="75"/>
      <c r="D229" s="100" t="s">
        <v>2955</v>
      </c>
      <c r="E229" s="100"/>
      <c r="F229" s="152" t="s">
        <v>3</v>
      </c>
      <c r="G229" s="72">
        <f>0.03*3.14*0.08*1.25</f>
        <v>9.4200000000000013E-3</v>
      </c>
      <c r="J229" s="13"/>
      <c r="K229" s="362"/>
    </row>
    <row r="230" spans="1:11" ht="17.25" x14ac:dyDescent="0.25">
      <c r="A230" s="163"/>
      <c r="B230" s="106"/>
      <c r="C230" s="75"/>
      <c r="D230" s="100" t="s">
        <v>168</v>
      </c>
      <c r="E230" s="100"/>
      <c r="F230" s="152" t="s">
        <v>596</v>
      </c>
      <c r="G230" s="72">
        <f>G229*1.1</f>
        <v>1.0362000000000001E-2</v>
      </c>
      <c r="J230" s="13"/>
      <c r="K230" s="362"/>
    </row>
    <row r="231" spans="1:11" x14ac:dyDescent="0.25">
      <c r="A231" s="163"/>
      <c r="B231" s="106"/>
      <c r="C231" s="75"/>
      <c r="D231" s="100"/>
      <c r="E231" s="75" t="s">
        <v>2960</v>
      </c>
      <c r="F231" s="74"/>
      <c r="G231" s="72"/>
      <c r="J231" s="13"/>
      <c r="K231" s="362"/>
    </row>
    <row r="232" spans="1:11" x14ac:dyDescent="0.25">
      <c r="A232" s="163"/>
      <c r="B232" s="106"/>
      <c r="C232" s="75"/>
      <c r="D232" s="100"/>
      <c r="E232" s="73" t="s">
        <v>2962</v>
      </c>
      <c r="F232" s="74" t="s">
        <v>3</v>
      </c>
      <c r="G232" s="72">
        <v>0.05</v>
      </c>
      <c r="I232" t="s">
        <v>2963</v>
      </c>
      <c r="J232" s="13"/>
      <c r="K232" s="362"/>
    </row>
    <row r="233" spans="1:11" x14ac:dyDescent="0.25">
      <c r="A233" s="163"/>
      <c r="B233" s="106"/>
      <c r="C233" s="75"/>
      <c r="D233" s="75" t="s">
        <v>2964</v>
      </c>
      <c r="E233" s="73"/>
      <c r="F233" s="74"/>
      <c r="G233" s="72"/>
      <c r="J233" s="13"/>
      <c r="K233" s="362"/>
    </row>
    <row r="234" spans="1:11" x14ac:dyDescent="0.25">
      <c r="A234" s="163"/>
      <c r="B234" s="106"/>
      <c r="C234" s="75"/>
      <c r="D234" s="100" t="s">
        <v>2955</v>
      </c>
      <c r="E234" s="100"/>
      <c r="F234" s="152" t="s">
        <v>3</v>
      </c>
      <c r="G234" s="72">
        <f>0.012*3.14*0.08*1.25</f>
        <v>3.7680000000000005E-3</v>
      </c>
      <c r="J234" s="13"/>
      <c r="K234" s="362"/>
    </row>
    <row r="235" spans="1:11" ht="17.25" x14ac:dyDescent="0.25">
      <c r="A235" s="163"/>
      <c r="B235" s="106"/>
      <c r="C235" s="75"/>
      <c r="D235" s="100" t="s">
        <v>168</v>
      </c>
      <c r="E235" s="100"/>
      <c r="F235" s="152" t="s">
        <v>596</v>
      </c>
      <c r="G235" s="72">
        <f>G234*1.1</f>
        <v>4.1448000000000006E-3</v>
      </c>
      <c r="J235" s="13"/>
      <c r="K235" s="362"/>
    </row>
    <row r="236" spans="1:11" x14ac:dyDescent="0.25">
      <c r="A236" s="163"/>
      <c r="B236" s="106"/>
      <c r="C236" s="75"/>
      <c r="D236" s="100"/>
      <c r="E236" s="75" t="s">
        <v>2965</v>
      </c>
      <c r="F236" s="74"/>
      <c r="G236" s="72"/>
      <c r="J236" s="13"/>
      <c r="K236" s="362"/>
    </row>
    <row r="237" spans="1:11" x14ac:dyDescent="0.25">
      <c r="A237" s="163"/>
      <c r="B237" s="106"/>
      <c r="C237" s="75"/>
      <c r="D237" s="100"/>
      <c r="E237" s="73" t="s">
        <v>2957</v>
      </c>
      <c r="F237" s="74" t="s">
        <v>3</v>
      </c>
      <c r="G237" s="72">
        <v>0.02</v>
      </c>
      <c r="I237" t="s">
        <v>2966</v>
      </c>
      <c r="J237" s="13"/>
      <c r="K237" s="362"/>
    </row>
    <row r="238" spans="1:11" x14ac:dyDescent="0.25">
      <c r="A238" s="163"/>
      <c r="B238" s="106" t="s">
        <v>2968</v>
      </c>
      <c r="C238" s="75"/>
      <c r="D238" s="366" t="s">
        <v>2967</v>
      </c>
      <c r="E238" s="367"/>
      <c r="F238" s="74"/>
      <c r="G238" s="72"/>
      <c r="J238" s="13"/>
      <c r="K238" s="362"/>
    </row>
    <row r="239" spans="1:11" x14ac:dyDescent="0.25">
      <c r="A239" s="163"/>
      <c r="B239" s="106"/>
      <c r="C239" s="75"/>
      <c r="D239" s="75" t="s">
        <v>2971</v>
      </c>
      <c r="E239" s="73"/>
      <c r="F239" s="74"/>
      <c r="G239" s="72"/>
      <c r="J239" s="13"/>
      <c r="K239" s="362"/>
    </row>
    <row r="240" spans="1:11" x14ac:dyDescent="0.25">
      <c r="A240" s="163"/>
      <c r="B240" s="106"/>
      <c r="C240" s="75"/>
      <c r="D240" s="75" t="s">
        <v>2972</v>
      </c>
      <c r="E240" s="73"/>
      <c r="F240" s="74"/>
      <c r="G240" s="72"/>
      <c r="J240" s="13"/>
      <c r="K240" s="362"/>
    </row>
    <row r="241" spans="1:11" x14ac:dyDescent="0.25">
      <c r="A241" s="163"/>
      <c r="B241" s="106"/>
      <c r="C241" s="75"/>
      <c r="D241" s="75" t="s">
        <v>2976</v>
      </c>
      <c r="E241" s="73"/>
      <c r="F241" s="74"/>
      <c r="G241" s="72"/>
      <c r="J241" s="13"/>
      <c r="K241" s="362"/>
    </row>
    <row r="242" spans="1:11" x14ac:dyDescent="0.25">
      <c r="A242" s="163"/>
      <c r="B242" s="106"/>
      <c r="C242" s="75"/>
      <c r="D242" s="75" t="s">
        <v>2973</v>
      </c>
      <c r="E242" s="73"/>
      <c r="F242" s="74"/>
      <c r="G242" s="72"/>
      <c r="J242" s="13"/>
      <c r="K242" s="362"/>
    </row>
    <row r="243" spans="1:11" x14ac:dyDescent="0.25">
      <c r="A243" s="163"/>
      <c r="B243" s="106"/>
      <c r="C243" s="75"/>
      <c r="D243" s="75" t="s">
        <v>2974</v>
      </c>
      <c r="E243" s="73"/>
      <c r="F243" s="74"/>
      <c r="G243" s="72"/>
      <c r="J243" s="13"/>
      <c r="K243" s="362"/>
    </row>
    <row r="244" spans="1:11" x14ac:dyDescent="0.25">
      <c r="A244" s="163"/>
      <c r="B244" s="106"/>
      <c r="C244" s="75"/>
      <c r="D244" s="75" t="s">
        <v>2975</v>
      </c>
      <c r="E244" s="73"/>
      <c r="F244" s="74"/>
      <c r="G244" s="72"/>
      <c r="J244" s="13"/>
      <c r="K244" s="362"/>
    </row>
    <row r="245" spans="1:11" x14ac:dyDescent="0.25">
      <c r="A245" s="163"/>
      <c r="B245" s="106"/>
      <c r="C245" s="75"/>
      <c r="D245" s="75" t="s">
        <v>2977</v>
      </c>
      <c r="E245" s="73"/>
      <c r="F245" s="74"/>
      <c r="G245" s="72"/>
      <c r="J245" s="13"/>
      <c r="K245" s="362"/>
    </row>
    <row r="246" spans="1:11" x14ac:dyDescent="0.25">
      <c r="A246" s="163"/>
      <c r="B246" s="106"/>
      <c r="C246" s="75"/>
      <c r="D246" s="75" t="s">
        <v>2969</v>
      </c>
      <c r="E246" s="73"/>
      <c r="F246" s="74"/>
      <c r="G246" s="72"/>
      <c r="J246" s="13"/>
      <c r="K246" s="362"/>
    </row>
    <row r="247" spans="1:11" ht="15.75" thickBot="1" x14ac:dyDescent="0.3">
      <c r="A247" s="67"/>
      <c r="B247" s="86"/>
      <c r="C247" s="235"/>
      <c r="D247" s="235" t="s">
        <v>2970</v>
      </c>
      <c r="E247" s="68"/>
      <c r="F247" s="82"/>
      <c r="G247" s="83"/>
      <c r="J247" s="13"/>
      <c r="K247" s="362"/>
    </row>
    <row r="248" spans="1:11" x14ac:dyDescent="0.25">
      <c r="A248"/>
      <c r="B248" s="18"/>
      <c r="F248" s="362"/>
      <c r="G248" s="10"/>
      <c r="J248" s="13"/>
      <c r="K248" s="362"/>
    </row>
    <row r="249" spans="1:11" x14ac:dyDescent="0.25">
      <c r="A249"/>
      <c r="E249" s="155"/>
      <c r="F249" s="10"/>
    </row>
    <row r="250" spans="1:11" x14ac:dyDescent="0.25">
      <c r="A250"/>
      <c r="F250" s="43"/>
      <c r="G250" s="2"/>
      <c r="I250" s="43"/>
    </row>
    <row r="251" spans="1:11" ht="18.75" x14ac:dyDescent="0.3">
      <c r="A251"/>
      <c r="E251" s="46" t="s">
        <v>343</v>
      </c>
      <c r="F251" s="43"/>
      <c r="G251" s="2"/>
    </row>
    <row r="252" spans="1:11" x14ac:dyDescent="0.25">
      <c r="A252"/>
      <c r="F252" s="43"/>
      <c r="G252" s="2"/>
    </row>
    <row r="253" spans="1:11" s="47" customFormat="1" ht="15.75" x14ac:dyDescent="0.25">
      <c r="C253" s="45" t="s">
        <v>338</v>
      </c>
      <c r="F253" s="48"/>
      <c r="G253" s="49"/>
    </row>
    <row r="254" spans="1:11" s="47" customFormat="1" ht="15.75" x14ac:dyDescent="0.25">
      <c r="D254" s="47" t="s">
        <v>342</v>
      </c>
      <c r="F254" s="48" t="s">
        <v>3</v>
      </c>
      <c r="G254" s="50">
        <f>1.46*0.473*1.07</f>
        <v>0.73892060000000004</v>
      </c>
    </row>
    <row r="255" spans="1:11" s="47" customFormat="1" ht="15.75" x14ac:dyDescent="0.25">
      <c r="C255" s="45" t="s">
        <v>339</v>
      </c>
      <c r="F255" s="48"/>
      <c r="G255" s="50"/>
    </row>
    <row r="256" spans="1:11" s="47" customFormat="1" ht="15.75" x14ac:dyDescent="0.25">
      <c r="D256" s="47" t="s">
        <v>342</v>
      </c>
      <c r="F256" s="48" t="s">
        <v>3</v>
      </c>
      <c r="G256" s="50">
        <f>1.46*0.33*1.07</f>
        <v>0.51552600000000004</v>
      </c>
    </row>
    <row r="257" spans="1:16" s="47" customFormat="1" ht="15.75" x14ac:dyDescent="0.25">
      <c r="C257" s="45" t="s">
        <v>340</v>
      </c>
      <c r="F257" s="48"/>
      <c r="G257" s="50"/>
    </row>
    <row r="258" spans="1:16" s="47" customFormat="1" ht="15.75" x14ac:dyDescent="0.25">
      <c r="D258" s="47" t="s">
        <v>342</v>
      </c>
      <c r="F258" s="48" t="s">
        <v>3</v>
      </c>
      <c r="G258" s="50">
        <f>1.46*0.364*1.07</f>
        <v>0.56864080000000006</v>
      </c>
    </row>
    <row r="259" spans="1:16" s="47" customFormat="1" ht="15.75" x14ac:dyDescent="0.25">
      <c r="C259" s="45" t="s">
        <v>341</v>
      </c>
      <c r="F259" s="48"/>
      <c r="G259" s="50"/>
    </row>
    <row r="260" spans="1:16" s="47" customFormat="1" ht="15.75" x14ac:dyDescent="0.25">
      <c r="D260" s="47" t="s">
        <v>342</v>
      </c>
      <c r="F260" s="48" t="s">
        <v>3</v>
      </c>
      <c r="G260" s="50">
        <f>1.46*0.364*1.07</f>
        <v>0.56864080000000006</v>
      </c>
    </row>
    <row r="261" spans="1:16" x14ac:dyDescent="0.25">
      <c r="A261"/>
      <c r="F261" s="43"/>
      <c r="G261" s="2"/>
      <c r="H261" s="2"/>
    </row>
    <row r="262" spans="1:16" ht="18.75" x14ac:dyDescent="0.3">
      <c r="A262"/>
      <c r="E262" s="110" t="s">
        <v>521</v>
      </c>
      <c r="F262" s="43"/>
      <c r="G262" s="2"/>
    </row>
    <row r="263" spans="1:16" x14ac:dyDescent="0.25">
      <c r="A263"/>
      <c r="F263" s="43"/>
      <c r="G263" s="2"/>
    </row>
    <row r="264" spans="1:16" x14ac:dyDescent="0.25">
      <c r="A264">
        <v>1</v>
      </c>
      <c r="C264" s="3" t="s">
        <v>522</v>
      </c>
      <c r="F264" s="43"/>
      <c r="G264" s="2"/>
    </row>
    <row r="265" spans="1:16" x14ac:dyDescent="0.25">
      <c r="A265"/>
      <c r="D265" s="4" t="s">
        <v>530</v>
      </c>
      <c r="F265" s="43"/>
      <c r="G265" s="2"/>
      <c r="L265" s="63"/>
      <c r="M265" s="63"/>
      <c r="O265" s="63"/>
      <c r="P265" s="63"/>
    </row>
    <row r="266" spans="1:16" x14ac:dyDescent="0.25">
      <c r="A266"/>
      <c r="D266" t="s">
        <v>531</v>
      </c>
      <c r="F266" s="63" t="s">
        <v>207</v>
      </c>
      <c r="G266" s="2">
        <f>0.5*1.4</f>
        <v>0.7</v>
      </c>
      <c r="L266" s="6"/>
      <c r="M266" s="6"/>
      <c r="O266" s="6"/>
      <c r="P266" s="6"/>
    </row>
    <row r="267" spans="1:16" x14ac:dyDescent="0.25">
      <c r="A267"/>
      <c r="F267" s="43"/>
      <c r="G267" s="2"/>
      <c r="L267" s="6"/>
      <c r="M267" s="115"/>
      <c r="O267" s="6"/>
      <c r="P267" s="115"/>
    </row>
    <row r="268" spans="1:16" x14ac:dyDescent="0.25">
      <c r="A268">
        <v>2</v>
      </c>
      <c r="C268" s="3" t="s">
        <v>523</v>
      </c>
      <c r="F268" s="43"/>
      <c r="G268" s="2"/>
    </row>
    <row r="269" spans="1:16" x14ac:dyDescent="0.25">
      <c r="A269"/>
      <c r="D269" s="4" t="s">
        <v>530</v>
      </c>
      <c r="F269" s="63"/>
      <c r="G269" s="2"/>
    </row>
    <row r="270" spans="1:16" x14ac:dyDescent="0.25">
      <c r="A270"/>
      <c r="D270" t="s">
        <v>531</v>
      </c>
      <c r="F270" s="63" t="s">
        <v>207</v>
      </c>
      <c r="G270" s="2">
        <f>0.5*1.4</f>
        <v>0.7</v>
      </c>
    </row>
    <row r="271" spans="1:16" x14ac:dyDescent="0.25">
      <c r="A271"/>
      <c r="F271" s="43"/>
      <c r="G271" s="2"/>
    </row>
    <row r="272" spans="1:16" x14ac:dyDescent="0.25">
      <c r="A272">
        <v>3</v>
      </c>
      <c r="C272" s="3" t="s">
        <v>532</v>
      </c>
      <c r="F272" s="43"/>
      <c r="G272" s="2"/>
    </row>
    <row r="273" spans="1:13" x14ac:dyDescent="0.25">
      <c r="A273"/>
      <c r="D273" s="4" t="s">
        <v>530</v>
      </c>
      <c r="F273" s="63"/>
      <c r="G273" s="2"/>
    </row>
    <row r="274" spans="1:13" x14ac:dyDescent="0.25">
      <c r="A274"/>
      <c r="D274" t="s">
        <v>531</v>
      </c>
      <c r="F274" s="63" t="s">
        <v>207</v>
      </c>
      <c r="G274" s="2">
        <f>0.5*1.4</f>
        <v>0.7</v>
      </c>
    </row>
    <row r="275" spans="1:13" x14ac:dyDescent="0.25">
      <c r="A275"/>
      <c r="F275" s="43"/>
      <c r="G275" s="2"/>
    </row>
    <row r="276" spans="1:13" x14ac:dyDescent="0.25">
      <c r="A276">
        <v>4</v>
      </c>
      <c r="C276" s="3" t="s">
        <v>524</v>
      </c>
      <c r="F276" s="43"/>
      <c r="G276" s="2"/>
    </row>
    <row r="277" spans="1:13" x14ac:dyDescent="0.25">
      <c r="A277"/>
      <c r="D277" s="4" t="s">
        <v>530</v>
      </c>
      <c r="F277" s="63"/>
      <c r="G277" s="2"/>
    </row>
    <row r="278" spans="1:13" x14ac:dyDescent="0.25">
      <c r="A278"/>
      <c r="D278" t="s">
        <v>531</v>
      </c>
      <c r="F278" s="63" t="s">
        <v>207</v>
      </c>
      <c r="G278" s="2">
        <f>0.5*1.4</f>
        <v>0.7</v>
      </c>
    </row>
    <row r="279" spans="1:13" x14ac:dyDescent="0.25">
      <c r="A279"/>
      <c r="F279" s="43"/>
      <c r="G279" s="2"/>
    </row>
    <row r="280" spans="1:13" x14ac:dyDescent="0.25">
      <c r="A280">
        <v>5</v>
      </c>
      <c r="C280" s="3" t="s">
        <v>525</v>
      </c>
      <c r="F280" s="43"/>
      <c r="G280" s="2"/>
    </row>
    <row r="281" spans="1:13" x14ac:dyDescent="0.25">
      <c r="A281"/>
      <c r="D281" s="4" t="s">
        <v>533</v>
      </c>
      <c r="F281" s="43"/>
      <c r="G281" s="2"/>
    </row>
    <row r="282" spans="1:13" x14ac:dyDescent="0.25">
      <c r="A282"/>
      <c r="D282" t="s">
        <v>531</v>
      </c>
      <c r="F282" s="63" t="s">
        <v>207</v>
      </c>
      <c r="G282" s="113">
        <v>0.32100000000000001</v>
      </c>
      <c r="H282" t="s">
        <v>542</v>
      </c>
    </row>
    <row r="283" spans="1:13" x14ac:dyDescent="0.25">
      <c r="A283"/>
      <c r="F283" s="43"/>
      <c r="G283" s="111"/>
      <c r="H283" t="s">
        <v>534</v>
      </c>
    </row>
    <row r="284" spans="1:13" x14ac:dyDescent="0.25">
      <c r="A284">
        <v>6</v>
      </c>
      <c r="C284" s="3" t="s">
        <v>526</v>
      </c>
      <c r="F284" s="43"/>
      <c r="G284" s="112"/>
    </row>
    <row r="285" spans="1:13" x14ac:dyDescent="0.25">
      <c r="A285"/>
      <c r="D285" t="s">
        <v>531</v>
      </c>
      <c r="F285" s="43"/>
      <c r="G285" s="114">
        <v>0.23100000000000001</v>
      </c>
      <c r="H285" t="s">
        <v>542</v>
      </c>
    </row>
    <row r="286" spans="1:13" x14ac:dyDescent="0.25">
      <c r="A286"/>
      <c r="F286" s="43"/>
      <c r="G286" s="10"/>
    </row>
    <row r="287" spans="1:13" x14ac:dyDescent="0.25">
      <c r="A287">
        <v>7</v>
      </c>
      <c r="C287" s="3" t="s">
        <v>527</v>
      </c>
      <c r="F287" s="43"/>
      <c r="G287" s="10"/>
      <c r="M287">
        <f>3/13</f>
        <v>0.23076923076923078</v>
      </c>
    </row>
    <row r="288" spans="1:13" x14ac:dyDescent="0.25">
      <c r="A288"/>
      <c r="D288" s="4" t="s">
        <v>530</v>
      </c>
      <c r="F288" s="63"/>
      <c r="G288" s="2"/>
    </row>
    <row r="289" spans="1:8" x14ac:dyDescent="0.25">
      <c r="A289"/>
      <c r="D289" t="s">
        <v>531</v>
      </c>
      <c r="F289" s="63" t="s">
        <v>207</v>
      </c>
      <c r="G289" s="2">
        <f>0.5*1.4</f>
        <v>0.7</v>
      </c>
    </row>
    <row r="290" spans="1:8" x14ac:dyDescent="0.25">
      <c r="A290"/>
      <c r="F290" s="43"/>
      <c r="G290" s="10"/>
    </row>
    <row r="291" spans="1:8" x14ac:dyDescent="0.25">
      <c r="A291">
        <v>8</v>
      </c>
      <c r="C291" s="3" t="s">
        <v>528</v>
      </c>
      <c r="F291" s="43"/>
      <c r="G291" s="10"/>
    </row>
    <row r="292" spans="1:8" x14ac:dyDescent="0.25">
      <c r="A292"/>
      <c r="D292" s="4" t="s">
        <v>530</v>
      </c>
      <c r="F292" s="63"/>
      <c r="G292" s="2"/>
    </row>
    <row r="293" spans="1:8" x14ac:dyDescent="0.25">
      <c r="A293"/>
      <c r="D293" t="s">
        <v>531</v>
      </c>
      <c r="F293" s="63" t="s">
        <v>207</v>
      </c>
      <c r="G293" s="2">
        <f>0.5*1.4</f>
        <v>0.7</v>
      </c>
    </row>
    <row r="294" spans="1:8" x14ac:dyDescent="0.25">
      <c r="A294"/>
      <c r="F294" s="43"/>
      <c r="G294" s="10"/>
    </row>
    <row r="295" spans="1:8" x14ac:dyDescent="0.25">
      <c r="A295">
        <v>9</v>
      </c>
      <c r="C295" s="3" t="s">
        <v>540</v>
      </c>
      <c r="F295" s="43"/>
      <c r="G295" s="10"/>
    </row>
    <row r="296" spans="1:8" x14ac:dyDescent="0.25">
      <c r="A296"/>
      <c r="D296" s="4" t="s">
        <v>535</v>
      </c>
      <c r="F296" s="43"/>
      <c r="G296" s="10"/>
    </row>
    <row r="297" spans="1:8" x14ac:dyDescent="0.25">
      <c r="A297"/>
      <c r="D297" t="s">
        <v>531</v>
      </c>
      <c r="F297" s="63" t="s">
        <v>207</v>
      </c>
      <c r="G297" s="61">
        <v>0.27200000000000002</v>
      </c>
      <c r="H297" t="s">
        <v>536</v>
      </c>
    </row>
    <row r="298" spans="1:8" x14ac:dyDescent="0.25">
      <c r="A298"/>
      <c r="F298" s="43"/>
      <c r="G298" s="61"/>
    </row>
    <row r="299" spans="1:8" x14ac:dyDescent="0.25">
      <c r="A299">
        <v>10</v>
      </c>
      <c r="C299" s="3" t="s">
        <v>539</v>
      </c>
      <c r="F299" s="43"/>
      <c r="G299" s="61"/>
    </row>
    <row r="300" spans="1:8" x14ac:dyDescent="0.25">
      <c r="A300"/>
      <c r="D300" s="4" t="s">
        <v>535</v>
      </c>
      <c r="F300" s="43"/>
      <c r="G300" s="61"/>
    </row>
    <row r="301" spans="1:8" x14ac:dyDescent="0.25">
      <c r="A301"/>
      <c r="D301" t="s">
        <v>531</v>
      </c>
      <c r="F301" s="63" t="s">
        <v>207</v>
      </c>
      <c r="G301" s="61">
        <v>0.27200000000000002</v>
      </c>
    </row>
    <row r="302" spans="1:8" x14ac:dyDescent="0.25">
      <c r="A302"/>
      <c r="F302" s="43"/>
      <c r="G302" s="61"/>
    </row>
    <row r="303" spans="1:8" x14ac:dyDescent="0.25">
      <c r="A303">
        <v>11</v>
      </c>
      <c r="C303" s="3" t="s">
        <v>538</v>
      </c>
      <c r="F303" s="43"/>
      <c r="G303" s="61"/>
    </row>
    <row r="304" spans="1:8" x14ac:dyDescent="0.25">
      <c r="A304"/>
      <c r="D304" s="4" t="s">
        <v>541</v>
      </c>
      <c r="F304" s="43"/>
      <c r="G304" s="61"/>
    </row>
    <row r="305" spans="1:11" x14ac:dyDescent="0.25">
      <c r="A305"/>
      <c r="D305" t="s">
        <v>531</v>
      </c>
      <c r="F305" s="63" t="s">
        <v>207</v>
      </c>
      <c r="G305" s="61">
        <v>0.16</v>
      </c>
      <c r="K305" s="2"/>
    </row>
    <row r="306" spans="1:11" x14ac:dyDescent="0.25">
      <c r="A306"/>
      <c r="F306" s="43"/>
      <c r="G306" s="61"/>
    </row>
    <row r="307" spans="1:11" x14ac:dyDescent="0.25">
      <c r="A307">
        <v>12</v>
      </c>
      <c r="C307" s="3" t="s">
        <v>537</v>
      </c>
      <c r="F307" s="43"/>
      <c r="G307" s="61"/>
    </row>
    <row r="308" spans="1:11" x14ac:dyDescent="0.25">
      <c r="A308"/>
      <c r="D308" s="4" t="s">
        <v>541</v>
      </c>
      <c r="F308" s="43"/>
      <c r="G308" s="61"/>
    </row>
    <row r="309" spans="1:11" x14ac:dyDescent="0.25">
      <c r="A309"/>
      <c r="D309" t="s">
        <v>531</v>
      </c>
      <c r="F309" s="63" t="s">
        <v>207</v>
      </c>
      <c r="G309" s="61">
        <v>0.16</v>
      </c>
    </row>
    <row r="310" spans="1:11" x14ac:dyDescent="0.25">
      <c r="A310"/>
      <c r="F310" s="43"/>
      <c r="G310" s="10"/>
    </row>
    <row r="311" spans="1:11" x14ac:dyDescent="0.25">
      <c r="A311"/>
      <c r="F311" s="121" t="s">
        <v>585</v>
      </c>
      <c r="G311" s="123">
        <f>SUM(G266:G310)</f>
        <v>5.6160000000000005</v>
      </c>
    </row>
    <row r="312" spans="1:11" x14ac:dyDescent="0.25">
      <c r="A312"/>
      <c r="F312" s="43"/>
      <c r="G312" s="10"/>
    </row>
    <row r="313" spans="1:11" x14ac:dyDescent="0.25">
      <c r="A313"/>
      <c r="C313" s="3" t="s">
        <v>843</v>
      </c>
      <c r="F313" s="305"/>
      <c r="G313" s="123"/>
    </row>
    <row r="314" spans="1:11" x14ac:dyDescent="0.25">
      <c r="A314"/>
      <c r="D314" s="3" t="s">
        <v>842</v>
      </c>
      <c r="F314" s="305"/>
      <c r="G314" s="123"/>
    </row>
    <row r="315" spans="1:11" x14ac:dyDescent="0.25">
      <c r="A315"/>
      <c r="D315" t="s">
        <v>845</v>
      </c>
      <c r="F315" s="305" t="s">
        <v>195</v>
      </c>
      <c r="G315" s="123">
        <v>0.315</v>
      </c>
    </row>
    <row r="316" spans="1:11" x14ac:dyDescent="0.25">
      <c r="A316"/>
      <c r="D316" s="3" t="s">
        <v>844</v>
      </c>
      <c r="F316" s="305"/>
      <c r="G316" s="123"/>
    </row>
    <row r="317" spans="1:11" x14ac:dyDescent="0.25">
      <c r="A317"/>
      <c r="D317" t="s">
        <v>846</v>
      </c>
      <c r="F317" s="305" t="s">
        <v>3</v>
      </c>
      <c r="G317" s="123">
        <v>2.9999999999999997E-4</v>
      </c>
    </row>
    <row r="318" spans="1:11" x14ac:dyDescent="0.25">
      <c r="A318"/>
      <c r="F318" s="43"/>
      <c r="G318" s="10"/>
    </row>
    <row r="319" spans="1:11" x14ac:dyDescent="0.25">
      <c r="A319"/>
      <c r="B319" s="485"/>
      <c r="C319" s="485"/>
      <c r="D319" s="485"/>
      <c r="E319" s="486" t="s">
        <v>4685</v>
      </c>
      <c r="F319" s="487"/>
      <c r="G319" s="488"/>
      <c r="H319" s="485"/>
      <c r="I319" s="485"/>
      <c r="J319" s="485"/>
      <c r="K319" s="485"/>
    </row>
    <row r="320" spans="1:11" x14ac:dyDescent="0.25">
      <c r="A320"/>
      <c r="B320" s="485"/>
      <c r="C320" s="485"/>
      <c r="D320" s="485"/>
      <c r="E320" s="485"/>
      <c r="F320" s="487"/>
      <c r="G320" s="488"/>
      <c r="H320" s="485"/>
      <c r="I320" s="485"/>
      <c r="J320" s="489" t="s">
        <v>4705</v>
      </c>
      <c r="K320" s="489" t="s">
        <v>4706</v>
      </c>
    </row>
    <row r="321" spans="1:11" x14ac:dyDescent="0.25">
      <c r="A321"/>
      <c r="B321" s="485">
        <v>1</v>
      </c>
      <c r="C321" s="485"/>
      <c r="D321" s="485"/>
      <c r="E321" s="490" t="s">
        <v>4686</v>
      </c>
      <c r="F321" s="491" t="s">
        <v>4699</v>
      </c>
      <c r="G321" s="488"/>
      <c r="H321" s="485"/>
      <c r="I321" s="485"/>
      <c r="J321" s="492">
        <v>2</v>
      </c>
      <c r="K321" s="492"/>
    </row>
    <row r="322" spans="1:11" x14ac:dyDescent="0.25">
      <c r="A322"/>
      <c r="B322" s="485">
        <v>2</v>
      </c>
      <c r="C322" s="485"/>
      <c r="D322" s="485"/>
      <c r="E322" s="490" t="s">
        <v>4687</v>
      </c>
      <c r="F322" s="491" t="s">
        <v>4700</v>
      </c>
      <c r="G322" s="488"/>
      <c r="H322" s="485"/>
      <c r="I322" s="485"/>
      <c r="J322" s="492">
        <v>1</v>
      </c>
      <c r="K322" s="492"/>
    </row>
    <row r="323" spans="1:11" x14ac:dyDescent="0.25">
      <c r="A323"/>
      <c r="B323" s="485">
        <v>3</v>
      </c>
      <c r="C323" s="485"/>
      <c r="D323" s="485"/>
      <c r="E323" s="490" t="s">
        <v>4688</v>
      </c>
      <c r="F323" s="491" t="s">
        <v>4701</v>
      </c>
      <c r="G323" s="488"/>
      <c r="H323" s="485"/>
      <c r="I323" s="485"/>
      <c r="J323" s="492">
        <v>1</v>
      </c>
      <c r="K323" s="492"/>
    </row>
    <row r="324" spans="1:11" x14ac:dyDescent="0.25">
      <c r="A324"/>
      <c r="B324" s="485">
        <v>4</v>
      </c>
      <c r="C324" s="485"/>
      <c r="D324" s="485"/>
      <c r="E324" s="490" t="s">
        <v>4689</v>
      </c>
      <c r="F324" s="491" t="s">
        <v>4702</v>
      </c>
      <c r="G324" s="488"/>
      <c r="H324" s="485"/>
      <c r="I324" s="485"/>
      <c r="J324" s="492">
        <v>2</v>
      </c>
      <c r="K324" s="492"/>
    </row>
    <row r="325" spans="1:11" x14ac:dyDescent="0.25">
      <c r="A325"/>
      <c r="B325" s="485">
        <v>5</v>
      </c>
      <c r="C325" s="485"/>
      <c r="D325" s="485"/>
      <c r="E325" s="490" t="s">
        <v>4690</v>
      </c>
      <c r="F325" s="491" t="s">
        <v>4696</v>
      </c>
      <c r="G325" s="488"/>
      <c r="H325" s="485"/>
      <c r="I325" s="485"/>
      <c r="J325" s="492">
        <v>2</v>
      </c>
      <c r="K325" s="492"/>
    </row>
    <row r="326" spans="1:11" x14ac:dyDescent="0.25">
      <c r="A326"/>
      <c r="B326" s="485">
        <v>6</v>
      </c>
      <c r="C326" s="485"/>
      <c r="D326" s="485"/>
      <c r="E326" s="490" t="s">
        <v>4695</v>
      </c>
      <c r="F326" s="491" t="s">
        <v>4698</v>
      </c>
      <c r="G326" s="488"/>
      <c r="H326" s="485"/>
      <c r="I326" s="485"/>
      <c r="J326" s="492">
        <v>1</v>
      </c>
      <c r="K326" s="492"/>
    </row>
    <row r="327" spans="1:11" x14ac:dyDescent="0.25">
      <c r="A327"/>
      <c r="B327" s="485">
        <v>7</v>
      </c>
      <c r="C327" s="485"/>
      <c r="D327" s="485"/>
      <c r="E327" s="490" t="s">
        <v>4693</v>
      </c>
      <c r="F327" s="491" t="s">
        <v>4703</v>
      </c>
      <c r="G327" s="488"/>
      <c r="H327" s="485"/>
      <c r="I327" s="485"/>
      <c r="J327" s="492">
        <v>2</v>
      </c>
      <c r="K327" s="492"/>
    </row>
    <row r="328" spans="1:11" x14ac:dyDescent="0.25">
      <c r="A328"/>
      <c r="B328" s="485">
        <v>8</v>
      </c>
      <c r="C328" s="485"/>
      <c r="D328" s="485"/>
      <c r="E328" s="490" t="s">
        <v>4694</v>
      </c>
      <c r="F328" s="491" t="s">
        <v>4704</v>
      </c>
      <c r="G328" s="488"/>
      <c r="H328" s="485"/>
      <c r="I328" s="485"/>
      <c r="J328" s="492">
        <v>3</v>
      </c>
      <c r="K328" s="492"/>
    </row>
    <row r="329" spans="1:11" x14ac:dyDescent="0.25">
      <c r="A329"/>
      <c r="B329" s="485">
        <v>9</v>
      </c>
      <c r="C329" s="485"/>
      <c r="D329" s="485"/>
      <c r="E329" s="495" t="s">
        <v>4691</v>
      </c>
      <c r="F329" s="491" t="s">
        <v>4697</v>
      </c>
      <c r="G329" s="488"/>
      <c r="H329" s="485"/>
      <c r="I329" s="485"/>
      <c r="J329" s="492"/>
      <c r="K329" s="492">
        <v>1</v>
      </c>
    </row>
    <row r="330" spans="1:11" x14ac:dyDescent="0.25">
      <c r="A330"/>
      <c r="B330" s="493">
        <v>10</v>
      </c>
      <c r="C330" s="493"/>
      <c r="D330" s="485"/>
      <c r="E330" s="495" t="s">
        <v>4101</v>
      </c>
      <c r="F330" s="491" t="s">
        <v>4102</v>
      </c>
      <c r="G330" s="488"/>
      <c r="H330" s="485"/>
      <c r="I330" s="485"/>
      <c r="J330" s="492"/>
      <c r="K330" s="492">
        <v>1</v>
      </c>
    </row>
    <row r="331" spans="1:11" x14ac:dyDescent="0.25">
      <c r="A331"/>
      <c r="B331" s="493">
        <v>11</v>
      </c>
      <c r="C331" s="493"/>
      <c r="D331" s="485"/>
      <c r="E331" s="495" t="s">
        <v>4692</v>
      </c>
      <c r="F331" s="491" t="s">
        <v>4701</v>
      </c>
      <c r="G331" s="488"/>
      <c r="H331" s="485"/>
      <c r="I331" s="485"/>
      <c r="J331" s="492"/>
      <c r="K331" s="492">
        <v>2</v>
      </c>
    </row>
    <row r="332" spans="1:11" x14ac:dyDescent="0.25">
      <c r="A332"/>
      <c r="B332" s="485"/>
      <c r="C332" s="485"/>
      <c r="D332" s="485"/>
      <c r="E332" s="485"/>
      <c r="F332" s="487"/>
      <c r="G332" s="488"/>
      <c r="H332" s="485"/>
      <c r="I332" s="485"/>
      <c r="J332" s="485"/>
      <c r="K332" s="485"/>
    </row>
    <row r="333" spans="1:11" x14ac:dyDescent="0.25">
      <c r="A333"/>
      <c r="B333" s="485"/>
      <c r="C333" s="485"/>
      <c r="D333" s="485"/>
      <c r="E333" s="485"/>
      <c r="F333" s="487"/>
      <c r="G333" s="488"/>
      <c r="H333" s="485"/>
      <c r="I333" s="494" t="s">
        <v>4707</v>
      </c>
      <c r="J333" s="487">
        <f>SUM(J321:J332)</f>
        <v>14</v>
      </c>
      <c r="K333" s="487">
        <f>SUM(K321:K332)</f>
        <v>4</v>
      </c>
    </row>
    <row r="334" spans="1:11" ht="15.75" thickBot="1" x14ac:dyDescent="0.3">
      <c r="A334"/>
      <c r="B334" s="73"/>
      <c r="C334" s="73"/>
      <c r="D334" s="73"/>
      <c r="E334" s="73"/>
      <c r="F334" s="74"/>
      <c r="G334" s="153"/>
      <c r="H334" s="73"/>
      <c r="I334" s="390"/>
      <c r="J334" s="74"/>
      <c r="K334" s="74"/>
    </row>
    <row r="335" spans="1:11" x14ac:dyDescent="0.25">
      <c r="A335" s="159"/>
      <c r="B335" s="93"/>
      <c r="C335" s="93"/>
      <c r="D335" s="93"/>
      <c r="E335" s="93"/>
      <c r="F335" s="160"/>
      <c r="G335" s="161"/>
      <c r="H335" s="93"/>
      <c r="I335" s="499" t="s">
        <v>4712</v>
      </c>
      <c r="J335" s="262"/>
    </row>
    <row r="336" spans="1:11" x14ac:dyDescent="0.25">
      <c r="A336" s="163"/>
      <c r="B336" s="75" t="s">
        <v>4710</v>
      </c>
      <c r="C336" s="73"/>
      <c r="D336" s="73"/>
      <c r="E336" s="73"/>
      <c r="F336" s="74"/>
      <c r="G336" s="153"/>
      <c r="H336" s="73"/>
      <c r="I336" s="73"/>
      <c r="J336" s="236"/>
      <c r="K336" s="121"/>
    </row>
    <row r="337" spans="1:11" x14ac:dyDescent="0.25">
      <c r="A337" s="163"/>
      <c r="B337" s="106"/>
      <c r="C337" s="75" t="s">
        <v>4711</v>
      </c>
      <c r="D337" s="73"/>
      <c r="E337" s="73"/>
      <c r="F337" s="74"/>
      <c r="G337" s="153"/>
      <c r="H337" s="73"/>
      <c r="I337" s="73"/>
      <c r="J337" s="236"/>
      <c r="K337" s="121"/>
    </row>
    <row r="338" spans="1:11" x14ac:dyDescent="0.25">
      <c r="A338" s="163"/>
      <c r="B338" s="106"/>
      <c r="C338" s="75"/>
      <c r="D338" s="73"/>
      <c r="E338" s="73"/>
      <c r="F338" s="74"/>
      <c r="G338" s="153"/>
      <c r="H338" s="73"/>
      <c r="I338" s="73"/>
      <c r="J338" s="236"/>
      <c r="K338" s="483"/>
    </row>
    <row r="339" spans="1:11" x14ac:dyDescent="0.25">
      <c r="A339" s="163"/>
      <c r="B339" s="106"/>
      <c r="C339" s="73" t="s">
        <v>4708</v>
      </c>
      <c r="D339" s="73"/>
      <c r="E339" s="73"/>
      <c r="F339" s="74" t="s">
        <v>1516</v>
      </c>
      <c r="G339" s="496">
        <v>14</v>
      </c>
      <c r="H339" s="73"/>
      <c r="I339" s="73"/>
      <c r="J339" s="236"/>
      <c r="K339" s="121"/>
    </row>
    <row r="340" spans="1:11" x14ac:dyDescent="0.25">
      <c r="A340" s="163"/>
      <c r="B340" s="106"/>
      <c r="C340" s="73"/>
      <c r="D340" s="73"/>
      <c r="E340" s="73"/>
      <c r="F340" s="74"/>
      <c r="G340" s="496"/>
      <c r="H340" s="73"/>
      <c r="I340" s="73"/>
      <c r="J340" s="236"/>
      <c r="K340" s="483"/>
    </row>
    <row r="341" spans="1:11" ht="15.75" thickBot="1" x14ac:dyDescent="0.3">
      <c r="A341" s="67"/>
      <c r="B341" s="86"/>
      <c r="C341" s="68" t="s">
        <v>4709</v>
      </c>
      <c r="D341" s="68"/>
      <c r="E341" s="68"/>
      <c r="F341" s="82" t="s">
        <v>1516</v>
      </c>
      <c r="G341" s="497">
        <v>4</v>
      </c>
      <c r="H341" s="68"/>
      <c r="I341" s="68"/>
      <c r="J341" s="498"/>
      <c r="K341" s="121"/>
    </row>
    <row r="342" spans="1:11" x14ac:dyDescent="0.25">
      <c r="A342" s="159"/>
      <c r="B342" s="181"/>
      <c r="C342" s="93"/>
      <c r="D342" s="93"/>
      <c r="E342" s="93"/>
      <c r="F342" s="160"/>
      <c r="G342" s="161"/>
      <c r="H342" s="93"/>
      <c r="I342" s="499" t="s">
        <v>4723</v>
      </c>
      <c r="J342" s="262"/>
      <c r="K342" s="121"/>
    </row>
    <row r="343" spans="1:11" ht="15.75" x14ac:dyDescent="0.25">
      <c r="A343" s="501"/>
      <c r="B343" s="352" t="s">
        <v>4721</v>
      </c>
      <c r="C343" s="502"/>
      <c r="D343" s="73"/>
      <c r="E343" s="73"/>
      <c r="F343" s="74"/>
      <c r="G343" s="153"/>
      <c r="H343" s="73"/>
      <c r="I343" s="73"/>
      <c r="J343" s="164"/>
    </row>
    <row r="344" spans="1:11" ht="15.75" x14ac:dyDescent="0.25">
      <c r="A344" s="503" t="s">
        <v>4722</v>
      </c>
      <c r="B344" s="352"/>
      <c r="C344" s="502"/>
      <c r="D344" s="73"/>
      <c r="E344" s="73"/>
      <c r="F344" s="74"/>
      <c r="G344" s="153"/>
      <c r="H344" s="73"/>
      <c r="I344" s="73"/>
      <c r="J344" s="164"/>
    </row>
    <row r="345" spans="1:11" ht="15.75" x14ac:dyDescent="0.25">
      <c r="A345" s="503"/>
      <c r="B345" s="352"/>
      <c r="C345" s="502"/>
      <c r="D345" s="73"/>
      <c r="E345" s="73"/>
      <c r="F345" s="74"/>
      <c r="G345" s="153"/>
      <c r="H345" s="73"/>
      <c r="I345" s="73"/>
      <c r="J345" s="164"/>
    </row>
    <row r="346" spans="1:11" x14ac:dyDescent="0.25">
      <c r="A346" s="163"/>
      <c r="B346" s="73" t="s">
        <v>4717</v>
      </c>
      <c r="C346" s="73"/>
      <c r="D346" s="73"/>
      <c r="E346" s="73"/>
      <c r="F346" s="74"/>
      <c r="G346" s="153"/>
      <c r="H346" s="73"/>
      <c r="I346" s="73"/>
      <c r="J346" s="164"/>
    </row>
    <row r="347" spans="1:11" ht="7.5" customHeight="1" x14ac:dyDescent="0.25">
      <c r="A347" s="163"/>
      <c r="B347" s="73"/>
      <c r="C347" s="73"/>
      <c r="D347" s="73"/>
      <c r="E347" s="73"/>
      <c r="F347" s="74"/>
      <c r="G347" s="153"/>
      <c r="H347" s="73"/>
      <c r="I347" s="73"/>
      <c r="J347" s="164"/>
    </row>
    <row r="348" spans="1:11" x14ac:dyDescent="0.25">
      <c r="A348" s="163"/>
      <c r="B348" s="73"/>
      <c r="C348" s="73" t="s">
        <v>4718</v>
      </c>
      <c r="D348" s="73"/>
      <c r="E348" s="73"/>
      <c r="F348" s="74" t="s">
        <v>3</v>
      </c>
      <c r="G348" s="153">
        <v>0.26</v>
      </c>
      <c r="H348" s="73"/>
      <c r="I348" s="73"/>
      <c r="J348" s="164"/>
    </row>
    <row r="349" spans="1:11" x14ac:dyDescent="0.25">
      <c r="A349" s="163"/>
      <c r="B349" s="73"/>
      <c r="C349" s="73"/>
      <c r="D349" s="73"/>
      <c r="E349" s="73"/>
      <c r="F349" s="74"/>
      <c r="G349" s="153"/>
      <c r="H349" s="73"/>
      <c r="I349" s="73"/>
      <c r="J349" s="164"/>
    </row>
    <row r="350" spans="1:11" x14ac:dyDescent="0.25">
      <c r="A350" s="163"/>
      <c r="B350" s="73" t="s">
        <v>4719</v>
      </c>
      <c r="C350" s="73"/>
      <c r="D350" s="73"/>
      <c r="E350" s="73"/>
      <c r="F350" s="74"/>
      <c r="G350" s="153"/>
      <c r="H350" s="73"/>
      <c r="I350" s="73"/>
      <c r="J350" s="164"/>
    </row>
    <row r="351" spans="1:11" ht="7.5" customHeight="1" x14ac:dyDescent="0.25">
      <c r="A351" s="163"/>
      <c r="B351" s="73"/>
      <c r="C351" s="73"/>
      <c r="D351" s="73"/>
      <c r="E351" s="73"/>
      <c r="F351" s="74"/>
      <c r="G351" s="153"/>
      <c r="H351" s="73"/>
      <c r="I351" s="73"/>
      <c r="J351" s="164"/>
    </row>
    <row r="352" spans="1:11" x14ac:dyDescent="0.25">
      <c r="A352" s="163"/>
      <c r="B352" s="73"/>
      <c r="C352" s="73" t="s">
        <v>4720</v>
      </c>
      <c r="D352" s="73"/>
      <c r="E352" s="73"/>
      <c r="F352" s="74" t="s">
        <v>3</v>
      </c>
      <c r="G352" s="153">
        <f>0.623-G348</f>
        <v>0.36299999999999999</v>
      </c>
      <c r="H352" s="73"/>
      <c r="I352" s="73"/>
      <c r="J352" s="164"/>
    </row>
    <row r="353" spans="1:10" ht="15.75" thickBot="1" x14ac:dyDescent="0.3">
      <c r="A353" s="67"/>
      <c r="B353" s="68"/>
      <c r="C353" s="68"/>
      <c r="D353" s="68"/>
      <c r="E353" s="68"/>
      <c r="F353" s="82"/>
      <c r="G353" s="89"/>
      <c r="H353" s="68"/>
      <c r="I353" s="68"/>
      <c r="J353" s="165"/>
    </row>
    <row r="354" spans="1:10" x14ac:dyDescent="0.25">
      <c r="A354"/>
      <c r="F354" s="43"/>
      <c r="G354" s="10"/>
    </row>
    <row r="355" spans="1:10" x14ac:dyDescent="0.25">
      <c r="A355"/>
      <c r="F355" s="43"/>
      <c r="G355" s="10"/>
    </row>
    <row r="356" spans="1:10" x14ac:dyDescent="0.25">
      <c r="A356"/>
      <c r="F356" s="43"/>
      <c r="G356" s="10"/>
    </row>
    <row r="357" spans="1:10" x14ac:dyDescent="0.25">
      <c r="A357"/>
      <c r="E357" s="117" t="s">
        <v>4950</v>
      </c>
      <c r="F357" s="43"/>
      <c r="G357" s="10"/>
    </row>
    <row r="358" spans="1:10" x14ac:dyDescent="0.25">
      <c r="A358"/>
      <c r="F358" s="43"/>
      <c r="G358" s="10"/>
    </row>
    <row r="359" spans="1:10" x14ac:dyDescent="0.25">
      <c r="A359"/>
      <c r="C359" s="3" t="s">
        <v>4951</v>
      </c>
      <c r="F359" s="43"/>
      <c r="G359" s="10"/>
    </row>
    <row r="360" spans="1:10" x14ac:dyDescent="0.25">
      <c r="A360"/>
      <c r="C360" s="3" t="s">
        <v>4952</v>
      </c>
      <c r="F360" s="43"/>
      <c r="G360" s="10"/>
    </row>
    <row r="361" spans="1:10" x14ac:dyDescent="0.25">
      <c r="A361"/>
      <c r="C361" s="3" t="s">
        <v>4955</v>
      </c>
      <c r="F361" s="43"/>
      <c r="G361" s="10"/>
    </row>
    <row r="362" spans="1:10" x14ac:dyDescent="0.25">
      <c r="A362"/>
      <c r="C362" s="3" t="s">
        <v>4954</v>
      </c>
      <c r="F362" s="43"/>
      <c r="G362" s="10"/>
    </row>
    <row r="363" spans="1:10" x14ac:dyDescent="0.25">
      <c r="A363"/>
      <c r="C363" s="3" t="s">
        <v>4953</v>
      </c>
      <c r="F363" s="43"/>
      <c r="G363" s="10"/>
    </row>
    <row r="364" spans="1:10" x14ac:dyDescent="0.25">
      <c r="A364"/>
      <c r="F364" s="43"/>
      <c r="G364" s="10"/>
    </row>
    <row r="365" spans="1:10" x14ac:dyDescent="0.25">
      <c r="A365"/>
      <c r="F365" s="43"/>
      <c r="G365" s="10"/>
    </row>
    <row r="366" spans="1:10" x14ac:dyDescent="0.25">
      <c r="A366"/>
      <c r="C366" t="s">
        <v>4927</v>
      </c>
      <c r="F366" t="s">
        <v>4940</v>
      </c>
      <c r="G366" s="10"/>
    </row>
    <row r="367" spans="1:10" x14ac:dyDescent="0.25">
      <c r="A367"/>
      <c r="C367" t="s">
        <v>4928</v>
      </c>
      <c r="F367" t="s">
        <v>4941</v>
      </c>
      <c r="G367" s="10"/>
    </row>
    <row r="368" spans="1:10" x14ac:dyDescent="0.25">
      <c r="A368"/>
      <c r="C368" t="s">
        <v>4919</v>
      </c>
      <c r="F368" t="s">
        <v>4936</v>
      </c>
      <c r="G368" s="10"/>
    </row>
    <row r="369" spans="1:7" x14ac:dyDescent="0.25">
      <c r="A369"/>
      <c r="C369" t="s">
        <v>4920</v>
      </c>
      <c r="F369" t="s">
        <v>4937</v>
      </c>
      <c r="G369" s="10"/>
    </row>
    <row r="370" spans="1:7" x14ac:dyDescent="0.25">
      <c r="A370"/>
      <c r="F370"/>
      <c r="G370" s="10"/>
    </row>
    <row r="371" spans="1:7" x14ac:dyDescent="0.25">
      <c r="A371"/>
      <c r="C371" t="s">
        <v>4926</v>
      </c>
      <c r="F371" t="s">
        <v>4947</v>
      </c>
      <c r="G371" s="10"/>
    </row>
    <row r="372" spans="1:7" x14ac:dyDescent="0.25">
      <c r="A372"/>
      <c r="C372" t="s">
        <v>4924</v>
      </c>
      <c r="F372" t="s">
        <v>4925</v>
      </c>
      <c r="G372" s="10"/>
    </row>
    <row r="373" spans="1:7" x14ac:dyDescent="0.25">
      <c r="A373"/>
      <c r="C373" t="s">
        <v>4921</v>
      </c>
      <c r="F373" t="s">
        <v>4938</v>
      </c>
      <c r="G373" s="10"/>
    </row>
    <row r="374" spans="1:7" x14ac:dyDescent="0.25">
      <c r="A374"/>
      <c r="C374" t="s">
        <v>4922</v>
      </c>
      <c r="F374" t="s">
        <v>4939</v>
      </c>
      <c r="G374" s="10"/>
    </row>
    <row r="375" spans="1:7" x14ac:dyDescent="0.25">
      <c r="A375"/>
      <c r="F375"/>
      <c r="G375" s="10"/>
    </row>
    <row r="376" spans="1:7" x14ac:dyDescent="0.25">
      <c r="A376"/>
      <c r="C376" t="s">
        <v>4929</v>
      </c>
      <c r="F376" t="s">
        <v>4948</v>
      </c>
      <c r="G376" s="10"/>
    </row>
    <row r="377" spans="1:7" x14ac:dyDescent="0.25">
      <c r="A377"/>
      <c r="C377" t="s">
        <v>4930</v>
      </c>
      <c r="F377" t="s">
        <v>4949</v>
      </c>
      <c r="G377" s="10"/>
    </row>
    <row r="378" spans="1:7" x14ac:dyDescent="0.25">
      <c r="A378"/>
      <c r="C378" t="s">
        <v>4918</v>
      </c>
      <c r="F378" t="s">
        <v>4935</v>
      </c>
      <c r="G378" s="10"/>
    </row>
    <row r="379" spans="1:7" x14ac:dyDescent="0.25">
      <c r="A379"/>
      <c r="C379" t="s">
        <v>4923</v>
      </c>
      <c r="F379" t="s">
        <v>4946</v>
      </c>
      <c r="G379" s="10"/>
    </row>
    <row r="380" spans="1:7" x14ac:dyDescent="0.25">
      <c r="A380"/>
      <c r="F380"/>
      <c r="G380" s="10"/>
    </row>
    <row r="381" spans="1:7" x14ac:dyDescent="0.25">
      <c r="A381"/>
      <c r="C381" t="s">
        <v>4931</v>
      </c>
      <c r="F381" t="s">
        <v>4942</v>
      </c>
      <c r="G381" s="10"/>
    </row>
    <row r="382" spans="1:7" x14ac:dyDescent="0.25">
      <c r="A382"/>
      <c r="C382" t="s">
        <v>4932</v>
      </c>
      <c r="F382" t="s">
        <v>4943</v>
      </c>
      <c r="G382" s="10"/>
    </row>
    <row r="383" spans="1:7" x14ac:dyDescent="0.25">
      <c r="A383"/>
      <c r="C383" t="s">
        <v>4934</v>
      </c>
      <c r="F383" t="s">
        <v>4945</v>
      </c>
      <c r="G383" s="10"/>
    </row>
    <row r="384" spans="1:7" x14ac:dyDescent="0.25">
      <c r="A384"/>
      <c r="C384" t="s">
        <v>4933</v>
      </c>
      <c r="F384" t="s">
        <v>4944</v>
      </c>
      <c r="G384" s="10"/>
    </row>
    <row r="385" spans="1:7" ht="15.75" thickBot="1" x14ac:dyDescent="0.3">
      <c r="A385" s="539"/>
      <c r="B385" s="539"/>
      <c r="C385" s="539"/>
      <c r="D385" s="539"/>
      <c r="E385" s="539"/>
      <c r="F385" s="599"/>
      <c r="G385" s="600"/>
    </row>
    <row r="386" spans="1:7" s="767" customFormat="1" x14ac:dyDescent="0.25">
      <c r="F386" s="964"/>
      <c r="G386" s="499" t="s">
        <v>11437</v>
      </c>
    </row>
    <row r="387" spans="1:7" ht="18.75" x14ac:dyDescent="0.3">
      <c r="A387"/>
      <c r="C387" s="110" t="s">
        <v>11433</v>
      </c>
      <c r="F387" s="43"/>
      <c r="G387" s="581"/>
    </row>
    <row r="388" spans="1:7" s="767" customFormat="1" ht="18.75" x14ac:dyDescent="0.3">
      <c r="C388" s="110"/>
      <c r="F388" s="964"/>
      <c r="G388" s="581"/>
    </row>
    <row r="389" spans="1:7" s="767" customFormat="1" ht="18.75" x14ac:dyDescent="0.3">
      <c r="C389" s="110"/>
      <c r="D389" s="634" t="s">
        <v>11435</v>
      </c>
      <c r="F389" s="964"/>
      <c r="G389" s="538"/>
    </row>
    <row r="390" spans="1:7" x14ac:dyDescent="0.25">
      <c r="A390"/>
      <c r="F390" s="43"/>
      <c r="G390" s="581"/>
    </row>
    <row r="391" spans="1:7" s="767" customFormat="1" x14ac:dyDescent="0.25">
      <c r="C391" s="767" t="s">
        <v>9864</v>
      </c>
      <c r="E391" s="623" t="s">
        <v>3</v>
      </c>
      <c r="F391" s="10">
        <f>(0.3*0.21*4*8*1.15+0.002)+((0.3*0.07*4*8*1.156)+(0.22*0.075*4*8*1.158)*2)</f>
        <v>4.3200799999999999</v>
      </c>
      <c r="G391" s="581"/>
    </row>
    <row r="392" spans="1:7" s="767" customFormat="1" x14ac:dyDescent="0.25">
      <c r="C392" s="767" t="s">
        <v>11432</v>
      </c>
      <c r="E392" s="623" t="s">
        <v>3</v>
      </c>
      <c r="F392" s="10">
        <f>0.36*0.22*5*8*1.152</f>
        <v>3.6495359999999994</v>
      </c>
      <c r="G392" s="581"/>
    </row>
    <row r="393" spans="1:7" s="767" customFormat="1" x14ac:dyDescent="0.25">
      <c r="C393" s="100" t="s">
        <v>2169</v>
      </c>
      <c r="E393" s="623" t="s">
        <v>3</v>
      </c>
      <c r="F393" s="10">
        <f>1.154*0.399</f>
        <v>0.46044599999999997</v>
      </c>
      <c r="G393" s="581"/>
    </row>
    <row r="394" spans="1:7" s="767" customFormat="1" x14ac:dyDescent="0.25">
      <c r="C394" s="834" t="s">
        <v>39</v>
      </c>
      <c r="D394" s="619"/>
      <c r="E394" s="827" t="s">
        <v>3</v>
      </c>
      <c r="F394" s="785">
        <f>1*0.08*1.25</f>
        <v>0.1</v>
      </c>
      <c r="G394" s="581"/>
    </row>
    <row r="395" spans="1:7" s="767" customFormat="1" ht="17.25" x14ac:dyDescent="0.25">
      <c r="C395" s="834" t="s">
        <v>1055</v>
      </c>
      <c r="D395" s="619"/>
      <c r="E395" s="827" t="s">
        <v>596</v>
      </c>
      <c r="F395" s="777">
        <f>1.1*F394</f>
        <v>0.11000000000000001</v>
      </c>
      <c r="G395" s="581"/>
    </row>
    <row r="396" spans="1:7" s="767" customFormat="1" x14ac:dyDescent="0.25">
      <c r="C396" s="942" t="s">
        <v>11436</v>
      </c>
      <c r="E396" s="623" t="s">
        <v>1516</v>
      </c>
      <c r="F396" s="10">
        <v>2</v>
      </c>
      <c r="G396" s="581"/>
    </row>
    <row r="397" spans="1:7" s="767" customFormat="1" x14ac:dyDescent="0.25">
      <c r="C397" s="942" t="s">
        <v>15</v>
      </c>
      <c r="E397" s="623" t="s">
        <v>3</v>
      </c>
      <c r="F397" s="10">
        <f>(0.3*0.22+0.3*0.21+0.075*0.75)*2*0.15*2*1.08</f>
        <v>0.12004200000000001</v>
      </c>
      <c r="G397" s="581"/>
    </row>
    <row r="398" spans="1:7" s="767" customFormat="1" x14ac:dyDescent="0.25">
      <c r="C398" s="942" t="s">
        <v>8</v>
      </c>
      <c r="E398" s="623" t="s">
        <v>3</v>
      </c>
      <c r="F398" s="10">
        <f>F397*0.58</f>
        <v>6.9624359999999996E-2</v>
      </c>
      <c r="G398" s="581"/>
    </row>
    <row r="399" spans="1:7" s="767" customFormat="1" x14ac:dyDescent="0.25">
      <c r="C399" s="942" t="s">
        <v>12</v>
      </c>
      <c r="E399" s="623" t="s">
        <v>3</v>
      </c>
      <c r="F399" s="10">
        <f>0.3*(F398+F397)-0.002</f>
        <v>5.4899907999999997E-2</v>
      </c>
      <c r="G399" s="581"/>
    </row>
    <row r="400" spans="1:7" s="767" customFormat="1" x14ac:dyDescent="0.25">
      <c r="F400" s="964"/>
      <c r="G400" s="581"/>
    </row>
    <row r="401" spans="1:7" x14ac:dyDescent="0.25">
      <c r="A401"/>
      <c r="C401" s="3" t="s">
        <v>11434</v>
      </c>
      <c r="F401" s="43"/>
      <c r="G401" s="581"/>
    </row>
    <row r="402" spans="1:7" x14ac:dyDescent="0.25">
      <c r="A402"/>
      <c r="C402" s="767" t="s">
        <v>9864</v>
      </c>
      <c r="E402" s="623" t="s">
        <v>3</v>
      </c>
      <c r="F402" s="10">
        <f>(0.3*0.21*4*8*1.15+0.002)+((0.3*0.07*4*8*1.156)+(0.22*0.075*4*8*1.158)*2)</f>
        <v>4.3200799999999999</v>
      </c>
      <c r="G402" s="581"/>
    </row>
    <row r="403" spans="1:7" x14ac:dyDescent="0.25">
      <c r="A403"/>
      <c r="E403" s="623"/>
      <c r="F403" s="10"/>
      <c r="G403" s="581"/>
    </row>
    <row r="404" spans="1:7" x14ac:dyDescent="0.25">
      <c r="C404" s="3" t="s">
        <v>11431</v>
      </c>
      <c r="E404" s="623"/>
      <c r="F404" s="10"/>
      <c r="G404" s="538"/>
    </row>
    <row r="405" spans="1:7" x14ac:dyDescent="0.25">
      <c r="C405" s="767" t="s">
        <v>11432</v>
      </c>
      <c r="E405" s="623" t="s">
        <v>3</v>
      </c>
      <c r="F405" s="10">
        <f>0.36*0.22*5*8*1.152</f>
        <v>3.6495359999999994</v>
      </c>
      <c r="G405" s="538"/>
    </row>
    <row r="406" spans="1:7" x14ac:dyDescent="0.25">
      <c r="E406" s="623"/>
      <c r="F406" s="10"/>
      <c r="G406" s="538"/>
    </row>
    <row r="407" spans="1:7" x14ac:dyDescent="0.25">
      <c r="C407" s="3" t="s">
        <v>11031</v>
      </c>
      <c r="E407" s="623"/>
      <c r="F407" s="10"/>
      <c r="G407" s="538"/>
    </row>
    <row r="408" spans="1:7" x14ac:dyDescent="0.25">
      <c r="C408" s="100" t="s">
        <v>2169</v>
      </c>
      <c r="E408" s="623" t="s">
        <v>3</v>
      </c>
      <c r="F408" s="10">
        <f>1.154*0.399</f>
        <v>0.46044599999999997</v>
      </c>
      <c r="G408" s="538"/>
    </row>
    <row r="409" spans="1:7" x14ac:dyDescent="0.25">
      <c r="A409" s="968"/>
      <c r="B409" s="539"/>
      <c r="C409" s="539"/>
      <c r="D409" s="539"/>
      <c r="E409" s="624"/>
      <c r="F409" s="600"/>
      <c r="G409" s="540"/>
    </row>
    <row r="410" spans="1:7" x14ac:dyDescent="0.25">
      <c r="C410" s="834"/>
      <c r="D410" s="619"/>
      <c r="E410" s="827"/>
      <c r="F410" s="785"/>
      <c r="G410" s="601"/>
    </row>
    <row r="411" spans="1:7" x14ac:dyDescent="0.25">
      <c r="C411" s="834"/>
      <c r="D411" s="619"/>
      <c r="E411" s="827"/>
      <c r="F411" s="777"/>
      <c r="G411" s="538"/>
    </row>
    <row r="412" spans="1:7" x14ac:dyDescent="0.25">
      <c r="B412" s="3" t="s">
        <v>11688</v>
      </c>
      <c r="G412" s="538"/>
    </row>
    <row r="413" spans="1:7" x14ac:dyDescent="0.25">
      <c r="D413" s="3" t="s">
        <v>11689</v>
      </c>
      <c r="G413" s="538"/>
    </row>
    <row r="414" spans="1:7" s="767" customFormat="1" x14ac:dyDescent="0.25">
      <c r="A414" s="1"/>
      <c r="D414" s="570" t="s">
        <v>11692</v>
      </c>
      <c r="F414" s="2"/>
      <c r="G414" s="538"/>
    </row>
    <row r="415" spans="1:7" s="767" customFormat="1" x14ac:dyDescent="0.25">
      <c r="A415" s="1"/>
      <c r="D415" s="570"/>
      <c r="F415" s="2"/>
      <c r="G415" s="538"/>
    </row>
    <row r="416" spans="1:7" x14ac:dyDescent="0.25">
      <c r="F416" s="10"/>
      <c r="G416" s="538"/>
    </row>
    <row r="417" spans="1:11" x14ac:dyDescent="0.25">
      <c r="B417" t="s">
        <v>11690</v>
      </c>
      <c r="E417" s="623" t="s">
        <v>195</v>
      </c>
      <c r="F417" s="10">
        <f>K417</f>
        <v>0.46</v>
      </c>
      <c r="G417" s="538"/>
      <c r="H417" s="962" t="s">
        <v>10149</v>
      </c>
      <c r="I417" s="864">
        <v>0.438</v>
      </c>
      <c r="J417" s="874" t="s">
        <v>10150</v>
      </c>
      <c r="K417" s="824">
        <v>0.46</v>
      </c>
    </row>
    <row r="418" spans="1:11" x14ac:dyDescent="0.25">
      <c r="B418" t="s">
        <v>11691</v>
      </c>
      <c r="E418" s="623" t="s">
        <v>3</v>
      </c>
      <c r="F418" s="10">
        <v>0.01</v>
      </c>
      <c r="G418" s="538"/>
    </row>
    <row r="419" spans="1:11" x14ac:dyDescent="0.25">
      <c r="B419" s="834" t="s">
        <v>39</v>
      </c>
      <c r="C419" s="619"/>
      <c r="E419" s="827" t="s">
        <v>3</v>
      </c>
      <c r="F419" s="785">
        <f>0.02*3.14*0.08*1.5</f>
        <v>7.536000000000001E-3</v>
      </c>
      <c r="G419" s="538"/>
    </row>
    <row r="420" spans="1:11" ht="17.25" x14ac:dyDescent="0.25">
      <c r="B420" s="834" t="s">
        <v>1055</v>
      </c>
      <c r="C420" s="619"/>
      <c r="E420" s="827" t="s">
        <v>596</v>
      </c>
      <c r="F420" s="777">
        <f>1.1*F419</f>
        <v>8.2896000000000011E-3</v>
      </c>
      <c r="G420" s="538"/>
    </row>
    <row r="421" spans="1:11" ht="15.75" thickBot="1" x14ac:dyDescent="0.3">
      <c r="A421" s="968"/>
      <c r="B421" s="539"/>
      <c r="C421" s="539"/>
      <c r="D421" s="539"/>
      <c r="E421" s="624"/>
      <c r="F421" s="600"/>
      <c r="G421" s="540"/>
    </row>
    <row r="422" spans="1:11" x14ac:dyDescent="0.25">
      <c r="F422" s="10"/>
      <c r="G422" s="1034" t="s">
        <v>12477</v>
      </c>
    </row>
    <row r="423" spans="1:11" x14ac:dyDescent="0.25">
      <c r="D423" s="117" t="s">
        <v>12482</v>
      </c>
      <c r="F423" s="10"/>
      <c r="G423" s="538"/>
    </row>
    <row r="424" spans="1:11" x14ac:dyDescent="0.25">
      <c r="G424" s="538"/>
    </row>
    <row r="425" spans="1:11" x14ac:dyDescent="0.25">
      <c r="B425" t="s">
        <v>11416</v>
      </c>
      <c r="E425" s="1032" t="s">
        <v>3</v>
      </c>
      <c r="F425" s="10">
        <f>1.5*1.25*1.5*8*1.15555</f>
        <v>25.999875000000003</v>
      </c>
      <c r="G425" s="538"/>
    </row>
    <row r="426" spans="1:11" x14ac:dyDescent="0.25">
      <c r="B426" t="s">
        <v>420</v>
      </c>
      <c r="E426" s="1032" t="s">
        <v>3</v>
      </c>
      <c r="F426" s="10">
        <f>1.5*1.25*2*0.15*1.2</f>
        <v>0.67499999999999993</v>
      </c>
      <c r="G426" s="538"/>
    </row>
    <row r="427" spans="1:11" x14ac:dyDescent="0.25">
      <c r="B427" t="s">
        <v>12</v>
      </c>
      <c r="E427" s="1032" t="s">
        <v>3</v>
      </c>
      <c r="F427" s="10">
        <f>0.3*F426-0.003</f>
        <v>0.19949999999999998</v>
      </c>
      <c r="G427" s="538"/>
    </row>
    <row r="428" spans="1:11" x14ac:dyDescent="0.25">
      <c r="A428" s="968"/>
      <c r="B428" s="539"/>
      <c r="C428" s="539"/>
      <c r="D428" s="539"/>
      <c r="E428" s="539"/>
      <c r="F428" s="600"/>
      <c r="G428" s="540"/>
    </row>
    <row r="429" spans="1:11" x14ac:dyDescent="0.25">
      <c r="F429" s="10"/>
    </row>
    <row r="430" spans="1:11" x14ac:dyDescent="0.25">
      <c r="F430" s="10"/>
    </row>
    <row r="431" spans="1:11" x14ac:dyDescent="0.25">
      <c r="F431" s="10"/>
    </row>
  </sheetData>
  <sortState ref="D71:E86">
    <sortCondition ref="E71:E86"/>
  </sortState>
  <dataConsolidate topLabels="1">
    <dataRefs count="1">
      <dataRef name="$F$24;$F$26;$F$29;$F$31"/>
    </dataRefs>
  </dataConsolidate>
  <mergeCells count="1">
    <mergeCell ref="B128:G128"/>
  </mergeCells>
  <pageMargins left="1" right="1" top="1" bottom="1" header="0.5" footer="0.5"/>
  <pageSetup paperSize="9" orientation="portrait" horizontalDpi="180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I v E T C p F U I O n A A A A + Q A A A B I A H A B D b 2 5 m a W c v U G F j a 2 F n Z S 5 4 b W w g o h g A K K A U A A A A A A A A A A A A A A A A A A A A A A A A A A A A h Y / f C o I w H I V f R X b v / p h F y M 9 J d J s Q R N G t r K V D n e G 2 5 r t 1 0 S P 1 C g l l e N f l O X w H v v N 6 P C E b 2 i a 4 y 9 6 o T q e I Y Y o C q U V 3 U b p M k b P X c I 0 y D v t C 1 E U p g x H W J h m M S l F l 7 S 0 h x H u P / Q J 3 f U k i S h k 5 5 7 u D q G R b h E o b W 2 g h 0 W 9 1 + b 9 C H E 4 f G R 7 h K M Y x X S 0 x i y k D M v W Q K z 1 j R m V M g c x K 2 L r G u l 5 y V 4 f H D Z A p A v n e 4 G 9 Q S w M E F A A C A A g A e I v E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L x E w o i k e 4 D g A A A B E A A A A T A B w A R m 9 y b X V s Y X M v U 2 V j d G l v b j E u b S C i G A A o o B Q A A A A A A A A A A A A A A A A A A A A A A A A A A A A r T k 0 u y c z P U w i G 0 I b W A F B L A Q I t A B Q A A g A I A H i L x E w q R V C D p w A A A P k A A A A S A A A A A A A A A A A A A A A A A A A A A A B D b 2 5 m a W c v U G F j a 2 F n Z S 5 4 b W x Q S w E C L Q A U A A I A C A B 4 i 8 R M D 8 r p q 6 Q A A A D p A A A A E w A A A A A A A A A A A A A A A A D z A A A A W 0 N v b n R l b n R f V H l w Z X N d L n h t b F B L A Q I t A B Q A A g A I A H i L x E w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H y 0 m q F T H 0 y P v 0 g d D Z t o i g A A A A A C A A A A A A A Q Z g A A A A E A A C A A A A A r d 8 Z w M t o B g i N c 4 j A t j V B E w M y 2 G 9 W H f q P A s l b A + F D 6 e w A A A A A O g A A A A A I A A C A A A A B r I 7 A H r Z w y + Q q h Z K T g 7 G 8 Q E J L g d L l l i K S / f v 9 F 1 h 1 j C 1 A A A A A 6 8 a Z D 4 9 O u k z t 9 C f H W k Z y b H V s g l H a U J 7 x v q R T V s i x A 3 r Q z v M r n 7 C a f u f L Z 4 f e r w k u w T I L i C s w 2 h F O w H Y N E O c h E c L 1 a t 3 t A P O w v 0 V B 6 O 1 z q V 0 A A A A B 6 x J B A C F 4 I Q O E Q N W q / f t 6 A 9 6 M f j c 9 W S e 0 E z k s p H V s B 0 B / T d K 2 m 4 J z C I L z J I V r o 7 Z u P B o s b p p e b C d Y W n J T u 0 k H r < / D a t a M a s h u p > 
</file>

<file path=customXml/itemProps1.xml><?xml version="1.0" encoding="utf-8"?>
<ds:datastoreItem xmlns:ds="http://schemas.openxmlformats.org/officeDocument/2006/customXml" ds:itemID="{9D78334D-12A3-4339-8262-D55CCEC54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2</vt:i4>
      </vt:variant>
    </vt:vector>
  </HeadingPairs>
  <TitlesOfParts>
    <vt:vector size="17" baseType="lpstr">
      <vt:lpstr>Т-72</vt:lpstr>
      <vt:lpstr>ГПМ-54</vt:lpstr>
      <vt:lpstr>Т-64</vt:lpstr>
      <vt:lpstr>ГПМ-72</vt:lpstr>
      <vt:lpstr>ІМР-2</vt:lpstr>
      <vt:lpstr>БТС-4</vt:lpstr>
      <vt:lpstr>БТС-5Б</vt:lpstr>
      <vt:lpstr>БРЕМ-1</vt:lpstr>
      <vt:lpstr>Різне</vt:lpstr>
      <vt:lpstr>ДВИГУН</vt:lpstr>
      <vt:lpstr>КО</vt:lpstr>
      <vt:lpstr>НорБРЕМ</vt:lpstr>
      <vt:lpstr>ГідрВол</vt:lpstr>
      <vt:lpstr>бтс</vt:lpstr>
      <vt:lpstr>Лист2</vt:lpstr>
      <vt:lpstr>'БРЕМ-1'!Область_печати</vt:lpstr>
      <vt:lpstr>ДВИГУН!Область_печати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2018-11-16T09:19:43Z</dcterms:modified>
</cp:coreProperties>
</file>